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E:\Shruti\Sept 25\EXTRA\"/>
    </mc:Choice>
  </mc:AlternateContent>
  <bookViews>
    <workbookView xWindow="0" yWindow="0" windowWidth="20490" windowHeight="7755" tabRatio="725"/>
  </bookViews>
  <sheets>
    <sheet name="Report" sheetId="1" r:id="rId1"/>
    <sheet name="valuation" sheetId="5" r:id="rId2"/>
    <sheet name="Note" sheetId="4" r:id="rId3"/>
  </sheets>
  <definedNames>
    <definedName name="_xlnm.Print_Area" localSheetId="0">Report!$A$1:$H$351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0" i="1" l="1"/>
  <c r="J119" i="1"/>
  <c r="J118" i="1"/>
  <c r="J117" i="1"/>
  <c r="H110" i="1"/>
  <c r="D122" i="1" l="1"/>
  <c r="D118" i="1"/>
  <c r="D121" i="1"/>
  <c r="D117" i="1"/>
  <c r="J112" i="1"/>
  <c r="J113" i="1"/>
  <c r="J115" i="1"/>
  <c r="J116" i="1" s="1"/>
  <c r="J121" i="1" s="1"/>
  <c r="J122" i="1" s="1"/>
  <c r="C114" i="1" s="1"/>
  <c r="D120" i="1"/>
  <c r="D116" i="1"/>
  <c r="D119" i="1"/>
  <c r="D115" i="1"/>
  <c r="J109" i="1"/>
  <c r="J111" i="1" s="1"/>
  <c r="J114" i="1"/>
  <c r="C113" i="1" s="1"/>
  <c r="J106" i="1"/>
  <c r="J105" i="1"/>
  <c r="J104" i="1"/>
  <c r="J103" i="1"/>
  <c r="E113" i="1" l="1"/>
  <c r="D114" i="1"/>
  <c r="G113" i="1"/>
  <c r="D113" i="1"/>
  <c r="E3" i="1"/>
  <c r="I110" i="1" l="1"/>
  <c r="J110" i="1"/>
  <c r="D164" i="1"/>
  <c r="J169" i="1" s="1"/>
  <c r="R126" i="1"/>
  <c r="J179" i="1"/>
  <c r="R125" i="1"/>
  <c r="G140" i="1"/>
  <c r="D156" i="1"/>
  <c r="E29" i="1"/>
  <c r="D238" i="1"/>
  <c r="D237" i="1"/>
  <c r="D236" i="1"/>
  <c r="D235" i="1"/>
  <c r="G235" i="1"/>
  <c r="G236" i="1" s="1"/>
  <c r="G237" i="1" s="1"/>
  <c r="G238" i="1" s="1"/>
  <c r="D233" i="1"/>
  <c r="D232" i="1"/>
  <c r="D231" i="1"/>
  <c r="D230" i="1"/>
  <c r="D229" i="1"/>
  <c r="D228" i="1"/>
  <c r="D227" i="1"/>
  <c r="D226" i="1"/>
  <c r="D225" i="1"/>
  <c r="D224" i="1"/>
  <c r="D223" i="1"/>
  <c r="D221" i="1"/>
  <c r="D220" i="1"/>
  <c r="D219" i="1"/>
  <c r="D218" i="1"/>
  <c r="D217" i="1"/>
  <c r="D216" i="1"/>
  <c r="D215" i="1"/>
  <c r="D214" i="1"/>
  <c r="D213" i="1"/>
  <c r="D212" i="1"/>
  <c r="D211" i="1"/>
  <c r="D209" i="1"/>
  <c r="D208" i="1"/>
  <c r="D207" i="1"/>
  <c r="D206" i="1"/>
  <c r="D205" i="1"/>
  <c r="D204" i="1"/>
  <c r="D203" i="1"/>
  <c r="D202" i="1"/>
  <c r="D201" i="1"/>
  <c r="D200" i="1"/>
  <c r="D199" i="1"/>
  <c r="D197" i="1"/>
  <c r="D196" i="1"/>
  <c r="D195" i="1"/>
  <c r="D194" i="1"/>
  <c r="D193" i="1"/>
  <c r="D192" i="1"/>
  <c r="D191" i="1"/>
  <c r="D190" i="1"/>
  <c r="J190" i="1" s="1"/>
  <c r="D189" i="1"/>
  <c r="J189" i="1" s="1"/>
  <c r="D188" i="1"/>
  <c r="J188" i="1" s="1"/>
  <c r="D187" i="1"/>
  <c r="J187" i="1" s="1"/>
  <c r="A190" i="1"/>
  <c r="A192" i="1" s="1"/>
  <c r="A194" i="1" s="1"/>
  <c r="A196" i="1" s="1"/>
  <c r="A197" i="1" s="1"/>
  <c r="D184" i="1"/>
  <c r="D183" i="1"/>
  <c r="D182" i="1"/>
  <c r="D181" i="1"/>
  <c r="J186" i="1"/>
  <c r="J182" i="1"/>
  <c r="J181" i="1"/>
  <c r="D175" i="1"/>
  <c r="D174" i="1"/>
  <c r="D173" i="1"/>
  <c r="D172" i="1"/>
  <c r="D171" i="1"/>
  <c r="D170" i="1"/>
  <c r="D169" i="1"/>
  <c r="D168" i="1"/>
  <c r="D167" i="1"/>
  <c r="D166" i="1"/>
  <c r="D165" i="1"/>
  <c r="A165" i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G164" i="1"/>
  <c r="G165" i="1" s="1"/>
  <c r="G166" i="1" s="1"/>
  <c r="G167" i="1" s="1"/>
  <c r="G168" i="1" s="1"/>
  <c r="G169" i="1" s="1"/>
  <c r="G170" i="1" s="1"/>
  <c r="G171" i="1" s="1"/>
  <c r="G172" i="1" s="1"/>
  <c r="G173" i="1" s="1"/>
  <c r="G174" i="1" s="1"/>
  <c r="G175" i="1" s="1"/>
  <c r="D159" i="1"/>
  <c r="D162" i="1"/>
  <c r="D161" i="1"/>
  <c r="D160" i="1"/>
  <c r="D158" i="1"/>
  <c r="J158" i="1" s="1"/>
  <c r="D157" i="1"/>
  <c r="D155" i="1"/>
  <c r="D154" i="1"/>
  <c r="J154" i="1" s="1"/>
  <c r="D153" i="1"/>
  <c r="R240" i="1"/>
  <c r="R239" i="1"/>
  <c r="V137" i="1"/>
  <c r="V132" i="1"/>
  <c r="V134" i="1"/>
  <c r="V133" i="1"/>
  <c r="M247" i="1"/>
  <c r="M240" i="1"/>
  <c r="M245" i="1"/>
  <c r="M239" i="1"/>
  <c r="Q134" i="1"/>
  <c r="Q133" i="1"/>
  <c r="P134" i="1"/>
  <c r="P133" i="1"/>
  <c r="I111" i="1" l="1"/>
  <c r="I109" i="1" s="1"/>
  <c r="C111" i="1" s="1"/>
  <c r="J164" i="1"/>
  <c r="J165" i="1"/>
  <c r="J153" i="1"/>
  <c r="J166" i="1"/>
  <c r="C144" i="1"/>
  <c r="G141" i="1"/>
  <c r="E145" i="1"/>
  <c r="E144" i="1"/>
  <c r="E141" i="1"/>
  <c r="C145" i="1"/>
  <c r="C141" i="1"/>
  <c r="E140" i="1"/>
  <c r="C140" i="1"/>
  <c r="J183" i="1"/>
  <c r="R132" i="1"/>
  <c r="R137" i="1"/>
  <c r="W137" i="1"/>
  <c r="W132" i="1"/>
  <c r="C146" i="1" l="1"/>
  <c r="E146" i="1"/>
  <c r="B242" i="1" l="1"/>
  <c r="C14" i="1" l="1"/>
  <c r="A182" i="1" l="1"/>
  <c r="A183" i="1" s="1"/>
  <c r="A184" i="1" s="1"/>
  <c r="G181" i="1"/>
  <c r="G182" i="1" s="1"/>
  <c r="G183" i="1" s="1"/>
  <c r="G184" i="1" s="1"/>
  <c r="G144" i="1" l="1"/>
  <c r="F137" i="1"/>
  <c r="B241" i="1" l="1"/>
  <c r="A199" i="1"/>
  <c r="G145" i="1" l="1"/>
  <c r="G146" i="1" s="1"/>
  <c r="F11" i="5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D266" i="1"/>
  <c r="G223" i="1"/>
  <c r="G224" i="1" s="1"/>
  <c r="G225" i="1" s="1"/>
  <c r="G226" i="1" s="1"/>
  <c r="G227" i="1" s="1"/>
  <c r="G228" i="1" s="1"/>
  <c r="G229" i="1" s="1"/>
  <c r="G230" i="1" s="1"/>
  <c r="G231" i="1" s="1"/>
  <c r="G232" i="1" s="1"/>
  <c r="G233" i="1" s="1"/>
  <c r="G211" i="1"/>
  <c r="G212" i="1" s="1"/>
  <c r="G213" i="1" s="1"/>
  <c r="G214" i="1" s="1"/>
  <c r="G215" i="1" s="1"/>
  <c r="G216" i="1" s="1"/>
  <c r="G217" i="1" s="1"/>
  <c r="G218" i="1" s="1"/>
  <c r="G219" i="1" s="1"/>
  <c r="G220" i="1" s="1"/>
  <c r="G221" i="1" s="1"/>
  <c r="G199" i="1"/>
  <c r="G200" i="1" s="1"/>
  <c r="G201" i="1" s="1"/>
  <c r="G202" i="1" s="1"/>
  <c r="G203" i="1" s="1"/>
  <c r="G204" i="1" s="1"/>
  <c r="G205" i="1" s="1"/>
  <c r="G206" i="1" s="1"/>
  <c r="G207" i="1" s="1"/>
  <c r="G208" i="1" s="1"/>
  <c r="G209" i="1" s="1"/>
  <c r="G187" i="1"/>
  <c r="G188" i="1" s="1"/>
  <c r="G189" i="1" s="1"/>
  <c r="G190" i="1" s="1"/>
  <c r="G191" i="1" s="1"/>
  <c r="G192" i="1" s="1"/>
  <c r="G193" i="1" s="1"/>
  <c r="G194" i="1" s="1"/>
  <c r="G195" i="1" s="1"/>
  <c r="G196" i="1" s="1"/>
  <c r="G197" i="1" s="1"/>
  <c r="A187" i="1"/>
  <c r="A188" i="1" s="1"/>
  <c r="A154" i="1"/>
  <c r="A155" i="1" s="1"/>
  <c r="A156" i="1" s="1"/>
  <c r="A157" i="1" s="1"/>
  <c r="A158" i="1" s="1"/>
  <c r="A159" i="1" s="1"/>
  <c r="A160" i="1" s="1"/>
  <c r="A161" i="1" s="1"/>
  <c r="A162" i="1" s="1"/>
  <c r="G153" i="1"/>
  <c r="G154" i="1" s="1"/>
  <c r="G155" i="1" s="1"/>
  <c r="G156" i="1" s="1"/>
  <c r="G157" i="1" s="1"/>
  <c r="G158" i="1" s="1"/>
  <c r="G159" i="1" s="1"/>
  <c r="G160" i="1" s="1"/>
  <c r="G161" i="1" s="1"/>
  <c r="G162" i="1" s="1"/>
  <c r="J92" i="1"/>
  <c r="J91" i="1"/>
  <c r="J90" i="1"/>
  <c r="J89" i="1"/>
  <c r="J78" i="1"/>
  <c r="J77" i="1"/>
  <c r="J76" i="1"/>
  <c r="J75" i="1"/>
  <c r="C67" i="1"/>
  <c r="D55" i="1"/>
  <c r="G49" i="1"/>
  <c r="C49" i="1"/>
  <c r="E42" i="1"/>
  <c r="E43" i="1" s="1"/>
  <c r="E26" i="1"/>
  <c r="E24" i="1"/>
  <c r="E7" i="1"/>
  <c r="A200" i="1"/>
  <c r="H82" i="1"/>
  <c r="H68" i="1"/>
  <c r="D61" i="1" l="1"/>
  <c r="D92" i="1"/>
  <c r="D93" i="1"/>
  <c r="D94" i="1"/>
  <c r="D88" i="1"/>
  <c r="D89" i="1"/>
  <c r="D90" i="1"/>
  <c r="D91" i="1"/>
  <c r="J81" i="1"/>
  <c r="D80" i="1"/>
  <c r="D78" i="1"/>
  <c r="D77" i="1"/>
  <c r="D76" i="1"/>
  <c r="D74" i="1"/>
  <c r="J67" i="1"/>
  <c r="D79" i="1"/>
  <c r="D75" i="1"/>
  <c r="J71" i="1"/>
  <c r="J72" i="1"/>
  <c r="J70" i="1"/>
  <c r="J73" i="1"/>
  <c r="J74" i="1" s="1"/>
  <c r="J79" i="1" s="1"/>
  <c r="J80" i="1" s="1"/>
  <c r="J87" i="1"/>
  <c r="J88" i="1" s="1"/>
  <c r="J93" i="1" s="1"/>
  <c r="J85" i="1"/>
  <c r="J86" i="1"/>
  <c r="C85" i="1" s="1"/>
  <c r="J84" i="1"/>
  <c r="A201" i="1"/>
  <c r="J94" i="1" l="1"/>
  <c r="C86" i="1" s="1"/>
  <c r="G85" i="1" s="1"/>
  <c r="G123" i="1" s="1"/>
  <c r="D87" i="1"/>
  <c r="J83" i="1"/>
  <c r="D73" i="1"/>
  <c r="J69" i="1"/>
  <c r="E71" i="1"/>
  <c r="D72" i="1"/>
  <c r="G71" i="1"/>
  <c r="D71" i="1"/>
  <c r="J68" i="1" s="1"/>
  <c r="D85" i="1"/>
  <c r="A202" i="1"/>
  <c r="D65" i="1" l="1"/>
  <c r="D66" i="1" s="1"/>
  <c r="E85" i="1"/>
  <c r="C123" i="1" s="1"/>
  <c r="D86" i="1"/>
  <c r="I82" i="1" s="1"/>
  <c r="I83" i="1" s="1"/>
  <c r="J82" i="1"/>
  <c r="I68" i="1"/>
  <c r="A203" i="1"/>
  <c r="H96" i="1"/>
  <c r="F66" i="1" l="1"/>
  <c r="J100" i="1"/>
  <c r="C99" i="1" s="1"/>
  <c r="D99" i="1" s="1"/>
  <c r="J98" i="1"/>
  <c r="D108" i="1"/>
  <c r="D104" i="1"/>
  <c r="D105" i="1"/>
  <c r="D107" i="1"/>
  <c r="D103" i="1"/>
  <c r="J99" i="1"/>
  <c r="D106" i="1"/>
  <c r="D102" i="1"/>
  <c r="J101" i="1"/>
  <c r="J102" i="1" s="1"/>
  <c r="J107" i="1" s="1"/>
  <c r="J108" i="1" s="1"/>
  <c r="D101" i="1"/>
  <c r="J95" i="1"/>
  <c r="J97" i="1" s="1"/>
  <c r="I81" i="1"/>
  <c r="C83" i="1" s="1"/>
  <c r="I69" i="1"/>
  <c r="I67" i="1" s="1"/>
  <c r="C69" i="1" s="1"/>
  <c r="A204" i="1"/>
  <c r="C100" i="1" l="1"/>
  <c r="E99" i="1" s="1"/>
  <c r="J123" i="1"/>
  <c r="A205" i="1"/>
  <c r="J96" i="1" l="1"/>
  <c r="D100" i="1"/>
  <c r="I96" i="1" s="1"/>
  <c r="I97" i="1" s="1"/>
  <c r="G99" i="1"/>
  <c r="A206" i="1"/>
  <c r="I95" i="1" l="1"/>
  <c r="C97" i="1" s="1"/>
  <c r="A207" i="1"/>
  <c r="A208" i="1"/>
  <c r="A209" i="1"/>
</calcChain>
</file>

<file path=xl/sharedStrings.xml><?xml version="1.0" encoding="utf-8"?>
<sst xmlns="http://schemas.openxmlformats.org/spreadsheetml/2006/main" count="518" uniqueCount="254">
  <si>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</si>
  <si>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</si>
  <si>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</si>
  <si>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</si>
  <si>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</si>
  <si>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</si>
  <si>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</si>
  <si>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</si>
  <si>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</si>
  <si>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</si>
  <si>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</si>
  <si>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</si>
  <si>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</si>
  <si>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</si>
  <si>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</si>
  <si>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</si>
  <si>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</si>
  <si>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</si>
  <si>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</si>
  <si>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</si>
  <si>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</si>
  <si>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</si>
  <si>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</si>
  <si>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</si>
  <si>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</si>
  <si>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</si>
  <si>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</si>
  <si>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</si>
  <si>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</si>
  <si>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</si>
  <si>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</si>
  <si>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</si>
  <si>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</si>
  <si>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</si>
  <si>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</si>
  <si>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</si>
  <si>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</si>
  <si>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</si>
  <si>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</si>
  <si>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</si>
  <si>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</si>
  <si>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</si>
  <si>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</si>
  <si>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</si>
  <si>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</si>
  <si>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</si>
  <si>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</si>
  <si>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</si>
  <si>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</si>
  <si>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</si>
  <si>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</si>
  <si>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</si>
  <si>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</si>
  <si>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</si>
  <si>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</si>
  <si>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</si>
  <si>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</si>
  <si>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</si>
  <si>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</si>
  <si>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</si>
  <si>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</si>
  <si>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</si>
  <si>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</si>
  <si>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</si>
  <si>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</si>
  <si>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</si>
  <si>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</si>
  <si>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</si>
  <si>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</si>
  <si>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</si>
  <si>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</si>
  <si>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Residential Area Details :</t>
  </si>
  <si>
    <t>Podium</t>
  </si>
  <si>
    <t>Ground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</si>
  <si>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</si>
  <si>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</si>
  <si>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Commercial Area Details :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</si>
  <si>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</si>
  <si>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</si>
  <si>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</si>
  <si>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</si>
  <si>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</si>
  <si>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</si>
  <si>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</si>
  <si>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</si>
  <si>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</si>
  <si>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</si>
  <si>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</si>
  <si>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</si>
  <si>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</si>
  <si>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</si>
  <si>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</si>
  <si>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</si>
  <si>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</si>
  <si>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</si>
  <si>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</si>
  <si>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Development Charges</t>
  </si>
  <si>
    <t>Club Charges</t>
  </si>
  <si>
    <t>Gas Connection Charges</t>
  </si>
  <si>
    <t>Water, Electricity, Drainages, Sewerage Connection</t>
  </si>
  <si>
    <t>Society Formation Charges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</si>
  <si>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</si>
  <si>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</si>
  <si>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</si>
  <si>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</si>
  <si>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</si>
  <si>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</si>
  <si>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</si>
  <si>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</si>
  <si>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</si>
  <si>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</si>
  <si>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</si>
  <si>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</si>
  <si>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</si>
  <si>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</si>
  <si>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</si>
  <si>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</si>
  <si>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</si>
  <si>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</si>
  <si>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</si>
  <si>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t>Shop No.
(Sale Plan)</t>
  </si>
  <si>
    <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</si>
  <si>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</si>
  <si>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</si>
  <si>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Contact Details ( Name &amp; Contact No.)</t>
  </si>
  <si>
    <t>Nearby Landmark</t>
  </si>
  <si>
    <t>We considered Carpet area as per Approved Plan.</t>
  </si>
  <si>
    <t>We considered Gross carpet area = Net carpet + Enclose balcony + D.B Area + F.B Area.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</si>
  <si>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</si>
  <si>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</si>
  <si>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</si>
  <si>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</si>
  <si>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</si>
  <si>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</si>
  <si>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</si>
  <si>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</si>
  <si>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</si>
  <si>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</si>
  <si>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</si>
  <si>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</si>
  <si>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</si>
  <si>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</si>
  <si>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</si>
  <si>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</si>
  <si>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</si>
  <si>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</si>
  <si>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</si>
  <si>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</si>
  <si>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</si>
  <si>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</si>
  <si>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2nd to 5th Floor</t>
  </si>
  <si>
    <t>Basement 1</t>
  </si>
  <si>
    <t>Plinth in process</t>
  </si>
  <si>
    <t>Vitrified tiles flooring, Kitchen Platform, Decorative</t>
  </si>
  <si>
    <t xml:space="preserve">Violations Observed if any : </t>
  </si>
  <si>
    <t>Total</t>
  </si>
  <si>
    <t>Name of Municipal Corporation/Authority</t>
  </si>
  <si>
    <t>We have considered proposed No. of Floor for Stage Calculation.</t>
  </si>
  <si>
    <t>*</t>
  </si>
  <si>
    <t>Recommended rate should be considered as all inclusive rate if other charges are not mentioned. (Excluding GST &amp; other government Taxes)</t>
  </si>
  <si>
    <t xml:space="preserve">Commencement-CC No
Valid Up to: </t>
  </si>
  <si>
    <t>Attached Loft area</t>
  </si>
  <si>
    <t xml:space="preserve">Recommended Rates of the Property : </t>
  </si>
  <si>
    <t>Floor Rise Rate</t>
  </si>
  <si>
    <t>Recommended rate of the Shop Per Sq. Ft.</t>
  </si>
  <si>
    <t>Recommended rate of the Flat Per Sq. Ft.</t>
  </si>
  <si>
    <t>Recommended rate of the Office Per Sq. Ft.</t>
  </si>
  <si>
    <t>On Saleable Area</t>
  </si>
  <si>
    <t>Legal Charges</t>
  </si>
  <si>
    <t>Location Link</t>
  </si>
  <si>
    <t>Locality</t>
  </si>
  <si>
    <t>Village</t>
  </si>
  <si>
    <t xml:space="preserve">O. Certificate No.: 
Approved upto : </t>
  </si>
  <si>
    <t>Axis Badlapur</t>
  </si>
  <si>
    <t>P51700035044</t>
  </si>
  <si>
    <t>Aastha Realtors</t>
  </si>
  <si>
    <t>Aastha Omkar</t>
  </si>
  <si>
    <t>Belyani</t>
  </si>
  <si>
    <t>Thane</t>
  </si>
  <si>
    <t>Kalyan</t>
  </si>
  <si>
    <t>Survey No</t>
  </si>
  <si>
    <t>56, H.No. 35D/2B/1 to 15/1</t>
  </si>
  <si>
    <t>Kalyan-Dombivli Municipal Corporation</t>
  </si>
  <si>
    <t>KDMC/TPD/BP/KD/2021-22/67</t>
  </si>
  <si>
    <t>2 Wings</t>
  </si>
  <si>
    <t>As per RERA - 31/12/2026</t>
  </si>
  <si>
    <t>Approved Plans, CC, Builder Saleable Area, Cost Sheet</t>
  </si>
  <si>
    <t>Open Plot</t>
  </si>
  <si>
    <t>Aastha Evershine</t>
  </si>
  <si>
    <t>F Building</t>
  </si>
  <si>
    <t>Titwala East</t>
  </si>
  <si>
    <t>Internal Road</t>
  </si>
  <si>
    <t>2.5 KM from Titwala Railway Station</t>
  </si>
  <si>
    <t>Wing A = Gr/Stilt + 1st to 15th Floor</t>
  </si>
  <si>
    <t>We received Builder documents, approved floor plans &amp; CC. Provided approved floor plans are not legible &amp; not at the proper scale. Please provide approved floor plans which are legible &amp; proper in scale.</t>
  </si>
  <si>
    <t>MIS</t>
  </si>
  <si>
    <t>Inspection</t>
  </si>
  <si>
    <t>Cost sheet</t>
  </si>
  <si>
    <t>online</t>
  </si>
  <si>
    <t>1BHK</t>
  </si>
  <si>
    <t>2BHK</t>
  </si>
  <si>
    <t>As per Inspection sheet</t>
  </si>
  <si>
    <t>As per 99 Acres</t>
  </si>
  <si>
    <t>For 385 Sq.Ft</t>
  </si>
  <si>
    <t>For 400 Sq.Ft</t>
  </si>
  <si>
    <t>For 410 Sq.Ft</t>
  </si>
  <si>
    <t>For 510Sq.Ft</t>
  </si>
  <si>
    <t>Shop</t>
  </si>
  <si>
    <t>As per Magic bricks</t>
  </si>
  <si>
    <t>(refer rate from Rusttagi Aarambha)</t>
  </si>
  <si>
    <t>Office</t>
  </si>
  <si>
    <t>As per Inspection Sheet</t>
  </si>
  <si>
    <t>Wing A</t>
  </si>
  <si>
    <t>Shop + Godown</t>
  </si>
  <si>
    <t>Ground Floor for Commercial &amp; Parking</t>
  </si>
  <si>
    <t xml:space="preserve">1st Floor </t>
  </si>
  <si>
    <t>1st Floor for Residential</t>
  </si>
  <si>
    <t>Wing B</t>
  </si>
  <si>
    <t xml:space="preserve">6th Floor </t>
  </si>
  <si>
    <t>7th Floor</t>
  </si>
  <si>
    <t>MHADA</t>
  </si>
  <si>
    <t>Building No.1 (Wing A &amp; B)</t>
  </si>
  <si>
    <t>Wing A (Shop)</t>
  </si>
  <si>
    <t>Wing A (Office)</t>
  </si>
  <si>
    <t>Flats - 85, Shop - 10, Office - 12</t>
  </si>
  <si>
    <t>8th Floor (Part Terrace Area)</t>
  </si>
  <si>
    <t xml:space="preserve">Builder
Saleable area </t>
  </si>
  <si>
    <t>Wing A = Gr/Stilt + 1st Floor
Wing B = Gr/Stilt + 1st to 8th (Pt) Floor</t>
  </si>
  <si>
    <t>Name / No of the Building (As per Sale Plan)</t>
  </si>
  <si>
    <t>Building No.1 &amp; 2</t>
  </si>
  <si>
    <t>Building No.1</t>
  </si>
  <si>
    <t>3500 to 3900</t>
  </si>
  <si>
    <t>Rushikesh</t>
  </si>
  <si>
    <t>Verbal</t>
  </si>
  <si>
    <t>Part II = Wing B = Gr/Stilt + 1st to 15th Floor</t>
  </si>
  <si>
    <t>Average Disbursement %</t>
  </si>
  <si>
    <t>Since Wing A have received CC on 13/01/2022, but as of construction work is not started.</t>
  </si>
  <si>
    <t>B Wing Average Progress %</t>
  </si>
  <si>
    <t xml:space="preserve">Office No. 1031, Wing J, Akshar Business Park, Plot No. 03 Sector 25, Near APMC Market, Vashi, 
Navi Mumbai, Maharashtra 400703 TEL: 022-46090378/79/80                                                                                                     E mail : vsjcapf@gmail.com. Web site : www.vsjadon.com
</t>
  </si>
  <si>
    <t>On Site, we meet Mr. Vishal : 9819362342.</t>
  </si>
  <si>
    <t>Mr.Vishal Jain 9819362342</t>
  </si>
  <si>
    <t>KDMC/TPD/BP/KD/2021-22/67/165</t>
  </si>
  <si>
    <t>Wing A = Gr/Stilt + 1st to 13th Floor
Wing B = Gr/Stilt + 1st to 16th Floor</t>
  </si>
  <si>
    <t>Wing B = Gr/Stilt + 1st to 16th Floor</t>
  </si>
  <si>
    <t>We have updated CC from RERA on 12/05/2025.</t>
  </si>
  <si>
    <t>Please provide revised approved plans.</t>
  </si>
  <si>
    <t>Wing B = Gr/Stilt + 1st to 15th Floor</t>
  </si>
  <si>
    <t>Latitude &amp; Longitude</t>
  </si>
  <si>
    <t>https://maps.app.goo.gl/4cAJRKoFa3urMns17</t>
  </si>
  <si>
    <t>changed on 13/08/2025</t>
  </si>
  <si>
    <t>Shruti Tathare</t>
  </si>
  <si>
    <t>Mangesh Bapardekar</t>
  </si>
  <si>
    <t>19.282684,73.198169</t>
  </si>
  <si>
    <t>Wing B = Construction work is in process at the time of Visit. (Labour found)
Wing A = Work not yet started.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</si>
</sst>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64" formatCode="0.0"/>
    <numFmt numFmtId="165" formatCode="_(* #,##0.00_);_(* \(#,##0.00\);_(* &quot;-&quot;??_);_(@_)"/>
    <numFmt numFmtId="166" formatCode="_(* #,##0_);_(* \(#,##0\);_(* &quot;-&quot;??_);_(@_)"/>
    <numFmt numFmtId="167" formatCode="_ * #,##0_ ;_ * \-#,##0_ ;_ * &quot;-&quot;??_ ;_ @_ "/>
    <numFmt numFmtId="168" formatCode="[&gt;0]0&quot;BHK&quot;;&quot;1RK&quot;"/>
  </numFmts>
  <fonts count="29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b/>
      <sz val="12"/>
      <color rgb="FFFF0000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  <font>
      <sz val="11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1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5" fontId="5" fillId="0" borderId="0" applyFont="0" applyFill="0" applyBorder="0" applyAlignment="0" applyProtection="0"/>
    <xf numFmtId="0" fontId="21" fillId="0" borderId="0"/>
    <xf numFmtId="9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7" fillId="0" borderId="0" applyNumberFormat="0" applyFill="0" applyBorder="0" applyAlignment="0" applyProtection="0"/>
  </cellStyleXfs>
  <cellXfs count="258">
    <xf numFmtId="0" fontId="0" fillId="0" borderId="0" xfId="0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20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9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0" fontId="18" fillId="0" borderId="0" xfId="0" applyFont="1" applyProtection="1">
      <protection hidden="1"/>
    </xf>
    <xf numFmtId="0" fontId="18" fillId="0" borderId="10" xfId="0" applyFont="1" applyBorder="1" applyProtection="1">
      <protection hidden="1"/>
    </xf>
    <xf numFmtId="0" fontId="12" fillId="0" borderId="3" xfId="1" applyFont="1" applyBorder="1" applyAlignment="1" applyProtection="1">
      <alignment horizontal="center" vertical="top"/>
      <protection locked="0"/>
    </xf>
    <xf numFmtId="0" fontId="12" fillId="0" borderId="4" xfId="1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vertical="top" wrapText="1"/>
      <protection locked="0"/>
    </xf>
    <xf numFmtId="9" fontId="7" fillId="0" borderId="1" xfId="8" applyFont="1" applyFill="1" applyBorder="1" applyAlignment="1" applyProtection="1">
      <alignment horizontal="center" vertical="top" wrapText="1"/>
      <protection locked="0"/>
    </xf>
    <xf numFmtId="9" fontId="7" fillId="0" borderId="6" xfId="8" applyFont="1" applyFill="1" applyBorder="1" applyAlignment="1" applyProtection="1">
      <alignment horizontal="center" vertical="top" wrapText="1"/>
      <protection locked="0"/>
    </xf>
    <xf numFmtId="0" fontId="7" fillId="0" borderId="0" xfId="1" applyFont="1"/>
    <xf numFmtId="0" fontId="15" fillId="0" borderId="0" xfId="1" applyFont="1"/>
    <xf numFmtId="0" fontId="12" fillId="0" borderId="0" xfId="1" applyFont="1"/>
    <xf numFmtId="1" fontId="7" fillId="0" borderId="0" xfId="1" applyNumberFormat="1" applyFont="1"/>
    <xf numFmtId="14" fontId="7" fillId="0" borderId="0" xfId="1" applyNumberFormat="1" applyFont="1"/>
    <xf numFmtId="0" fontId="7" fillId="0" borderId="0" xfId="1" applyFont="1" applyProtection="1">
      <protection hidden="1"/>
    </xf>
    <xf numFmtId="0" fontId="24" fillId="0" borderId="0" xfId="1" applyFont="1"/>
    <xf numFmtId="0" fontId="7" fillId="0" borderId="9" xfId="1" applyFont="1" applyBorder="1"/>
    <xf numFmtId="0" fontId="18" fillId="0" borderId="9" xfId="0" applyFont="1" applyBorder="1" applyProtection="1">
      <protection hidden="1"/>
    </xf>
    <xf numFmtId="1" fontId="0" fillId="0" borderId="9" xfId="0" applyNumberFormat="1" applyBorder="1"/>
    <xf numFmtId="1" fontId="0" fillId="0" borderId="9" xfId="0" applyNumberFormat="1" applyBorder="1" applyAlignment="1">
      <alignment horizontal="right"/>
    </xf>
    <xf numFmtId="1" fontId="0" fillId="0" borderId="11" xfId="0" applyNumberFormat="1" applyBorder="1"/>
    <xf numFmtId="0" fontId="16" fillId="0" borderId="0" xfId="1" applyFont="1"/>
    <xf numFmtId="0" fontId="6" fillId="0" borderId="0" xfId="2" applyFont="1"/>
    <xf numFmtId="0" fontId="7" fillId="0" borderId="0" xfId="0" applyFont="1" applyAlignment="1">
      <alignment horizontal="center" vertical="center"/>
    </xf>
    <xf numFmtId="1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2" xfId="1" applyNumberFormat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7" fillId="0" borderId="6" xfId="1" applyFont="1" applyBorder="1" applyAlignment="1" applyProtection="1">
      <alignment horizontal="center" vertical="top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25" fillId="2" borderId="29" xfId="0" applyFont="1" applyFill="1" applyBorder="1"/>
    <xf numFmtId="0" fontId="26" fillId="0" borderId="30" xfId="0" applyFont="1" applyBorder="1"/>
    <xf numFmtId="0" fontId="26" fillId="0" borderId="1" xfId="0" applyFont="1" applyBorder="1"/>
    <xf numFmtId="0" fontId="26" fillId="0" borderId="4" xfId="0" applyFont="1" applyBorder="1"/>
    <xf numFmtId="0" fontId="8" fillId="0" borderId="1" xfId="1" applyFont="1" applyBorder="1" applyAlignment="1" applyProtection="1">
      <alignment vertical="top"/>
      <protection locked="0"/>
    </xf>
    <xf numFmtId="168" fontId="6" fillId="0" borderId="1" xfId="1" applyNumberFormat="1" applyFont="1" applyBorder="1" applyAlignment="1" applyProtection="1">
      <alignment horizontal="center" vertical="center" wrapText="1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1" fontId="7" fillId="0" borderId="1" xfId="1" applyNumberFormat="1" applyFont="1" applyBorder="1" applyAlignment="1" applyProtection="1">
      <alignment horizontal="center" vertical="top" wrapText="1"/>
      <protection locked="0"/>
    </xf>
    <xf numFmtId="9" fontId="12" fillId="0" borderId="1" xfId="8" applyFont="1" applyFill="1" applyBorder="1" applyAlignment="1" applyProtection="1">
      <alignment horizontal="center" vertical="top" wrapText="1"/>
      <protection locked="0"/>
    </xf>
    <xf numFmtId="0" fontId="12" fillId="0" borderId="6" xfId="1" applyFont="1" applyBorder="1" applyAlignment="1" applyProtection="1">
      <alignment horizontal="center" vertical="top" wrapText="1"/>
      <protection locked="0"/>
    </xf>
    <xf numFmtId="9" fontId="12" fillId="0" borderId="6" xfId="8" applyFont="1" applyFill="1" applyBorder="1" applyAlignment="1" applyProtection="1">
      <alignment horizontal="center" vertical="top" wrapText="1"/>
      <protection locked="0"/>
    </xf>
    <xf numFmtId="1" fontId="12" fillId="0" borderId="1" xfId="0" applyNumberFormat="1" applyFont="1" applyBorder="1" applyAlignment="1" applyProtection="1">
      <alignment horizontal="center" vertical="center" wrapText="1"/>
      <protection locked="0"/>
    </xf>
    <xf numFmtId="0" fontId="12" fillId="0" borderId="0" xfId="0" applyFont="1" applyAlignment="1">
      <alignment horizontal="center" vertical="center"/>
    </xf>
    <xf numFmtId="0" fontId="16" fillId="0" borderId="0" xfId="1" applyFont="1" applyAlignment="1">
      <alignment horizontal="center" vertical="center"/>
    </xf>
    <xf numFmtId="0" fontId="16" fillId="0" borderId="1" xfId="1" applyFont="1" applyBorder="1" applyAlignment="1">
      <alignment horizontal="center" vertical="center"/>
    </xf>
    <xf numFmtId="1" fontId="16" fillId="0" borderId="1" xfId="1" applyNumberFormat="1" applyFont="1" applyBorder="1" applyAlignment="1">
      <alignment horizontal="center" vertical="center"/>
    </xf>
    <xf numFmtId="0" fontId="7" fillId="0" borderId="1" xfId="1" applyFont="1" applyBorder="1" applyAlignment="1">
      <alignment horizontal="center"/>
    </xf>
    <xf numFmtId="0" fontId="6" fillId="0" borderId="1" xfId="2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0" borderId="1" xfId="2" applyFont="1" applyBorder="1"/>
    <xf numFmtId="0" fontId="7" fillId="0" borderId="1" xfId="1" applyFont="1" applyBorder="1"/>
    <xf numFmtId="0" fontId="7" fillId="0" borderId="1" xfId="1" applyFont="1" applyBorder="1" applyAlignment="1">
      <alignment horizontal="center" vertical="center"/>
    </xf>
    <xf numFmtId="0" fontId="7" fillId="0" borderId="1" xfId="1" applyFont="1" applyBorder="1" applyAlignment="1">
      <alignment horizontal="left" vertical="center"/>
    </xf>
    <xf numFmtId="0" fontId="12" fillId="0" borderId="1" xfId="0" applyFont="1" applyBorder="1" applyAlignment="1">
      <alignment horizontal="center" vertical="center"/>
    </xf>
    <xf numFmtId="1" fontId="7" fillId="0" borderId="1" xfId="0" applyNumberFormat="1" applyFont="1" applyBorder="1" applyAlignment="1">
      <alignment horizontal="center" vertical="center"/>
    </xf>
    <xf numFmtId="1" fontId="12" fillId="0" borderId="1" xfId="0" applyNumberFormat="1" applyFont="1" applyBorder="1" applyAlignment="1">
      <alignment horizontal="center" vertical="center"/>
    </xf>
    <xf numFmtId="1" fontId="6" fillId="0" borderId="1" xfId="2" applyNumberFormat="1" applyFont="1" applyBorder="1" applyAlignment="1">
      <alignment horizontal="center" vertical="center"/>
    </xf>
    <xf numFmtId="0" fontId="15" fillId="0" borderId="0" xfId="1" applyFont="1" applyAlignment="1">
      <alignment horizontal="center" vertical="center"/>
    </xf>
    <xf numFmtId="0" fontId="15" fillId="0" borderId="0" xfId="1" applyFont="1" applyAlignment="1">
      <alignment horizontal="center" vertical="center" wrapText="1"/>
    </xf>
    <xf numFmtId="0" fontId="16" fillId="0" borderId="1" xfId="1" applyFont="1" applyBorder="1"/>
    <xf numFmtId="0" fontId="28" fillId="0" borderId="0" xfId="1" applyFont="1"/>
    <xf numFmtId="1" fontId="8" fillId="0" borderId="16" xfId="1" applyNumberFormat="1" applyFont="1" applyBorder="1" applyAlignment="1" applyProtection="1">
      <alignment horizontal="center" vertical="top" wrapText="1"/>
      <protection locked="0"/>
    </xf>
    <xf numFmtId="1" fontId="4" fillId="0" borderId="2" xfId="1" applyNumberFormat="1" applyFont="1" applyBorder="1" applyAlignment="1" applyProtection="1">
      <alignment horizontal="center" vertical="top" wrapText="1"/>
      <protection locked="0"/>
    </xf>
    <xf numFmtId="1" fontId="7" fillId="0" borderId="1" xfId="1" applyNumberFormat="1" applyFont="1" applyBorder="1" applyAlignment="1">
      <alignment horizontal="center" vertical="center"/>
    </xf>
    <xf numFmtId="0" fontId="7" fillId="0" borderId="0" xfId="1" applyFont="1" applyAlignment="1">
      <alignment horizontal="left"/>
    </xf>
    <xf numFmtId="167" fontId="12" fillId="0" borderId="0" xfId="9" applyNumberFormat="1" applyFont="1" applyFill="1" applyBorder="1" applyAlignment="1" applyProtection="1">
      <alignment horizontal="left" vertical="top"/>
      <protection locked="0"/>
    </xf>
    <xf numFmtId="1" fontId="8" fillId="0" borderId="0" xfId="0" applyNumberFormat="1" applyFont="1" applyBorder="1" applyAlignment="1" applyProtection="1">
      <alignment horizontal="center" vertical="center" wrapText="1"/>
      <protection locked="0"/>
    </xf>
    <xf numFmtId="0" fontId="8" fillId="0" borderId="0" xfId="1" applyFont="1" applyBorder="1" applyAlignment="1" applyProtection="1">
      <alignment horizontal="center" vertical="top"/>
      <protection locked="0"/>
    </xf>
    <xf numFmtId="0" fontId="18" fillId="0" borderId="0" xfId="0" applyFont="1" applyBorder="1" applyProtection="1">
      <protection hidden="1"/>
    </xf>
    <xf numFmtId="167" fontId="12" fillId="2" borderId="0" xfId="9" applyNumberFormat="1" applyFont="1" applyFill="1" applyBorder="1" applyAlignment="1" applyProtection="1">
      <alignment horizontal="left" vertical="top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7" fillId="0" borderId="6" xfId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7" fillId="0" borderId="6" xfId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/>
      <protection locked="0"/>
    </xf>
    <xf numFmtId="0" fontId="6" fillId="0" borderId="1" xfId="1" applyFont="1" applyBorder="1" applyAlignment="1" applyProtection="1">
      <alignment horizontal="center" vertical="top"/>
      <protection locked="0"/>
    </xf>
    <xf numFmtId="0" fontId="7" fillId="0" borderId="7" xfId="1" applyFont="1" applyBorder="1" applyAlignment="1" applyProtection="1">
      <alignment horizontal="left"/>
      <protection locked="0"/>
    </xf>
    <xf numFmtId="0" fontId="7" fillId="0" borderId="20" xfId="1" applyFont="1" applyBorder="1" applyAlignment="1" applyProtection="1">
      <alignment horizontal="left"/>
      <protection locked="0"/>
    </xf>
    <xf numFmtId="0" fontId="7" fillId="0" borderId="8" xfId="1" applyFont="1" applyBorder="1" applyAlignment="1" applyProtection="1">
      <alignment horizontal="left"/>
      <protection locked="0"/>
    </xf>
    <xf numFmtId="1" fontId="13" fillId="0" borderId="7" xfId="0" applyNumberFormat="1" applyFont="1" applyBorder="1" applyAlignment="1" applyProtection="1">
      <alignment vertical="top" wrapText="1"/>
      <protection locked="0"/>
    </xf>
    <xf numFmtId="1" fontId="13" fillId="0" borderId="20" xfId="0" applyNumberFormat="1" applyFont="1" applyBorder="1" applyAlignment="1" applyProtection="1">
      <alignment vertical="top" wrapText="1"/>
      <protection locked="0"/>
    </xf>
    <xf numFmtId="1" fontId="13" fillId="0" borderId="8" xfId="0" applyNumberFormat="1" applyFont="1" applyBorder="1" applyAlignment="1" applyProtection="1">
      <alignment vertical="top" wrapText="1"/>
      <protection locked="0"/>
    </xf>
    <xf numFmtId="0" fontId="7" fillId="0" borderId="3" xfId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7" fillId="0" borderId="5" xfId="1" applyFont="1" applyBorder="1" applyAlignment="1" applyProtection="1">
      <alignment horizontal="center" vertical="top" wrapText="1"/>
      <protection locked="0"/>
    </xf>
    <xf numFmtId="0" fontId="7" fillId="0" borderId="6" xfId="1" applyFont="1" applyBorder="1" applyAlignment="1" applyProtection="1">
      <alignment horizontal="center" vertical="top" wrapText="1"/>
      <protection locked="0"/>
    </xf>
    <xf numFmtId="0" fontId="10" fillId="3" borderId="33" xfId="1" applyFont="1" applyFill="1" applyBorder="1" applyAlignment="1" applyProtection="1">
      <alignment horizontal="center" vertical="center" wrapText="1"/>
      <protection locked="0"/>
    </xf>
    <xf numFmtId="0" fontId="10" fillId="3" borderId="34" xfId="1" applyFont="1" applyFill="1" applyBorder="1" applyAlignment="1" applyProtection="1">
      <alignment horizontal="center" vertical="center" wrapText="1"/>
      <protection locked="0"/>
    </xf>
    <xf numFmtId="9" fontId="10" fillId="3" borderId="33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7" xfId="1" applyNumberFormat="1" applyFont="1" applyBorder="1" applyAlignment="1" applyProtection="1">
      <alignment horizontal="center" vertical="center" wrapText="1"/>
      <protection locked="0"/>
    </xf>
    <xf numFmtId="1" fontId="6" fillId="0" borderId="8" xfId="1" applyNumberFormat="1" applyFont="1" applyBorder="1" applyAlignment="1" applyProtection="1">
      <alignment horizontal="center" vertical="center" wrapText="1"/>
      <protection locked="0"/>
    </xf>
    <xf numFmtId="1" fontId="8" fillId="0" borderId="1" xfId="0" applyNumberFormat="1" applyFont="1" applyBorder="1" applyAlignment="1" applyProtection="1">
      <alignment horizontal="left" vertical="top" wrapText="1"/>
      <protection locked="0"/>
    </xf>
    <xf numFmtId="1" fontId="16" fillId="0" borderId="2" xfId="1" applyNumberFormat="1" applyFont="1" applyBorder="1" applyAlignment="1">
      <alignment horizontal="center" vertical="center"/>
    </xf>
    <xf numFmtId="0" fontId="16" fillId="0" borderId="31" xfId="1" applyFont="1" applyBorder="1" applyAlignment="1">
      <alignment horizontal="center" vertical="center"/>
    </xf>
    <xf numFmtId="0" fontId="16" fillId="0" borderId="15" xfId="1" applyFont="1" applyBorder="1" applyAlignment="1">
      <alignment horizontal="center" vertical="center"/>
    </xf>
    <xf numFmtId="0" fontId="16" fillId="0" borderId="1" xfId="1" applyFont="1" applyBorder="1" applyAlignment="1">
      <alignment horizontal="center"/>
    </xf>
    <xf numFmtId="1" fontId="16" fillId="0" borderId="1" xfId="1" applyNumberFormat="1" applyFont="1" applyBorder="1" applyAlignment="1">
      <alignment horizontal="center" vertical="center"/>
    </xf>
    <xf numFmtId="0" fontId="16" fillId="0" borderId="1" xfId="1" applyFont="1" applyBorder="1" applyAlignment="1">
      <alignment horizontal="center" vertical="center"/>
    </xf>
    <xf numFmtId="0" fontId="7" fillId="0" borderId="32" xfId="1" applyFont="1" applyBorder="1" applyAlignment="1">
      <alignment horizontal="center" vertical="center"/>
    </xf>
    <xf numFmtId="0" fontId="7" fillId="0" borderId="24" xfId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16" fillId="0" borderId="16" xfId="1" applyFont="1" applyBorder="1" applyAlignment="1">
      <alignment horizontal="center"/>
    </xf>
    <xf numFmtId="0" fontId="16" fillId="0" borderId="17" xfId="1" applyFont="1" applyBorder="1" applyAlignment="1">
      <alignment horizontal="center"/>
    </xf>
    <xf numFmtId="0" fontId="7" fillId="0" borderId="1" xfId="1" applyFont="1" applyBorder="1" applyAlignment="1">
      <alignment horizontal="center"/>
    </xf>
    <xf numFmtId="0" fontId="6" fillId="0" borderId="1" xfId="2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" fontId="12" fillId="0" borderId="7" xfId="1" applyNumberFormat="1" applyFont="1" applyBorder="1" applyAlignment="1" applyProtection="1">
      <alignment horizontal="center" vertical="center" wrapText="1"/>
      <protection locked="0"/>
    </xf>
    <xf numFmtId="1" fontId="12" fillId="0" borderId="8" xfId="1" applyNumberFormat="1" applyFont="1" applyBorder="1" applyAlignment="1" applyProtection="1">
      <alignment horizontal="center" vertical="center" wrapText="1"/>
      <protection locked="0"/>
    </xf>
    <xf numFmtId="1" fontId="8" fillId="0" borderId="7" xfId="1" applyNumberFormat="1" applyFont="1" applyBorder="1" applyAlignment="1" applyProtection="1">
      <alignment horizontal="center" vertical="center" wrapText="1"/>
      <protection locked="0"/>
    </xf>
    <xf numFmtId="1" fontId="8" fillId="0" borderId="20" xfId="1" applyNumberFormat="1" applyFont="1" applyBorder="1" applyAlignment="1" applyProtection="1">
      <alignment horizontal="center" vertical="center" wrapText="1"/>
      <protection locked="0"/>
    </xf>
    <xf numFmtId="1" fontId="8" fillId="0" borderId="8" xfId="1" applyNumberFormat="1" applyFont="1" applyBorder="1" applyAlignment="1" applyProtection="1">
      <alignment horizontal="center" vertical="center" wrapText="1"/>
      <protection locked="0"/>
    </xf>
    <xf numFmtId="167" fontId="12" fillId="0" borderId="1" xfId="9" applyNumberFormat="1" applyFont="1" applyFill="1" applyBorder="1" applyAlignment="1" applyProtection="1">
      <alignment horizontal="left" vertical="top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0" fontId="13" fillId="0" borderId="3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0" fontId="10" fillId="3" borderId="35" xfId="1" applyFont="1" applyFill="1" applyBorder="1" applyAlignment="1" applyProtection="1">
      <alignment horizontal="center" vertical="center" wrapText="1"/>
      <protection locked="0"/>
    </xf>
    <xf numFmtId="0" fontId="7" fillId="0" borderId="4" xfId="1" applyFont="1" applyBorder="1" applyAlignment="1" applyProtection="1">
      <alignment horizontal="center" vertical="top" wrapText="1"/>
      <protection locked="0"/>
    </xf>
    <xf numFmtId="1" fontId="6" fillId="0" borderId="20" xfId="1" applyNumberFormat="1" applyFont="1" applyBorder="1" applyAlignment="1" applyProtection="1">
      <alignment horizontal="center" vertical="center" wrapText="1"/>
      <protection locked="0"/>
    </xf>
    <xf numFmtId="9" fontId="7" fillId="0" borderId="16" xfId="8" applyFont="1" applyFill="1" applyBorder="1" applyAlignment="1" applyProtection="1">
      <alignment horizontal="center" vertical="center" wrapText="1"/>
      <protection locked="0"/>
    </xf>
    <xf numFmtId="9" fontId="7" fillId="0" borderId="26" xfId="8" applyFont="1" applyFill="1" applyBorder="1" applyAlignment="1" applyProtection="1">
      <alignment horizontal="center" vertical="center" wrapText="1"/>
      <protection locked="0"/>
    </xf>
    <xf numFmtId="9" fontId="7" fillId="0" borderId="24" xfId="8" applyFont="1" applyFill="1" applyBorder="1" applyAlignment="1" applyProtection="1">
      <alignment horizontal="center" vertical="center" wrapText="1"/>
      <protection locked="0"/>
    </xf>
    <xf numFmtId="9" fontId="7" fillId="0" borderId="9" xfId="8" applyFont="1" applyFill="1" applyBorder="1" applyAlignment="1" applyProtection="1">
      <alignment horizontal="center" vertical="center" wrapText="1"/>
      <protection locked="0"/>
    </xf>
    <xf numFmtId="9" fontId="7" fillId="0" borderId="27" xfId="8" applyFont="1" applyFill="1" applyBorder="1" applyAlignment="1" applyProtection="1">
      <alignment horizontal="center" vertical="center" wrapText="1"/>
      <protection locked="0"/>
    </xf>
    <xf numFmtId="9" fontId="7" fillId="0" borderId="11" xfId="8" applyFont="1" applyFill="1" applyBorder="1" applyAlignment="1" applyProtection="1">
      <alignment horizontal="center" vertical="center" wrapText="1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0" fontId="12" fillId="0" borderId="7" xfId="1" applyFont="1" applyBorder="1" applyAlignment="1" applyProtection="1">
      <alignment horizontal="left" vertical="top" wrapText="1"/>
      <protection locked="0"/>
    </xf>
    <xf numFmtId="0" fontId="12" fillId="0" borderId="8" xfId="1" applyFont="1" applyBorder="1" applyAlignment="1" applyProtection="1">
      <alignment horizontal="left" vertical="top" wrapText="1"/>
      <protection locked="0"/>
    </xf>
    <xf numFmtId="0" fontId="12" fillId="0" borderId="20" xfId="1" applyFont="1" applyBorder="1" applyAlignment="1" applyProtection="1">
      <alignment horizontal="left" vertical="top" wrapText="1"/>
      <protection locked="0"/>
    </xf>
    <xf numFmtId="0" fontId="27" fillId="0" borderId="1" xfId="10" applyFill="1" applyBorder="1" applyAlignment="1" applyProtection="1">
      <alignment horizontal="left" vertical="center" wrapText="1"/>
      <protection locked="0"/>
    </xf>
    <xf numFmtId="0" fontId="12" fillId="0" borderId="1" xfId="1" applyFont="1" applyBorder="1" applyAlignment="1" applyProtection="1">
      <alignment horizontal="left" vertical="center" wrapText="1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1" fontId="7" fillId="0" borderId="1" xfId="0" applyNumberFormat="1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0" fontId="7" fillId="0" borderId="1" xfId="0" applyFont="1" applyBorder="1" applyAlignment="1" applyProtection="1">
      <alignment horizontal="center" vertical="top" wrapText="1"/>
      <protection locked="0"/>
    </xf>
    <xf numFmtId="1" fontId="10" fillId="0" borderId="1" xfId="0" applyNumberFormat="1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1" fontId="10" fillId="0" borderId="1" xfId="0" applyNumberFormat="1" applyFont="1" applyBorder="1" applyAlignment="1" applyProtection="1">
      <alignment horizontal="center" vertical="top" wrapText="1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12" fillId="0" borderId="3" xfId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0" fontId="6" fillId="0" borderId="7" xfId="1" applyFont="1" applyBorder="1" applyAlignment="1" applyProtection="1">
      <alignment horizontal="left" vertical="top" wrapText="1"/>
      <protection locked="0"/>
    </xf>
    <xf numFmtId="0" fontId="6" fillId="0" borderId="8" xfId="1" applyFont="1" applyBorder="1" applyAlignment="1" applyProtection="1">
      <alignment horizontal="left" vertical="top" wrapText="1"/>
      <protection locked="0"/>
    </xf>
    <xf numFmtId="0" fontId="13" fillId="0" borderId="7" xfId="1" applyFont="1" applyBorder="1" applyAlignment="1" applyProtection="1">
      <alignment horizontal="left" vertical="top"/>
      <protection locked="0"/>
    </xf>
    <xf numFmtId="0" fontId="13" fillId="0" borderId="20" xfId="1" applyFont="1" applyBorder="1" applyAlignment="1" applyProtection="1">
      <alignment horizontal="left" vertical="top"/>
      <protection locked="0"/>
    </xf>
    <xf numFmtId="0" fontId="13" fillId="0" borderId="8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0" fontId="13" fillId="0" borderId="4" xfId="1" applyFont="1" applyBorder="1" applyAlignment="1" applyProtection="1">
      <alignment horizontal="left" vertical="top" wrapText="1"/>
      <protection locked="0"/>
    </xf>
    <xf numFmtId="0" fontId="13" fillId="0" borderId="21" xfId="1" applyFont="1" applyBorder="1" applyAlignment="1" applyProtection="1">
      <alignment horizontal="left" vertical="top" wrapText="1"/>
      <protection locked="0"/>
    </xf>
    <xf numFmtId="0" fontId="13" fillId="0" borderId="14" xfId="1" applyFont="1" applyBorder="1" applyAlignment="1" applyProtection="1">
      <alignment horizontal="left" vertical="top" wrapText="1"/>
      <protection locked="0"/>
    </xf>
    <xf numFmtId="0" fontId="13" fillId="0" borderId="12" xfId="1" applyFont="1" applyBorder="1" applyAlignment="1" applyProtection="1">
      <alignment horizontal="left" vertical="top" wrapText="1"/>
      <protection locked="0"/>
    </xf>
    <xf numFmtId="0" fontId="13" fillId="0" borderId="13" xfId="1" applyFont="1" applyBorder="1" applyAlignment="1" applyProtection="1">
      <alignment horizontal="left" vertical="top" wrapText="1"/>
      <protection locked="0"/>
    </xf>
    <xf numFmtId="0" fontId="13" fillId="0" borderId="22" xfId="1" applyFont="1" applyBorder="1" applyAlignment="1" applyProtection="1">
      <alignment horizontal="left" vertical="top" wrapText="1"/>
      <protection locked="0"/>
    </xf>
    <xf numFmtId="1" fontId="8" fillId="0" borderId="16" xfId="1" applyNumberFormat="1" applyFont="1" applyBorder="1" applyAlignment="1" applyProtection="1">
      <alignment horizontal="center" vertical="top" wrapText="1"/>
      <protection locked="0"/>
    </xf>
    <xf numFmtId="1" fontId="8" fillId="0" borderId="17" xfId="1" applyNumberFormat="1" applyFont="1" applyBorder="1" applyAlignment="1" applyProtection="1">
      <alignment horizontal="center" vertical="top" wrapText="1"/>
      <protection locked="0"/>
    </xf>
    <xf numFmtId="9" fontId="7" fillId="0" borderId="17" xfId="8" applyFont="1" applyFill="1" applyBorder="1" applyAlignment="1" applyProtection="1">
      <alignment horizontal="center" vertical="center" wrapText="1"/>
      <protection locked="0"/>
    </xf>
    <xf numFmtId="9" fontId="7" fillId="0" borderId="25" xfId="8" applyFont="1" applyFill="1" applyBorder="1" applyAlignment="1" applyProtection="1">
      <alignment horizontal="center" vertical="center" wrapText="1"/>
      <protection locked="0"/>
    </xf>
    <xf numFmtId="9" fontId="7" fillId="0" borderId="28" xfId="8" applyFont="1" applyFill="1" applyBorder="1" applyAlignment="1" applyProtection="1">
      <alignment horizontal="center" vertical="center" wrapText="1"/>
      <protection locked="0"/>
    </xf>
    <xf numFmtId="0" fontId="8" fillId="0" borderId="15" xfId="1" applyFont="1" applyBorder="1" applyAlignment="1" applyProtection="1">
      <alignment horizontal="center" vertical="top"/>
      <protection locked="0"/>
    </xf>
    <xf numFmtId="0" fontId="8" fillId="0" borderId="15" xfId="1" applyFont="1" applyBorder="1" applyAlignment="1" applyProtection="1">
      <alignment horizontal="left" vertical="top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0" fontId="6" fillId="0" borderId="15" xfId="1" applyFont="1" applyBorder="1" applyAlignment="1" applyProtection="1">
      <alignment horizontal="left" vertical="top" wrapText="1"/>
      <protection locked="0"/>
    </xf>
    <xf numFmtId="9" fontId="12" fillId="0" borderId="16" xfId="8" applyFont="1" applyFill="1" applyBorder="1" applyAlignment="1" applyProtection="1">
      <alignment horizontal="center" vertical="center" wrapText="1"/>
      <protection locked="0"/>
    </xf>
    <xf numFmtId="9" fontId="12" fillId="0" borderId="17" xfId="8" applyFont="1" applyFill="1" applyBorder="1" applyAlignment="1" applyProtection="1">
      <alignment horizontal="center" vertical="center" wrapText="1"/>
      <protection locked="0"/>
    </xf>
    <xf numFmtId="9" fontId="12" fillId="0" borderId="24" xfId="8" applyFont="1" applyFill="1" applyBorder="1" applyAlignment="1" applyProtection="1">
      <alignment horizontal="center" vertical="center" wrapText="1"/>
      <protection locked="0"/>
    </xf>
    <xf numFmtId="9" fontId="12" fillId="0" borderId="25" xfId="8" applyFont="1" applyFill="1" applyBorder="1" applyAlignment="1" applyProtection="1">
      <alignment horizontal="center" vertical="center" wrapText="1"/>
      <protection locked="0"/>
    </xf>
    <xf numFmtId="9" fontId="12" fillId="0" borderId="27" xfId="8" applyFont="1" applyFill="1" applyBorder="1" applyAlignment="1" applyProtection="1">
      <alignment horizontal="center" vertical="center" wrapText="1"/>
      <protection locked="0"/>
    </xf>
    <xf numFmtId="9" fontId="12" fillId="0" borderId="28" xfId="8" applyFont="1" applyFill="1" applyBorder="1" applyAlignment="1" applyProtection="1">
      <alignment horizontal="center" vertical="center" wrapText="1"/>
      <protection locked="0"/>
    </xf>
    <xf numFmtId="9" fontId="12" fillId="0" borderId="26" xfId="8" applyFont="1" applyFill="1" applyBorder="1" applyAlignment="1" applyProtection="1">
      <alignment horizontal="center" vertical="center" wrapText="1"/>
      <protection locked="0"/>
    </xf>
    <xf numFmtId="9" fontId="12" fillId="0" borderId="9" xfId="8" applyFont="1" applyFill="1" applyBorder="1" applyAlignment="1" applyProtection="1">
      <alignment horizontal="center" vertical="center" wrapText="1"/>
      <protection locked="0"/>
    </xf>
    <xf numFmtId="9" fontId="12" fillId="0" borderId="11" xfId="8" applyFont="1" applyFill="1" applyBorder="1" applyAlignment="1" applyProtection="1">
      <alignment horizontal="center" vertical="center" wrapText="1"/>
      <protection locked="0"/>
    </xf>
    <xf numFmtId="0" fontId="12" fillId="0" borderId="5" xfId="1" applyFont="1" applyBorder="1" applyAlignment="1" applyProtection="1">
      <alignment horizontal="center" vertical="top" wrapText="1"/>
      <protection locked="0"/>
    </xf>
    <xf numFmtId="0" fontId="12" fillId="0" borderId="6" xfId="1" applyFont="1" applyBorder="1" applyAlignment="1" applyProtection="1">
      <alignment horizontal="center" vertical="top" wrapText="1"/>
      <protection locked="0"/>
    </xf>
    <xf numFmtId="1" fontId="6" fillId="0" borderId="1" xfId="1" applyNumberFormat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0" fontId="6" fillId="0" borderId="2" xfId="1" applyFont="1" applyBorder="1" applyAlignment="1" applyProtection="1">
      <alignment horizontal="left" vertical="top" wrapText="1"/>
      <protection locked="0"/>
    </xf>
    <xf numFmtId="0" fontId="12" fillId="0" borderId="2" xfId="1" applyFont="1" applyBorder="1" applyAlignment="1" applyProtection="1">
      <alignment horizontal="left" vertical="top" wrapText="1"/>
      <protection locked="0"/>
    </xf>
    <xf numFmtId="0" fontId="6" fillId="0" borderId="2" xfId="1" applyFont="1" applyBorder="1" applyAlignment="1" applyProtection="1">
      <alignment horizontal="left" vertical="top"/>
      <protection locked="0"/>
    </xf>
    <xf numFmtId="164" fontId="6" fillId="0" borderId="1" xfId="1" applyNumberFormat="1" applyFont="1" applyBorder="1" applyAlignment="1" applyProtection="1">
      <alignment horizontal="left" vertical="top"/>
      <protection locked="0"/>
    </xf>
    <xf numFmtId="2" fontId="6" fillId="0" borderId="1" xfId="1" applyNumberFormat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0" fontId="8" fillId="0" borderId="21" xfId="1" applyFont="1" applyBorder="1" applyAlignment="1" applyProtection="1">
      <alignment horizontal="left" vertical="top" wrapText="1"/>
      <protection locked="0"/>
    </xf>
    <xf numFmtId="0" fontId="8" fillId="0" borderId="14" xfId="1" applyFont="1" applyBorder="1" applyAlignment="1" applyProtection="1">
      <alignment horizontal="left" vertical="top" wrapText="1"/>
      <protection locked="0"/>
    </xf>
    <xf numFmtId="0" fontId="8" fillId="0" borderId="12" xfId="1" applyFont="1" applyBorder="1" applyAlignment="1" applyProtection="1">
      <alignment horizontal="left" vertical="top" wrapText="1"/>
      <protection locked="0"/>
    </xf>
    <xf numFmtId="0" fontId="8" fillId="0" borderId="13" xfId="1" applyFont="1" applyBorder="1" applyAlignment="1" applyProtection="1">
      <alignment horizontal="left" vertical="top" wrapText="1"/>
      <protection locked="0"/>
    </xf>
    <xf numFmtId="0" fontId="8" fillId="0" borderId="22" xfId="1" applyFont="1" applyBorder="1" applyAlignment="1" applyProtection="1">
      <alignment horizontal="left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14" fontId="8" fillId="0" borderId="7" xfId="1" applyNumberFormat="1" applyFont="1" applyBorder="1" applyAlignment="1" applyProtection="1">
      <alignment horizontal="left" vertical="top"/>
      <protection locked="0"/>
    </xf>
    <xf numFmtId="0" fontId="8" fillId="0" borderId="8" xfId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2" fontId="6" fillId="0" borderId="1" xfId="1" applyNumberFormat="1" applyFont="1" applyBorder="1" applyAlignment="1" applyProtection="1">
      <alignment horizontal="left" vertical="top" wrapText="1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0" fontId="12" fillId="0" borderId="2" xfId="1" applyFont="1" applyBorder="1" applyAlignment="1" applyProtection="1">
      <alignment horizontal="left" vertical="top"/>
      <protection locked="0"/>
    </xf>
    <xf numFmtId="0" fontId="12" fillId="0" borderId="16" xfId="1" applyFont="1" applyBorder="1" applyAlignment="1" applyProtection="1">
      <alignment horizontal="left" vertical="top" wrapText="1"/>
      <protection locked="0"/>
    </xf>
    <xf numFmtId="0" fontId="12" fillId="0" borderId="23" xfId="1" applyFont="1" applyBorder="1" applyAlignment="1" applyProtection="1">
      <alignment horizontal="left" vertical="top" wrapText="1"/>
      <protection locked="0"/>
    </xf>
    <xf numFmtId="0" fontId="12" fillId="0" borderId="17" xfId="1" applyFont="1" applyBorder="1" applyAlignment="1" applyProtection="1">
      <alignment horizontal="left" vertical="top" wrapText="1"/>
      <protection locked="0"/>
    </xf>
    <xf numFmtId="14" fontId="6" fillId="0" borderId="7" xfId="1" applyNumberFormat="1" applyFont="1" applyBorder="1" applyAlignment="1" applyProtection="1">
      <alignment horizontal="left" vertical="top" wrapText="1"/>
      <protection locked="0"/>
    </xf>
    <xf numFmtId="14" fontId="6" fillId="0" borderId="8" xfId="1" applyNumberFormat="1" applyFont="1" applyBorder="1" applyAlignment="1" applyProtection="1">
      <alignment horizontal="left" vertical="top" wrapText="1"/>
      <protection locked="0"/>
    </xf>
    <xf numFmtId="0" fontId="6" fillId="0" borderId="16" xfId="1" applyFont="1" applyBorder="1" applyAlignment="1" applyProtection="1">
      <alignment horizontal="left" vertical="top" wrapText="1"/>
      <protection locked="0"/>
    </xf>
    <xf numFmtId="0" fontId="6" fillId="0" borderId="17" xfId="1" applyFont="1" applyBorder="1" applyAlignment="1" applyProtection="1">
      <alignment horizontal="left" vertical="top" wrapText="1"/>
      <protection locked="0"/>
    </xf>
    <xf numFmtId="0" fontId="6" fillId="0" borderId="18" xfId="1" applyFont="1" applyBorder="1" applyAlignment="1" applyProtection="1">
      <alignment horizontal="left" vertical="top" wrapText="1"/>
      <protection locked="0"/>
    </xf>
    <xf numFmtId="0" fontId="6" fillId="0" borderId="19" xfId="1" applyFont="1" applyBorder="1" applyAlignment="1" applyProtection="1">
      <alignment horizontal="left" vertical="top" wrapText="1"/>
      <protection locked="0"/>
    </xf>
    <xf numFmtId="0" fontId="12" fillId="0" borderId="24" xfId="1" applyFont="1" applyBorder="1" applyAlignment="1" applyProtection="1">
      <alignment horizontal="left" vertical="top" wrapText="1"/>
      <protection locked="0"/>
    </xf>
    <xf numFmtId="0" fontId="12" fillId="0" borderId="0" xfId="1" applyFont="1" applyAlignment="1" applyProtection="1">
      <alignment horizontal="left" vertical="top" wrapText="1"/>
      <protection locked="0"/>
    </xf>
    <xf numFmtId="0" fontId="12" fillId="0" borderId="23" xfId="1" applyFont="1" applyBorder="1" applyAlignment="1" applyProtection="1">
      <alignment horizontal="left" vertical="top"/>
      <protection locked="0"/>
    </xf>
    <xf numFmtId="0" fontId="12" fillId="0" borderId="17" xfId="1" applyFont="1" applyBorder="1" applyAlignment="1" applyProtection="1">
      <alignment horizontal="left" vertical="top"/>
      <protection locked="0"/>
    </xf>
    <xf numFmtId="0" fontId="12" fillId="0" borderId="20" xfId="1" applyFont="1" applyBorder="1" applyAlignment="1" applyProtection="1">
      <alignment horizontal="left" vertical="top"/>
      <protection locked="0"/>
    </xf>
    <xf numFmtId="0" fontId="12" fillId="0" borderId="8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/>
      <protection locked="0"/>
    </xf>
    <xf numFmtId="0" fontId="12" fillId="0" borderId="1" xfId="1" applyFont="1" applyBorder="1" applyAlignment="1" applyProtection="1">
      <alignment horizontal="left"/>
      <protection locked="0"/>
    </xf>
    <xf numFmtId="14" fontId="12" fillId="0" borderId="1" xfId="1" applyNumberFormat="1" applyFont="1" applyBorder="1" applyAlignment="1" applyProtection="1">
      <alignment horizontal="left" vertical="top"/>
      <protection locked="0"/>
    </xf>
    <xf numFmtId="0" fontId="15" fillId="0" borderId="1" xfId="1" applyFont="1" applyBorder="1" applyAlignment="1" applyProtection="1">
      <alignment horizontal="left" vertical="top" wrapText="1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1" fontId="8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7" xfId="0" applyNumberFormat="1" applyFont="1" applyBorder="1" applyAlignment="1" applyProtection="1">
      <alignment vertical="top" wrapText="1"/>
      <protection locked="0"/>
    </xf>
    <xf numFmtId="1" fontId="8" fillId="0" borderId="20" xfId="0" applyNumberFormat="1" applyFont="1" applyBorder="1" applyAlignment="1" applyProtection="1">
      <alignment vertical="top" wrapText="1"/>
      <protection locked="0"/>
    </xf>
    <xf numFmtId="1" fontId="8" fillId="0" borderId="8" xfId="0" applyNumberFormat="1" applyFont="1" applyBorder="1" applyAlignment="1" applyProtection="1">
      <alignment vertical="top" wrapText="1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1" fontId="17" fillId="0" borderId="7" xfId="0" applyNumberFormat="1" applyFont="1" applyBorder="1" applyAlignment="1" applyProtection="1">
      <alignment vertical="top" wrapText="1"/>
      <protection locked="0"/>
    </xf>
    <xf numFmtId="1" fontId="17" fillId="0" borderId="20" xfId="0" applyNumberFormat="1" applyFont="1" applyBorder="1" applyAlignment="1" applyProtection="1">
      <alignment vertical="top" wrapText="1"/>
      <protection locked="0"/>
    </xf>
    <xf numFmtId="1" fontId="17" fillId="0" borderId="8" xfId="0" applyNumberFormat="1" applyFont="1" applyBorder="1" applyAlignment="1" applyProtection="1">
      <alignment vertical="top" wrapText="1"/>
      <protection locked="0"/>
    </xf>
    <xf numFmtId="0" fontId="6" fillId="0" borderId="1" xfId="1" applyFont="1" applyBorder="1" applyAlignment="1" applyProtection="1">
      <alignment vertical="top"/>
      <protection locked="0"/>
    </xf>
    <xf numFmtId="167" fontId="13" fillId="0" borderId="1" xfId="9" applyNumberFormat="1" applyFont="1" applyFill="1" applyBorder="1" applyAlignment="1" applyProtection="1">
      <alignment horizontal="left" vertical="top"/>
      <protection locked="0"/>
    </xf>
    <xf numFmtId="0" fontId="6" fillId="0" borderId="20" xfId="1" applyFont="1" applyBorder="1" applyAlignment="1" applyProtection="1">
      <alignment horizontal="left" vertical="top" wrapText="1"/>
      <protection locked="0"/>
    </xf>
    <xf numFmtId="0" fontId="8" fillId="0" borderId="7" xfId="1" applyFont="1" applyBorder="1" applyAlignment="1" applyProtection="1">
      <alignment horizontal="left" vertical="top" wrapText="1"/>
      <protection locked="0"/>
    </xf>
    <xf numFmtId="0" fontId="8" fillId="0" borderId="20" xfId="1" applyFont="1" applyBorder="1" applyAlignment="1" applyProtection="1">
      <alignment horizontal="left" vertical="top" wrapText="1"/>
      <protection locked="0"/>
    </xf>
    <xf numFmtId="0" fontId="8" fillId="0" borderId="8" xfId="1" applyFont="1" applyBorder="1" applyAlignment="1" applyProtection="1">
      <alignment horizontal="left" vertical="top" wrapText="1"/>
      <protection locked="0"/>
    </xf>
    <xf numFmtId="0" fontId="8" fillId="0" borderId="16" xfId="1" applyFont="1" applyBorder="1" applyAlignment="1" applyProtection="1">
      <alignment horizontal="left" vertical="top" wrapText="1"/>
      <protection locked="0"/>
    </xf>
    <xf numFmtId="0" fontId="8" fillId="0" borderId="17" xfId="1" applyFont="1" applyBorder="1" applyAlignment="1" applyProtection="1">
      <alignment horizontal="left" vertical="top" wrapText="1"/>
      <protection locked="0"/>
    </xf>
    <xf numFmtId="0" fontId="8" fillId="0" borderId="18" xfId="1" applyFont="1" applyBorder="1" applyAlignment="1" applyProtection="1">
      <alignment horizontal="left" vertical="top" wrapText="1"/>
      <protection locked="0"/>
    </xf>
    <xf numFmtId="0" fontId="8" fillId="0" borderId="19" xfId="1" applyFont="1" applyBorder="1" applyAlignment="1" applyProtection="1">
      <alignment horizontal="left" vertical="top" wrapText="1"/>
      <protection locked="0"/>
    </xf>
    <xf numFmtId="0" fontId="12" fillId="0" borderId="4" xfId="1" applyFont="1" applyBorder="1" applyAlignment="1" applyProtection="1">
      <alignment horizontal="center" vertical="top" wrapText="1"/>
      <protection locked="0"/>
    </xf>
    <xf numFmtId="0" fontId="9" fillId="0" borderId="1" xfId="5" applyFont="1" applyBorder="1" applyAlignment="1">
      <alignment horizontal="left"/>
    </xf>
  </cellXfs>
  <cellStyles count="11">
    <cellStyle name="Comma" xfId="9" builtinId="3"/>
    <cellStyle name="Comma 2" xfId="6"/>
    <cellStyle name="Excel Built-in Normal" xfId="2"/>
    <cellStyle name="Excel Built-in Normal 2" xfId="4"/>
    <cellStyle name="Hyperlink" xfId="10" builtinId="8"/>
    <cellStyle name="Normal" xfId="0" builtinId="0"/>
    <cellStyle name="Normal 2" xfId="3"/>
    <cellStyle name="Normal 3" xfId="1"/>
    <cellStyle name="Normal 3 3" xfId="7"/>
    <cellStyle name="Normal 4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3.png"/><Relationship Id="rId1" Type="http://schemas.openxmlformats.org/officeDocument/2006/relationships/image" Target="../media/image12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1.png"/><Relationship Id="rId1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266700</xdr:colOff>
      <xdr:row>309</xdr:row>
      <xdr:rowOff>47625</xdr:rowOff>
    </xdr:from>
    <xdr:to>
      <xdr:col>6</xdr:col>
      <xdr:colOff>498525</xdr:colOff>
      <xdr:row>329</xdr:row>
      <xdr:rowOff>71560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85850" y="51082575"/>
          <a:ext cx="4680000" cy="4024436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258041</xdr:colOff>
      <xdr:row>329</xdr:row>
      <xdr:rowOff>171242</xdr:rowOff>
    </xdr:from>
    <xdr:to>
      <xdr:col>6</xdr:col>
      <xdr:colOff>489866</xdr:colOff>
      <xdr:row>349</xdr:row>
      <xdr:rowOff>158757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20041" y="61642128"/>
          <a:ext cx="4379530" cy="3970697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0</xdr:col>
      <xdr:colOff>361950</xdr:colOff>
      <xdr:row>266</xdr:row>
      <xdr:rowOff>46037</xdr:rowOff>
    </xdr:from>
    <xdr:to>
      <xdr:col>7</xdr:col>
      <xdr:colOff>1016877</xdr:colOff>
      <xdr:row>307</xdr:row>
      <xdr:rowOff>103734</xdr:rowOff>
    </xdr:to>
    <xdr:grpSp>
      <xdr:nvGrpSpPr>
        <xdr:cNvPr id="4" name="Group 3"/>
        <xdr:cNvGrpSpPr/>
      </xdr:nvGrpSpPr>
      <xdr:grpSpPr>
        <a:xfrm>
          <a:off x="361950" y="49776062"/>
          <a:ext cx="6350877" cy="8249197"/>
          <a:chOff x="361950" y="49776062"/>
          <a:chExt cx="6350877" cy="8249197"/>
        </a:xfrm>
      </xdr:grpSpPr>
      <xdr:pic>
        <xdr:nvPicPr>
          <xdr:cNvPr id="24" name="Picture 23" descr="https://vsjcllp.vsjadon.com/upload/insp-246678-1525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5076825" y="55902225"/>
            <a:ext cx="1622395" cy="2119179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5" name="Picture 24" descr="https://vsjcllp.vsjadon.com/upload/insp-246678-843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952500" y="49776062"/>
            <a:ext cx="5223431" cy="3821113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6" name="Picture 25" descr="https://vsjcllp.vsjadon.com/upload/insp-246678-845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371475" y="55906080"/>
            <a:ext cx="2891321" cy="2119179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1" name="Picture 30" descr="https://vsjcllp.vsjadon.com/upload/insp-246678-844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3362325" y="55902225"/>
            <a:ext cx="1622395" cy="2115097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2" name="Picture 31" descr="https://vsjcllp.vsjadon.com/upload/insp-246678-847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361950" y="53686755"/>
            <a:ext cx="2891321" cy="2115097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3" name="Picture 32" descr="https://vsjcllp.vsjadon.com/upload/insp-246678-851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3352800" y="53678818"/>
            <a:ext cx="1626477" cy="2115097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4" name="Picture 33" descr="https://vsjcllp.vsjadon.com/upload/insp-246678-862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5086350" y="53684261"/>
            <a:ext cx="1626477" cy="2119179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14</xdr:row>
      <xdr:rowOff>0</xdr:rowOff>
    </xdr:from>
    <xdr:to>
      <xdr:col>6</xdr:col>
      <xdr:colOff>801441</xdr:colOff>
      <xdr:row>35</xdr:row>
      <xdr:rowOff>47523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82706" y="2678206"/>
          <a:ext cx="7200000" cy="4048023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0</xdr:colOff>
      <xdr:row>36</xdr:row>
      <xdr:rowOff>103207</xdr:rowOff>
    </xdr:from>
    <xdr:to>
      <xdr:col>6</xdr:col>
      <xdr:colOff>801441</xdr:colOff>
      <xdr:row>57</xdr:row>
      <xdr:rowOff>150730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82706" y="6972413"/>
          <a:ext cx="7200000" cy="4048023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maps.app.goo.gl/4cAJRKoFa3urMns17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X309"/>
  <sheetViews>
    <sheetView tabSelected="1" view="pageBreakPreview" zoomScaleNormal="100" zoomScaleSheetLayoutView="100" zoomScalePageLayoutView="85" workbookViewId="0">
      <selection activeCell="I248" sqref="I248"/>
    </sheetView>
  </sheetViews>
  <sheetFormatPr defaultColWidth="9.140625" defaultRowHeight="15.75" x14ac:dyDescent="0.25"/>
  <cols>
    <col min="1" max="1" width="11.42578125" style="39" customWidth="1"/>
    <col min="2" max="2" width="12" style="39" customWidth="1"/>
    <col min="3" max="3" width="12.7109375" style="39" customWidth="1"/>
    <col min="4" max="4" width="14.140625" style="39" customWidth="1"/>
    <col min="5" max="7" width="11.7109375" style="39" customWidth="1"/>
    <col min="8" max="8" width="19.28515625" style="39" customWidth="1"/>
    <col min="9" max="9" width="17.42578125" style="20" customWidth="1"/>
    <col min="10" max="10" width="11.42578125" style="20" customWidth="1"/>
    <col min="11" max="11" width="10.5703125" style="20" bestFit="1" customWidth="1"/>
    <col min="12" max="12" width="13.140625" style="20" customWidth="1"/>
    <col min="13" max="13" width="11.85546875" style="20" customWidth="1"/>
    <col min="14" max="14" width="12.5703125" style="20" customWidth="1"/>
    <col min="15" max="15" width="9.85546875" style="20" customWidth="1"/>
    <col min="16" max="16" width="11.7109375" style="20" customWidth="1"/>
    <col min="17" max="17" width="9.140625" style="20"/>
    <col min="18" max="18" width="9.7109375" style="20" bestFit="1" customWidth="1"/>
    <col min="19" max="247" width="9.140625" style="20"/>
    <col min="248" max="248" width="8.7109375" style="20" customWidth="1"/>
    <col min="249" max="249" width="9.85546875" style="20" customWidth="1"/>
    <col min="250" max="250" width="14.42578125" style="20" customWidth="1"/>
    <col min="251" max="251" width="7.28515625" style="20" customWidth="1"/>
    <col min="252" max="252" width="5.5703125" style="20" customWidth="1"/>
    <col min="253" max="253" width="9" style="20" customWidth="1"/>
    <col min="254" max="255" width="9.85546875" style="20" customWidth="1"/>
    <col min="256" max="256" width="11.140625" style="20" customWidth="1"/>
    <col min="257" max="257" width="2.85546875" style="20" customWidth="1"/>
    <col min="258" max="258" width="3.5703125" style="20" customWidth="1"/>
    <col min="259" max="503" width="9.140625" style="20"/>
    <col min="504" max="504" width="8.7109375" style="20" customWidth="1"/>
    <col min="505" max="505" width="9.85546875" style="20" customWidth="1"/>
    <col min="506" max="506" width="14.42578125" style="20" customWidth="1"/>
    <col min="507" max="507" width="7.28515625" style="20" customWidth="1"/>
    <col min="508" max="508" width="5.5703125" style="20" customWidth="1"/>
    <col min="509" max="509" width="9" style="20" customWidth="1"/>
    <col min="510" max="511" width="9.85546875" style="20" customWidth="1"/>
    <col min="512" max="512" width="11.140625" style="20" customWidth="1"/>
    <col min="513" max="513" width="2.85546875" style="20" customWidth="1"/>
    <col min="514" max="514" width="3.5703125" style="20" customWidth="1"/>
    <col min="515" max="759" width="9.140625" style="20"/>
    <col min="760" max="760" width="8.7109375" style="20" customWidth="1"/>
    <col min="761" max="761" width="9.85546875" style="20" customWidth="1"/>
    <col min="762" max="762" width="14.42578125" style="20" customWidth="1"/>
    <col min="763" max="763" width="7.28515625" style="20" customWidth="1"/>
    <col min="764" max="764" width="5.5703125" style="20" customWidth="1"/>
    <col min="765" max="765" width="9" style="20" customWidth="1"/>
    <col min="766" max="767" width="9.85546875" style="20" customWidth="1"/>
    <col min="768" max="768" width="11.140625" style="20" customWidth="1"/>
    <col min="769" max="769" width="2.85546875" style="20" customWidth="1"/>
    <col min="770" max="770" width="3.5703125" style="20" customWidth="1"/>
    <col min="771" max="1015" width="9.140625" style="20"/>
    <col min="1016" max="1016" width="8.7109375" style="20" customWidth="1"/>
    <col min="1017" max="1017" width="9.85546875" style="20" customWidth="1"/>
    <col min="1018" max="1018" width="14.42578125" style="20" customWidth="1"/>
    <col min="1019" max="1019" width="7.28515625" style="20" customWidth="1"/>
    <col min="1020" max="1020" width="5.5703125" style="20" customWidth="1"/>
    <col min="1021" max="1021" width="9" style="20" customWidth="1"/>
    <col min="1022" max="1023" width="9.85546875" style="20" customWidth="1"/>
    <col min="1024" max="1024" width="11.140625" style="20" customWidth="1"/>
    <col min="1025" max="1025" width="2.85546875" style="20" customWidth="1"/>
    <col min="1026" max="1026" width="3.5703125" style="20" customWidth="1"/>
    <col min="1027" max="1271" width="9.140625" style="20"/>
    <col min="1272" max="1272" width="8.7109375" style="20" customWidth="1"/>
    <col min="1273" max="1273" width="9.85546875" style="20" customWidth="1"/>
    <col min="1274" max="1274" width="14.42578125" style="20" customWidth="1"/>
    <col min="1275" max="1275" width="7.28515625" style="20" customWidth="1"/>
    <col min="1276" max="1276" width="5.5703125" style="20" customWidth="1"/>
    <col min="1277" max="1277" width="9" style="20" customWidth="1"/>
    <col min="1278" max="1279" width="9.85546875" style="20" customWidth="1"/>
    <col min="1280" max="1280" width="11.140625" style="20" customWidth="1"/>
    <col min="1281" max="1281" width="2.85546875" style="20" customWidth="1"/>
    <col min="1282" max="1282" width="3.5703125" style="20" customWidth="1"/>
    <col min="1283" max="1527" width="9.140625" style="20"/>
    <col min="1528" max="1528" width="8.7109375" style="20" customWidth="1"/>
    <col min="1529" max="1529" width="9.85546875" style="20" customWidth="1"/>
    <col min="1530" max="1530" width="14.42578125" style="20" customWidth="1"/>
    <col min="1531" max="1531" width="7.28515625" style="20" customWidth="1"/>
    <col min="1532" max="1532" width="5.5703125" style="20" customWidth="1"/>
    <col min="1533" max="1533" width="9" style="20" customWidth="1"/>
    <col min="1534" max="1535" width="9.85546875" style="20" customWidth="1"/>
    <col min="1536" max="1536" width="11.140625" style="20" customWidth="1"/>
    <col min="1537" max="1537" width="2.85546875" style="20" customWidth="1"/>
    <col min="1538" max="1538" width="3.5703125" style="20" customWidth="1"/>
    <col min="1539" max="1783" width="9.140625" style="20"/>
    <col min="1784" max="1784" width="8.7109375" style="20" customWidth="1"/>
    <col min="1785" max="1785" width="9.85546875" style="20" customWidth="1"/>
    <col min="1786" max="1786" width="14.42578125" style="20" customWidth="1"/>
    <col min="1787" max="1787" width="7.28515625" style="20" customWidth="1"/>
    <col min="1788" max="1788" width="5.5703125" style="20" customWidth="1"/>
    <col min="1789" max="1789" width="9" style="20" customWidth="1"/>
    <col min="1790" max="1791" width="9.85546875" style="20" customWidth="1"/>
    <col min="1792" max="1792" width="11.140625" style="20" customWidth="1"/>
    <col min="1793" max="1793" width="2.85546875" style="20" customWidth="1"/>
    <col min="1794" max="1794" width="3.5703125" style="20" customWidth="1"/>
    <col min="1795" max="2039" width="9.140625" style="20"/>
    <col min="2040" max="2040" width="8.7109375" style="20" customWidth="1"/>
    <col min="2041" max="2041" width="9.85546875" style="20" customWidth="1"/>
    <col min="2042" max="2042" width="14.42578125" style="20" customWidth="1"/>
    <col min="2043" max="2043" width="7.28515625" style="20" customWidth="1"/>
    <col min="2044" max="2044" width="5.5703125" style="20" customWidth="1"/>
    <col min="2045" max="2045" width="9" style="20" customWidth="1"/>
    <col min="2046" max="2047" width="9.85546875" style="20" customWidth="1"/>
    <col min="2048" max="2048" width="11.140625" style="20" customWidth="1"/>
    <col min="2049" max="2049" width="2.85546875" style="20" customWidth="1"/>
    <col min="2050" max="2050" width="3.5703125" style="20" customWidth="1"/>
    <col min="2051" max="2295" width="9.140625" style="20"/>
    <col min="2296" max="2296" width="8.7109375" style="20" customWidth="1"/>
    <col min="2297" max="2297" width="9.85546875" style="20" customWidth="1"/>
    <col min="2298" max="2298" width="14.42578125" style="20" customWidth="1"/>
    <col min="2299" max="2299" width="7.28515625" style="20" customWidth="1"/>
    <col min="2300" max="2300" width="5.5703125" style="20" customWidth="1"/>
    <col min="2301" max="2301" width="9" style="20" customWidth="1"/>
    <col min="2302" max="2303" width="9.85546875" style="20" customWidth="1"/>
    <col min="2304" max="2304" width="11.140625" style="20" customWidth="1"/>
    <col min="2305" max="2305" width="2.85546875" style="20" customWidth="1"/>
    <col min="2306" max="2306" width="3.5703125" style="20" customWidth="1"/>
    <col min="2307" max="2551" width="9.140625" style="20"/>
    <col min="2552" max="2552" width="8.7109375" style="20" customWidth="1"/>
    <col min="2553" max="2553" width="9.85546875" style="20" customWidth="1"/>
    <col min="2554" max="2554" width="14.42578125" style="20" customWidth="1"/>
    <col min="2555" max="2555" width="7.28515625" style="20" customWidth="1"/>
    <col min="2556" max="2556" width="5.5703125" style="20" customWidth="1"/>
    <col min="2557" max="2557" width="9" style="20" customWidth="1"/>
    <col min="2558" max="2559" width="9.85546875" style="20" customWidth="1"/>
    <col min="2560" max="2560" width="11.140625" style="20" customWidth="1"/>
    <col min="2561" max="2561" width="2.85546875" style="20" customWidth="1"/>
    <col min="2562" max="2562" width="3.5703125" style="20" customWidth="1"/>
    <col min="2563" max="2807" width="9.140625" style="20"/>
    <col min="2808" max="2808" width="8.7109375" style="20" customWidth="1"/>
    <col min="2809" max="2809" width="9.85546875" style="20" customWidth="1"/>
    <col min="2810" max="2810" width="14.42578125" style="20" customWidth="1"/>
    <col min="2811" max="2811" width="7.28515625" style="20" customWidth="1"/>
    <col min="2812" max="2812" width="5.5703125" style="20" customWidth="1"/>
    <col min="2813" max="2813" width="9" style="20" customWidth="1"/>
    <col min="2814" max="2815" width="9.85546875" style="20" customWidth="1"/>
    <col min="2816" max="2816" width="11.140625" style="20" customWidth="1"/>
    <col min="2817" max="2817" width="2.85546875" style="20" customWidth="1"/>
    <col min="2818" max="2818" width="3.5703125" style="20" customWidth="1"/>
    <col min="2819" max="3063" width="9.140625" style="20"/>
    <col min="3064" max="3064" width="8.7109375" style="20" customWidth="1"/>
    <col min="3065" max="3065" width="9.85546875" style="20" customWidth="1"/>
    <col min="3066" max="3066" width="14.42578125" style="20" customWidth="1"/>
    <col min="3067" max="3067" width="7.28515625" style="20" customWidth="1"/>
    <col min="3068" max="3068" width="5.5703125" style="20" customWidth="1"/>
    <col min="3069" max="3069" width="9" style="20" customWidth="1"/>
    <col min="3070" max="3071" width="9.85546875" style="20" customWidth="1"/>
    <col min="3072" max="3072" width="11.140625" style="20" customWidth="1"/>
    <col min="3073" max="3073" width="2.85546875" style="20" customWidth="1"/>
    <col min="3074" max="3074" width="3.5703125" style="20" customWidth="1"/>
    <col min="3075" max="3319" width="9.140625" style="20"/>
    <col min="3320" max="3320" width="8.7109375" style="20" customWidth="1"/>
    <col min="3321" max="3321" width="9.85546875" style="20" customWidth="1"/>
    <col min="3322" max="3322" width="14.42578125" style="20" customWidth="1"/>
    <col min="3323" max="3323" width="7.28515625" style="20" customWidth="1"/>
    <col min="3324" max="3324" width="5.5703125" style="20" customWidth="1"/>
    <col min="3325" max="3325" width="9" style="20" customWidth="1"/>
    <col min="3326" max="3327" width="9.85546875" style="20" customWidth="1"/>
    <col min="3328" max="3328" width="11.140625" style="20" customWidth="1"/>
    <col min="3329" max="3329" width="2.85546875" style="20" customWidth="1"/>
    <col min="3330" max="3330" width="3.5703125" style="20" customWidth="1"/>
    <col min="3331" max="3575" width="9.140625" style="20"/>
    <col min="3576" max="3576" width="8.7109375" style="20" customWidth="1"/>
    <col min="3577" max="3577" width="9.85546875" style="20" customWidth="1"/>
    <col min="3578" max="3578" width="14.42578125" style="20" customWidth="1"/>
    <col min="3579" max="3579" width="7.28515625" style="20" customWidth="1"/>
    <col min="3580" max="3580" width="5.5703125" style="20" customWidth="1"/>
    <col min="3581" max="3581" width="9" style="20" customWidth="1"/>
    <col min="3582" max="3583" width="9.85546875" style="20" customWidth="1"/>
    <col min="3584" max="3584" width="11.140625" style="20" customWidth="1"/>
    <col min="3585" max="3585" width="2.85546875" style="20" customWidth="1"/>
    <col min="3586" max="3586" width="3.5703125" style="20" customWidth="1"/>
    <col min="3587" max="3831" width="9.140625" style="20"/>
    <col min="3832" max="3832" width="8.7109375" style="20" customWidth="1"/>
    <col min="3833" max="3833" width="9.85546875" style="20" customWidth="1"/>
    <col min="3834" max="3834" width="14.42578125" style="20" customWidth="1"/>
    <col min="3835" max="3835" width="7.28515625" style="20" customWidth="1"/>
    <col min="3836" max="3836" width="5.5703125" style="20" customWidth="1"/>
    <col min="3837" max="3837" width="9" style="20" customWidth="1"/>
    <col min="3838" max="3839" width="9.85546875" style="20" customWidth="1"/>
    <col min="3840" max="3840" width="11.140625" style="20" customWidth="1"/>
    <col min="3841" max="3841" width="2.85546875" style="20" customWidth="1"/>
    <col min="3842" max="3842" width="3.5703125" style="20" customWidth="1"/>
    <col min="3843" max="4087" width="9.140625" style="20"/>
    <col min="4088" max="4088" width="8.7109375" style="20" customWidth="1"/>
    <col min="4089" max="4089" width="9.85546875" style="20" customWidth="1"/>
    <col min="4090" max="4090" width="14.42578125" style="20" customWidth="1"/>
    <col min="4091" max="4091" width="7.28515625" style="20" customWidth="1"/>
    <col min="4092" max="4092" width="5.5703125" style="20" customWidth="1"/>
    <col min="4093" max="4093" width="9" style="20" customWidth="1"/>
    <col min="4094" max="4095" width="9.85546875" style="20" customWidth="1"/>
    <col min="4096" max="4096" width="11.140625" style="20" customWidth="1"/>
    <col min="4097" max="4097" width="2.85546875" style="20" customWidth="1"/>
    <col min="4098" max="4098" width="3.5703125" style="20" customWidth="1"/>
    <col min="4099" max="4343" width="9.140625" style="20"/>
    <col min="4344" max="4344" width="8.7109375" style="20" customWidth="1"/>
    <col min="4345" max="4345" width="9.85546875" style="20" customWidth="1"/>
    <col min="4346" max="4346" width="14.42578125" style="20" customWidth="1"/>
    <col min="4347" max="4347" width="7.28515625" style="20" customWidth="1"/>
    <col min="4348" max="4348" width="5.5703125" style="20" customWidth="1"/>
    <col min="4349" max="4349" width="9" style="20" customWidth="1"/>
    <col min="4350" max="4351" width="9.85546875" style="20" customWidth="1"/>
    <col min="4352" max="4352" width="11.140625" style="20" customWidth="1"/>
    <col min="4353" max="4353" width="2.85546875" style="20" customWidth="1"/>
    <col min="4354" max="4354" width="3.5703125" style="20" customWidth="1"/>
    <col min="4355" max="4599" width="9.140625" style="20"/>
    <col min="4600" max="4600" width="8.7109375" style="20" customWidth="1"/>
    <col min="4601" max="4601" width="9.85546875" style="20" customWidth="1"/>
    <col min="4602" max="4602" width="14.42578125" style="20" customWidth="1"/>
    <col min="4603" max="4603" width="7.28515625" style="20" customWidth="1"/>
    <col min="4604" max="4604" width="5.5703125" style="20" customWidth="1"/>
    <col min="4605" max="4605" width="9" style="20" customWidth="1"/>
    <col min="4606" max="4607" width="9.85546875" style="20" customWidth="1"/>
    <col min="4608" max="4608" width="11.140625" style="20" customWidth="1"/>
    <col min="4609" max="4609" width="2.85546875" style="20" customWidth="1"/>
    <col min="4610" max="4610" width="3.5703125" style="20" customWidth="1"/>
    <col min="4611" max="4855" width="9.140625" style="20"/>
    <col min="4856" max="4856" width="8.7109375" style="20" customWidth="1"/>
    <col min="4857" max="4857" width="9.85546875" style="20" customWidth="1"/>
    <col min="4858" max="4858" width="14.42578125" style="20" customWidth="1"/>
    <col min="4859" max="4859" width="7.28515625" style="20" customWidth="1"/>
    <col min="4860" max="4860" width="5.5703125" style="20" customWidth="1"/>
    <col min="4861" max="4861" width="9" style="20" customWidth="1"/>
    <col min="4862" max="4863" width="9.85546875" style="20" customWidth="1"/>
    <col min="4864" max="4864" width="11.140625" style="20" customWidth="1"/>
    <col min="4865" max="4865" width="2.85546875" style="20" customWidth="1"/>
    <col min="4866" max="4866" width="3.5703125" style="20" customWidth="1"/>
    <col min="4867" max="5111" width="9.140625" style="20"/>
    <col min="5112" max="5112" width="8.7109375" style="20" customWidth="1"/>
    <col min="5113" max="5113" width="9.85546875" style="20" customWidth="1"/>
    <col min="5114" max="5114" width="14.42578125" style="20" customWidth="1"/>
    <col min="5115" max="5115" width="7.28515625" style="20" customWidth="1"/>
    <col min="5116" max="5116" width="5.5703125" style="20" customWidth="1"/>
    <col min="5117" max="5117" width="9" style="20" customWidth="1"/>
    <col min="5118" max="5119" width="9.85546875" style="20" customWidth="1"/>
    <col min="5120" max="5120" width="11.140625" style="20" customWidth="1"/>
    <col min="5121" max="5121" width="2.85546875" style="20" customWidth="1"/>
    <col min="5122" max="5122" width="3.5703125" style="20" customWidth="1"/>
    <col min="5123" max="5367" width="9.140625" style="20"/>
    <col min="5368" max="5368" width="8.7109375" style="20" customWidth="1"/>
    <col min="5369" max="5369" width="9.85546875" style="20" customWidth="1"/>
    <col min="5370" max="5370" width="14.42578125" style="20" customWidth="1"/>
    <col min="5371" max="5371" width="7.28515625" style="20" customWidth="1"/>
    <col min="5372" max="5372" width="5.5703125" style="20" customWidth="1"/>
    <col min="5373" max="5373" width="9" style="20" customWidth="1"/>
    <col min="5374" max="5375" width="9.85546875" style="20" customWidth="1"/>
    <col min="5376" max="5376" width="11.140625" style="20" customWidth="1"/>
    <col min="5377" max="5377" width="2.85546875" style="20" customWidth="1"/>
    <col min="5378" max="5378" width="3.5703125" style="20" customWidth="1"/>
    <col min="5379" max="5623" width="9.140625" style="20"/>
    <col min="5624" max="5624" width="8.7109375" style="20" customWidth="1"/>
    <col min="5625" max="5625" width="9.85546875" style="20" customWidth="1"/>
    <col min="5626" max="5626" width="14.42578125" style="20" customWidth="1"/>
    <col min="5627" max="5627" width="7.28515625" style="20" customWidth="1"/>
    <col min="5628" max="5628" width="5.5703125" style="20" customWidth="1"/>
    <col min="5629" max="5629" width="9" style="20" customWidth="1"/>
    <col min="5630" max="5631" width="9.85546875" style="20" customWidth="1"/>
    <col min="5632" max="5632" width="11.140625" style="20" customWidth="1"/>
    <col min="5633" max="5633" width="2.85546875" style="20" customWidth="1"/>
    <col min="5634" max="5634" width="3.5703125" style="20" customWidth="1"/>
    <col min="5635" max="5879" width="9.140625" style="20"/>
    <col min="5880" max="5880" width="8.7109375" style="20" customWidth="1"/>
    <col min="5881" max="5881" width="9.85546875" style="20" customWidth="1"/>
    <col min="5882" max="5882" width="14.42578125" style="20" customWidth="1"/>
    <col min="5883" max="5883" width="7.28515625" style="20" customWidth="1"/>
    <col min="5884" max="5884" width="5.5703125" style="20" customWidth="1"/>
    <col min="5885" max="5885" width="9" style="20" customWidth="1"/>
    <col min="5886" max="5887" width="9.85546875" style="20" customWidth="1"/>
    <col min="5888" max="5888" width="11.140625" style="20" customWidth="1"/>
    <col min="5889" max="5889" width="2.85546875" style="20" customWidth="1"/>
    <col min="5890" max="5890" width="3.5703125" style="20" customWidth="1"/>
    <col min="5891" max="6135" width="9.140625" style="20"/>
    <col min="6136" max="6136" width="8.7109375" style="20" customWidth="1"/>
    <col min="6137" max="6137" width="9.85546875" style="20" customWidth="1"/>
    <col min="6138" max="6138" width="14.42578125" style="20" customWidth="1"/>
    <col min="6139" max="6139" width="7.28515625" style="20" customWidth="1"/>
    <col min="6140" max="6140" width="5.5703125" style="20" customWidth="1"/>
    <col min="6141" max="6141" width="9" style="20" customWidth="1"/>
    <col min="6142" max="6143" width="9.85546875" style="20" customWidth="1"/>
    <col min="6144" max="6144" width="11.140625" style="20" customWidth="1"/>
    <col min="6145" max="6145" width="2.85546875" style="20" customWidth="1"/>
    <col min="6146" max="6146" width="3.5703125" style="20" customWidth="1"/>
    <col min="6147" max="6391" width="9.140625" style="20"/>
    <col min="6392" max="6392" width="8.7109375" style="20" customWidth="1"/>
    <col min="6393" max="6393" width="9.85546875" style="20" customWidth="1"/>
    <col min="6394" max="6394" width="14.42578125" style="20" customWidth="1"/>
    <col min="6395" max="6395" width="7.28515625" style="20" customWidth="1"/>
    <col min="6396" max="6396" width="5.5703125" style="20" customWidth="1"/>
    <col min="6397" max="6397" width="9" style="20" customWidth="1"/>
    <col min="6398" max="6399" width="9.85546875" style="20" customWidth="1"/>
    <col min="6400" max="6400" width="11.140625" style="20" customWidth="1"/>
    <col min="6401" max="6401" width="2.85546875" style="20" customWidth="1"/>
    <col min="6402" max="6402" width="3.5703125" style="20" customWidth="1"/>
    <col min="6403" max="6647" width="9.140625" style="20"/>
    <col min="6648" max="6648" width="8.7109375" style="20" customWidth="1"/>
    <col min="6649" max="6649" width="9.85546875" style="20" customWidth="1"/>
    <col min="6650" max="6650" width="14.42578125" style="20" customWidth="1"/>
    <col min="6651" max="6651" width="7.28515625" style="20" customWidth="1"/>
    <col min="6652" max="6652" width="5.5703125" style="20" customWidth="1"/>
    <col min="6653" max="6653" width="9" style="20" customWidth="1"/>
    <col min="6654" max="6655" width="9.85546875" style="20" customWidth="1"/>
    <col min="6656" max="6656" width="11.140625" style="20" customWidth="1"/>
    <col min="6657" max="6657" width="2.85546875" style="20" customWidth="1"/>
    <col min="6658" max="6658" width="3.5703125" style="20" customWidth="1"/>
    <col min="6659" max="6903" width="9.140625" style="20"/>
    <col min="6904" max="6904" width="8.7109375" style="20" customWidth="1"/>
    <col min="6905" max="6905" width="9.85546875" style="20" customWidth="1"/>
    <col min="6906" max="6906" width="14.42578125" style="20" customWidth="1"/>
    <col min="6907" max="6907" width="7.28515625" style="20" customWidth="1"/>
    <col min="6908" max="6908" width="5.5703125" style="20" customWidth="1"/>
    <col min="6909" max="6909" width="9" style="20" customWidth="1"/>
    <col min="6910" max="6911" width="9.85546875" style="20" customWidth="1"/>
    <col min="6912" max="6912" width="11.140625" style="20" customWidth="1"/>
    <col min="6913" max="6913" width="2.85546875" style="20" customWidth="1"/>
    <col min="6914" max="6914" width="3.5703125" style="20" customWidth="1"/>
    <col min="6915" max="7159" width="9.140625" style="20"/>
    <col min="7160" max="7160" width="8.7109375" style="20" customWidth="1"/>
    <col min="7161" max="7161" width="9.85546875" style="20" customWidth="1"/>
    <col min="7162" max="7162" width="14.42578125" style="20" customWidth="1"/>
    <col min="7163" max="7163" width="7.28515625" style="20" customWidth="1"/>
    <col min="7164" max="7164" width="5.5703125" style="20" customWidth="1"/>
    <col min="7165" max="7165" width="9" style="20" customWidth="1"/>
    <col min="7166" max="7167" width="9.85546875" style="20" customWidth="1"/>
    <col min="7168" max="7168" width="11.140625" style="20" customWidth="1"/>
    <col min="7169" max="7169" width="2.85546875" style="20" customWidth="1"/>
    <col min="7170" max="7170" width="3.5703125" style="20" customWidth="1"/>
    <col min="7171" max="7415" width="9.140625" style="20"/>
    <col min="7416" max="7416" width="8.7109375" style="20" customWidth="1"/>
    <col min="7417" max="7417" width="9.85546875" style="20" customWidth="1"/>
    <col min="7418" max="7418" width="14.42578125" style="20" customWidth="1"/>
    <col min="7419" max="7419" width="7.28515625" style="20" customWidth="1"/>
    <col min="7420" max="7420" width="5.5703125" style="20" customWidth="1"/>
    <col min="7421" max="7421" width="9" style="20" customWidth="1"/>
    <col min="7422" max="7423" width="9.85546875" style="20" customWidth="1"/>
    <col min="7424" max="7424" width="11.140625" style="20" customWidth="1"/>
    <col min="7425" max="7425" width="2.85546875" style="20" customWidth="1"/>
    <col min="7426" max="7426" width="3.5703125" style="20" customWidth="1"/>
    <col min="7427" max="7671" width="9.140625" style="20"/>
    <col min="7672" max="7672" width="8.7109375" style="20" customWidth="1"/>
    <col min="7673" max="7673" width="9.85546875" style="20" customWidth="1"/>
    <col min="7674" max="7674" width="14.42578125" style="20" customWidth="1"/>
    <col min="7675" max="7675" width="7.28515625" style="20" customWidth="1"/>
    <col min="7676" max="7676" width="5.5703125" style="20" customWidth="1"/>
    <col min="7677" max="7677" width="9" style="20" customWidth="1"/>
    <col min="7678" max="7679" width="9.85546875" style="20" customWidth="1"/>
    <col min="7680" max="7680" width="11.140625" style="20" customWidth="1"/>
    <col min="7681" max="7681" width="2.85546875" style="20" customWidth="1"/>
    <col min="7682" max="7682" width="3.5703125" style="20" customWidth="1"/>
    <col min="7683" max="7927" width="9.140625" style="20"/>
    <col min="7928" max="7928" width="8.7109375" style="20" customWidth="1"/>
    <col min="7929" max="7929" width="9.85546875" style="20" customWidth="1"/>
    <col min="7930" max="7930" width="14.42578125" style="20" customWidth="1"/>
    <col min="7931" max="7931" width="7.28515625" style="20" customWidth="1"/>
    <col min="7932" max="7932" width="5.5703125" style="20" customWidth="1"/>
    <col min="7933" max="7933" width="9" style="20" customWidth="1"/>
    <col min="7934" max="7935" width="9.85546875" style="20" customWidth="1"/>
    <col min="7936" max="7936" width="11.140625" style="20" customWidth="1"/>
    <col min="7937" max="7937" width="2.85546875" style="20" customWidth="1"/>
    <col min="7938" max="7938" width="3.5703125" style="20" customWidth="1"/>
    <col min="7939" max="8183" width="9.140625" style="20"/>
    <col min="8184" max="8184" width="8.7109375" style="20" customWidth="1"/>
    <col min="8185" max="8185" width="9.85546875" style="20" customWidth="1"/>
    <col min="8186" max="8186" width="14.42578125" style="20" customWidth="1"/>
    <col min="8187" max="8187" width="7.28515625" style="20" customWidth="1"/>
    <col min="8188" max="8188" width="5.5703125" style="20" customWidth="1"/>
    <col min="8189" max="8189" width="9" style="20" customWidth="1"/>
    <col min="8190" max="8191" width="9.85546875" style="20" customWidth="1"/>
    <col min="8192" max="8192" width="11.140625" style="20" customWidth="1"/>
    <col min="8193" max="8193" width="2.85546875" style="20" customWidth="1"/>
    <col min="8194" max="8194" width="3.5703125" style="20" customWidth="1"/>
    <col min="8195" max="8439" width="9.140625" style="20"/>
    <col min="8440" max="8440" width="8.7109375" style="20" customWidth="1"/>
    <col min="8441" max="8441" width="9.85546875" style="20" customWidth="1"/>
    <col min="8442" max="8442" width="14.42578125" style="20" customWidth="1"/>
    <col min="8443" max="8443" width="7.28515625" style="20" customWidth="1"/>
    <col min="8444" max="8444" width="5.5703125" style="20" customWidth="1"/>
    <col min="8445" max="8445" width="9" style="20" customWidth="1"/>
    <col min="8446" max="8447" width="9.85546875" style="20" customWidth="1"/>
    <col min="8448" max="8448" width="11.140625" style="20" customWidth="1"/>
    <col min="8449" max="8449" width="2.85546875" style="20" customWidth="1"/>
    <col min="8450" max="8450" width="3.5703125" style="20" customWidth="1"/>
    <col min="8451" max="8695" width="9.140625" style="20"/>
    <col min="8696" max="8696" width="8.7109375" style="20" customWidth="1"/>
    <col min="8697" max="8697" width="9.85546875" style="20" customWidth="1"/>
    <col min="8698" max="8698" width="14.42578125" style="20" customWidth="1"/>
    <col min="8699" max="8699" width="7.28515625" style="20" customWidth="1"/>
    <col min="8700" max="8700" width="5.5703125" style="20" customWidth="1"/>
    <col min="8701" max="8701" width="9" style="20" customWidth="1"/>
    <col min="8702" max="8703" width="9.85546875" style="20" customWidth="1"/>
    <col min="8704" max="8704" width="11.140625" style="20" customWidth="1"/>
    <col min="8705" max="8705" width="2.85546875" style="20" customWidth="1"/>
    <col min="8706" max="8706" width="3.5703125" style="20" customWidth="1"/>
    <col min="8707" max="8951" width="9.140625" style="20"/>
    <col min="8952" max="8952" width="8.7109375" style="20" customWidth="1"/>
    <col min="8953" max="8953" width="9.85546875" style="20" customWidth="1"/>
    <col min="8954" max="8954" width="14.42578125" style="20" customWidth="1"/>
    <col min="8955" max="8955" width="7.28515625" style="20" customWidth="1"/>
    <col min="8956" max="8956" width="5.5703125" style="20" customWidth="1"/>
    <col min="8957" max="8957" width="9" style="20" customWidth="1"/>
    <col min="8958" max="8959" width="9.85546875" style="20" customWidth="1"/>
    <col min="8960" max="8960" width="11.140625" style="20" customWidth="1"/>
    <col min="8961" max="8961" width="2.85546875" style="20" customWidth="1"/>
    <col min="8962" max="8962" width="3.5703125" style="20" customWidth="1"/>
    <col min="8963" max="9207" width="9.140625" style="20"/>
    <col min="9208" max="9208" width="8.7109375" style="20" customWidth="1"/>
    <col min="9209" max="9209" width="9.85546875" style="20" customWidth="1"/>
    <col min="9210" max="9210" width="14.42578125" style="20" customWidth="1"/>
    <col min="9211" max="9211" width="7.28515625" style="20" customWidth="1"/>
    <col min="9212" max="9212" width="5.5703125" style="20" customWidth="1"/>
    <col min="9213" max="9213" width="9" style="20" customWidth="1"/>
    <col min="9214" max="9215" width="9.85546875" style="20" customWidth="1"/>
    <col min="9216" max="9216" width="11.140625" style="20" customWidth="1"/>
    <col min="9217" max="9217" width="2.85546875" style="20" customWidth="1"/>
    <col min="9218" max="9218" width="3.5703125" style="20" customWidth="1"/>
    <col min="9219" max="9463" width="9.140625" style="20"/>
    <col min="9464" max="9464" width="8.7109375" style="20" customWidth="1"/>
    <col min="9465" max="9465" width="9.85546875" style="20" customWidth="1"/>
    <col min="9466" max="9466" width="14.42578125" style="20" customWidth="1"/>
    <col min="9467" max="9467" width="7.28515625" style="20" customWidth="1"/>
    <col min="9468" max="9468" width="5.5703125" style="20" customWidth="1"/>
    <col min="9469" max="9469" width="9" style="20" customWidth="1"/>
    <col min="9470" max="9471" width="9.85546875" style="20" customWidth="1"/>
    <col min="9472" max="9472" width="11.140625" style="20" customWidth="1"/>
    <col min="9473" max="9473" width="2.85546875" style="20" customWidth="1"/>
    <col min="9474" max="9474" width="3.5703125" style="20" customWidth="1"/>
    <col min="9475" max="9719" width="9.140625" style="20"/>
    <col min="9720" max="9720" width="8.7109375" style="20" customWidth="1"/>
    <col min="9721" max="9721" width="9.85546875" style="20" customWidth="1"/>
    <col min="9722" max="9722" width="14.42578125" style="20" customWidth="1"/>
    <col min="9723" max="9723" width="7.28515625" style="20" customWidth="1"/>
    <col min="9724" max="9724" width="5.5703125" style="20" customWidth="1"/>
    <col min="9725" max="9725" width="9" style="20" customWidth="1"/>
    <col min="9726" max="9727" width="9.85546875" style="20" customWidth="1"/>
    <col min="9728" max="9728" width="11.140625" style="20" customWidth="1"/>
    <col min="9729" max="9729" width="2.85546875" style="20" customWidth="1"/>
    <col min="9730" max="9730" width="3.5703125" style="20" customWidth="1"/>
    <col min="9731" max="9975" width="9.140625" style="20"/>
    <col min="9976" max="9976" width="8.7109375" style="20" customWidth="1"/>
    <col min="9977" max="9977" width="9.85546875" style="20" customWidth="1"/>
    <col min="9978" max="9978" width="14.42578125" style="20" customWidth="1"/>
    <col min="9979" max="9979" width="7.28515625" style="20" customWidth="1"/>
    <col min="9980" max="9980" width="5.5703125" style="20" customWidth="1"/>
    <col min="9981" max="9981" width="9" style="20" customWidth="1"/>
    <col min="9982" max="9983" width="9.85546875" style="20" customWidth="1"/>
    <col min="9984" max="9984" width="11.140625" style="20" customWidth="1"/>
    <col min="9985" max="9985" width="2.85546875" style="20" customWidth="1"/>
    <col min="9986" max="9986" width="3.5703125" style="20" customWidth="1"/>
    <col min="9987" max="10231" width="9.140625" style="20"/>
    <col min="10232" max="10232" width="8.7109375" style="20" customWidth="1"/>
    <col min="10233" max="10233" width="9.85546875" style="20" customWidth="1"/>
    <col min="10234" max="10234" width="14.42578125" style="20" customWidth="1"/>
    <col min="10235" max="10235" width="7.28515625" style="20" customWidth="1"/>
    <col min="10236" max="10236" width="5.5703125" style="20" customWidth="1"/>
    <col min="10237" max="10237" width="9" style="20" customWidth="1"/>
    <col min="10238" max="10239" width="9.85546875" style="20" customWidth="1"/>
    <col min="10240" max="10240" width="11.140625" style="20" customWidth="1"/>
    <col min="10241" max="10241" width="2.85546875" style="20" customWidth="1"/>
    <col min="10242" max="10242" width="3.5703125" style="20" customWidth="1"/>
    <col min="10243" max="10487" width="9.140625" style="20"/>
    <col min="10488" max="10488" width="8.7109375" style="20" customWidth="1"/>
    <col min="10489" max="10489" width="9.85546875" style="20" customWidth="1"/>
    <col min="10490" max="10490" width="14.42578125" style="20" customWidth="1"/>
    <col min="10491" max="10491" width="7.28515625" style="20" customWidth="1"/>
    <col min="10492" max="10492" width="5.5703125" style="20" customWidth="1"/>
    <col min="10493" max="10493" width="9" style="20" customWidth="1"/>
    <col min="10494" max="10495" width="9.85546875" style="20" customWidth="1"/>
    <col min="10496" max="10496" width="11.140625" style="20" customWidth="1"/>
    <col min="10497" max="10497" width="2.85546875" style="20" customWidth="1"/>
    <col min="10498" max="10498" width="3.5703125" style="20" customWidth="1"/>
    <col min="10499" max="10743" width="9.140625" style="20"/>
    <col min="10744" max="10744" width="8.7109375" style="20" customWidth="1"/>
    <col min="10745" max="10745" width="9.85546875" style="20" customWidth="1"/>
    <col min="10746" max="10746" width="14.42578125" style="20" customWidth="1"/>
    <col min="10747" max="10747" width="7.28515625" style="20" customWidth="1"/>
    <col min="10748" max="10748" width="5.5703125" style="20" customWidth="1"/>
    <col min="10749" max="10749" width="9" style="20" customWidth="1"/>
    <col min="10750" max="10751" width="9.85546875" style="20" customWidth="1"/>
    <col min="10752" max="10752" width="11.140625" style="20" customWidth="1"/>
    <col min="10753" max="10753" width="2.85546875" style="20" customWidth="1"/>
    <col min="10754" max="10754" width="3.5703125" style="20" customWidth="1"/>
    <col min="10755" max="10999" width="9.140625" style="20"/>
    <col min="11000" max="11000" width="8.7109375" style="20" customWidth="1"/>
    <col min="11001" max="11001" width="9.85546875" style="20" customWidth="1"/>
    <col min="11002" max="11002" width="14.42578125" style="20" customWidth="1"/>
    <col min="11003" max="11003" width="7.28515625" style="20" customWidth="1"/>
    <col min="11004" max="11004" width="5.5703125" style="20" customWidth="1"/>
    <col min="11005" max="11005" width="9" style="20" customWidth="1"/>
    <col min="11006" max="11007" width="9.85546875" style="20" customWidth="1"/>
    <col min="11008" max="11008" width="11.140625" style="20" customWidth="1"/>
    <col min="11009" max="11009" width="2.85546875" style="20" customWidth="1"/>
    <col min="11010" max="11010" width="3.5703125" style="20" customWidth="1"/>
    <col min="11011" max="11255" width="9.140625" style="20"/>
    <col min="11256" max="11256" width="8.7109375" style="20" customWidth="1"/>
    <col min="11257" max="11257" width="9.85546875" style="20" customWidth="1"/>
    <col min="11258" max="11258" width="14.42578125" style="20" customWidth="1"/>
    <col min="11259" max="11259" width="7.28515625" style="20" customWidth="1"/>
    <col min="11260" max="11260" width="5.5703125" style="20" customWidth="1"/>
    <col min="11261" max="11261" width="9" style="20" customWidth="1"/>
    <col min="11262" max="11263" width="9.85546875" style="20" customWidth="1"/>
    <col min="11264" max="11264" width="11.140625" style="20" customWidth="1"/>
    <col min="11265" max="11265" width="2.85546875" style="20" customWidth="1"/>
    <col min="11266" max="11266" width="3.5703125" style="20" customWidth="1"/>
    <col min="11267" max="11511" width="9.140625" style="20"/>
    <col min="11512" max="11512" width="8.7109375" style="20" customWidth="1"/>
    <col min="11513" max="11513" width="9.85546875" style="20" customWidth="1"/>
    <col min="11514" max="11514" width="14.42578125" style="20" customWidth="1"/>
    <col min="11515" max="11515" width="7.28515625" style="20" customWidth="1"/>
    <col min="11516" max="11516" width="5.5703125" style="20" customWidth="1"/>
    <col min="11517" max="11517" width="9" style="20" customWidth="1"/>
    <col min="11518" max="11519" width="9.85546875" style="20" customWidth="1"/>
    <col min="11520" max="11520" width="11.140625" style="20" customWidth="1"/>
    <col min="11521" max="11521" width="2.85546875" style="20" customWidth="1"/>
    <col min="11522" max="11522" width="3.5703125" style="20" customWidth="1"/>
    <col min="11523" max="11767" width="9.140625" style="20"/>
    <col min="11768" max="11768" width="8.7109375" style="20" customWidth="1"/>
    <col min="11769" max="11769" width="9.85546875" style="20" customWidth="1"/>
    <col min="11770" max="11770" width="14.42578125" style="20" customWidth="1"/>
    <col min="11771" max="11771" width="7.28515625" style="20" customWidth="1"/>
    <col min="11772" max="11772" width="5.5703125" style="20" customWidth="1"/>
    <col min="11773" max="11773" width="9" style="20" customWidth="1"/>
    <col min="11774" max="11775" width="9.85546875" style="20" customWidth="1"/>
    <col min="11776" max="11776" width="11.140625" style="20" customWidth="1"/>
    <col min="11777" max="11777" width="2.85546875" style="20" customWidth="1"/>
    <col min="11778" max="11778" width="3.5703125" style="20" customWidth="1"/>
    <col min="11779" max="12023" width="9.140625" style="20"/>
    <col min="12024" max="12024" width="8.7109375" style="20" customWidth="1"/>
    <col min="12025" max="12025" width="9.85546875" style="20" customWidth="1"/>
    <col min="12026" max="12026" width="14.42578125" style="20" customWidth="1"/>
    <col min="12027" max="12027" width="7.28515625" style="20" customWidth="1"/>
    <col min="12028" max="12028" width="5.5703125" style="20" customWidth="1"/>
    <col min="12029" max="12029" width="9" style="20" customWidth="1"/>
    <col min="12030" max="12031" width="9.85546875" style="20" customWidth="1"/>
    <col min="12032" max="12032" width="11.140625" style="20" customWidth="1"/>
    <col min="12033" max="12033" width="2.85546875" style="20" customWidth="1"/>
    <col min="12034" max="12034" width="3.5703125" style="20" customWidth="1"/>
    <col min="12035" max="12279" width="9.140625" style="20"/>
    <col min="12280" max="12280" width="8.7109375" style="20" customWidth="1"/>
    <col min="12281" max="12281" width="9.85546875" style="20" customWidth="1"/>
    <col min="12282" max="12282" width="14.42578125" style="20" customWidth="1"/>
    <col min="12283" max="12283" width="7.28515625" style="20" customWidth="1"/>
    <col min="12284" max="12284" width="5.5703125" style="20" customWidth="1"/>
    <col min="12285" max="12285" width="9" style="20" customWidth="1"/>
    <col min="12286" max="12287" width="9.85546875" style="20" customWidth="1"/>
    <col min="12288" max="12288" width="11.140625" style="20" customWidth="1"/>
    <col min="12289" max="12289" width="2.85546875" style="20" customWidth="1"/>
    <col min="12290" max="12290" width="3.5703125" style="20" customWidth="1"/>
    <col min="12291" max="12535" width="9.140625" style="20"/>
    <col min="12536" max="12536" width="8.7109375" style="20" customWidth="1"/>
    <col min="12537" max="12537" width="9.85546875" style="20" customWidth="1"/>
    <col min="12538" max="12538" width="14.42578125" style="20" customWidth="1"/>
    <col min="12539" max="12539" width="7.28515625" style="20" customWidth="1"/>
    <col min="12540" max="12540" width="5.5703125" style="20" customWidth="1"/>
    <col min="12541" max="12541" width="9" style="20" customWidth="1"/>
    <col min="12542" max="12543" width="9.85546875" style="20" customWidth="1"/>
    <col min="12544" max="12544" width="11.140625" style="20" customWidth="1"/>
    <col min="12545" max="12545" width="2.85546875" style="20" customWidth="1"/>
    <col min="12546" max="12546" width="3.5703125" style="20" customWidth="1"/>
    <col min="12547" max="12791" width="9.140625" style="20"/>
    <col min="12792" max="12792" width="8.7109375" style="20" customWidth="1"/>
    <col min="12793" max="12793" width="9.85546875" style="20" customWidth="1"/>
    <col min="12794" max="12794" width="14.42578125" style="20" customWidth="1"/>
    <col min="12795" max="12795" width="7.28515625" style="20" customWidth="1"/>
    <col min="12796" max="12796" width="5.5703125" style="20" customWidth="1"/>
    <col min="12797" max="12797" width="9" style="20" customWidth="1"/>
    <col min="12798" max="12799" width="9.85546875" style="20" customWidth="1"/>
    <col min="12800" max="12800" width="11.140625" style="20" customWidth="1"/>
    <col min="12801" max="12801" width="2.85546875" style="20" customWidth="1"/>
    <col min="12802" max="12802" width="3.5703125" style="20" customWidth="1"/>
    <col min="12803" max="13047" width="9.140625" style="20"/>
    <col min="13048" max="13048" width="8.7109375" style="20" customWidth="1"/>
    <col min="13049" max="13049" width="9.85546875" style="20" customWidth="1"/>
    <col min="13050" max="13050" width="14.42578125" style="20" customWidth="1"/>
    <col min="13051" max="13051" width="7.28515625" style="20" customWidth="1"/>
    <col min="13052" max="13052" width="5.5703125" style="20" customWidth="1"/>
    <col min="13053" max="13053" width="9" style="20" customWidth="1"/>
    <col min="13054" max="13055" width="9.85546875" style="20" customWidth="1"/>
    <col min="13056" max="13056" width="11.140625" style="20" customWidth="1"/>
    <col min="13057" max="13057" width="2.85546875" style="20" customWidth="1"/>
    <col min="13058" max="13058" width="3.5703125" style="20" customWidth="1"/>
    <col min="13059" max="13303" width="9.140625" style="20"/>
    <col min="13304" max="13304" width="8.7109375" style="20" customWidth="1"/>
    <col min="13305" max="13305" width="9.85546875" style="20" customWidth="1"/>
    <col min="13306" max="13306" width="14.42578125" style="20" customWidth="1"/>
    <col min="13307" max="13307" width="7.28515625" style="20" customWidth="1"/>
    <col min="13308" max="13308" width="5.5703125" style="20" customWidth="1"/>
    <col min="13309" max="13309" width="9" style="20" customWidth="1"/>
    <col min="13310" max="13311" width="9.85546875" style="20" customWidth="1"/>
    <col min="13312" max="13312" width="11.140625" style="20" customWidth="1"/>
    <col min="13313" max="13313" width="2.85546875" style="20" customWidth="1"/>
    <col min="13314" max="13314" width="3.5703125" style="20" customWidth="1"/>
    <col min="13315" max="13559" width="9.140625" style="20"/>
    <col min="13560" max="13560" width="8.7109375" style="20" customWidth="1"/>
    <col min="13561" max="13561" width="9.85546875" style="20" customWidth="1"/>
    <col min="13562" max="13562" width="14.42578125" style="20" customWidth="1"/>
    <col min="13563" max="13563" width="7.28515625" style="20" customWidth="1"/>
    <col min="13564" max="13564" width="5.5703125" style="20" customWidth="1"/>
    <col min="13565" max="13565" width="9" style="20" customWidth="1"/>
    <col min="13566" max="13567" width="9.85546875" style="20" customWidth="1"/>
    <col min="13568" max="13568" width="11.140625" style="20" customWidth="1"/>
    <col min="13569" max="13569" width="2.85546875" style="20" customWidth="1"/>
    <col min="13570" max="13570" width="3.5703125" style="20" customWidth="1"/>
    <col min="13571" max="13815" width="9.140625" style="20"/>
    <col min="13816" max="13816" width="8.7109375" style="20" customWidth="1"/>
    <col min="13817" max="13817" width="9.85546875" style="20" customWidth="1"/>
    <col min="13818" max="13818" width="14.42578125" style="20" customWidth="1"/>
    <col min="13819" max="13819" width="7.28515625" style="20" customWidth="1"/>
    <col min="13820" max="13820" width="5.5703125" style="20" customWidth="1"/>
    <col min="13821" max="13821" width="9" style="20" customWidth="1"/>
    <col min="13822" max="13823" width="9.85546875" style="20" customWidth="1"/>
    <col min="13824" max="13824" width="11.140625" style="20" customWidth="1"/>
    <col min="13825" max="13825" width="2.85546875" style="20" customWidth="1"/>
    <col min="13826" max="13826" width="3.5703125" style="20" customWidth="1"/>
    <col min="13827" max="14071" width="9.140625" style="20"/>
    <col min="14072" max="14072" width="8.7109375" style="20" customWidth="1"/>
    <col min="14073" max="14073" width="9.85546875" style="20" customWidth="1"/>
    <col min="14074" max="14074" width="14.42578125" style="20" customWidth="1"/>
    <col min="14075" max="14075" width="7.28515625" style="20" customWidth="1"/>
    <col min="14076" max="14076" width="5.5703125" style="20" customWidth="1"/>
    <col min="14077" max="14077" width="9" style="20" customWidth="1"/>
    <col min="14078" max="14079" width="9.85546875" style="20" customWidth="1"/>
    <col min="14080" max="14080" width="11.140625" style="20" customWidth="1"/>
    <col min="14081" max="14081" width="2.85546875" style="20" customWidth="1"/>
    <col min="14082" max="14082" width="3.5703125" style="20" customWidth="1"/>
    <col min="14083" max="14327" width="9.140625" style="20"/>
    <col min="14328" max="14328" width="8.7109375" style="20" customWidth="1"/>
    <col min="14329" max="14329" width="9.85546875" style="20" customWidth="1"/>
    <col min="14330" max="14330" width="14.42578125" style="20" customWidth="1"/>
    <col min="14331" max="14331" width="7.28515625" style="20" customWidth="1"/>
    <col min="14332" max="14332" width="5.5703125" style="20" customWidth="1"/>
    <col min="14333" max="14333" width="9" style="20" customWidth="1"/>
    <col min="14334" max="14335" width="9.85546875" style="20" customWidth="1"/>
    <col min="14336" max="14336" width="11.140625" style="20" customWidth="1"/>
    <col min="14337" max="14337" width="2.85546875" style="20" customWidth="1"/>
    <col min="14338" max="14338" width="3.5703125" style="20" customWidth="1"/>
    <col min="14339" max="14583" width="9.140625" style="20"/>
    <col min="14584" max="14584" width="8.7109375" style="20" customWidth="1"/>
    <col min="14585" max="14585" width="9.85546875" style="20" customWidth="1"/>
    <col min="14586" max="14586" width="14.42578125" style="20" customWidth="1"/>
    <col min="14587" max="14587" width="7.28515625" style="20" customWidth="1"/>
    <col min="14588" max="14588" width="5.5703125" style="20" customWidth="1"/>
    <col min="14589" max="14589" width="9" style="20" customWidth="1"/>
    <col min="14590" max="14591" width="9.85546875" style="20" customWidth="1"/>
    <col min="14592" max="14592" width="11.140625" style="20" customWidth="1"/>
    <col min="14593" max="14593" width="2.85546875" style="20" customWidth="1"/>
    <col min="14594" max="14594" width="3.5703125" style="20" customWidth="1"/>
    <col min="14595" max="14839" width="9.140625" style="20"/>
    <col min="14840" max="14840" width="8.7109375" style="20" customWidth="1"/>
    <col min="14841" max="14841" width="9.85546875" style="20" customWidth="1"/>
    <col min="14842" max="14842" width="14.42578125" style="20" customWidth="1"/>
    <col min="14843" max="14843" width="7.28515625" style="20" customWidth="1"/>
    <col min="14844" max="14844" width="5.5703125" style="20" customWidth="1"/>
    <col min="14845" max="14845" width="9" style="20" customWidth="1"/>
    <col min="14846" max="14847" width="9.85546875" style="20" customWidth="1"/>
    <col min="14848" max="14848" width="11.140625" style="20" customWidth="1"/>
    <col min="14849" max="14849" width="2.85546875" style="20" customWidth="1"/>
    <col min="14850" max="14850" width="3.5703125" style="20" customWidth="1"/>
    <col min="14851" max="15095" width="9.140625" style="20"/>
    <col min="15096" max="15096" width="8.7109375" style="20" customWidth="1"/>
    <col min="15097" max="15097" width="9.85546875" style="20" customWidth="1"/>
    <col min="15098" max="15098" width="14.42578125" style="20" customWidth="1"/>
    <col min="15099" max="15099" width="7.28515625" style="20" customWidth="1"/>
    <col min="15100" max="15100" width="5.5703125" style="20" customWidth="1"/>
    <col min="15101" max="15101" width="9" style="20" customWidth="1"/>
    <col min="15102" max="15103" width="9.85546875" style="20" customWidth="1"/>
    <col min="15104" max="15104" width="11.140625" style="20" customWidth="1"/>
    <col min="15105" max="15105" width="2.85546875" style="20" customWidth="1"/>
    <col min="15106" max="15106" width="3.5703125" style="20" customWidth="1"/>
    <col min="15107" max="15351" width="9.140625" style="20"/>
    <col min="15352" max="15352" width="8.7109375" style="20" customWidth="1"/>
    <col min="15353" max="15353" width="9.85546875" style="20" customWidth="1"/>
    <col min="15354" max="15354" width="14.42578125" style="20" customWidth="1"/>
    <col min="15355" max="15355" width="7.28515625" style="20" customWidth="1"/>
    <col min="15356" max="15356" width="5.5703125" style="20" customWidth="1"/>
    <col min="15357" max="15357" width="9" style="20" customWidth="1"/>
    <col min="15358" max="15359" width="9.85546875" style="20" customWidth="1"/>
    <col min="15360" max="15360" width="11.140625" style="20" customWidth="1"/>
    <col min="15361" max="15361" width="2.85546875" style="20" customWidth="1"/>
    <col min="15362" max="15362" width="3.5703125" style="20" customWidth="1"/>
    <col min="15363" max="15607" width="9.140625" style="20"/>
    <col min="15608" max="15608" width="8.7109375" style="20" customWidth="1"/>
    <col min="15609" max="15609" width="9.85546875" style="20" customWidth="1"/>
    <col min="15610" max="15610" width="14.42578125" style="20" customWidth="1"/>
    <col min="15611" max="15611" width="7.28515625" style="20" customWidth="1"/>
    <col min="15612" max="15612" width="5.5703125" style="20" customWidth="1"/>
    <col min="15613" max="15613" width="9" style="20" customWidth="1"/>
    <col min="15614" max="15615" width="9.85546875" style="20" customWidth="1"/>
    <col min="15616" max="15616" width="11.140625" style="20" customWidth="1"/>
    <col min="15617" max="15617" width="2.85546875" style="20" customWidth="1"/>
    <col min="15618" max="15618" width="3.5703125" style="20" customWidth="1"/>
    <col min="15619" max="15863" width="9.140625" style="20"/>
    <col min="15864" max="15864" width="8.7109375" style="20" customWidth="1"/>
    <col min="15865" max="15865" width="9.85546875" style="20" customWidth="1"/>
    <col min="15866" max="15866" width="14.42578125" style="20" customWidth="1"/>
    <col min="15867" max="15867" width="7.28515625" style="20" customWidth="1"/>
    <col min="15868" max="15868" width="5.5703125" style="20" customWidth="1"/>
    <col min="15869" max="15869" width="9" style="20" customWidth="1"/>
    <col min="15870" max="15871" width="9.85546875" style="20" customWidth="1"/>
    <col min="15872" max="15872" width="11.140625" style="20" customWidth="1"/>
    <col min="15873" max="15873" width="2.85546875" style="20" customWidth="1"/>
    <col min="15874" max="15874" width="3.5703125" style="20" customWidth="1"/>
    <col min="15875" max="16119" width="9.140625" style="20"/>
    <col min="16120" max="16120" width="8.7109375" style="20" customWidth="1"/>
    <col min="16121" max="16121" width="9.85546875" style="20" customWidth="1"/>
    <col min="16122" max="16122" width="14.42578125" style="20" customWidth="1"/>
    <col min="16123" max="16123" width="7.28515625" style="20" customWidth="1"/>
    <col min="16124" max="16124" width="5.5703125" style="20" customWidth="1"/>
    <col min="16125" max="16125" width="9" style="20" customWidth="1"/>
    <col min="16126" max="16127" width="9.85546875" style="20" customWidth="1"/>
    <col min="16128" max="16128" width="11.140625" style="20" customWidth="1"/>
    <col min="16129" max="16129" width="2.85546875" style="20" customWidth="1"/>
    <col min="16130" max="16130" width="3.5703125" style="20" customWidth="1"/>
    <col min="16131" max="16384" width="9.140625" style="20"/>
  </cols>
  <sheetData>
    <row r="1" spans="1:8" ht="46.5" customHeight="1" x14ac:dyDescent="0.25">
      <c r="A1" s="236" t="s">
        <v>238</v>
      </c>
      <c r="B1" s="236"/>
      <c r="C1" s="236"/>
      <c r="D1" s="236"/>
      <c r="E1" s="236"/>
      <c r="F1" s="236"/>
      <c r="G1" s="236"/>
      <c r="H1" s="236"/>
    </row>
    <row r="2" spans="1:8" ht="16.5" customHeight="1" x14ac:dyDescent="0.25">
      <c r="A2" s="131" t="s">
        <v>0</v>
      </c>
      <c r="B2" s="131"/>
      <c r="C2" s="131"/>
      <c r="D2" s="131"/>
      <c r="E2" s="131"/>
      <c r="F2" s="131"/>
      <c r="G2" s="131"/>
      <c r="H2" s="131"/>
    </row>
    <row r="3" spans="1:8" x14ac:dyDescent="0.25">
      <c r="A3" s="202" t="s">
        <v>1</v>
      </c>
      <c r="B3" s="202"/>
      <c r="C3" s="202"/>
      <c r="D3" s="202"/>
      <c r="E3" s="234" t="str">
        <f ca="1">TEXT(TODAY(),"DD/MM/YYYY")</f>
        <v>03/10/2025</v>
      </c>
      <c r="F3" s="202"/>
      <c r="G3" s="202"/>
      <c r="H3" s="202"/>
    </row>
    <row r="4" spans="1:8" ht="15" customHeight="1" x14ac:dyDescent="0.25">
      <c r="A4" s="202" t="s">
        <v>2</v>
      </c>
      <c r="B4" s="202"/>
      <c r="C4" s="202"/>
      <c r="D4" s="202"/>
      <c r="E4" s="202" t="s">
        <v>173</v>
      </c>
      <c r="F4" s="202"/>
      <c r="G4" s="202"/>
      <c r="H4" s="202"/>
    </row>
    <row r="5" spans="1:8" x14ac:dyDescent="0.25">
      <c r="A5" s="202" t="s">
        <v>3</v>
      </c>
      <c r="B5" s="202"/>
      <c r="C5" s="202"/>
      <c r="D5" s="202"/>
      <c r="E5" s="234">
        <v>45908</v>
      </c>
      <c r="F5" s="202"/>
      <c r="G5" s="202"/>
      <c r="H5" s="202"/>
    </row>
    <row r="6" spans="1:8" ht="16.5" customHeight="1" x14ac:dyDescent="0.25">
      <c r="A6" s="202" t="s">
        <v>4</v>
      </c>
      <c r="B6" s="202"/>
      <c r="C6" s="202"/>
      <c r="D6" s="202"/>
      <c r="E6" s="202" t="s">
        <v>175</v>
      </c>
      <c r="F6" s="202"/>
      <c r="G6" s="202"/>
      <c r="H6" s="202"/>
    </row>
    <row r="7" spans="1:8" ht="15" customHeight="1" x14ac:dyDescent="0.25">
      <c r="A7" s="202" t="s">
        <v>5</v>
      </c>
      <c r="B7" s="202"/>
      <c r="C7" s="202"/>
      <c r="D7" s="202"/>
      <c r="E7" s="202" t="str">
        <f>E6</f>
        <v>Aastha Realtors</v>
      </c>
      <c r="F7" s="202"/>
      <c r="G7" s="202"/>
      <c r="H7" s="202"/>
    </row>
    <row r="8" spans="1:8" x14ac:dyDescent="0.25">
      <c r="A8" s="202" t="s">
        <v>6</v>
      </c>
      <c r="B8" s="202"/>
      <c r="C8" s="202"/>
      <c r="D8" s="202"/>
      <c r="E8" s="133" t="s">
        <v>176</v>
      </c>
      <c r="F8" s="133"/>
      <c r="G8" s="133"/>
      <c r="H8" s="133"/>
    </row>
    <row r="9" spans="1:8" x14ac:dyDescent="0.25">
      <c r="A9" s="202" t="s">
        <v>124</v>
      </c>
      <c r="B9" s="202"/>
      <c r="C9" s="202"/>
      <c r="D9" s="202"/>
      <c r="E9" s="202" t="s">
        <v>240</v>
      </c>
      <c r="F9" s="202"/>
      <c r="G9" s="202"/>
      <c r="H9" s="202"/>
    </row>
    <row r="10" spans="1:8" x14ac:dyDescent="0.25">
      <c r="A10" s="202" t="s">
        <v>7</v>
      </c>
      <c r="B10" s="202"/>
      <c r="C10" s="202"/>
      <c r="D10" s="202"/>
      <c r="E10" s="202" t="s">
        <v>221</v>
      </c>
      <c r="F10" s="202"/>
      <c r="G10" s="202"/>
      <c r="H10" s="202"/>
    </row>
    <row r="11" spans="1:8" x14ac:dyDescent="0.25">
      <c r="A11" s="202" t="s">
        <v>228</v>
      </c>
      <c r="B11" s="202"/>
      <c r="C11" s="202"/>
      <c r="D11" s="202"/>
      <c r="E11" s="202" t="s">
        <v>229</v>
      </c>
      <c r="F11" s="202"/>
      <c r="G11" s="202"/>
      <c r="H11" s="202"/>
    </row>
    <row r="12" spans="1:8" x14ac:dyDescent="0.25">
      <c r="A12" s="143" t="s">
        <v>8</v>
      </c>
      <c r="B12" s="143"/>
      <c r="C12" s="143"/>
      <c r="D12" s="143"/>
      <c r="E12" s="195" t="s">
        <v>186</v>
      </c>
      <c r="F12" s="235"/>
      <c r="G12" s="235"/>
      <c r="H12" s="235"/>
    </row>
    <row r="13" spans="1:8" x14ac:dyDescent="0.25">
      <c r="A13" s="143" t="s">
        <v>9</v>
      </c>
      <c r="B13" s="143"/>
      <c r="C13" s="143"/>
      <c r="D13" s="143"/>
      <c r="E13" s="195" t="s">
        <v>174</v>
      </c>
      <c r="F13" s="202"/>
      <c r="G13" s="202"/>
      <c r="H13" s="202"/>
    </row>
    <row r="14" spans="1:8" ht="33.75" customHeight="1" x14ac:dyDescent="0.25">
      <c r="A14" s="196" t="s">
        <v>10</v>
      </c>
      <c r="B14" s="196"/>
      <c r="C14" s="196" t="str">
        <f>CONCATENATE((IF(OR(E8="",E8="NA"),"",E8)),", ",(IF(OR(A15="",A15="NA"),"",A15)),".",(IF(OR(C15="",C15="NA"),"",C15)),", near ",(IF(OR(C20="",C20="NA"),"",C20)),", ",(IF(OR(C17="",C17="NA"),"",C17)),", ",(IF(OR(C16="",C16="NA"),"",C16)),", ",(IF(OR(G17="",G17="NA"),"",G17)),", ",(IF(OR(C18="",C18="NA"),"",C18)),", ",(IF(OR(C19="",C19="NA"),"",C19)),", ",(IF(OR(G18="",G18="NA"),"",G18))," - ",(IF(OR(G19="",G19="NA"),"",G19)),".")</f>
        <v>Aastha Omkar, Survey No.56, H.No. 35D/2B/1 to 15/1, near Aastha Evershine, Internal Road, , Belyani, Titwala East, Kalyan, Thane - 421605.</v>
      </c>
      <c r="D14" s="196"/>
      <c r="E14" s="196"/>
      <c r="F14" s="196"/>
      <c r="G14" s="196"/>
      <c r="H14" s="196"/>
    </row>
    <row r="15" spans="1:8" x14ac:dyDescent="0.25">
      <c r="A15" s="195" t="s">
        <v>180</v>
      </c>
      <c r="B15" s="195"/>
      <c r="C15" s="195" t="s">
        <v>181</v>
      </c>
      <c r="D15" s="195"/>
      <c r="E15" s="195"/>
      <c r="F15" s="195"/>
      <c r="G15" s="195"/>
      <c r="H15" s="195"/>
    </row>
    <row r="16" spans="1:8" ht="15.75" customHeight="1" x14ac:dyDescent="0.25">
      <c r="A16" s="145" t="s">
        <v>170</v>
      </c>
      <c r="B16" s="146"/>
      <c r="C16" s="145" t="s">
        <v>30</v>
      </c>
      <c r="D16" s="147"/>
      <c r="E16" s="147"/>
      <c r="F16" s="147"/>
      <c r="G16" s="147"/>
      <c r="H16" s="146"/>
    </row>
    <row r="17" spans="1:8" ht="15.75" customHeight="1" x14ac:dyDescent="0.25">
      <c r="A17" s="196" t="s">
        <v>11</v>
      </c>
      <c r="B17" s="196"/>
      <c r="C17" s="202" t="s">
        <v>191</v>
      </c>
      <c r="D17" s="202"/>
      <c r="E17" s="196" t="s">
        <v>171</v>
      </c>
      <c r="F17" s="196"/>
      <c r="G17" s="195" t="s">
        <v>177</v>
      </c>
      <c r="H17" s="195"/>
    </row>
    <row r="18" spans="1:8" x14ac:dyDescent="0.25">
      <c r="A18" s="143" t="s">
        <v>13</v>
      </c>
      <c r="B18" s="143"/>
      <c r="C18" s="195" t="s">
        <v>190</v>
      </c>
      <c r="D18" s="195"/>
      <c r="E18" s="196" t="s">
        <v>12</v>
      </c>
      <c r="F18" s="196"/>
      <c r="G18" s="233" t="s">
        <v>178</v>
      </c>
      <c r="H18" s="233"/>
    </row>
    <row r="19" spans="1:8" x14ac:dyDescent="0.25">
      <c r="A19" s="143" t="s">
        <v>74</v>
      </c>
      <c r="B19" s="143"/>
      <c r="C19" s="195" t="s">
        <v>179</v>
      </c>
      <c r="D19" s="195"/>
      <c r="E19" s="196" t="s">
        <v>14</v>
      </c>
      <c r="F19" s="196"/>
      <c r="G19" s="195">
        <v>421605</v>
      </c>
      <c r="H19" s="195"/>
    </row>
    <row r="20" spans="1:8" ht="32.25" customHeight="1" x14ac:dyDescent="0.25">
      <c r="A20" s="143" t="s">
        <v>125</v>
      </c>
      <c r="B20" s="143"/>
      <c r="C20" s="195" t="s">
        <v>188</v>
      </c>
      <c r="D20" s="195"/>
      <c r="E20" s="196" t="s">
        <v>15</v>
      </c>
      <c r="F20" s="196"/>
      <c r="G20" s="195" t="s">
        <v>192</v>
      </c>
      <c r="H20" s="195"/>
    </row>
    <row r="21" spans="1:8" ht="15" customHeight="1" x14ac:dyDescent="0.25">
      <c r="A21" s="196" t="s">
        <v>77</v>
      </c>
      <c r="B21" s="196"/>
      <c r="C21" s="196"/>
      <c r="D21" s="196"/>
      <c r="E21" s="202" t="s">
        <v>16</v>
      </c>
      <c r="F21" s="202"/>
      <c r="G21" s="202"/>
      <c r="H21" s="202"/>
    </row>
    <row r="22" spans="1:8" ht="18.75" customHeight="1" x14ac:dyDescent="0.25">
      <c r="A22" s="196"/>
      <c r="B22" s="196"/>
      <c r="C22" s="196"/>
      <c r="D22" s="196"/>
      <c r="E22" s="202"/>
      <c r="F22" s="202"/>
      <c r="G22" s="202"/>
      <c r="H22" s="202"/>
    </row>
    <row r="23" spans="1:8" ht="15" customHeight="1" x14ac:dyDescent="0.25">
      <c r="A23" s="196" t="s">
        <v>17</v>
      </c>
      <c r="B23" s="196"/>
      <c r="C23" s="196"/>
      <c r="D23" s="196"/>
      <c r="E23" s="195" t="s">
        <v>18</v>
      </c>
      <c r="F23" s="195"/>
      <c r="G23" s="195"/>
      <c r="H23" s="195"/>
    </row>
    <row r="24" spans="1:8" ht="15" customHeight="1" x14ac:dyDescent="0.25">
      <c r="A24" s="143" t="s">
        <v>19</v>
      </c>
      <c r="B24" s="143"/>
      <c r="C24" s="143"/>
      <c r="D24" s="143"/>
      <c r="E24" s="195" t="str">
        <f>IF(AND(G18="Mumbai"),"Upper Class","Middle Class")</f>
        <v>Middle Class</v>
      </c>
      <c r="F24" s="195"/>
      <c r="G24" s="195"/>
      <c r="H24" s="195"/>
    </row>
    <row r="25" spans="1:8" x14ac:dyDescent="0.25">
      <c r="A25" s="143" t="s">
        <v>20</v>
      </c>
      <c r="B25" s="143"/>
      <c r="C25" s="143"/>
      <c r="D25" s="143"/>
      <c r="E25" s="195" t="s">
        <v>21</v>
      </c>
      <c r="F25" s="195"/>
      <c r="G25" s="195"/>
      <c r="H25" s="195"/>
    </row>
    <row r="26" spans="1:8" ht="15.75" customHeight="1" x14ac:dyDescent="0.25">
      <c r="A26" s="143" t="s">
        <v>22</v>
      </c>
      <c r="B26" s="143"/>
      <c r="C26" s="143"/>
      <c r="D26" s="143"/>
      <c r="E26" s="195" t="str">
        <f>IF(AND(G18="Mumbai"),"Developed","Developing")</f>
        <v>Developing</v>
      </c>
      <c r="F26" s="195"/>
      <c r="G26" s="195"/>
      <c r="H26" s="195"/>
    </row>
    <row r="27" spans="1:8" x14ac:dyDescent="0.25">
      <c r="A27" s="143" t="s">
        <v>23</v>
      </c>
      <c r="B27" s="143"/>
      <c r="C27" s="143"/>
      <c r="D27" s="143"/>
      <c r="E27" s="195" t="s">
        <v>24</v>
      </c>
      <c r="F27" s="195"/>
      <c r="G27" s="195"/>
      <c r="H27" s="195"/>
    </row>
    <row r="28" spans="1:8" ht="15.75" customHeight="1" x14ac:dyDescent="0.25">
      <c r="A28" s="143" t="s">
        <v>82</v>
      </c>
      <c r="B28" s="143"/>
      <c r="C28" s="143"/>
      <c r="D28" s="143"/>
      <c r="E28" s="195" t="s">
        <v>83</v>
      </c>
      <c r="F28" s="195"/>
      <c r="G28" s="195"/>
      <c r="H28" s="195"/>
    </row>
    <row r="29" spans="1:8" ht="15" customHeight="1" x14ac:dyDescent="0.25">
      <c r="A29" s="143" t="s">
        <v>33</v>
      </c>
      <c r="B29" s="143"/>
      <c r="C29" s="143"/>
      <c r="D29" s="143"/>
      <c r="E29" s="195" t="str">
        <f>IF(AND(ISNUMBER(SEARCH("Flat",D56)),ISNUMBER(SEARCH("Shop",D56)),ISNUMBER(SEARCH("Office",D56))),"Residential + Commercial",IF(AND(ISNUMBER(SEARCH("Flat",D56)),ISNUMBER(SEARCH("Shop",D56))),"Residential + Commercial",IF(AND(ISNUMBER(SEARCH("Flat",D56)),ISNUMBER(SEARCH("Office",D56))),"Residential + Commercial",IF(AND(ISNUMBER(SEARCH("Shop",D56)),ISNUMBER(SEARCH("Office",D56))),"Commercial",IF(ISNUMBER(SEARCH("Shop",D56)),"Commercial",IF(ISNUMBER(SEARCH("Office",D56)),"Commercial",IF(ISNUMBER(SEARCH("Flat",D56)),"Residential")))))))</f>
        <v>Residential + Commercial</v>
      </c>
      <c r="F29" s="195"/>
      <c r="G29" s="195"/>
      <c r="H29" s="195"/>
    </row>
    <row r="30" spans="1:8" ht="15.75" customHeight="1" x14ac:dyDescent="0.25">
      <c r="A30" s="143" t="s">
        <v>94</v>
      </c>
      <c r="B30" s="143"/>
      <c r="C30" s="143"/>
      <c r="D30" s="143"/>
      <c r="E30" s="195" t="s">
        <v>34</v>
      </c>
      <c r="F30" s="195"/>
      <c r="G30" s="195"/>
      <c r="H30" s="195"/>
    </row>
    <row r="31" spans="1:8" s="21" customFormat="1" x14ac:dyDescent="0.25">
      <c r="A31" s="232" t="s">
        <v>95</v>
      </c>
      <c r="B31" s="232"/>
      <c r="C31" s="231" t="s">
        <v>29</v>
      </c>
      <c r="D31" s="231"/>
      <c r="E31" s="231"/>
      <c r="F31" s="231" t="s">
        <v>31</v>
      </c>
      <c r="G31" s="231"/>
      <c r="H31" s="231"/>
    </row>
    <row r="32" spans="1:8" s="21" customFormat="1" x14ac:dyDescent="0.25">
      <c r="A32" s="211" t="s">
        <v>25</v>
      </c>
      <c r="B32" s="211" t="s">
        <v>30</v>
      </c>
      <c r="C32" s="212" t="s">
        <v>30</v>
      </c>
      <c r="D32" s="212"/>
      <c r="E32" s="212"/>
      <c r="F32" s="212" t="s">
        <v>187</v>
      </c>
      <c r="G32" s="212"/>
      <c r="H32" s="212"/>
    </row>
    <row r="33" spans="1:12" x14ac:dyDescent="0.25">
      <c r="A33" s="211" t="s">
        <v>26</v>
      </c>
      <c r="B33" s="211" t="s">
        <v>30</v>
      </c>
      <c r="C33" s="212" t="s">
        <v>30</v>
      </c>
      <c r="D33" s="212"/>
      <c r="E33" s="212"/>
      <c r="F33" s="212" t="s">
        <v>188</v>
      </c>
      <c r="G33" s="212"/>
      <c r="H33" s="212"/>
    </row>
    <row r="34" spans="1:12" s="21" customFormat="1" x14ac:dyDescent="0.25">
      <c r="A34" s="211" t="s">
        <v>28</v>
      </c>
      <c r="B34" s="211" t="s">
        <v>30</v>
      </c>
      <c r="C34" s="212" t="s">
        <v>30</v>
      </c>
      <c r="D34" s="212"/>
      <c r="E34" s="212"/>
      <c r="F34" s="212" t="s">
        <v>189</v>
      </c>
      <c r="G34" s="212"/>
      <c r="H34" s="212"/>
    </row>
    <row r="35" spans="1:12" x14ac:dyDescent="0.25">
      <c r="A35" s="211" t="s">
        <v>27</v>
      </c>
      <c r="B35" s="211" t="s">
        <v>30</v>
      </c>
      <c r="C35" s="212" t="s">
        <v>30</v>
      </c>
      <c r="D35" s="212"/>
      <c r="E35" s="212"/>
      <c r="F35" s="212" t="s">
        <v>187</v>
      </c>
      <c r="G35" s="212"/>
      <c r="H35" s="212"/>
    </row>
    <row r="36" spans="1:12" x14ac:dyDescent="0.25">
      <c r="A36" s="143" t="s">
        <v>32</v>
      </c>
      <c r="B36" s="143"/>
      <c r="C36" s="143"/>
      <c r="D36" s="143"/>
      <c r="E36" s="143"/>
      <c r="F36" s="143"/>
      <c r="G36" s="143"/>
      <c r="H36" s="143"/>
      <c r="I36" s="21" t="s">
        <v>249</v>
      </c>
    </row>
    <row r="37" spans="1:12" ht="15.75" customHeight="1" x14ac:dyDescent="0.25">
      <c r="A37" s="131" t="s">
        <v>247</v>
      </c>
      <c r="B37" s="131"/>
      <c r="C37" s="95" t="s">
        <v>252</v>
      </c>
      <c r="D37" s="96"/>
      <c r="E37" s="96"/>
      <c r="F37" s="96"/>
      <c r="G37" s="96"/>
      <c r="H37" s="97"/>
      <c r="I37" s="93">
        <v>19.282774400000001</v>
      </c>
      <c r="J37" s="93"/>
      <c r="K37" s="94">
        <v>73.197953200000001</v>
      </c>
      <c r="L37" s="94"/>
    </row>
    <row r="38" spans="1:12" s="81" customFormat="1" x14ac:dyDescent="0.25">
      <c r="A38" s="131" t="s">
        <v>169</v>
      </c>
      <c r="B38" s="131"/>
      <c r="C38" s="148" t="s">
        <v>248</v>
      </c>
      <c r="D38" s="149"/>
      <c r="E38" s="149"/>
      <c r="F38" s="149"/>
      <c r="G38" s="149"/>
      <c r="H38" s="149"/>
    </row>
    <row r="39" spans="1:12" x14ac:dyDescent="0.25">
      <c r="A39" s="214" t="s">
        <v>35</v>
      </c>
      <c r="B39" s="214"/>
      <c r="C39" s="214"/>
      <c r="D39" s="214"/>
      <c r="E39" s="214"/>
      <c r="F39" s="214"/>
      <c r="G39" s="214"/>
      <c r="H39" s="214"/>
    </row>
    <row r="40" spans="1:12" x14ac:dyDescent="0.25">
      <c r="A40" s="143" t="s">
        <v>36</v>
      </c>
      <c r="B40" s="143"/>
      <c r="C40" s="143"/>
      <c r="D40" s="143"/>
      <c r="E40" s="213">
        <v>4481.29</v>
      </c>
      <c r="F40" s="213"/>
      <c r="G40" s="213"/>
      <c r="H40" s="213"/>
    </row>
    <row r="41" spans="1:12" x14ac:dyDescent="0.25">
      <c r="A41" s="143" t="s">
        <v>37</v>
      </c>
      <c r="B41" s="143"/>
      <c r="C41" s="143"/>
      <c r="D41" s="143"/>
      <c r="E41" s="200">
        <v>1.1000000000000001</v>
      </c>
      <c r="F41" s="200"/>
      <c r="G41" s="200"/>
      <c r="H41" s="200"/>
    </row>
    <row r="42" spans="1:12" x14ac:dyDescent="0.25">
      <c r="A42" s="143" t="s">
        <v>38</v>
      </c>
      <c r="B42" s="143"/>
      <c r="C42" s="143"/>
      <c r="D42" s="143"/>
      <c r="E42" s="200">
        <f>E44/E40-E41</f>
        <v>6.6847046274621569E-2</v>
      </c>
      <c r="F42" s="200"/>
      <c r="G42" s="200"/>
      <c r="H42" s="200"/>
    </row>
    <row r="43" spans="1:12" x14ac:dyDescent="0.25">
      <c r="A43" s="143" t="s">
        <v>39</v>
      </c>
      <c r="B43" s="143"/>
      <c r="C43" s="143"/>
      <c r="D43" s="143"/>
      <c r="E43" s="200">
        <f>E41+E42</f>
        <v>1.1668470462746217</v>
      </c>
      <c r="F43" s="200"/>
      <c r="G43" s="200"/>
      <c r="H43" s="200"/>
    </row>
    <row r="44" spans="1:12" x14ac:dyDescent="0.25">
      <c r="A44" s="143" t="s">
        <v>93</v>
      </c>
      <c r="B44" s="143"/>
      <c r="C44" s="143"/>
      <c r="D44" s="143"/>
      <c r="E44" s="201">
        <v>5228.9799999999996</v>
      </c>
      <c r="F44" s="201"/>
      <c r="G44" s="201"/>
      <c r="H44" s="201"/>
    </row>
    <row r="45" spans="1:12" x14ac:dyDescent="0.25">
      <c r="A45" s="202" t="s">
        <v>40</v>
      </c>
      <c r="B45" s="202"/>
      <c r="C45" s="202"/>
      <c r="D45" s="202"/>
      <c r="E45" s="202" t="s">
        <v>184</v>
      </c>
      <c r="F45" s="202"/>
      <c r="G45" s="202"/>
      <c r="H45" s="202"/>
    </row>
    <row r="46" spans="1:12" x14ac:dyDescent="0.25">
      <c r="A46" s="214" t="s">
        <v>41</v>
      </c>
      <c r="B46" s="214"/>
      <c r="C46" s="214"/>
      <c r="D46" s="214"/>
      <c r="E46" s="214"/>
      <c r="F46" s="214"/>
      <c r="G46" s="214"/>
      <c r="H46" s="214"/>
    </row>
    <row r="47" spans="1:12" ht="33.75" customHeight="1" x14ac:dyDescent="0.25">
      <c r="A47" s="162" t="s">
        <v>156</v>
      </c>
      <c r="B47" s="163"/>
      <c r="C47" s="164" t="s">
        <v>182</v>
      </c>
      <c r="D47" s="165"/>
      <c r="E47" s="165"/>
      <c r="F47" s="165"/>
      <c r="G47" s="165"/>
      <c r="H47" s="166"/>
    </row>
    <row r="48" spans="1:12" ht="15.75" customHeight="1" x14ac:dyDescent="0.25">
      <c r="A48" s="162" t="s">
        <v>42</v>
      </c>
      <c r="B48" s="163"/>
      <c r="C48" s="162" t="s">
        <v>183</v>
      </c>
      <c r="D48" s="248"/>
      <c r="E48" s="163"/>
      <c r="F48" s="17" t="s">
        <v>43</v>
      </c>
      <c r="G48" s="219">
        <v>44574</v>
      </c>
      <c r="H48" s="163"/>
    </row>
    <row r="49" spans="1:14" x14ac:dyDescent="0.25">
      <c r="A49" s="162" t="s">
        <v>44</v>
      </c>
      <c r="B49" s="163"/>
      <c r="C49" s="162" t="str">
        <f>C48</f>
        <v>KDMC/TPD/BP/KD/2021-22/67</v>
      </c>
      <c r="D49" s="248"/>
      <c r="E49" s="163"/>
      <c r="F49" s="17" t="s">
        <v>43</v>
      </c>
      <c r="G49" s="219">
        <f>G48</f>
        <v>44574</v>
      </c>
      <c r="H49" s="220"/>
    </row>
    <row r="50" spans="1:14" s="22" customFormat="1" ht="15.75" customHeight="1" x14ac:dyDescent="0.25">
      <c r="A50" s="221" t="s">
        <v>160</v>
      </c>
      <c r="B50" s="222"/>
      <c r="C50" s="162" t="s">
        <v>241</v>
      </c>
      <c r="D50" s="248"/>
      <c r="E50" s="163"/>
      <c r="F50" s="17" t="s">
        <v>43</v>
      </c>
      <c r="G50" s="219">
        <v>45643</v>
      </c>
      <c r="H50" s="220"/>
    </row>
    <row r="51" spans="1:14" s="22" customFormat="1" ht="33.75" customHeight="1" x14ac:dyDescent="0.25">
      <c r="A51" s="223"/>
      <c r="B51" s="224"/>
      <c r="C51" s="162" t="s">
        <v>242</v>
      </c>
      <c r="D51" s="248"/>
      <c r="E51" s="248"/>
      <c r="F51" s="248"/>
      <c r="G51" s="248"/>
      <c r="H51" s="163"/>
    </row>
    <row r="52" spans="1:14" x14ac:dyDescent="0.25">
      <c r="A52" s="252" t="s">
        <v>172</v>
      </c>
      <c r="B52" s="253"/>
      <c r="C52" s="249" t="s">
        <v>30</v>
      </c>
      <c r="D52" s="250"/>
      <c r="E52" s="251"/>
      <c r="F52" s="50" t="s">
        <v>43</v>
      </c>
      <c r="G52" s="209" t="s">
        <v>30</v>
      </c>
      <c r="H52" s="210"/>
    </row>
    <row r="53" spans="1:14" hidden="1" x14ac:dyDescent="0.25">
      <c r="A53" s="254"/>
      <c r="B53" s="255"/>
      <c r="C53" s="249" t="s">
        <v>30</v>
      </c>
      <c r="D53" s="250"/>
      <c r="E53" s="250"/>
      <c r="F53" s="250"/>
      <c r="G53" s="250"/>
      <c r="H53" s="251"/>
    </row>
    <row r="54" spans="1:14" x14ac:dyDescent="0.25">
      <c r="A54" s="208" t="s">
        <v>46</v>
      </c>
      <c r="B54" s="208"/>
      <c r="C54" s="208"/>
      <c r="D54" s="208"/>
      <c r="E54" s="208"/>
      <c r="F54" s="208"/>
      <c r="G54" s="208"/>
      <c r="H54" s="208"/>
    </row>
    <row r="55" spans="1:14" x14ac:dyDescent="0.25">
      <c r="A55" s="196" t="s">
        <v>92</v>
      </c>
      <c r="B55" s="196"/>
      <c r="C55" s="196"/>
      <c r="D55" s="143">
        <f>E44</f>
        <v>5228.9799999999996</v>
      </c>
      <c r="E55" s="143"/>
      <c r="F55" s="143"/>
      <c r="G55" s="143"/>
      <c r="H55" s="143"/>
    </row>
    <row r="56" spans="1:14" x14ac:dyDescent="0.25">
      <c r="A56" s="195" t="s">
        <v>47</v>
      </c>
      <c r="B56" s="202"/>
      <c r="C56" s="202"/>
      <c r="D56" s="202" t="s">
        <v>224</v>
      </c>
      <c r="E56" s="202"/>
      <c r="F56" s="202"/>
      <c r="G56" s="202"/>
      <c r="H56" s="202"/>
      <c r="I56" s="23"/>
    </row>
    <row r="57" spans="1:14" ht="32.25" customHeight="1" x14ac:dyDescent="0.25">
      <c r="A57" s="216" t="s">
        <v>48</v>
      </c>
      <c r="B57" s="217"/>
      <c r="C57" s="218"/>
      <c r="D57" s="198" t="s">
        <v>227</v>
      </c>
      <c r="E57" s="215"/>
      <c r="F57" s="215"/>
      <c r="G57" s="215"/>
      <c r="H57" s="215"/>
    </row>
    <row r="58" spans="1:14" ht="15.75" customHeight="1" x14ac:dyDescent="0.25">
      <c r="A58" s="216" t="s">
        <v>90</v>
      </c>
      <c r="B58" s="217"/>
      <c r="C58" s="217"/>
      <c r="D58" s="216" t="s">
        <v>193</v>
      </c>
      <c r="E58" s="227"/>
      <c r="F58" s="227"/>
      <c r="G58" s="227"/>
      <c r="H58" s="228"/>
    </row>
    <row r="59" spans="1:14" ht="15.75" customHeight="1" x14ac:dyDescent="0.25">
      <c r="A59" s="225"/>
      <c r="B59" s="226"/>
      <c r="C59" s="226"/>
      <c r="D59" s="145" t="s">
        <v>243</v>
      </c>
      <c r="E59" s="229"/>
      <c r="F59" s="229"/>
      <c r="G59" s="229"/>
      <c r="H59" s="230"/>
    </row>
    <row r="60" spans="1:14" ht="15.75" customHeight="1" x14ac:dyDescent="0.25">
      <c r="A60" s="143" t="s">
        <v>45</v>
      </c>
      <c r="B60" s="143"/>
      <c r="C60" s="143"/>
      <c r="D60" s="182" t="s">
        <v>185</v>
      </c>
      <c r="E60" s="182"/>
      <c r="F60" s="182"/>
      <c r="G60" s="182"/>
      <c r="H60" s="182"/>
      <c r="J60" s="24"/>
      <c r="K60" s="23"/>
      <c r="N60" s="23"/>
    </row>
    <row r="61" spans="1:14" ht="15.75" customHeight="1" x14ac:dyDescent="0.25">
      <c r="A61" s="143" t="s">
        <v>88</v>
      </c>
      <c r="B61" s="143"/>
      <c r="C61" s="143"/>
      <c r="D61" s="194" t="str">
        <f>(IF(G52="NA","60 Years After Completion",IF(G52&lt;&gt;"NA",""&amp;60-ROUNDDOWN((E3-G52)/360,0)&amp;" Years"," ")))</f>
        <v>60 Years After Completion</v>
      </c>
      <c r="E61" s="194"/>
      <c r="F61" s="194"/>
      <c r="G61" s="194"/>
      <c r="H61" s="194"/>
      <c r="N61" s="23"/>
    </row>
    <row r="62" spans="1:14" ht="15.75" customHeight="1" x14ac:dyDescent="0.25">
      <c r="A62" s="143" t="s">
        <v>89</v>
      </c>
      <c r="B62" s="143"/>
      <c r="C62" s="143"/>
      <c r="D62" s="196" t="s">
        <v>24</v>
      </c>
      <c r="E62" s="196"/>
      <c r="F62" s="196"/>
      <c r="G62" s="196"/>
      <c r="H62" s="196"/>
      <c r="J62" s="25"/>
      <c r="K62" s="25"/>
    </row>
    <row r="63" spans="1:14" ht="15" hidden="1" customHeight="1" x14ac:dyDescent="0.25">
      <c r="A63" s="143" t="s">
        <v>75</v>
      </c>
      <c r="B63" s="143"/>
      <c r="C63" s="143"/>
      <c r="D63" s="195" t="s">
        <v>153</v>
      </c>
      <c r="E63" s="196"/>
      <c r="F63" s="196"/>
      <c r="G63" s="196"/>
      <c r="H63" s="196"/>
    </row>
    <row r="64" spans="1:14" x14ac:dyDescent="0.25">
      <c r="A64" s="196" t="s">
        <v>154</v>
      </c>
      <c r="B64" s="196"/>
      <c r="C64" s="196"/>
      <c r="D64" s="196" t="s">
        <v>30</v>
      </c>
      <c r="E64" s="196"/>
      <c r="F64" s="196"/>
      <c r="G64" s="196"/>
      <c r="H64" s="196"/>
      <c r="I64" s="26"/>
      <c r="J64" s="26"/>
      <c r="K64" s="26"/>
      <c r="L64" s="26"/>
      <c r="M64" s="26"/>
      <c r="N64" s="26"/>
    </row>
    <row r="65" spans="1:10" ht="15.75" customHeight="1" x14ac:dyDescent="0.25">
      <c r="A65" s="199" t="s">
        <v>87</v>
      </c>
      <c r="B65" s="199"/>
      <c r="C65" s="199"/>
      <c r="D65" s="198" t="str">
        <f ca="1">(IF(G85&gt;95%,"Nothing",IF(G85&gt;0%,"Cement, Aggregate, Steel, etc",IF(G85=0%,"Work not yet Started"))))</f>
        <v>Cement, Aggregate, Steel, etc</v>
      </c>
      <c r="E65" s="198"/>
      <c r="F65" s="198"/>
      <c r="G65" s="198"/>
      <c r="H65" s="198"/>
      <c r="J65" s="25"/>
    </row>
    <row r="66" spans="1:10" ht="33.75" customHeight="1" thickBot="1" x14ac:dyDescent="0.3">
      <c r="A66" s="197" t="s">
        <v>119</v>
      </c>
      <c r="B66" s="197"/>
      <c r="C66" s="197"/>
      <c r="D66" s="198" t="str">
        <f ca="1">(IF(D65="Nothing","Yes",IF(D65="Cement, Aggregate, Steel, etc","Under Construction",IF(D65="Work not yet Started","Work not yet Started"))))</f>
        <v>Under Construction</v>
      </c>
      <c r="E66" s="198"/>
      <c r="F66" s="198" t="str">
        <f ca="1">(IF(D65="Nothing","Yes",IF(D65="Cement, Aggregate, Steel, etc","Under Construction",IF(D65="Work not yet Started","Work not yet Started"))))</f>
        <v>Under Construction</v>
      </c>
      <c r="G66" s="198"/>
      <c r="H66" s="198"/>
    </row>
    <row r="67" spans="1:10" ht="15.75" customHeight="1" x14ac:dyDescent="0.25">
      <c r="A67" s="203" t="s">
        <v>144</v>
      </c>
      <c r="B67" s="204"/>
      <c r="C67" s="205" t="str">
        <f>D58</f>
        <v>Wing A = Gr/Stilt + 1st to 15th Floor</v>
      </c>
      <c r="D67" s="206"/>
      <c r="E67" s="206"/>
      <c r="F67" s="206"/>
      <c r="G67" s="206"/>
      <c r="H67" s="207"/>
      <c r="I67" s="46" t="str">
        <f ca="1">IF(D80=100%,"All work Completed. Possession granted to the Building.",IF(D79=100%,"All work Completed, Waiting for OC",I68&amp;""&amp;I69&amp;""&amp;J68&amp;""&amp;J67&amp;" "&amp;J69))</f>
        <v xml:space="preserve">Work not yet Started. </v>
      </c>
      <c r="J67" s="47" t="str">
        <f ca="1">(IF(C73=(D68+F68+H68),"",IF(C73&gt;0,", RCC upto "&amp;C73&amp;" Slab","")))&amp;(IF(C74=H68,"",IF(C74&gt;0,", Brickwork upto "&amp;C74&amp;" Floor","")))&amp;(IF(C75=H68,"",IF(C75&gt;0,", Internal Plaster upto "&amp;C75&amp;" Floor","")))&amp;(IF(C76=H68,"",IF(C76&gt;0,", External Plaster upto "&amp;C76&amp;" Floor","")))&amp;(IF(C77=H68,"",IF(C77&gt;0,", Flooring upto "&amp;C77&amp;" Floor","")))&amp;(IF(C78=H68,"",IF(C78&gt;0,", Painting upto "&amp;C78&amp;" Floor","")))&amp;(IF(C79=H68,"",IF(C79&gt;0,", Finishing upto "&amp;C79&amp;" Floor","")))&amp;(IF(C80=H68,"",IF(C80&gt;0,", Possession upto "&amp;C80&amp;" Floor","")))</f>
        <v/>
      </c>
    </row>
    <row r="68" spans="1:10" x14ac:dyDescent="0.25">
      <c r="A68" s="15" t="s">
        <v>146</v>
      </c>
      <c r="B68" s="52">
        <v>0</v>
      </c>
      <c r="C68" s="52" t="s">
        <v>73</v>
      </c>
      <c r="D68" s="52">
        <v>1</v>
      </c>
      <c r="E68" s="52" t="s">
        <v>72</v>
      </c>
      <c r="F68" s="52">
        <v>0</v>
      </c>
      <c r="G68" s="52" t="s">
        <v>81</v>
      </c>
      <c r="H68" s="16">
        <f ca="1">--TRIM(RIGHT(SUBSTITUTE(LEFT(C67,_xlfn.AGGREGATE(16,6,FIND({0,1,2,3,4,5,6,7,8,9},C67,ROW(INDIRECT("1:"&amp;LEN(C67)))),1))," ",REPT(" ",LEN(C67))),LEN(C67)))</f>
        <v>15</v>
      </c>
      <c r="I68" s="48" t="str">
        <f ca="1">IF(D71=100%,"Excavation","")&amp;IF(D72=100%,", Plinth","")&amp;IF(D73=100%,", RCC Slab","")&amp;IF(D74=100%,", Brickwork","")&amp;IF(D75=100%,", Internal Plaster","")&amp;IF(D76=100%,", External Plaster","")&amp;IF(D77=100%,", Flooring","")&amp;IF(D78=100%,", Painting","")&amp;IF(D79=100%,", Building common Amenities","")</f>
        <v/>
      </c>
      <c r="J68" s="49" t="str">
        <f>(IF(C71=0,"Work not yet Started.",IF(D71=25%,"Piling work in process",IF(D71=50%,"Excavation work in process",IF(D71=100%,"","0")))))&amp;(IF(C72=0%,"",IF(C72=J73,", Footing work is process",IF(C72=J74,", Footing work Completed",IF(C72=J75,", 1st Basement Completed",IF(C72=J76,", 1st &amp; 2nd Basement Completed",IF(C72=J77,", 1st to 3rd Basement Completed",IF(C72=J78,", 1st to 4th Basement Completed",IF(C72=J79,", Plinth work is process",IF(C72=J80,"","0"))))))))))</f>
        <v>Work not yet Started.</v>
      </c>
    </row>
    <row r="69" spans="1:10" x14ac:dyDescent="0.25">
      <c r="A69" s="132" t="s">
        <v>91</v>
      </c>
      <c r="B69" s="133"/>
      <c r="C69" s="167" t="str">
        <f ca="1">(IF($C$53=C67,"All work Completed. OC Received.",I67))</f>
        <v xml:space="preserve">Work not yet Started. </v>
      </c>
      <c r="D69" s="167"/>
      <c r="E69" s="167"/>
      <c r="F69" s="167"/>
      <c r="G69" s="167"/>
      <c r="H69" s="168"/>
      <c r="I69" s="48" t="str">
        <f ca="1">IF(I68&lt;&gt;""," Completed","")</f>
        <v/>
      </c>
      <c r="J69" s="49" t="str">
        <f ca="1">IF(J67&lt;&gt;"","Completed","")</f>
        <v/>
      </c>
    </row>
    <row r="70" spans="1:10" ht="15.75" customHeight="1" x14ac:dyDescent="0.25">
      <c r="A70" s="160" t="s">
        <v>49</v>
      </c>
      <c r="B70" s="161"/>
      <c r="C70" s="53" t="s">
        <v>143</v>
      </c>
      <c r="D70" s="53" t="s">
        <v>84</v>
      </c>
      <c r="E70" s="161" t="s">
        <v>86</v>
      </c>
      <c r="F70" s="161"/>
      <c r="G70" s="161" t="s">
        <v>85</v>
      </c>
      <c r="H70" s="256"/>
      <c r="I70" s="13" t="s">
        <v>145</v>
      </c>
      <c r="J70" s="27">
        <f ca="1">H68*25%</f>
        <v>3.75</v>
      </c>
    </row>
    <row r="71" spans="1:10" x14ac:dyDescent="0.25">
      <c r="A71" s="160" t="s">
        <v>132</v>
      </c>
      <c r="B71" s="161"/>
      <c r="C71" s="53">
        <v>0</v>
      </c>
      <c r="D71" s="55">
        <f ca="1">((100/H68)*C71)/100</f>
        <v>0</v>
      </c>
      <c r="E71" s="183">
        <f ca="1">(((C72/H68*10)+(40/(D68+F68+H68)*C73)+(7.5/(H68)*C74)+(7.5/(H68)*C75)+(10/H68*C76)+(10/H68*C77)+(5/H68*C78)+(5/H68*C79)+(5/H68*C80))/100)</f>
        <v>0</v>
      </c>
      <c r="F71" s="184"/>
      <c r="G71" s="183">
        <f ca="1">((((C71/H68)*20)+((C72/H68)*25)+(30/(H68+F68+D68)*C73)+(5/H68*C74)+(5/H68*C75)+(5/H68*C76)+(5/H68*C77)+(0/H68*C78)+(0/H68*C79)+(5/H68*C80))/100)</f>
        <v>0</v>
      </c>
      <c r="H71" s="189"/>
      <c r="I71" s="13" t="s">
        <v>102</v>
      </c>
      <c r="J71" s="28">
        <f ca="1">H68*50%</f>
        <v>7.5</v>
      </c>
    </row>
    <row r="72" spans="1:10" x14ac:dyDescent="0.25">
      <c r="A72" s="160" t="s">
        <v>50</v>
      </c>
      <c r="B72" s="161"/>
      <c r="C72" s="53">
        <v>0</v>
      </c>
      <c r="D72" s="55">
        <f ca="1">((100/H68)*C72)/100</f>
        <v>0</v>
      </c>
      <c r="E72" s="185"/>
      <c r="F72" s="186"/>
      <c r="G72" s="185"/>
      <c r="H72" s="190"/>
      <c r="I72" s="13" t="s">
        <v>103</v>
      </c>
      <c r="J72" s="28">
        <f ca="1">H68</f>
        <v>15</v>
      </c>
    </row>
    <row r="73" spans="1:10" ht="15.75" customHeight="1" x14ac:dyDescent="0.25">
      <c r="A73" s="160" t="s">
        <v>133</v>
      </c>
      <c r="B73" s="161"/>
      <c r="C73" s="53">
        <v>0</v>
      </c>
      <c r="D73" s="55">
        <f ca="1">((100/(D68+F68+H68))*C73)/100</f>
        <v>0</v>
      </c>
      <c r="E73" s="185"/>
      <c r="F73" s="186"/>
      <c r="G73" s="185"/>
      <c r="H73" s="190"/>
      <c r="I73" s="13" t="s">
        <v>104</v>
      </c>
      <c r="J73" s="29">
        <f ca="1">(IF(B68&gt;1,(H68/(B68+2)),H68/4))</f>
        <v>3.75</v>
      </c>
    </row>
    <row r="74" spans="1:10" ht="15.75" customHeight="1" x14ac:dyDescent="0.25">
      <c r="A74" s="160" t="s">
        <v>140</v>
      </c>
      <c r="B74" s="161" t="s">
        <v>134</v>
      </c>
      <c r="C74" s="53">
        <v>0</v>
      </c>
      <c r="D74" s="55">
        <f ca="1">((100/H68)*C74)/100</f>
        <v>0</v>
      </c>
      <c r="E74" s="185"/>
      <c r="F74" s="186"/>
      <c r="G74" s="185"/>
      <c r="H74" s="190"/>
      <c r="I74" s="13" t="s">
        <v>105</v>
      </c>
      <c r="J74" s="29">
        <f ca="1">(IF(B68&gt;1,(H68/(B68+2)+J73),H68/4+J73))</f>
        <v>7.5</v>
      </c>
    </row>
    <row r="75" spans="1:10" ht="15.75" customHeight="1" x14ac:dyDescent="0.25">
      <c r="A75" s="160" t="s">
        <v>141</v>
      </c>
      <c r="B75" s="161" t="s">
        <v>134</v>
      </c>
      <c r="C75" s="53">
        <v>0</v>
      </c>
      <c r="D75" s="55">
        <f ca="1">((100/H68)*C75)/100</f>
        <v>0</v>
      </c>
      <c r="E75" s="185"/>
      <c r="F75" s="186"/>
      <c r="G75" s="185"/>
      <c r="H75" s="190"/>
      <c r="I75" s="13" t="s">
        <v>151</v>
      </c>
      <c r="J75" s="29">
        <f>(IF(B68&gt;1,(H68/(B68+2)+J74),0))</f>
        <v>0</v>
      </c>
    </row>
    <row r="76" spans="1:10" ht="15" customHeight="1" x14ac:dyDescent="0.25">
      <c r="A76" s="160" t="s">
        <v>139</v>
      </c>
      <c r="B76" s="161" t="s">
        <v>136</v>
      </c>
      <c r="C76" s="53">
        <v>0</v>
      </c>
      <c r="D76" s="55">
        <f ca="1">((100/(H68))*C76)/100</f>
        <v>0</v>
      </c>
      <c r="E76" s="185"/>
      <c r="F76" s="186"/>
      <c r="G76" s="185"/>
      <c r="H76" s="190"/>
      <c r="I76" s="13" t="s">
        <v>147</v>
      </c>
      <c r="J76" s="29">
        <f>(IF(B68&gt;2,(H68/(B68+2)+J75),0))</f>
        <v>0</v>
      </c>
    </row>
    <row r="77" spans="1:10" ht="15.75" customHeight="1" x14ac:dyDescent="0.25">
      <c r="A77" s="160" t="s">
        <v>135</v>
      </c>
      <c r="B77" s="161" t="s">
        <v>135</v>
      </c>
      <c r="C77" s="53">
        <v>0</v>
      </c>
      <c r="D77" s="55">
        <f ca="1">((100/H68)*C77)/100</f>
        <v>0</v>
      </c>
      <c r="E77" s="185"/>
      <c r="F77" s="186"/>
      <c r="G77" s="185"/>
      <c r="H77" s="190"/>
      <c r="I77" s="13" t="s">
        <v>148</v>
      </c>
      <c r="J77" s="30">
        <f>(IF(B68&gt;3,(H68/(B68+2)+J76),0))</f>
        <v>0</v>
      </c>
    </row>
    <row r="78" spans="1:10" ht="15.75" customHeight="1" x14ac:dyDescent="0.25">
      <c r="A78" s="160" t="s">
        <v>142</v>
      </c>
      <c r="B78" s="161"/>
      <c r="C78" s="53">
        <v>0</v>
      </c>
      <c r="D78" s="55">
        <f ca="1">((100/H68)*C78)/100</f>
        <v>0</v>
      </c>
      <c r="E78" s="185"/>
      <c r="F78" s="186"/>
      <c r="G78" s="185"/>
      <c r="H78" s="190"/>
      <c r="I78" s="13" t="s">
        <v>149</v>
      </c>
      <c r="J78" s="29">
        <f>(IF(B68&gt;4,(H68/(B68+2)+J77),0))</f>
        <v>0</v>
      </c>
    </row>
    <row r="79" spans="1:10" ht="15.75" customHeight="1" x14ac:dyDescent="0.25">
      <c r="A79" s="160" t="s">
        <v>137</v>
      </c>
      <c r="B79" s="161" t="s">
        <v>137</v>
      </c>
      <c r="C79" s="53">
        <v>0</v>
      </c>
      <c r="D79" s="55">
        <f ca="1">((100/(H68))*C79)/100</f>
        <v>0</v>
      </c>
      <c r="E79" s="185"/>
      <c r="F79" s="186"/>
      <c r="G79" s="185"/>
      <c r="H79" s="190"/>
      <c r="I79" s="13" t="s">
        <v>152</v>
      </c>
      <c r="J79" s="29">
        <f ca="1">(IF(B68=1,(H68/(B68+3)+J74),IF(B68=0,(H68/4+J74),IF(B68&gt;1,0))))</f>
        <v>11.25</v>
      </c>
    </row>
    <row r="80" spans="1:10" ht="16.5" thickBot="1" x14ac:dyDescent="0.3">
      <c r="A80" s="192" t="s">
        <v>138</v>
      </c>
      <c r="B80" s="193"/>
      <c r="C80" s="56">
        <v>0</v>
      </c>
      <c r="D80" s="57">
        <f ca="1">((100/(H68))*C80)/100</f>
        <v>0</v>
      </c>
      <c r="E80" s="187"/>
      <c r="F80" s="188"/>
      <c r="G80" s="187"/>
      <c r="H80" s="191"/>
      <c r="I80" s="14" t="s">
        <v>106</v>
      </c>
      <c r="J80" s="31">
        <f ca="1">(IF(B68&gt;1.5,(H68/(B68+2)+J74+MAX(0,J75-J74)+MAX(0,J76-J75)+MAX(0,J77-J76)+MAX(0,J78-J77)+MAX(0,J79-J78)),IF(B68=1,(H68/(B68+3)+J79),IF(B68=0,H68/4+J79))))</f>
        <v>15</v>
      </c>
    </row>
    <row r="81" spans="1:10" ht="15.75" customHeight="1" x14ac:dyDescent="0.25">
      <c r="A81" s="169" t="s">
        <v>144</v>
      </c>
      <c r="B81" s="170"/>
      <c r="C81" s="171" t="s">
        <v>246</v>
      </c>
      <c r="D81" s="172"/>
      <c r="E81" s="172"/>
      <c r="F81" s="172"/>
      <c r="G81" s="172"/>
      <c r="H81" s="173"/>
      <c r="I81" s="46" t="str">
        <f ca="1">IF(D94=100%,"All work Completed. Possession granted to the Building.",IF(D93=100%,"All work Completed, Waiting for OC",I82&amp;""&amp;I83&amp;""&amp;J82&amp;""&amp;J81&amp;" "&amp;J83))</f>
        <v>Excavation, Plinth Completed, RCC upto 8 Slab, Brickwork upto 4 Floor Completed</v>
      </c>
      <c r="J81" s="47" t="str">
        <f ca="1">(IF(C87=(D82+F82+H82),"",IF(C87&gt;0,", RCC upto "&amp;C87&amp;" Slab","")))&amp;(IF(C88=H82,"",IF(C88&gt;0,", Brickwork upto "&amp;C88&amp;" Floor","")))&amp;(IF(C89=H82,"",IF(C89&gt;0,", Internal Plaster upto "&amp;C89&amp;" Floor","")))&amp;(IF(C90=H82,"",IF(C90&gt;0,", External Plaster upto "&amp;C90&amp;" Floor","")))&amp;(IF(C91=H82,"",IF(C91&gt;0,", Flooring upto "&amp;C91&amp;" Floor","")))&amp;(IF(C92=H82,"",IF(C92&gt;0,", Painting upto "&amp;C92&amp;" Floor","")))&amp;(IF(C93=H82,"",IF(C93&gt;0,", Finishing upto "&amp;C93&amp;" Floor","")))&amp;(IF(C94=H82,"",IF(C94&gt;0,", Possession upto "&amp;C94&amp;" Floor","")))</f>
        <v>, RCC upto 8 Slab, Brickwork upto 4 Floor</v>
      </c>
    </row>
    <row r="82" spans="1:10" x14ac:dyDescent="0.25">
      <c r="A82" s="15" t="s">
        <v>146</v>
      </c>
      <c r="B82" s="52">
        <v>0</v>
      </c>
      <c r="C82" s="52" t="s">
        <v>73</v>
      </c>
      <c r="D82" s="52">
        <v>1</v>
      </c>
      <c r="E82" s="52" t="s">
        <v>72</v>
      </c>
      <c r="F82" s="52">
        <v>0</v>
      </c>
      <c r="G82" s="52" t="s">
        <v>81</v>
      </c>
      <c r="H82" s="16">
        <f ca="1">--TRIM(RIGHT(SUBSTITUTE(LEFT(C81,_xlfn.AGGREGATE(16,6,FIND({0,1,2,3,4,5,6,7,8,9},C81,ROW(INDIRECT("1:"&amp;LEN(C81)))),1))," ",REPT(" ",LEN(C81))),LEN(C81)))</f>
        <v>15</v>
      </c>
      <c r="I82" s="48" t="str">
        <f ca="1">IF(D85=100%,"Excavation","")&amp;IF(D86=100%,", Plinth","")&amp;IF(D87=100%,", RCC Slab","")&amp;IF(D88=100%,", Brickwork","")&amp;IF(D89=100%,", Internal Plaster","")&amp;IF(D90=100%,", External Plaster","")&amp;IF(D91=100%,", Flooring","")&amp;IF(D92=100%,", Painting","")&amp;IF(D93=100%,", Building common Amenities","")</f>
        <v>Excavation, Plinth</v>
      </c>
      <c r="J82" s="49" t="str">
        <f ca="1">(IF(C85=0,"Work not yet Started.",IF(D85=25%,"Piling work in process",IF(D85=50%,"Excavation work in process",IF(D85=100%,"","0")))))&amp;(IF(C86=0%,"",IF(C86=J87,", Footing work is process",IF(C86=J88,", Footing work Completed",IF(C86=J89,", 1st Basement Completed",IF(C86=J90,", 1st &amp; 2nd Basement Completed",IF(C86=J91,", 1st to 3rd Basement Completed",IF(C86=J92,", 1st to 4th Basement Completed",IF(C86=J93,", Plinth work is process",IF(C86=J94,"","0"))))))))))</f>
        <v/>
      </c>
    </row>
    <row r="83" spans="1:10" x14ac:dyDescent="0.25">
      <c r="A83" s="132" t="s">
        <v>91</v>
      </c>
      <c r="B83" s="133"/>
      <c r="C83" s="167" t="str">
        <f ca="1">(IF($C$53=C81,"All work Completed. OC Received.",I81))</f>
        <v>Excavation, Plinth Completed, RCC upto 8 Slab, Brickwork upto 4 Floor Completed</v>
      </c>
      <c r="D83" s="167"/>
      <c r="E83" s="167"/>
      <c r="F83" s="167"/>
      <c r="G83" s="167"/>
      <c r="H83" s="168"/>
      <c r="I83" s="48" t="str">
        <f ca="1">IF(I82&lt;&gt;""," Completed","")</f>
        <v xml:space="preserve"> Completed</v>
      </c>
      <c r="J83" s="49" t="str">
        <f ca="1">IF(J81&lt;&gt;"","Completed","")</f>
        <v>Completed</v>
      </c>
    </row>
    <row r="84" spans="1:10" ht="15.75" customHeight="1" x14ac:dyDescent="0.25">
      <c r="A84" s="101" t="s">
        <v>49</v>
      </c>
      <c r="B84" s="102"/>
      <c r="C84" s="43" t="s">
        <v>143</v>
      </c>
      <c r="D84" s="43" t="s">
        <v>84</v>
      </c>
      <c r="E84" s="102" t="s">
        <v>86</v>
      </c>
      <c r="F84" s="102"/>
      <c r="G84" s="102" t="s">
        <v>85</v>
      </c>
      <c r="H84" s="135"/>
      <c r="I84" s="13" t="s">
        <v>145</v>
      </c>
      <c r="J84" s="27">
        <f ca="1">H82*25%</f>
        <v>3.75</v>
      </c>
    </row>
    <row r="85" spans="1:10" x14ac:dyDescent="0.25">
      <c r="A85" s="101" t="s">
        <v>132</v>
      </c>
      <c r="B85" s="102"/>
      <c r="C85" s="43">
        <f ca="1">J86</f>
        <v>15</v>
      </c>
      <c r="D85" s="18">
        <f ca="1">((100/H82)*C85)/100</f>
        <v>1</v>
      </c>
      <c r="E85" s="137">
        <f ca="1">(((C86/H82*10)+(40/(D82+F82+H82)*C87)+(7.5/(H82)*C88)+(7.5/(H82)*C89)+(10/H82*C90)+(10/H82*C91)+(5/H82*C92)+(5/H82*C93)+(5/H82*C94))/100)</f>
        <v>0.32</v>
      </c>
      <c r="F85" s="176"/>
      <c r="G85" s="137">
        <f ca="1">((((C85/H82)*20)+((C86/H82)*25)+(30/(H82+F82+D82)*C87)+(5/H82*C88)+(5/H82*C89)+(5/H82*C90)+(5/H82*C91)+(0/H82*C92)+(0/H82*C93)+(5/H82*C94))/100)</f>
        <v>0.6133333333333334</v>
      </c>
      <c r="H85" s="138"/>
      <c r="I85" s="13" t="s">
        <v>102</v>
      </c>
      <c r="J85" s="28">
        <f ca="1">H82*50%</f>
        <v>7.5</v>
      </c>
    </row>
    <row r="86" spans="1:10" x14ac:dyDescent="0.25">
      <c r="A86" s="101" t="s">
        <v>50</v>
      </c>
      <c r="B86" s="102"/>
      <c r="C86" s="54">
        <f ca="1">J94</f>
        <v>15</v>
      </c>
      <c r="D86" s="18">
        <f ca="1">((100/H82)*C86)/100</f>
        <v>1</v>
      </c>
      <c r="E86" s="139"/>
      <c r="F86" s="177"/>
      <c r="G86" s="139"/>
      <c r="H86" s="140"/>
      <c r="I86" s="13" t="s">
        <v>103</v>
      </c>
      <c r="J86" s="28">
        <f ca="1">H82</f>
        <v>15</v>
      </c>
    </row>
    <row r="87" spans="1:10" ht="15.75" customHeight="1" x14ac:dyDescent="0.25">
      <c r="A87" s="101" t="s">
        <v>133</v>
      </c>
      <c r="B87" s="102"/>
      <c r="C87" s="43">
        <v>8</v>
      </c>
      <c r="D87" s="18">
        <f ca="1">((100/(D82+F82+H82))*C87)/100</f>
        <v>0.5</v>
      </c>
      <c r="E87" s="139"/>
      <c r="F87" s="177"/>
      <c r="G87" s="139"/>
      <c r="H87" s="140"/>
      <c r="I87" s="13" t="s">
        <v>104</v>
      </c>
      <c r="J87" s="29">
        <f ca="1">(IF(B82&gt;1,(H82/(B82+2)),H82/4))</f>
        <v>3.75</v>
      </c>
    </row>
    <row r="88" spans="1:10" ht="15.75" customHeight="1" x14ac:dyDescent="0.25">
      <c r="A88" s="101" t="s">
        <v>140</v>
      </c>
      <c r="B88" s="102" t="s">
        <v>134</v>
      </c>
      <c r="C88" s="43">
        <v>4</v>
      </c>
      <c r="D88" s="18">
        <f ca="1">((100/H82)*C88)/100</f>
        <v>0.26666666666666666</v>
      </c>
      <c r="E88" s="139"/>
      <c r="F88" s="177"/>
      <c r="G88" s="139"/>
      <c r="H88" s="140"/>
      <c r="I88" s="13" t="s">
        <v>105</v>
      </c>
      <c r="J88" s="29">
        <f ca="1">(IF(B82&gt;1,(H82/(B82+2)+J87),H82/4+J87))</f>
        <v>7.5</v>
      </c>
    </row>
    <row r="89" spans="1:10" ht="15.75" customHeight="1" x14ac:dyDescent="0.25">
      <c r="A89" s="101" t="s">
        <v>141</v>
      </c>
      <c r="B89" s="102" t="s">
        <v>134</v>
      </c>
      <c r="C89" s="43">
        <v>0</v>
      </c>
      <c r="D89" s="18">
        <f ca="1">((100/H82)*C89)/100</f>
        <v>0</v>
      </c>
      <c r="E89" s="139"/>
      <c r="F89" s="177"/>
      <c r="G89" s="139"/>
      <c r="H89" s="140"/>
      <c r="I89" s="13" t="s">
        <v>151</v>
      </c>
      <c r="J89" s="29">
        <f>(IF(B82&gt;1,(H82/(B82+2)+J88),0))</f>
        <v>0</v>
      </c>
    </row>
    <row r="90" spans="1:10" ht="15" customHeight="1" x14ac:dyDescent="0.25">
      <c r="A90" s="101" t="s">
        <v>139</v>
      </c>
      <c r="B90" s="102" t="s">
        <v>136</v>
      </c>
      <c r="C90" s="43">
        <v>0</v>
      </c>
      <c r="D90" s="18">
        <f ca="1">((100/(H82))*C90)/100</f>
        <v>0</v>
      </c>
      <c r="E90" s="139"/>
      <c r="F90" s="177"/>
      <c r="G90" s="139"/>
      <c r="H90" s="140"/>
      <c r="I90" s="13" t="s">
        <v>147</v>
      </c>
      <c r="J90" s="29">
        <f>(IF(B82&gt;2,(H82/(B82+2)+J89),0))</f>
        <v>0</v>
      </c>
    </row>
    <row r="91" spans="1:10" ht="15.75" customHeight="1" x14ac:dyDescent="0.25">
      <c r="A91" s="101" t="s">
        <v>135</v>
      </c>
      <c r="B91" s="102" t="s">
        <v>135</v>
      </c>
      <c r="C91" s="43">
        <v>0</v>
      </c>
      <c r="D91" s="18">
        <f ca="1">((100/H82)*C91)/100</f>
        <v>0</v>
      </c>
      <c r="E91" s="139"/>
      <c r="F91" s="177"/>
      <c r="G91" s="139"/>
      <c r="H91" s="140"/>
      <c r="I91" s="13" t="s">
        <v>148</v>
      </c>
      <c r="J91" s="30">
        <f>(IF(B82&gt;3,(H82/(B82+2)+J90),0))</f>
        <v>0</v>
      </c>
    </row>
    <row r="92" spans="1:10" ht="15.75" customHeight="1" x14ac:dyDescent="0.25">
      <c r="A92" s="101" t="s">
        <v>142</v>
      </c>
      <c r="B92" s="102"/>
      <c r="C92" s="43">
        <v>0</v>
      </c>
      <c r="D92" s="18">
        <f ca="1">((100/H82)*C92)/100</f>
        <v>0</v>
      </c>
      <c r="E92" s="139"/>
      <c r="F92" s="177"/>
      <c r="G92" s="139"/>
      <c r="H92" s="140"/>
      <c r="I92" s="13" t="s">
        <v>149</v>
      </c>
      <c r="J92" s="29">
        <f>(IF(B82&gt;4,(H82/(B82+2)+J91),0))</f>
        <v>0</v>
      </c>
    </row>
    <row r="93" spans="1:10" ht="15.75" customHeight="1" x14ac:dyDescent="0.25">
      <c r="A93" s="101" t="s">
        <v>137</v>
      </c>
      <c r="B93" s="102" t="s">
        <v>137</v>
      </c>
      <c r="C93" s="43">
        <v>0</v>
      </c>
      <c r="D93" s="18">
        <f ca="1">((100/(H82))*C93)/100</f>
        <v>0</v>
      </c>
      <c r="E93" s="139"/>
      <c r="F93" s="177"/>
      <c r="G93" s="139"/>
      <c r="H93" s="140"/>
      <c r="I93" s="13" t="s">
        <v>152</v>
      </c>
      <c r="J93" s="29">
        <f ca="1">(IF(B82=1,(H82/(B82+3)+J88),IF(B82=0,(H82/4+J88),IF(B82&gt;1,0))))</f>
        <v>11.25</v>
      </c>
    </row>
    <row r="94" spans="1:10" ht="16.5" thickBot="1" x14ac:dyDescent="0.3">
      <c r="A94" s="103" t="s">
        <v>138</v>
      </c>
      <c r="B94" s="104"/>
      <c r="C94" s="44">
        <v>0</v>
      </c>
      <c r="D94" s="19">
        <f ca="1">((100/(H82))*C94)/100</f>
        <v>0</v>
      </c>
      <c r="E94" s="141"/>
      <c r="F94" s="178"/>
      <c r="G94" s="141"/>
      <c r="H94" s="142"/>
      <c r="I94" s="85" t="s">
        <v>106</v>
      </c>
      <c r="J94" s="29">
        <f ca="1">(IF(B82&gt;1.5,(H82/(B82+2)+J88+MAX(0,J89-J88)+MAX(0,J90-J89)+MAX(0,J91-J90)+MAX(0,J92-J91)+MAX(0,J93-J92)),IF(B82=1,(H82/(B82+3)+J93),IF(B82=0,H82/4+J93))))</f>
        <v>15</v>
      </c>
    </row>
    <row r="95" spans="1:10" ht="15.75" hidden="1" customHeight="1" x14ac:dyDescent="0.25">
      <c r="A95" s="169" t="s">
        <v>144</v>
      </c>
      <c r="B95" s="170"/>
      <c r="C95" s="171" t="s">
        <v>234</v>
      </c>
      <c r="D95" s="172"/>
      <c r="E95" s="172"/>
      <c r="F95" s="172"/>
      <c r="G95" s="172"/>
      <c r="H95" s="173"/>
      <c r="I95" s="46" t="str">
        <f ca="1">IF(D108=100%,"All work Completed. Possession granted to the Building.",IF(D107=100%,"All work Completed, Waiting for OC",I96&amp;""&amp;I97&amp;""&amp;J96&amp;""&amp;J95&amp;" "&amp;J97))</f>
        <v>Excavation, Plinth Completed, RCC upto 5 Slab Completed</v>
      </c>
      <c r="J95" s="47" t="str">
        <f ca="1">(IF(C101=(D96+F96+H96),"",IF(C101&gt;0,", RCC upto "&amp;C101&amp;" Slab","")))&amp;(IF(C102=H96,"",IF(C102&gt;0,", Brickwork upto "&amp;C102&amp;" Floor","")))&amp;(IF(C103=H96,"",IF(C103&gt;0,", Internal Plaster upto "&amp;C103&amp;" Floor","")))&amp;(IF(C104=H96,"",IF(C104&gt;0,", External Plaster upto "&amp;C104&amp;" Floor","")))&amp;(IF(C105=H96,"",IF(C105&gt;0,", Flooring upto "&amp;C105&amp;" Floor","")))&amp;(IF(C106=H96,"",IF(C106&gt;0,", Painting upto "&amp;C106&amp;" Floor","")))&amp;(IF(C107=H96,"",IF(C107&gt;0,", Finishing upto "&amp;C107&amp;" Floor","")))&amp;(IF(C108=H96,"",IF(C108&gt;0,", Possession upto "&amp;C108&amp;" Floor","")))</f>
        <v>, RCC upto 5 Slab</v>
      </c>
    </row>
    <row r="96" spans="1:10" hidden="1" x14ac:dyDescent="0.25">
      <c r="A96" s="15" t="s">
        <v>146</v>
      </c>
      <c r="B96" s="89">
        <v>0</v>
      </c>
      <c r="C96" s="89" t="s">
        <v>73</v>
      </c>
      <c r="D96" s="89">
        <v>1</v>
      </c>
      <c r="E96" s="89" t="s">
        <v>72</v>
      </c>
      <c r="F96" s="89">
        <v>0</v>
      </c>
      <c r="G96" s="89" t="s">
        <v>81</v>
      </c>
      <c r="H96" s="16">
        <f ca="1">--TRIM(RIGHT(SUBSTITUTE(LEFT(C95,_xlfn.AGGREGATE(16,6,FIND({0,1,2,3,4,5,6,7,8,9},C95,ROW(INDIRECT("1:"&amp;LEN(C95)))),1))," ",REPT(" ",LEN(C95))),LEN(C95)))</f>
        <v>15</v>
      </c>
      <c r="I96" s="48" t="str">
        <f ca="1">IF(D99=100%,"Excavation","")&amp;IF(D100=100%,", Plinth","")&amp;IF(D101=100%,", RCC Slab","")&amp;IF(D102=100%,", Brickwork","")&amp;IF(D103=100%,", Internal Plaster","")&amp;IF(D104=100%,", External Plaster","")&amp;IF(D105=100%,", Flooring","")&amp;IF(D106=100%,", Painting","")&amp;IF(D107=100%,", Building common Amenities","")</f>
        <v>Excavation, Plinth</v>
      </c>
      <c r="J96" s="49" t="str">
        <f ca="1">(IF(C99=0,"Work not yet Started.",IF(D99=25%,"Piling work in process",IF(D99=50%,"Excavation work in process",IF(D99=100%,"","0")))))&amp;(IF(C100=0%,"",IF(C100=J101,", Footing work is process",IF(C100=J102,", Footing work Completed",IF(C100=J103,", 1st Basement Completed",IF(C100=J104,", 1st &amp; 2nd Basement Completed",IF(C100=J105,", 1st to 3rd Basement Completed",IF(C100=J106,", 1st to 4th Basement Completed",IF(C100=J107,", Plinth work is process",IF(C100=J108,"","0"))))))))))</f>
        <v/>
      </c>
    </row>
    <row r="97" spans="1:10" hidden="1" x14ac:dyDescent="0.25">
      <c r="A97" s="132" t="s">
        <v>91</v>
      </c>
      <c r="B97" s="133"/>
      <c r="C97" s="167" t="str">
        <f ca="1">(IF($C$53=C95,"All work Completed. OC Received.",I95))</f>
        <v>Excavation, Plinth Completed, RCC upto 5 Slab Completed</v>
      </c>
      <c r="D97" s="167"/>
      <c r="E97" s="167"/>
      <c r="F97" s="167"/>
      <c r="G97" s="167"/>
      <c r="H97" s="168"/>
      <c r="I97" s="48" t="str">
        <f ca="1">IF(I96&lt;&gt;""," Completed","")</f>
        <v xml:space="preserve"> Completed</v>
      </c>
      <c r="J97" s="49" t="str">
        <f ca="1">IF(J95&lt;&gt;"","Completed","")</f>
        <v>Completed</v>
      </c>
    </row>
    <row r="98" spans="1:10" ht="15.75" hidden="1" customHeight="1" x14ac:dyDescent="0.25">
      <c r="A98" s="101" t="s">
        <v>49</v>
      </c>
      <c r="B98" s="102"/>
      <c r="C98" s="87" t="s">
        <v>143</v>
      </c>
      <c r="D98" s="87" t="s">
        <v>84</v>
      </c>
      <c r="E98" s="102" t="s">
        <v>86</v>
      </c>
      <c r="F98" s="102"/>
      <c r="G98" s="102" t="s">
        <v>85</v>
      </c>
      <c r="H98" s="135"/>
      <c r="I98" s="13" t="s">
        <v>145</v>
      </c>
      <c r="J98" s="27">
        <f ca="1">H96*25%</f>
        <v>3.75</v>
      </c>
    </row>
    <row r="99" spans="1:10" hidden="1" x14ac:dyDescent="0.25">
      <c r="A99" s="101" t="s">
        <v>132</v>
      </c>
      <c r="B99" s="102"/>
      <c r="C99" s="87">
        <f ca="1">J100</f>
        <v>15</v>
      </c>
      <c r="D99" s="18">
        <f ca="1">((100/H96)*C99)/100</f>
        <v>1</v>
      </c>
      <c r="E99" s="137">
        <f ca="1">(((C100/H96*10)+(40/(D96+F96+H96)*C101)+(7.5/(H96)*C102)+(7.5/(H96)*C103)+(10/H96*C104)+(10/H96*C105)+(5/H96*C106)+(5/H96*C107)+(5/H96*C108))/100)</f>
        <v>0.22500000000000001</v>
      </c>
      <c r="F99" s="176"/>
      <c r="G99" s="137">
        <f ca="1">((((C99/H96)*20)+((C100/H96)*25)+(30/(H96+F96+D96)*C101)+(5/H96*C102)+(5/H96*C103)+(5/H96*C104)+(5/H96*C105)+(0/H96*C106)+(0/H96*C107)+(5/H96*C108))/100)</f>
        <v>0.54374999999999996</v>
      </c>
      <c r="H99" s="138"/>
      <c r="I99" s="13" t="s">
        <v>102</v>
      </c>
      <c r="J99" s="28">
        <f ca="1">H96*50%</f>
        <v>7.5</v>
      </c>
    </row>
    <row r="100" spans="1:10" hidden="1" x14ac:dyDescent="0.25">
      <c r="A100" s="101" t="s">
        <v>50</v>
      </c>
      <c r="B100" s="102"/>
      <c r="C100" s="54">
        <f ca="1">J108</f>
        <v>15</v>
      </c>
      <c r="D100" s="18">
        <f ca="1">((100/H96)*C100)/100</f>
        <v>1</v>
      </c>
      <c r="E100" s="139"/>
      <c r="F100" s="177"/>
      <c r="G100" s="139"/>
      <c r="H100" s="140"/>
      <c r="I100" s="13" t="s">
        <v>103</v>
      </c>
      <c r="J100" s="28">
        <f ca="1">H96</f>
        <v>15</v>
      </c>
    </row>
    <row r="101" spans="1:10" ht="15.75" hidden="1" customHeight="1" x14ac:dyDescent="0.25">
      <c r="A101" s="101" t="s">
        <v>133</v>
      </c>
      <c r="B101" s="102"/>
      <c r="C101" s="87">
        <v>5</v>
      </c>
      <c r="D101" s="18">
        <f ca="1">((100/(D96+F96+H96))*C101)/100</f>
        <v>0.3125</v>
      </c>
      <c r="E101" s="139"/>
      <c r="F101" s="177"/>
      <c r="G101" s="139"/>
      <c r="H101" s="140"/>
      <c r="I101" s="13" t="s">
        <v>104</v>
      </c>
      <c r="J101" s="29">
        <f ca="1">(IF(B96&gt;1,(H96/(B96+2)),H96/4))</f>
        <v>3.75</v>
      </c>
    </row>
    <row r="102" spans="1:10" ht="15.75" hidden="1" customHeight="1" x14ac:dyDescent="0.25">
      <c r="A102" s="101" t="s">
        <v>140</v>
      </c>
      <c r="B102" s="102" t="s">
        <v>134</v>
      </c>
      <c r="C102" s="87">
        <v>0</v>
      </c>
      <c r="D102" s="18">
        <f ca="1">((100/H96)*C102)/100</f>
        <v>0</v>
      </c>
      <c r="E102" s="139"/>
      <c r="F102" s="177"/>
      <c r="G102" s="139"/>
      <c r="H102" s="140"/>
      <c r="I102" s="13" t="s">
        <v>105</v>
      </c>
      <c r="J102" s="29">
        <f ca="1">(IF(B96&gt;1,(H96/(B96+2)+J101),H96/4+J101))</f>
        <v>7.5</v>
      </c>
    </row>
    <row r="103" spans="1:10" ht="15.75" hidden="1" customHeight="1" x14ac:dyDescent="0.25">
      <c r="A103" s="101" t="s">
        <v>141</v>
      </c>
      <c r="B103" s="102" t="s">
        <v>134</v>
      </c>
      <c r="C103" s="87">
        <v>0</v>
      </c>
      <c r="D103" s="18">
        <f ca="1">((100/H96)*C103)/100</f>
        <v>0</v>
      </c>
      <c r="E103" s="139"/>
      <c r="F103" s="177"/>
      <c r="G103" s="139"/>
      <c r="H103" s="140"/>
      <c r="I103" s="13" t="s">
        <v>151</v>
      </c>
      <c r="J103" s="29">
        <f>(IF(B96&gt;1,(H96/(B96+2)+J102),0))</f>
        <v>0</v>
      </c>
    </row>
    <row r="104" spans="1:10" ht="15" hidden="1" customHeight="1" x14ac:dyDescent="0.25">
      <c r="A104" s="101" t="s">
        <v>139</v>
      </c>
      <c r="B104" s="102" t="s">
        <v>136</v>
      </c>
      <c r="C104" s="87">
        <v>0</v>
      </c>
      <c r="D104" s="18">
        <f ca="1">((100/(H96))*C104)/100</f>
        <v>0</v>
      </c>
      <c r="E104" s="139"/>
      <c r="F104" s="177"/>
      <c r="G104" s="139"/>
      <c r="H104" s="140"/>
      <c r="I104" s="13" t="s">
        <v>147</v>
      </c>
      <c r="J104" s="29">
        <f>(IF(B96&gt;2,(H96/(B96+2)+J103),0))</f>
        <v>0</v>
      </c>
    </row>
    <row r="105" spans="1:10" ht="15.75" hidden="1" customHeight="1" x14ac:dyDescent="0.25">
      <c r="A105" s="101" t="s">
        <v>135</v>
      </c>
      <c r="B105" s="102" t="s">
        <v>135</v>
      </c>
      <c r="C105" s="87">
        <v>0</v>
      </c>
      <c r="D105" s="18">
        <f ca="1">((100/H96)*C105)/100</f>
        <v>0</v>
      </c>
      <c r="E105" s="139"/>
      <c r="F105" s="177"/>
      <c r="G105" s="139"/>
      <c r="H105" s="140"/>
      <c r="I105" s="13" t="s">
        <v>148</v>
      </c>
      <c r="J105" s="30">
        <f>(IF(B96&gt;3,(H96/(B96+2)+J104),0))</f>
        <v>0</v>
      </c>
    </row>
    <row r="106" spans="1:10" ht="15.75" hidden="1" customHeight="1" x14ac:dyDescent="0.25">
      <c r="A106" s="101" t="s">
        <v>142</v>
      </c>
      <c r="B106" s="102"/>
      <c r="C106" s="87">
        <v>0</v>
      </c>
      <c r="D106" s="18">
        <f ca="1">((100/H96)*C106)/100</f>
        <v>0</v>
      </c>
      <c r="E106" s="139"/>
      <c r="F106" s="177"/>
      <c r="G106" s="139"/>
      <c r="H106" s="140"/>
      <c r="I106" s="13" t="s">
        <v>149</v>
      </c>
      <c r="J106" s="29">
        <f>(IF(B96&gt;4,(H96/(B96+2)+J105),0))</f>
        <v>0</v>
      </c>
    </row>
    <row r="107" spans="1:10" ht="15.75" hidden="1" customHeight="1" x14ac:dyDescent="0.25">
      <c r="A107" s="101" t="s">
        <v>137</v>
      </c>
      <c r="B107" s="102" t="s">
        <v>137</v>
      </c>
      <c r="C107" s="87">
        <v>0</v>
      </c>
      <c r="D107" s="18">
        <f ca="1">((100/(H96))*C107)/100</f>
        <v>0</v>
      </c>
      <c r="E107" s="139"/>
      <c r="F107" s="177"/>
      <c r="G107" s="139"/>
      <c r="H107" s="140"/>
      <c r="I107" s="13" t="s">
        <v>152</v>
      </c>
      <c r="J107" s="29">
        <f ca="1">(IF(B96=1,(H96/(B96+3)+J102),IF(B96=0,(H96/4+J102),IF(B96&gt;1,0))))</f>
        <v>11.25</v>
      </c>
    </row>
    <row r="108" spans="1:10" ht="16.5" hidden="1" thickBot="1" x14ac:dyDescent="0.3">
      <c r="A108" s="103" t="s">
        <v>138</v>
      </c>
      <c r="B108" s="104"/>
      <c r="C108" s="88">
        <v>0</v>
      </c>
      <c r="D108" s="19">
        <f ca="1">((100/(H96))*C108)/100</f>
        <v>0</v>
      </c>
      <c r="E108" s="141"/>
      <c r="F108" s="178"/>
      <c r="G108" s="141"/>
      <c r="H108" s="142"/>
      <c r="I108" s="85" t="s">
        <v>106</v>
      </c>
      <c r="J108" s="29">
        <f ca="1">(IF(B96&gt;1.5,(H96/(B96+2)+J102+MAX(0,J103-J102)+MAX(0,J104-J103)+MAX(0,J105-J104)+MAX(0,J106-J105)+MAX(0,J107-J106)),IF(B96=1,(H96/(B96+3)+J107),IF(B96=0,H96/4+J107))))</f>
        <v>15</v>
      </c>
    </row>
    <row r="109" spans="1:10" ht="15.75" hidden="1" customHeight="1" x14ac:dyDescent="0.25">
      <c r="A109" s="169" t="s">
        <v>144</v>
      </c>
      <c r="B109" s="170"/>
      <c r="C109" s="171" t="s">
        <v>234</v>
      </c>
      <c r="D109" s="172"/>
      <c r="E109" s="172"/>
      <c r="F109" s="172"/>
      <c r="G109" s="172"/>
      <c r="H109" s="173"/>
      <c r="I109" s="46" t="str">
        <f ca="1">IF(D122=100%,"All work Completed. Possession granted to the Building.",IF(D121=100%,"All work Completed, Waiting for OC",I110&amp;""&amp;I111&amp;""&amp;J110&amp;""&amp;J109&amp;" "&amp;J111))</f>
        <v>Excavation, Plinth Completed, RCC upto 4 Slab, Brickwork upto 1 Floor Completed</v>
      </c>
      <c r="J109" s="47" t="str">
        <f ca="1">(IF(C115=(D110+F110+H110),"",IF(C115&gt;0,", RCC upto "&amp;C115&amp;" Slab","")))&amp;(IF(C116=H110,"",IF(C116&gt;0,", Brickwork upto "&amp;C116&amp;" Floor","")))&amp;(IF(C117=H110,"",IF(C117&gt;0,", Internal Plaster upto "&amp;C117&amp;" Floor","")))&amp;(IF(C118=H110,"",IF(C118&gt;0,", External Plaster upto "&amp;C118&amp;" Floor","")))&amp;(IF(C119=H110,"",IF(C119&gt;0,", Flooring upto "&amp;C119&amp;" Floor","")))&amp;(IF(C120=H110,"",IF(C120&gt;0,", Painting upto "&amp;C120&amp;" Floor","")))&amp;(IF(C121=H110,"",IF(C121&gt;0,", Finishing upto "&amp;C121&amp;" Floor","")))&amp;(IF(C122=H110,"",IF(C122&gt;0,", Possession upto "&amp;C122&amp;" Floor","")))</f>
        <v>, RCC upto 4 Slab, Brickwork upto 1 Floor</v>
      </c>
    </row>
    <row r="110" spans="1:10" hidden="1" x14ac:dyDescent="0.25">
      <c r="A110" s="15" t="s">
        <v>146</v>
      </c>
      <c r="B110" s="91">
        <v>0</v>
      </c>
      <c r="C110" s="91" t="s">
        <v>73</v>
      </c>
      <c r="D110" s="91">
        <v>1</v>
      </c>
      <c r="E110" s="91" t="s">
        <v>72</v>
      </c>
      <c r="F110" s="91">
        <v>0</v>
      </c>
      <c r="G110" s="91" t="s">
        <v>81</v>
      </c>
      <c r="H110" s="16">
        <f ca="1">--TRIM(RIGHT(SUBSTITUTE(LEFT(C109,_xlfn.AGGREGATE(16,6,FIND({0,1,2,3,4,5,6,7,8,9},C109,ROW(INDIRECT("1:"&amp;LEN(C109)))),1))," ",REPT(" ",LEN(C109))),LEN(C109)))</f>
        <v>15</v>
      </c>
      <c r="I110" s="48" t="str">
        <f ca="1">IF(D113=100%,"Excavation","")&amp;IF(D114=100%,", Plinth","")&amp;IF(D115=100%,", RCC Slab","")&amp;IF(D116=100%,", Brickwork","")&amp;IF(D117=100%,", Internal Plaster","")&amp;IF(D118=100%,", External Plaster","")&amp;IF(D119=100%,", Flooring","")&amp;IF(D120=100%,", Painting","")&amp;IF(D121=100%,", Building common Amenities","")</f>
        <v>Excavation, Plinth</v>
      </c>
      <c r="J110" s="49" t="str">
        <f ca="1">(IF(C113=0,"Work not yet Started.",IF(D113=25%,"Piling work in process",IF(D113=50%,"Excavation work in process",IF(D113=100%,"","0")))))&amp;(IF(C114=0%,"",IF(C114=J115,", Footing work is process",IF(C114=J116,", Footing work Completed",IF(C114=J117,", 1st Basement Completed",IF(C114=J118,", 1st &amp; 2nd Basement Completed",IF(C114=J119,", 1st to 3rd Basement Completed",IF(C114=J120,", 1st to 4th Basement Completed",IF(C114=J121,", Plinth work is process",IF(C114=J122,"","0"))))))))))</f>
        <v/>
      </c>
    </row>
    <row r="111" spans="1:10" hidden="1" x14ac:dyDescent="0.25">
      <c r="A111" s="132" t="s">
        <v>91</v>
      </c>
      <c r="B111" s="133"/>
      <c r="C111" s="167" t="str">
        <f ca="1">(IF($C$53=C109,"All work Completed. OC Received.",I109))</f>
        <v>Excavation, Plinth Completed, RCC upto 4 Slab, Brickwork upto 1 Floor Completed</v>
      </c>
      <c r="D111" s="167"/>
      <c r="E111" s="167"/>
      <c r="F111" s="167"/>
      <c r="G111" s="167"/>
      <c r="H111" s="168"/>
      <c r="I111" s="48" t="str">
        <f ca="1">IF(I110&lt;&gt;""," Completed","")</f>
        <v xml:space="preserve"> Completed</v>
      </c>
      <c r="J111" s="49" t="str">
        <f ca="1">IF(J109&lt;&gt;"","Completed","")</f>
        <v>Completed</v>
      </c>
    </row>
    <row r="112" spans="1:10" ht="15.75" hidden="1" customHeight="1" x14ac:dyDescent="0.25">
      <c r="A112" s="101" t="s">
        <v>49</v>
      </c>
      <c r="B112" s="102"/>
      <c r="C112" s="90" t="s">
        <v>143</v>
      </c>
      <c r="D112" s="90" t="s">
        <v>84</v>
      </c>
      <c r="E112" s="102" t="s">
        <v>86</v>
      </c>
      <c r="F112" s="102"/>
      <c r="G112" s="102" t="s">
        <v>85</v>
      </c>
      <c r="H112" s="135"/>
      <c r="I112" s="13" t="s">
        <v>145</v>
      </c>
      <c r="J112" s="27">
        <f ca="1">H110*25%</f>
        <v>3.75</v>
      </c>
    </row>
    <row r="113" spans="1:18" hidden="1" x14ac:dyDescent="0.25">
      <c r="A113" s="101" t="s">
        <v>132</v>
      </c>
      <c r="B113" s="102"/>
      <c r="C113" s="90">
        <f ca="1">J114</f>
        <v>15</v>
      </c>
      <c r="D113" s="18">
        <f ca="1">((100/H110)*C113)/100</f>
        <v>1</v>
      </c>
      <c r="E113" s="137">
        <f ca="1">(((C114/H110*10)+(40/(D110+F110+H110)*C115)+(7.5/(H110)*C116)+(7.5/(H110)*C117)+(10/H110*C118)+(10/H110*C119)+(5/H110*C120)+(5/H110*C121)+(5/H110*C122))/100)</f>
        <v>0.20499999999999999</v>
      </c>
      <c r="F113" s="176"/>
      <c r="G113" s="137">
        <f ca="1">((((C113/H110)*20)+((C114/H110)*25)+(30/(H110+F110+D110)*C115)+(5/H110*C116)+(5/H110*C117)+(5/H110*C118)+(5/H110*C119)+(0/H110*C120)+(0/H110*C121)+(5/H110*C122))/100)</f>
        <v>0.52833333333333332</v>
      </c>
      <c r="H113" s="138"/>
      <c r="I113" s="13" t="s">
        <v>102</v>
      </c>
      <c r="J113" s="28">
        <f ca="1">H110*50%</f>
        <v>7.5</v>
      </c>
    </row>
    <row r="114" spans="1:18" hidden="1" x14ac:dyDescent="0.25">
      <c r="A114" s="101" t="s">
        <v>50</v>
      </c>
      <c r="B114" s="102"/>
      <c r="C114" s="54">
        <f ca="1">J122</f>
        <v>15</v>
      </c>
      <c r="D114" s="18">
        <f ca="1">((100/H110)*C114)/100</f>
        <v>1</v>
      </c>
      <c r="E114" s="139"/>
      <c r="F114" s="177"/>
      <c r="G114" s="139"/>
      <c r="H114" s="140"/>
      <c r="I114" s="13" t="s">
        <v>103</v>
      </c>
      <c r="J114" s="28">
        <f ca="1">H110</f>
        <v>15</v>
      </c>
    </row>
    <row r="115" spans="1:18" ht="15.75" hidden="1" customHeight="1" x14ac:dyDescent="0.25">
      <c r="A115" s="101" t="s">
        <v>133</v>
      </c>
      <c r="B115" s="102"/>
      <c r="C115" s="90">
        <v>4</v>
      </c>
      <c r="D115" s="18">
        <f ca="1">((100/(D110+F110+H110))*C115)/100</f>
        <v>0.25</v>
      </c>
      <c r="E115" s="139"/>
      <c r="F115" s="177"/>
      <c r="G115" s="139"/>
      <c r="H115" s="140"/>
      <c r="I115" s="13" t="s">
        <v>104</v>
      </c>
      <c r="J115" s="29">
        <f ca="1">(IF(B110&gt;1,(H110/(B110+2)),H110/4))</f>
        <v>3.75</v>
      </c>
    </row>
    <row r="116" spans="1:18" ht="15.75" hidden="1" customHeight="1" x14ac:dyDescent="0.25">
      <c r="A116" s="101" t="s">
        <v>140</v>
      </c>
      <c r="B116" s="102" t="s">
        <v>134</v>
      </c>
      <c r="C116" s="90">
        <v>1</v>
      </c>
      <c r="D116" s="18">
        <f ca="1">((100/H110)*C116)/100</f>
        <v>6.6666666666666666E-2</v>
      </c>
      <c r="E116" s="139"/>
      <c r="F116" s="177"/>
      <c r="G116" s="139"/>
      <c r="H116" s="140"/>
      <c r="I116" s="13" t="s">
        <v>105</v>
      </c>
      <c r="J116" s="29">
        <f ca="1">(IF(B110&gt;1,(H110/(B110+2)+J115),H110/4+J115))</f>
        <v>7.5</v>
      </c>
    </row>
    <row r="117" spans="1:18" ht="15.75" hidden="1" customHeight="1" x14ac:dyDescent="0.25">
      <c r="A117" s="101" t="s">
        <v>141</v>
      </c>
      <c r="B117" s="102" t="s">
        <v>134</v>
      </c>
      <c r="C117" s="90">
        <v>0</v>
      </c>
      <c r="D117" s="18">
        <f ca="1">((100/H110)*C117)/100</f>
        <v>0</v>
      </c>
      <c r="E117" s="139"/>
      <c r="F117" s="177"/>
      <c r="G117" s="139"/>
      <c r="H117" s="140"/>
      <c r="I117" s="13" t="s">
        <v>151</v>
      </c>
      <c r="J117" s="29">
        <f>(IF(B110&gt;1,(H110/(B110+2)+J116),0))</f>
        <v>0</v>
      </c>
    </row>
    <row r="118" spans="1:18" ht="15" hidden="1" customHeight="1" x14ac:dyDescent="0.25">
      <c r="A118" s="101" t="s">
        <v>139</v>
      </c>
      <c r="B118" s="102" t="s">
        <v>136</v>
      </c>
      <c r="C118" s="90">
        <v>0</v>
      </c>
      <c r="D118" s="18">
        <f ca="1">((100/(H110))*C118)/100</f>
        <v>0</v>
      </c>
      <c r="E118" s="139"/>
      <c r="F118" s="177"/>
      <c r="G118" s="139"/>
      <c r="H118" s="140"/>
      <c r="I118" s="13" t="s">
        <v>147</v>
      </c>
      <c r="J118" s="29">
        <f>(IF(B110&gt;2,(H110/(B110+2)+J117),0))</f>
        <v>0</v>
      </c>
    </row>
    <row r="119" spans="1:18" ht="15.75" hidden="1" customHeight="1" x14ac:dyDescent="0.25">
      <c r="A119" s="101" t="s">
        <v>135</v>
      </c>
      <c r="B119" s="102" t="s">
        <v>135</v>
      </c>
      <c r="C119" s="90">
        <v>0</v>
      </c>
      <c r="D119" s="18">
        <f ca="1">((100/H110)*C119)/100</f>
        <v>0</v>
      </c>
      <c r="E119" s="139"/>
      <c r="F119" s="177"/>
      <c r="G119" s="139"/>
      <c r="H119" s="140"/>
      <c r="I119" s="13" t="s">
        <v>148</v>
      </c>
      <c r="J119" s="30">
        <f>(IF(B110&gt;3,(H110/(B110+2)+J118),0))</f>
        <v>0</v>
      </c>
    </row>
    <row r="120" spans="1:18" ht="15.75" hidden="1" customHeight="1" x14ac:dyDescent="0.25">
      <c r="A120" s="101" t="s">
        <v>142</v>
      </c>
      <c r="B120" s="102"/>
      <c r="C120" s="90">
        <v>0</v>
      </c>
      <c r="D120" s="18">
        <f ca="1">((100/H110)*C120)/100</f>
        <v>0</v>
      </c>
      <c r="E120" s="139"/>
      <c r="F120" s="177"/>
      <c r="G120" s="139"/>
      <c r="H120" s="140"/>
      <c r="I120" s="13" t="s">
        <v>149</v>
      </c>
      <c r="J120" s="29">
        <f>(IF(B110&gt;4,(H110/(B110+2)+J119),0))</f>
        <v>0</v>
      </c>
    </row>
    <row r="121" spans="1:18" ht="15.75" hidden="1" customHeight="1" x14ac:dyDescent="0.25">
      <c r="A121" s="101" t="s">
        <v>137</v>
      </c>
      <c r="B121" s="102" t="s">
        <v>137</v>
      </c>
      <c r="C121" s="90">
        <v>0</v>
      </c>
      <c r="D121" s="18">
        <f ca="1">((100/(H110))*C121)/100</f>
        <v>0</v>
      </c>
      <c r="E121" s="139"/>
      <c r="F121" s="177"/>
      <c r="G121" s="139"/>
      <c r="H121" s="140"/>
      <c r="I121" s="13" t="s">
        <v>152</v>
      </c>
      <c r="J121" s="29">
        <f ca="1">(IF(B110=1,(H110/(B110+3)+J116),IF(B110=0,(H110/4+J116),IF(B110&gt;1,0))))</f>
        <v>11.25</v>
      </c>
    </row>
    <row r="122" spans="1:18" ht="16.5" hidden="1" thickBot="1" x14ac:dyDescent="0.3">
      <c r="A122" s="103" t="s">
        <v>138</v>
      </c>
      <c r="B122" s="104"/>
      <c r="C122" s="92">
        <v>0</v>
      </c>
      <c r="D122" s="19">
        <f ca="1">((100/(H110))*C122)/100</f>
        <v>0</v>
      </c>
      <c r="E122" s="141"/>
      <c r="F122" s="178"/>
      <c r="G122" s="141"/>
      <c r="H122" s="142"/>
      <c r="I122" s="85" t="s">
        <v>106</v>
      </c>
      <c r="J122" s="29">
        <f ca="1">(IF(B110&gt;1.5,(H110/(B110+2)+J116+MAX(0,J117-J116)+MAX(0,J118-J117)+MAX(0,J119-J118)+MAX(0,J120-J119)+MAX(0,J121-J120)),IF(B110=1,(H110/(B110+3)+J121),IF(B110=0,H110/4+J121))))</f>
        <v>15</v>
      </c>
    </row>
    <row r="123" spans="1:18" ht="32.1" hidden="1" customHeight="1" thickBot="1" x14ac:dyDescent="0.3">
      <c r="A123" s="105" t="s">
        <v>237</v>
      </c>
      <c r="B123" s="106"/>
      <c r="C123" s="107">
        <f ca="1">AVERAGE(E85,E113)</f>
        <v>0.26250000000000001</v>
      </c>
      <c r="D123" s="106"/>
      <c r="E123" s="106" t="s">
        <v>235</v>
      </c>
      <c r="F123" s="134"/>
      <c r="G123" s="107">
        <f ca="1">AVERAGE(G85,G113)</f>
        <v>0.5708333333333333</v>
      </c>
      <c r="H123" s="134"/>
      <c r="I123" s="85" t="s">
        <v>106</v>
      </c>
      <c r="J123" s="29">
        <f ca="1">(IF(B97&gt;1.5,(H97/(B97+2)+J103+MAX(0,J104-J103)+MAX(0,J105-J104)+MAX(0,J106-J105)+MAX(0,J107-J106)+MAX(0,J108-J107)),IF(B97=1,(H97/(B97+3)+J108),IF(B97=0,H97/4+J108))))</f>
        <v>15</v>
      </c>
    </row>
    <row r="124" spans="1:18" x14ac:dyDescent="0.25">
      <c r="A124" s="180" t="s">
        <v>162</v>
      </c>
      <c r="B124" s="180"/>
      <c r="C124" s="180"/>
      <c r="D124" s="180"/>
      <c r="E124" s="180"/>
      <c r="F124" s="179" t="s">
        <v>167</v>
      </c>
      <c r="G124" s="179"/>
      <c r="H124" s="179"/>
      <c r="I124" s="84"/>
      <c r="J124" s="84"/>
      <c r="K124" s="84"/>
      <c r="L124" s="84"/>
      <c r="M124" s="117" t="s">
        <v>70</v>
      </c>
      <c r="N124" s="74" t="s">
        <v>195</v>
      </c>
      <c r="O124" s="74" t="s">
        <v>196</v>
      </c>
      <c r="P124" s="74" t="s">
        <v>197</v>
      </c>
      <c r="Q124" s="74" t="s">
        <v>198</v>
      </c>
      <c r="R124" s="36" t="s">
        <v>115</v>
      </c>
    </row>
    <row r="125" spans="1:18" x14ac:dyDescent="0.25">
      <c r="A125" s="143" t="s">
        <v>165</v>
      </c>
      <c r="B125" s="143"/>
      <c r="C125" s="143"/>
      <c r="D125" s="143"/>
      <c r="E125" s="143"/>
      <c r="F125" s="247">
        <v>3900</v>
      </c>
      <c r="G125" s="247"/>
      <c r="H125" s="247"/>
      <c r="I125" s="86" t="s">
        <v>231</v>
      </c>
      <c r="J125" s="86" t="s">
        <v>232</v>
      </c>
      <c r="K125" s="86" t="s">
        <v>233</v>
      </c>
      <c r="L125" s="86">
        <v>45076</v>
      </c>
      <c r="M125" s="118"/>
      <c r="N125" s="74">
        <v>4000</v>
      </c>
      <c r="O125" s="74">
        <v>3934</v>
      </c>
      <c r="P125" s="74">
        <v>3500</v>
      </c>
      <c r="Q125" s="74">
        <v>3736</v>
      </c>
      <c r="R125" s="35">
        <f>AVERAGE(N125:Q125)</f>
        <v>3792.5</v>
      </c>
    </row>
    <row r="126" spans="1:18" x14ac:dyDescent="0.25">
      <c r="A126" s="143" t="s">
        <v>164</v>
      </c>
      <c r="B126" s="143"/>
      <c r="C126" s="143"/>
      <c r="D126" s="143"/>
      <c r="E126" s="143"/>
      <c r="F126" s="130">
        <v>6000</v>
      </c>
      <c r="G126" s="130"/>
      <c r="H126" s="130"/>
      <c r="I126" s="82"/>
      <c r="J126" s="82"/>
      <c r="K126" s="82"/>
      <c r="L126" s="82"/>
      <c r="M126" s="36" t="s">
        <v>207</v>
      </c>
      <c r="N126" s="75">
        <v>6500</v>
      </c>
      <c r="Q126" s="74">
        <v>5100</v>
      </c>
      <c r="R126" s="35">
        <f>AVERAGE(N126,Q126)</f>
        <v>5800</v>
      </c>
    </row>
    <row r="127" spans="1:18" x14ac:dyDescent="0.25">
      <c r="A127" s="143" t="s">
        <v>166</v>
      </c>
      <c r="B127" s="143"/>
      <c r="C127" s="143"/>
      <c r="D127" s="143"/>
      <c r="E127" s="143"/>
      <c r="F127" s="130">
        <v>4700</v>
      </c>
      <c r="G127" s="130"/>
      <c r="H127" s="130"/>
      <c r="I127" s="82"/>
      <c r="J127" s="82"/>
      <c r="K127" s="82"/>
      <c r="L127" s="82"/>
      <c r="N127" s="21" t="s">
        <v>209</v>
      </c>
    </row>
    <row r="128" spans="1:18" s="32" customFormat="1" hidden="1" x14ac:dyDescent="0.25">
      <c r="A128" s="143" t="s">
        <v>163</v>
      </c>
      <c r="B128" s="143"/>
      <c r="C128" s="143"/>
      <c r="D128" s="143"/>
      <c r="E128" s="143"/>
      <c r="F128" s="130"/>
      <c r="G128" s="130"/>
      <c r="H128" s="130"/>
      <c r="I128" s="82"/>
      <c r="J128" s="82"/>
      <c r="K128" s="82"/>
      <c r="L128" s="82"/>
      <c r="M128" s="60" t="s">
        <v>210</v>
      </c>
      <c r="O128" s="77">
        <v>4000</v>
      </c>
    </row>
    <row r="129" spans="1:24" s="32" customFormat="1" x14ac:dyDescent="0.25">
      <c r="A129" s="143" t="s">
        <v>96</v>
      </c>
      <c r="B129" s="143"/>
      <c r="C129" s="143"/>
      <c r="D129" s="143"/>
      <c r="E129" s="143"/>
      <c r="F129" s="130">
        <v>265000</v>
      </c>
      <c r="G129" s="130"/>
      <c r="H129" s="130"/>
      <c r="I129" s="82"/>
      <c r="J129" s="82"/>
      <c r="K129" s="82"/>
      <c r="L129" s="82"/>
    </row>
    <row r="130" spans="1:24" s="32" customFormat="1" hidden="1" x14ac:dyDescent="0.25">
      <c r="A130" s="143" t="s">
        <v>97</v>
      </c>
      <c r="B130" s="143"/>
      <c r="C130" s="143"/>
      <c r="D130" s="143"/>
      <c r="E130" s="143"/>
      <c r="F130" s="130"/>
      <c r="G130" s="130"/>
      <c r="H130" s="130"/>
      <c r="I130" s="82"/>
      <c r="J130" s="82"/>
      <c r="K130" s="82"/>
      <c r="L130" s="82"/>
    </row>
    <row r="131" spans="1:24" s="32" customFormat="1" hidden="1" x14ac:dyDescent="0.25">
      <c r="A131" s="143" t="s">
        <v>168</v>
      </c>
      <c r="B131" s="143"/>
      <c r="C131" s="143"/>
      <c r="D131" s="143"/>
      <c r="E131" s="143"/>
      <c r="F131" s="130">
        <v>12000</v>
      </c>
      <c r="G131" s="130"/>
      <c r="H131" s="130"/>
      <c r="I131" s="82"/>
      <c r="J131" s="82"/>
      <c r="K131" s="82"/>
      <c r="L131" s="82"/>
      <c r="O131" s="116" t="s">
        <v>70</v>
      </c>
      <c r="P131" s="120" t="s">
        <v>201</v>
      </c>
      <c r="Q131" s="121"/>
      <c r="R131" s="61" t="s">
        <v>115</v>
      </c>
      <c r="U131" s="114" t="s">
        <v>208</v>
      </c>
      <c r="V131" s="114"/>
      <c r="W131" s="76" t="s">
        <v>115</v>
      </c>
      <c r="X131" s="60"/>
    </row>
    <row r="132" spans="1:24" s="32" customFormat="1" hidden="1" x14ac:dyDescent="0.25">
      <c r="A132" s="143" t="s">
        <v>98</v>
      </c>
      <c r="B132" s="143"/>
      <c r="C132" s="143"/>
      <c r="D132" s="143"/>
      <c r="E132" s="143"/>
      <c r="F132" s="130"/>
      <c r="G132" s="130"/>
      <c r="H132" s="130"/>
      <c r="I132" s="82"/>
      <c r="J132" s="82"/>
      <c r="K132" s="82"/>
      <c r="L132" s="82"/>
      <c r="O132" s="116"/>
      <c r="P132" s="61" t="s">
        <v>199</v>
      </c>
      <c r="Q132" s="61" t="s">
        <v>200</v>
      </c>
      <c r="R132" s="111">
        <f>AVERAGE(P133:P134,Q133:Q134)</f>
        <v>3933.5697072953599</v>
      </c>
      <c r="U132" s="116" t="s">
        <v>207</v>
      </c>
      <c r="V132" s="62">
        <f>5500000/1500</f>
        <v>3666.6666666666665</v>
      </c>
      <c r="W132" s="115">
        <f>AVERAGE(V132,V133,V134)</f>
        <v>5092.5925925925922</v>
      </c>
    </row>
    <row r="133" spans="1:24" s="32" customFormat="1" hidden="1" x14ac:dyDescent="0.25">
      <c r="A133" s="143" t="s">
        <v>99</v>
      </c>
      <c r="B133" s="143"/>
      <c r="C133" s="143"/>
      <c r="D133" s="143"/>
      <c r="E133" s="143"/>
      <c r="F133" s="130"/>
      <c r="G133" s="130"/>
      <c r="H133" s="130"/>
      <c r="I133" s="82"/>
      <c r="J133" s="82"/>
      <c r="K133" s="82"/>
      <c r="L133" s="82"/>
      <c r="O133" s="116"/>
      <c r="P133" s="62">
        <f>2500000/635</f>
        <v>3937.0078740157483</v>
      </c>
      <c r="Q133" s="62">
        <f>3500000/855</f>
        <v>4093.5672514619882</v>
      </c>
      <c r="R133" s="112"/>
      <c r="U133" s="116"/>
      <c r="V133" s="62">
        <f>5500000/900</f>
        <v>6111.1111111111113</v>
      </c>
      <c r="W133" s="116"/>
    </row>
    <row r="134" spans="1:24" s="32" customFormat="1" hidden="1" x14ac:dyDescent="0.25">
      <c r="A134" s="143" t="s">
        <v>100</v>
      </c>
      <c r="B134" s="143"/>
      <c r="C134" s="143"/>
      <c r="D134" s="143"/>
      <c r="E134" s="143"/>
      <c r="F134" s="130"/>
      <c r="G134" s="130"/>
      <c r="H134" s="130"/>
      <c r="I134" s="82"/>
      <c r="J134" s="82"/>
      <c r="K134" s="82"/>
      <c r="L134" s="82"/>
      <c r="O134" s="116"/>
      <c r="P134" s="62">
        <f>2500000/675</f>
        <v>3703.7037037037039</v>
      </c>
      <c r="Q134" s="62">
        <f>3500000/875</f>
        <v>4000</v>
      </c>
      <c r="R134" s="113"/>
      <c r="U134" s="116"/>
      <c r="V134" s="62">
        <f>5500000/1000</f>
        <v>5500</v>
      </c>
      <c r="W134" s="116"/>
    </row>
    <row r="135" spans="1:24" s="32" customFormat="1" hidden="1" x14ac:dyDescent="0.25">
      <c r="A135" s="143" t="s">
        <v>101</v>
      </c>
      <c r="B135" s="143"/>
      <c r="C135" s="143"/>
      <c r="D135" s="143"/>
      <c r="E135" s="143"/>
      <c r="F135" s="130"/>
      <c r="G135" s="130"/>
      <c r="H135" s="130"/>
      <c r="I135" s="82"/>
      <c r="J135" s="82"/>
      <c r="K135" s="82"/>
      <c r="L135" s="82"/>
    </row>
    <row r="136" spans="1:24" x14ac:dyDescent="0.25">
      <c r="A136" s="143" t="s">
        <v>51</v>
      </c>
      <c r="B136" s="143"/>
      <c r="C136" s="143"/>
      <c r="D136" s="143"/>
      <c r="E136" s="143"/>
      <c r="F136" s="130">
        <v>150000</v>
      </c>
      <c r="G136" s="130"/>
      <c r="H136" s="130"/>
      <c r="I136" s="82"/>
      <c r="J136" s="82"/>
      <c r="K136" s="82"/>
      <c r="L136" s="82"/>
      <c r="O136" s="61" t="s">
        <v>70</v>
      </c>
      <c r="P136" s="122" t="s">
        <v>202</v>
      </c>
      <c r="Q136" s="122"/>
      <c r="R136" s="61" t="s">
        <v>115</v>
      </c>
      <c r="U136" s="119" t="s">
        <v>211</v>
      </c>
      <c r="V136" s="119"/>
      <c r="W136" s="63" t="s">
        <v>115</v>
      </c>
    </row>
    <row r="137" spans="1:24" s="33" customFormat="1" x14ac:dyDescent="0.25">
      <c r="A137" s="214" t="s">
        <v>52</v>
      </c>
      <c r="B137" s="214"/>
      <c r="C137" s="214"/>
      <c r="D137" s="214"/>
      <c r="E137" s="214"/>
      <c r="F137" s="130">
        <f>F125*0.8</f>
        <v>3120</v>
      </c>
      <c r="G137" s="130"/>
      <c r="H137" s="130"/>
      <c r="I137" s="82"/>
      <c r="J137" s="82"/>
      <c r="K137" s="82"/>
      <c r="L137" s="82"/>
      <c r="O137" s="61"/>
      <c r="P137" s="123" t="s">
        <v>199</v>
      </c>
      <c r="Q137" s="123"/>
      <c r="R137" s="73">
        <f>AVERAGE(M239:M245,M247)</f>
        <v>3735.6811766957017</v>
      </c>
      <c r="U137" s="64" t="s">
        <v>210</v>
      </c>
      <c r="V137" s="73">
        <f>5000000/1500</f>
        <v>3333.3333333333335</v>
      </c>
      <c r="W137" s="73">
        <f>AVERAGE(V137,R239,R240)</f>
        <v>3796.296296296297</v>
      </c>
    </row>
    <row r="138" spans="1:24" s="34" customFormat="1" ht="15.75" customHeight="1" x14ac:dyDescent="0.25">
      <c r="A138" s="181" t="s">
        <v>76</v>
      </c>
      <c r="B138" s="181"/>
      <c r="C138" s="181"/>
      <c r="D138" s="181"/>
      <c r="E138" s="181"/>
      <c r="F138" s="181"/>
      <c r="G138" s="181"/>
      <c r="H138" s="181"/>
      <c r="I138" s="83"/>
      <c r="J138" s="83"/>
      <c r="K138" s="83"/>
      <c r="L138" s="83"/>
      <c r="O138" s="61"/>
      <c r="P138" s="65"/>
      <c r="Q138" s="65"/>
      <c r="R138" s="64"/>
      <c r="U138" s="64"/>
      <c r="V138" s="65"/>
      <c r="W138" s="64"/>
    </row>
    <row r="139" spans="1:24" s="34" customFormat="1" ht="15.75" customHeight="1" x14ac:dyDescent="0.25">
      <c r="A139" s="150" t="s">
        <v>53</v>
      </c>
      <c r="B139" s="150"/>
      <c r="C139" s="156" t="s">
        <v>79</v>
      </c>
      <c r="D139" s="156"/>
      <c r="E139" s="158" t="s">
        <v>54</v>
      </c>
      <c r="F139" s="158"/>
      <c r="G139" s="150" t="s">
        <v>55</v>
      </c>
      <c r="H139" s="150"/>
      <c r="K139" s="61"/>
      <c r="L139" s="65"/>
      <c r="M139" s="65"/>
      <c r="N139" s="64"/>
      <c r="Q139" s="64"/>
      <c r="R139" s="65"/>
      <c r="S139" s="64"/>
    </row>
    <row r="140" spans="1:24" s="34" customFormat="1" ht="15.75" customHeight="1" x14ac:dyDescent="0.25">
      <c r="A140" s="159" t="s">
        <v>222</v>
      </c>
      <c r="B140" s="159"/>
      <c r="C140" s="151">
        <f>COUNT(D153:D162)</f>
        <v>10</v>
      </c>
      <c r="D140" s="152"/>
      <c r="E140" s="153">
        <f>SUM(D153:D162)</f>
        <v>6128.8181603999983</v>
      </c>
      <c r="F140" s="154"/>
      <c r="G140" s="153">
        <f>SUM(F153:F162)</f>
        <v>13455</v>
      </c>
      <c r="H140" s="154"/>
      <c r="K140" s="61"/>
      <c r="L140" s="65"/>
      <c r="M140" s="65"/>
      <c r="N140" s="64"/>
      <c r="Q140" s="64"/>
      <c r="R140" s="65"/>
      <c r="S140" s="64"/>
    </row>
    <row r="141" spans="1:24" s="34" customFormat="1" ht="15.75" customHeight="1" x14ac:dyDescent="0.25">
      <c r="A141" s="159" t="s">
        <v>223</v>
      </c>
      <c r="B141" s="159"/>
      <c r="C141" s="151">
        <f>COUNT(D164:D175)</f>
        <v>12</v>
      </c>
      <c r="D141" s="152"/>
      <c r="E141" s="153">
        <f>SUM(D164:D175)</f>
        <v>5966.5971456000007</v>
      </c>
      <c r="F141" s="154"/>
      <c r="G141" s="153">
        <f>SUM(F164:F175)</f>
        <v>8865</v>
      </c>
      <c r="H141" s="154"/>
      <c r="K141" s="61"/>
      <c r="L141" s="65"/>
      <c r="M141" s="65"/>
      <c r="N141" s="64"/>
      <c r="Q141" s="64"/>
      <c r="R141" s="65"/>
      <c r="S141" s="64"/>
    </row>
    <row r="142" spans="1:24" s="34" customFormat="1" ht="15.75" customHeight="1" x14ac:dyDescent="0.25">
      <c r="A142" s="181" t="s">
        <v>71</v>
      </c>
      <c r="B142" s="181"/>
      <c r="C142" s="181"/>
      <c r="D142" s="181"/>
      <c r="E142" s="181"/>
      <c r="F142" s="181"/>
      <c r="G142" s="181"/>
      <c r="H142" s="181"/>
      <c r="K142" s="61"/>
      <c r="L142" s="65"/>
      <c r="M142" s="65"/>
      <c r="N142" s="64"/>
      <c r="Q142" s="64"/>
      <c r="R142" s="65"/>
      <c r="S142" s="64"/>
    </row>
    <row r="143" spans="1:24" s="34" customFormat="1" ht="15.75" customHeight="1" x14ac:dyDescent="0.25">
      <c r="A143" s="150" t="s">
        <v>53</v>
      </c>
      <c r="B143" s="150"/>
      <c r="C143" s="156" t="s">
        <v>79</v>
      </c>
      <c r="D143" s="156"/>
      <c r="E143" s="158" t="s">
        <v>54</v>
      </c>
      <c r="F143" s="158"/>
      <c r="G143" s="150" t="s">
        <v>55</v>
      </c>
      <c r="H143" s="150"/>
      <c r="K143" s="61"/>
      <c r="L143" s="65"/>
      <c r="M143" s="65"/>
      <c r="N143" s="64"/>
      <c r="Q143" s="64"/>
      <c r="R143" s="65"/>
      <c r="S143" s="64"/>
    </row>
    <row r="144" spans="1:24" s="34" customFormat="1" ht="15.75" customHeight="1" x14ac:dyDescent="0.25">
      <c r="A144" s="159" t="s">
        <v>212</v>
      </c>
      <c r="B144" s="159"/>
      <c r="C144" s="151">
        <f>COUNT(D181:D184)</f>
        <v>4</v>
      </c>
      <c r="D144" s="152"/>
      <c r="E144" s="153">
        <f>SUM(D181:D184)</f>
        <v>1692.3160799999996</v>
      </c>
      <c r="F144" s="154"/>
      <c r="G144" s="153">
        <f>SUM(F181:F184)</f>
        <v>2625</v>
      </c>
      <c r="H144" s="154"/>
      <c r="K144" s="61"/>
      <c r="L144" s="65"/>
      <c r="M144" s="65"/>
      <c r="N144" s="64"/>
      <c r="Q144" s="64"/>
      <c r="R144" s="65"/>
      <c r="S144" s="64"/>
    </row>
    <row r="145" spans="1:19" s="34" customFormat="1" ht="15.75" customHeight="1" x14ac:dyDescent="0.25">
      <c r="A145" s="159" t="s">
        <v>217</v>
      </c>
      <c r="B145" s="159"/>
      <c r="C145" s="152">
        <f>COUNT(D187:D197)+COUNT(D199:D209)*4+COUNT(D211:D221)+COUNT(D223:D233)+COUNT(D235:D238)</f>
        <v>81</v>
      </c>
      <c r="D145" s="152"/>
      <c r="E145" s="153">
        <f>SUM(D187:D197)+SUM(D199:D209)*4+SUM(D211:D221)+SUM(D223:D233)+SUM(D235:D238)</f>
        <v>36772.084439999991</v>
      </c>
      <c r="F145" s="153"/>
      <c r="G145" s="153">
        <f>SUM(F187:F197)+SUM(F199:F209)*4+SUM(F211:F221)+SUM(F223:F233)+SUM(F235:F238)</f>
        <v>56945</v>
      </c>
      <c r="H145" s="153"/>
      <c r="K145" s="61"/>
      <c r="L145" s="65"/>
      <c r="M145" s="65"/>
      <c r="N145" s="64"/>
      <c r="Q145" s="64"/>
      <c r="R145" s="65"/>
      <c r="S145" s="64"/>
    </row>
    <row r="146" spans="1:19" s="34" customFormat="1" ht="15.75" customHeight="1" x14ac:dyDescent="0.25">
      <c r="A146" s="181" t="s">
        <v>155</v>
      </c>
      <c r="B146" s="181"/>
      <c r="C146" s="155">
        <f>SUM(C144:D145)</f>
        <v>85</v>
      </c>
      <c r="D146" s="156"/>
      <c r="E146" s="157">
        <f>SUM(E144:F145)</f>
        <v>38464.400519999988</v>
      </c>
      <c r="F146" s="158"/>
      <c r="G146" s="150">
        <f>SUM(G144:H145)</f>
        <v>59570</v>
      </c>
      <c r="H146" s="150"/>
      <c r="K146" s="61"/>
      <c r="L146" s="65"/>
      <c r="M146" s="65"/>
      <c r="N146" s="64"/>
      <c r="Q146" s="64"/>
      <c r="R146" s="65"/>
      <c r="S146" s="64"/>
    </row>
    <row r="147" spans="1:19" s="33" customFormat="1" ht="15.75" customHeight="1" x14ac:dyDescent="0.25">
      <c r="A147" s="131" t="s">
        <v>56</v>
      </c>
      <c r="B147" s="131"/>
      <c r="C147" s="131"/>
      <c r="D147" s="131"/>
      <c r="E147" s="131"/>
      <c r="F147" s="131"/>
      <c r="G147" s="131"/>
      <c r="H147" s="131"/>
      <c r="K147" s="61"/>
      <c r="L147" s="66"/>
      <c r="M147" s="66"/>
      <c r="N147" s="64"/>
      <c r="Q147" s="64"/>
      <c r="R147" s="64"/>
      <c r="S147" s="64"/>
    </row>
    <row r="148" spans="1:19" ht="15.75" customHeight="1" x14ac:dyDescent="0.25">
      <c r="A148" s="131" t="s">
        <v>57</v>
      </c>
      <c r="B148" s="131"/>
      <c r="C148" s="131"/>
      <c r="D148" s="131"/>
      <c r="E148" s="131"/>
      <c r="F148" s="131"/>
      <c r="G148" s="131"/>
      <c r="H148" s="131"/>
      <c r="K148" s="61"/>
      <c r="L148" s="67"/>
      <c r="M148" s="67"/>
      <c r="N148" s="64"/>
      <c r="Q148" s="64"/>
      <c r="R148" s="68"/>
      <c r="S148" s="64"/>
    </row>
    <row r="149" spans="1:19" ht="47.25" customHeight="1" x14ac:dyDescent="0.25">
      <c r="A149" s="42" t="s">
        <v>121</v>
      </c>
      <c r="B149" s="42" t="s">
        <v>120</v>
      </c>
      <c r="C149" s="42" t="s">
        <v>58</v>
      </c>
      <c r="D149" s="42" t="s">
        <v>59</v>
      </c>
      <c r="E149" s="79" t="s">
        <v>161</v>
      </c>
      <c r="F149" s="42" t="s">
        <v>226</v>
      </c>
      <c r="G149" s="174" t="s">
        <v>61</v>
      </c>
      <c r="H149" s="175"/>
      <c r="K149" s="61"/>
      <c r="L149" s="67"/>
      <c r="M149" s="67"/>
      <c r="N149" s="64"/>
      <c r="Q149" s="64"/>
      <c r="R149" s="68"/>
      <c r="S149" s="64"/>
    </row>
    <row r="150" spans="1:19" s="33" customFormat="1" ht="15.75" customHeight="1" x14ac:dyDescent="0.25">
      <c r="A150" s="131" t="s">
        <v>230</v>
      </c>
      <c r="B150" s="131"/>
      <c r="C150" s="131"/>
      <c r="D150" s="131"/>
      <c r="E150" s="131"/>
      <c r="F150" s="131"/>
      <c r="G150" s="131"/>
      <c r="H150" s="131"/>
      <c r="K150" s="61"/>
      <c r="L150" s="66"/>
      <c r="M150" s="66"/>
      <c r="N150" s="64"/>
      <c r="Q150" s="64"/>
      <c r="R150" s="64"/>
      <c r="S150" s="64"/>
    </row>
    <row r="151" spans="1:19" s="33" customFormat="1" ht="15.75" customHeight="1" x14ac:dyDescent="0.25">
      <c r="A151" s="131" t="s">
        <v>212</v>
      </c>
      <c r="B151" s="131"/>
      <c r="C151" s="131"/>
      <c r="D151" s="131"/>
      <c r="E151" s="131"/>
      <c r="F151" s="131"/>
      <c r="G151" s="131"/>
      <c r="H151" s="131"/>
      <c r="K151" s="61"/>
      <c r="L151" s="66"/>
      <c r="M151" s="66"/>
      <c r="N151" s="64"/>
      <c r="Q151" s="64"/>
      <c r="R151" s="64"/>
      <c r="S151" s="64"/>
    </row>
    <row r="152" spans="1:19" s="36" customFormat="1" ht="15.75" customHeight="1" x14ac:dyDescent="0.25">
      <c r="A152" s="127" t="s">
        <v>214</v>
      </c>
      <c r="B152" s="128"/>
      <c r="C152" s="128"/>
      <c r="D152" s="128"/>
      <c r="E152" s="128"/>
      <c r="F152" s="128"/>
      <c r="G152" s="128"/>
      <c r="H152" s="129"/>
      <c r="J152" s="35"/>
      <c r="K152" s="61"/>
      <c r="L152" s="68"/>
      <c r="M152" s="68"/>
      <c r="N152" s="64"/>
      <c r="Q152" s="64"/>
      <c r="R152" s="68"/>
      <c r="S152" s="64"/>
    </row>
    <row r="153" spans="1:19" s="36" customFormat="1" ht="15.75" customHeight="1" x14ac:dyDescent="0.25">
      <c r="A153" s="125">
        <v>1</v>
      </c>
      <c r="B153" s="126"/>
      <c r="C153" s="41" t="s">
        <v>207</v>
      </c>
      <c r="D153" s="80">
        <f>(9.17*3.96)*10.764</f>
        <v>390.87528479999997</v>
      </c>
      <c r="E153" s="41">
        <v>0</v>
      </c>
      <c r="F153" s="41">
        <v>885</v>
      </c>
      <c r="G153" s="108" t="str">
        <f>A152</f>
        <v>Ground Floor for Commercial &amp; Parking</v>
      </c>
      <c r="H153" s="109"/>
      <c r="I153" s="35"/>
      <c r="J153" s="36">
        <f>885/D153</f>
        <v>2.2641492936879595</v>
      </c>
      <c r="K153" s="61"/>
      <c r="L153" s="119"/>
      <c r="M153" s="119"/>
      <c r="N153" s="64"/>
      <c r="Q153" s="64"/>
      <c r="R153" s="68"/>
      <c r="S153" s="64"/>
    </row>
    <row r="154" spans="1:19" s="36" customFormat="1" ht="33" customHeight="1" x14ac:dyDescent="0.25">
      <c r="A154" s="125">
        <f t="shared" ref="A154:A162" si="0">A153+1</f>
        <v>2</v>
      </c>
      <c r="B154" s="126"/>
      <c r="C154" s="41" t="s">
        <v>213</v>
      </c>
      <c r="D154" s="80">
        <f>(14.3*4+6.85*4.6+1.63*2.65+1.5*1.2)*10.764</f>
        <v>1020.7447379999999</v>
      </c>
      <c r="E154" s="41">
        <v>0</v>
      </c>
      <c r="F154" s="41">
        <v>2088</v>
      </c>
      <c r="G154" s="108" t="str">
        <f t="shared" ref="G154:G162" si="1">G153</f>
        <v>Ground Floor for Commercial &amp; Parking</v>
      </c>
      <c r="H154" s="109"/>
      <c r="I154" s="35"/>
      <c r="J154" s="36">
        <f>2088/D154</f>
        <v>2.0455652841190548</v>
      </c>
      <c r="K154" s="61"/>
      <c r="L154" s="119"/>
      <c r="M154" s="119"/>
      <c r="N154" s="64"/>
      <c r="Q154" s="64"/>
      <c r="R154" s="68"/>
      <c r="S154" s="64"/>
    </row>
    <row r="155" spans="1:19" s="36" customFormat="1" ht="37.5" customHeight="1" x14ac:dyDescent="0.25">
      <c r="A155" s="125">
        <f t="shared" si="0"/>
        <v>3</v>
      </c>
      <c r="B155" s="126"/>
      <c r="C155" s="41" t="s">
        <v>213</v>
      </c>
      <c r="D155" s="80">
        <f>(13.32*4+6.85*4.6+1.63*2.65+1.5*1.2)*10.764</f>
        <v>978.54985799999986</v>
      </c>
      <c r="E155" s="41">
        <v>0</v>
      </c>
      <c r="F155" s="41">
        <v>2004</v>
      </c>
      <c r="G155" s="108" t="str">
        <f t="shared" si="1"/>
        <v>Ground Floor for Commercial &amp; Parking</v>
      </c>
      <c r="H155" s="109"/>
      <c r="I155" s="35"/>
      <c r="K155" s="61"/>
      <c r="L155" s="119"/>
      <c r="M155" s="119"/>
      <c r="N155" s="64"/>
      <c r="Q155" s="64"/>
      <c r="R155" s="68"/>
      <c r="S155" s="64"/>
    </row>
    <row r="156" spans="1:19" s="36" customFormat="1" ht="34.5" customHeight="1" x14ac:dyDescent="0.25">
      <c r="A156" s="125">
        <f t="shared" si="0"/>
        <v>4</v>
      </c>
      <c r="B156" s="126"/>
      <c r="C156" s="41" t="s">
        <v>213</v>
      </c>
      <c r="D156" s="80">
        <f>(13.55*2.7+6.65*2+1.5*1.2+1.65*1.25)*10.764</f>
        <v>578.53809000000001</v>
      </c>
      <c r="E156" s="41">
        <v>0</v>
      </c>
      <c r="F156" s="41">
        <v>1290</v>
      </c>
      <c r="G156" s="108" t="str">
        <f t="shared" si="1"/>
        <v>Ground Floor for Commercial &amp; Parking</v>
      </c>
      <c r="H156" s="109"/>
      <c r="I156" s="35"/>
      <c r="J156" s="61"/>
      <c r="K156" s="119"/>
      <c r="L156" s="119"/>
      <c r="M156" s="64"/>
      <c r="P156" s="64"/>
      <c r="Q156" s="68"/>
      <c r="R156" s="64"/>
    </row>
    <row r="157" spans="1:19" s="36" customFormat="1" ht="15.75" customHeight="1" x14ac:dyDescent="0.25">
      <c r="A157" s="125">
        <f t="shared" si="0"/>
        <v>5</v>
      </c>
      <c r="B157" s="126"/>
      <c r="C157" s="41" t="s">
        <v>207</v>
      </c>
      <c r="D157" s="80">
        <f>(13.43*2.76)*10.764</f>
        <v>398.98703519999992</v>
      </c>
      <c r="E157" s="41">
        <v>0</v>
      </c>
      <c r="F157" s="41">
        <v>890</v>
      </c>
      <c r="G157" s="108" t="str">
        <f t="shared" si="1"/>
        <v>Ground Floor for Commercial &amp; Parking</v>
      </c>
      <c r="H157" s="109"/>
      <c r="I157" s="35"/>
      <c r="K157" s="61"/>
      <c r="L157" s="119"/>
      <c r="M157" s="119"/>
      <c r="N157" s="64"/>
      <c r="Q157" s="64"/>
      <c r="R157" s="68"/>
      <c r="S157" s="64"/>
    </row>
    <row r="158" spans="1:19" s="36" customFormat="1" ht="15.75" customHeight="1" x14ac:dyDescent="0.25">
      <c r="A158" s="125">
        <f t="shared" si="0"/>
        <v>6</v>
      </c>
      <c r="B158" s="126"/>
      <c r="C158" s="41" t="s">
        <v>207</v>
      </c>
      <c r="D158" s="80">
        <f>(12.39*4)*10.764</f>
        <v>533.46384</v>
      </c>
      <c r="E158" s="41">
        <v>0</v>
      </c>
      <c r="F158" s="41">
        <v>1250</v>
      </c>
      <c r="G158" s="108" t="str">
        <f t="shared" si="1"/>
        <v>Ground Floor for Commercial &amp; Parking</v>
      </c>
      <c r="H158" s="109"/>
      <c r="I158" s="35"/>
      <c r="J158" s="36">
        <f>1250/D158</f>
        <v>2.3431766246799408</v>
      </c>
      <c r="K158" s="61"/>
      <c r="L158" s="119"/>
      <c r="M158" s="119"/>
      <c r="N158" s="64"/>
      <c r="Q158" s="64"/>
      <c r="R158" s="68"/>
      <c r="S158" s="64"/>
    </row>
    <row r="159" spans="1:19" s="36" customFormat="1" ht="38.25" customHeight="1" x14ac:dyDescent="0.25">
      <c r="A159" s="125">
        <f t="shared" si="0"/>
        <v>7</v>
      </c>
      <c r="B159" s="126"/>
      <c r="C159" s="41" t="s">
        <v>213</v>
      </c>
      <c r="D159" s="80">
        <f>(12.61*4+5.23*2.25+1.5*1.2+1.65*2)*10.764</f>
        <v>724.49792999999988</v>
      </c>
      <c r="E159" s="41">
        <v>0</v>
      </c>
      <c r="F159" s="41">
        <v>1665</v>
      </c>
      <c r="G159" s="108" t="str">
        <f t="shared" si="1"/>
        <v>Ground Floor for Commercial &amp; Parking</v>
      </c>
      <c r="H159" s="109"/>
      <c r="I159" s="35"/>
      <c r="K159" s="61"/>
      <c r="L159" s="119"/>
      <c r="M159" s="119"/>
      <c r="N159" s="64"/>
      <c r="Q159" s="64"/>
      <c r="R159" s="68"/>
      <c r="S159" s="64"/>
    </row>
    <row r="160" spans="1:19" s="36" customFormat="1" ht="38.25" customHeight="1" x14ac:dyDescent="0.25">
      <c r="A160" s="125">
        <f t="shared" si="0"/>
        <v>8</v>
      </c>
      <c r="B160" s="126"/>
      <c r="C160" s="41" t="s">
        <v>213</v>
      </c>
      <c r="D160" s="80">
        <f>(11.21*2.7+5.23*2.25+1.5*1.2+1.65*2)*10.764</f>
        <v>507.35575799999998</v>
      </c>
      <c r="E160" s="41">
        <v>0</v>
      </c>
      <c r="F160" s="41">
        <v>1140</v>
      </c>
      <c r="G160" s="108" t="str">
        <f t="shared" si="1"/>
        <v>Ground Floor for Commercial &amp; Parking</v>
      </c>
      <c r="H160" s="109"/>
      <c r="I160" s="35"/>
      <c r="K160" s="61"/>
      <c r="L160" s="119"/>
      <c r="M160" s="119"/>
      <c r="N160" s="64"/>
      <c r="Q160" s="64"/>
      <c r="R160" s="68"/>
      <c r="S160" s="64"/>
    </row>
    <row r="161" spans="1:19" s="36" customFormat="1" ht="38.25" customHeight="1" x14ac:dyDescent="0.25">
      <c r="A161" s="125">
        <f t="shared" si="0"/>
        <v>9</v>
      </c>
      <c r="B161" s="126"/>
      <c r="C161" s="41" t="s">
        <v>213</v>
      </c>
      <c r="D161" s="80">
        <f>(10.56*2.71+5.23*2.25+1.5*1.2+1.65*2)*10.764</f>
        <v>489.6016163999999</v>
      </c>
      <c r="E161" s="41">
        <v>0</v>
      </c>
      <c r="F161" s="41">
        <v>1100</v>
      </c>
      <c r="G161" s="108" t="str">
        <f t="shared" si="1"/>
        <v>Ground Floor for Commercial &amp; Parking</v>
      </c>
      <c r="H161" s="109"/>
      <c r="I161" s="35"/>
      <c r="K161" s="61"/>
      <c r="L161" s="119"/>
      <c r="M161" s="119"/>
      <c r="N161" s="64"/>
      <c r="Q161" s="64"/>
      <c r="R161" s="68"/>
      <c r="S161" s="64"/>
    </row>
    <row r="162" spans="1:19" s="36" customFormat="1" ht="38.25" customHeight="1" x14ac:dyDescent="0.25">
      <c r="A162" s="125">
        <f t="shared" si="0"/>
        <v>10</v>
      </c>
      <c r="B162" s="126"/>
      <c r="C162" s="41" t="s">
        <v>213</v>
      </c>
      <c r="D162" s="80">
        <f>(10.4*2.9+5.23*2.25+1.5*1.2+1.65*2)*10.764</f>
        <v>506.20400999999993</v>
      </c>
      <c r="E162" s="41">
        <v>0</v>
      </c>
      <c r="F162" s="41">
        <v>1143</v>
      </c>
      <c r="G162" s="108" t="str">
        <f t="shared" si="1"/>
        <v>Ground Floor for Commercial &amp; Parking</v>
      </c>
      <c r="H162" s="109"/>
      <c r="I162" s="35"/>
      <c r="K162" s="61"/>
      <c r="L162" s="119"/>
      <c r="M162" s="119"/>
      <c r="N162" s="64"/>
      <c r="Q162" s="64"/>
      <c r="R162" s="68"/>
      <c r="S162" s="64"/>
    </row>
    <row r="163" spans="1:19" s="36" customFormat="1" ht="15.75" customHeight="1" x14ac:dyDescent="0.25">
      <c r="A163" s="127" t="s">
        <v>215</v>
      </c>
      <c r="B163" s="128"/>
      <c r="C163" s="128"/>
      <c r="D163" s="128"/>
      <c r="E163" s="128"/>
      <c r="F163" s="128"/>
      <c r="G163" s="128"/>
      <c r="H163" s="129"/>
      <c r="J163" s="35"/>
      <c r="K163" s="61"/>
      <c r="L163" s="68"/>
      <c r="M163" s="68"/>
      <c r="N163" s="64"/>
      <c r="Q163" s="64"/>
      <c r="R163" s="68"/>
      <c r="S163" s="64"/>
    </row>
    <row r="164" spans="1:19" s="36" customFormat="1" x14ac:dyDescent="0.25">
      <c r="A164" s="125">
        <v>1</v>
      </c>
      <c r="B164" s="126"/>
      <c r="C164" s="41" t="s">
        <v>210</v>
      </c>
      <c r="D164" s="62">
        <f>(8.57*4.06+14.47*4)*10.764</f>
        <v>997.54508879999992</v>
      </c>
      <c r="E164" s="41">
        <v>0</v>
      </c>
      <c r="F164" s="41">
        <v>1500</v>
      </c>
      <c r="G164" s="108" t="str">
        <f>A163</f>
        <v xml:space="preserve">1st Floor </v>
      </c>
      <c r="H164" s="109"/>
      <c r="I164" s="35"/>
      <c r="J164" s="36">
        <f>1500/D164</f>
        <v>1.503691428930225</v>
      </c>
      <c r="K164" s="61"/>
      <c r="L164" s="119"/>
      <c r="M164" s="119"/>
      <c r="N164" s="64"/>
      <c r="Q164" s="64"/>
      <c r="R164" s="68"/>
      <c r="S164" s="64"/>
    </row>
    <row r="165" spans="1:19" s="36" customFormat="1" x14ac:dyDescent="0.25">
      <c r="A165" s="125">
        <f t="shared" ref="A165:A175" si="2">A164+1</f>
        <v>2</v>
      </c>
      <c r="B165" s="126"/>
      <c r="C165" s="41" t="s">
        <v>210</v>
      </c>
      <c r="D165" s="62">
        <f>(8.55*4)*10.764</f>
        <v>368.12880000000001</v>
      </c>
      <c r="E165" s="41">
        <v>0</v>
      </c>
      <c r="F165" s="41">
        <v>855</v>
      </c>
      <c r="G165" s="108" t="str">
        <f t="shared" ref="G165:G175" si="3">G164</f>
        <v xml:space="preserve">1st Floor </v>
      </c>
      <c r="H165" s="109"/>
      <c r="I165" s="35"/>
      <c r="J165" s="36">
        <f>855/D165</f>
        <v>2.3225566703827574</v>
      </c>
      <c r="K165" s="61"/>
      <c r="L165" s="119"/>
      <c r="M165" s="119"/>
      <c r="N165" s="64"/>
      <c r="Q165" s="64"/>
      <c r="R165" s="68"/>
      <c r="S165" s="64"/>
    </row>
    <row r="166" spans="1:19" s="36" customFormat="1" x14ac:dyDescent="0.25">
      <c r="A166" s="125">
        <f t="shared" si="2"/>
        <v>3</v>
      </c>
      <c r="B166" s="126"/>
      <c r="C166" s="41" t="s">
        <v>210</v>
      </c>
      <c r="D166" s="62">
        <f>(12.43*2.2)*10.764</f>
        <v>294.35234399999996</v>
      </c>
      <c r="E166" s="41">
        <v>0</v>
      </c>
      <c r="F166" s="41">
        <v>545</v>
      </c>
      <c r="G166" s="108" t="str">
        <f t="shared" si="3"/>
        <v xml:space="preserve">1st Floor </v>
      </c>
      <c r="H166" s="109"/>
      <c r="I166" s="35"/>
      <c r="J166" s="36">
        <f>545/D166</f>
        <v>1.8515225412983294</v>
      </c>
      <c r="K166" s="61"/>
      <c r="L166" s="119"/>
      <c r="M166" s="119"/>
      <c r="N166" s="64"/>
      <c r="Q166" s="64"/>
      <c r="R166" s="68"/>
      <c r="S166" s="64"/>
    </row>
    <row r="167" spans="1:19" s="36" customFormat="1" x14ac:dyDescent="0.25">
      <c r="A167" s="125">
        <f t="shared" si="2"/>
        <v>4</v>
      </c>
      <c r="B167" s="126"/>
      <c r="C167" s="41" t="s">
        <v>210</v>
      </c>
      <c r="D167" s="62">
        <f>(11.82*2.7)*10.764</f>
        <v>343.52229599999998</v>
      </c>
      <c r="E167" s="41">
        <v>0</v>
      </c>
      <c r="F167" s="41">
        <v>520</v>
      </c>
      <c r="G167" s="108" t="str">
        <f t="shared" si="3"/>
        <v xml:space="preserve">1st Floor </v>
      </c>
      <c r="H167" s="109"/>
      <c r="I167" s="35"/>
      <c r="J167" s="62"/>
      <c r="K167" s="119"/>
      <c r="L167" s="119"/>
      <c r="M167" s="64"/>
      <c r="P167" s="64"/>
      <c r="Q167" s="68"/>
      <c r="R167" s="64"/>
    </row>
    <row r="168" spans="1:19" s="36" customFormat="1" x14ac:dyDescent="0.25">
      <c r="A168" s="125">
        <f t="shared" si="2"/>
        <v>5</v>
      </c>
      <c r="B168" s="126"/>
      <c r="C168" s="41" t="s">
        <v>210</v>
      </c>
      <c r="D168" s="62">
        <f>(11.08*5)*10.764</f>
        <v>596.32559999999989</v>
      </c>
      <c r="E168" s="41">
        <v>0</v>
      </c>
      <c r="F168" s="41">
        <v>720</v>
      </c>
      <c r="G168" s="108" t="str">
        <f t="shared" si="3"/>
        <v xml:space="preserve">1st Floor </v>
      </c>
      <c r="H168" s="109"/>
      <c r="I168" s="35"/>
      <c r="K168" s="61"/>
      <c r="L168" s="119"/>
      <c r="M168" s="119"/>
      <c r="N168" s="64"/>
      <c r="Q168" s="64"/>
      <c r="R168" s="68"/>
      <c r="S168" s="64"/>
    </row>
    <row r="169" spans="1:19" s="36" customFormat="1" x14ac:dyDescent="0.25">
      <c r="A169" s="125">
        <f t="shared" si="2"/>
        <v>6</v>
      </c>
      <c r="B169" s="126"/>
      <c r="C169" s="41" t="s">
        <v>210</v>
      </c>
      <c r="D169" s="62">
        <f>(16.21*4)*10.764</f>
        <v>697.93776000000003</v>
      </c>
      <c r="E169" s="41">
        <v>0</v>
      </c>
      <c r="F169" s="41">
        <v>665</v>
      </c>
      <c r="G169" s="108" t="str">
        <f t="shared" si="3"/>
        <v xml:space="preserve">1st Floor </v>
      </c>
      <c r="H169" s="109"/>
      <c r="I169" s="35"/>
      <c r="J169" s="36">
        <f>F164/D164</f>
        <v>1.503691428930225</v>
      </c>
      <c r="K169" s="61"/>
      <c r="L169" s="119"/>
      <c r="M169" s="119"/>
      <c r="N169" s="64"/>
      <c r="Q169" s="64"/>
      <c r="R169" s="68"/>
      <c r="S169" s="64"/>
    </row>
    <row r="170" spans="1:19" s="36" customFormat="1" x14ac:dyDescent="0.25">
      <c r="A170" s="125">
        <f t="shared" si="2"/>
        <v>7</v>
      </c>
      <c r="B170" s="126"/>
      <c r="C170" s="41" t="s">
        <v>210</v>
      </c>
      <c r="D170" s="62">
        <f>(10.49*7.31+9.63*1.1)*10.764</f>
        <v>939.42702359999998</v>
      </c>
      <c r="E170" s="41">
        <v>0</v>
      </c>
      <c r="F170" s="41">
        <v>1430</v>
      </c>
      <c r="G170" s="108" t="str">
        <f t="shared" si="3"/>
        <v xml:space="preserve">1st Floor </v>
      </c>
      <c r="H170" s="109"/>
      <c r="I170" s="35"/>
      <c r="K170" s="61"/>
      <c r="L170" s="119"/>
      <c r="M170" s="119"/>
      <c r="N170" s="64"/>
      <c r="Q170" s="64"/>
      <c r="R170" s="68"/>
      <c r="S170" s="64"/>
    </row>
    <row r="171" spans="1:19" s="36" customFormat="1" x14ac:dyDescent="0.25">
      <c r="A171" s="125">
        <f t="shared" si="2"/>
        <v>8</v>
      </c>
      <c r="B171" s="126"/>
      <c r="C171" s="41" t="s">
        <v>210</v>
      </c>
      <c r="D171" s="62">
        <f>(6.38*9.16)*10.764</f>
        <v>629.05677119999996</v>
      </c>
      <c r="E171" s="41">
        <v>0</v>
      </c>
      <c r="F171" s="41">
        <v>1020</v>
      </c>
      <c r="G171" s="108" t="str">
        <f t="shared" si="3"/>
        <v xml:space="preserve">1st Floor </v>
      </c>
      <c r="H171" s="109"/>
      <c r="I171" s="35"/>
      <c r="K171" s="61"/>
      <c r="L171" s="119"/>
      <c r="M171" s="119"/>
      <c r="N171" s="64"/>
      <c r="Q171" s="64"/>
      <c r="R171" s="68"/>
      <c r="S171" s="64"/>
    </row>
    <row r="172" spans="1:19" s="36" customFormat="1" x14ac:dyDescent="0.25">
      <c r="A172" s="125">
        <f t="shared" si="2"/>
        <v>9</v>
      </c>
      <c r="B172" s="126"/>
      <c r="C172" s="41" t="s">
        <v>210</v>
      </c>
      <c r="D172" s="62">
        <f>(6.32*2.6)*10.764</f>
        <v>176.87404800000002</v>
      </c>
      <c r="E172" s="41">
        <v>0</v>
      </c>
      <c r="F172" s="41">
        <v>315</v>
      </c>
      <c r="G172" s="108" t="str">
        <f t="shared" si="3"/>
        <v xml:space="preserve">1st Floor </v>
      </c>
      <c r="H172" s="109"/>
      <c r="I172" s="35"/>
      <c r="K172" s="61"/>
      <c r="L172" s="119"/>
      <c r="M172" s="119"/>
      <c r="N172" s="64"/>
      <c r="Q172" s="64"/>
      <c r="R172" s="68"/>
      <c r="S172" s="64"/>
    </row>
    <row r="173" spans="1:19" s="36" customFormat="1" x14ac:dyDescent="0.25">
      <c r="A173" s="125">
        <f t="shared" si="2"/>
        <v>10</v>
      </c>
      <c r="B173" s="126"/>
      <c r="C173" s="41" t="s">
        <v>210</v>
      </c>
      <c r="D173" s="62">
        <f>(9.66*4)*10.764</f>
        <v>415.92095999999998</v>
      </c>
      <c r="E173" s="41">
        <v>0</v>
      </c>
      <c r="F173" s="41">
        <v>435</v>
      </c>
      <c r="G173" s="108" t="str">
        <f t="shared" si="3"/>
        <v xml:space="preserve">1st Floor </v>
      </c>
      <c r="H173" s="109"/>
      <c r="I173" s="35"/>
      <c r="K173" s="61"/>
      <c r="L173" s="119"/>
      <c r="M173" s="119"/>
      <c r="N173" s="64"/>
      <c r="Q173" s="64"/>
      <c r="R173" s="68"/>
      <c r="S173" s="64"/>
    </row>
    <row r="174" spans="1:19" s="36" customFormat="1" x14ac:dyDescent="0.25">
      <c r="A174" s="125">
        <f t="shared" si="2"/>
        <v>11</v>
      </c>
      <c r="B174" s="126"/>
      <c r="C174" s="41" t="s">
        <v>210</v>
      </c>
      <c r="D174" s="62">
        <f>(6.65*4)*10.764</f>
        <v>286.32240000000002</v>
      </c>
      <c r="E174" s="41">
        <v>0</v>
      </c>
      <c r="F174" s="41">
        <v>435</v>
      </c>
      <c r="G174" s="108" t="str">
        <f t="shared" si="3"/>
        <v xml:space="preserve">1st Floor </v>
      </c>
      <c r="H174" s="109"/>
      <c r="I174" s="35"/>
      <c r="K174" s="61"/>
      <c r="L174" s="119"/>
      <c r="M174" s="119"/>
      <c r="N174" s="64"/>
      <c r="Q174" s="64"/>
      <c r="R174" s="68"/>
      <c r="S174" s="64"/>
    </row>
    <row r="175" spans="1:19" s="36" customFormat="1" x14ac:dyDescent="0.25">
      <c r="A175" s="125">
        <f t="shared" si="2"/>
        <v>12</v>
      </c>
      <c r="B175" s="126"/>
      <c r="C175" s="41" t="s">
        <v>210</v>
      </c>
      <c r="D175" s="62">
        <f>(6.65*3.09)*10.764</f>
        <v>221.184054</v>
      </c>
      <c r="E175" s="41">
        <v>0</v>
      </c>
      <c r="F175" s="41">
        <v>425</v>
      </c>
      <c r="G175" s="108" t="str">
        <f t="shared" si="3"/>
        <v xml:space="preserve">1st Floor </v>
      </c>
      <c r="H175" s="109"/>
      <c r="I175" s="35"/>
      <c r="K175" s="61"/>
      <c r="L175" s="119"/>
      <c r="M175" s="119"/>
      <c r="N175" s="64"/>
      <c r="Q175" s="64"/>
      <c r="R175" s="68"/>
      <c r="S175" s="64"/>
    </row>
    <row r="176" spans="1:19" s="36" customFormat="1" ht="15.75" customHeight="1" x14ac:dyDescent="0.25">
      <c r="A176" s="108"/>
      <c r="B176" s="136"/>
      <c r="C176" s="136"/>
      <c r="D176" s="136"/>
      <c r="E176" s="136"/>
      <c r="F176" s="136"/>
      <c r="G176" s="136"/>
      <c r="H176" s="109"/>
      <c r="I176" s="35"/>
      <c r="K176" s="61"/>
      <c r="L176" s="68"/>
      <c r="M176" s="68"/>
      <c r="N176" s="64"/>
      <c r="Q176" s="64"/>
      <c r="R176" s="68"/>
      <c r="S176" s="64"/>
    </row>
    <row r="177" spans="1:19" ht="47.25" customHeight="1" x14ac:dyDescent="0.25">
      <c r="A177" s="78" t="s">
        <v>122</v>
      </c>
      <c r="B177" s="78" t="s">
        <v>123</v>
      </c>
      <c r="C177" s="42" t="s">
        <v>58</v>
      </c>
      <c r="D177" s="42" t="s">
        <v>59</v>
      </c>
      <c r="E177" s="79" t="s">
        <v>60</v>
      </c>
      <c r="F177" s="42" t="s">
        <v>226</v>
      </c>
      <c r="G177" s="174" t="s">
        <v>61</v>
      </c>
      <c r="H177" s="175"/>
      <c r="I177" s="35"/>
      <c r="K177" s="61"/>
      <c r="L177" s="67"/>
      <c r="M177" s="67"/>
      <c r="N177" s="64"/>
      <c r="Q177" s="64"/>
      <c r="R177" s="68"/>
      <c r="S177" s="64"/>
    </row>
    <row r="178" spans="1:19" s="33" customFormat="1" ht="15.75" customHeight="1" x14ac:dyDescent="0.25">
      <c r="A178" s="131" t="s">
        <v>230</v>
      </c>
      <c r="B178" s="131"/>
      <c r="C178" s="131"/>
      <c r="D178" s="131"/>
      <c r="E178" s="131"/>
      <c r="F178" s="131"/>
      <c r="G178" s="131"/>
      <c r="H178" s="131"/>
      <c r="K178" s="61"/>
      <c r="L178" s="66"/>
      <c r="M178" s="66"/>
      <c r="N178" s="64"/>
      <c r="Q178" s="64"/>
      <c r="R178" s="64"/>
      <c r="S178" s="64"/>
    </row>
    <row r="179" spans="1:19" s="33" customFormat="1" ht="15.75" customHeight="1" x14ac:dyDescent="0.25">
      <c r="A179" s="131" t="s">
        <v>212</v>
      </c>
      <c r="B179" s="131"/>
      <c r="C179" s="131"/>
      <c r="D179" s="131"/>
      <c r="E179" s="131"/>
      <c r="F179" s="131"/>
      <c r="G179" s="131"/>
      <c r="H179" s="131"/>
      <c r="J179" s="33">
        <f>2200000/F181</f>
        <v>3358.7786259541986</v>
      </c>
      <c r="K179" s="61"/>
      <c r="L179" s="66"/>
      <c r="M179" s="66"/>
      <c r="N179" s="64"/>
      <c r="Q179" s="64"/>
      <c r="R179" s="64"/>
      <c r="S179" s="64"/>
    </row>
    <row r="180" spans="1:19" s="36" customFormat="1" ht="15.75" customHeight="1" x14ac:dyDescent="0.25">
      <c r="A180" s="127" t="s">
        <v>216</v>
      </c>
      <c r="B180" s="128"/>
      <c r="C180" s="128"/>
      <c r="D180" s="128"/>
      <c r="E180" s="128"/>
      <c r="F180" s="128"/>
      <c r="G180" s="128"/>
      <c r="H180" s="129"/>
      <c r="J180" s="35"/>
      <c r="K180" s="61"/>
      <c r="L180" s="68"/>
      <c r="M180" s="68"/>
      <c r="N180" s="64"/>
      <c r="Q180" s="64"/>
      <c r="R180" s="68"/>
      <c r="S180" s="64"/>
    </row>
    <row r="181" spans="1:19" s="36" customFormat="1" ht="15.75" customHeight="1" x14ac:dyDescent="0.25">
      <c r="A181" s="108">
        <v>108</v>
      </c>
      <c r="B181" s="109"/>
      <c r="C181" s="51" t="s">
        <v>199</v>
      </c>
      <c r="D181" s="80">
        <f>(29.21+10.21)*10.764</f>
        <v>424.31687999999997</v>
      </c>
      <c r="E181" s="41">
        <v>0</v>
      </c>
      <c r="F181" s="41">
        <v>655</v>
      </c>
      <c r="G181" s="108" t="str">
        <f>A180</f>
        <v>1st Floor for Residential</v>
      </c>
      <c r="H181" s="109"/>
      <c r="I181" s="35"/>
      <c r="J181" s="36">
        <f>3.55*3.45+2.15*2.75+2.2*3.63+1.5*1.2+1*1+1*2+1.2*1.2</f>
        <v>32.386000000000003</v>
      </c>
      <c r="K181" s="61"/>
      <c r="L181" s="119"/>
      <c r="M181" s="119"/>
      <c r="N181" s="64"/>
      <c r="Q181" s="64"/>
      <c r="R181" s="68"/>
      <c r="S181" s="64"/>
    </row>
    <row r="182" spans="1:19" s="36" customFormat="1" ht="15.75" customHeight="1" x14ac:dyDescent="0.25">
      <c r="A182" s="108">
        <f t="shared" ref="A182:A184" si="4">A181+1</f>
        <v>109</v>
      </c>
      <c r="B182" s="109"/>
      <c r="C182" s="51" t="s">
        <v>199</v>
      </c>
      <c r="D182" s="80">
        <f>(29.21+10.21)*10.764</f>
        <v>424.31687999999997</v>
      </c>
      <c r="E182" s="41">
        <v>0</v>
      </c>
      <c r="F182" s="41">
        <v>655</v>
      </c>
      <c r="G182" s="108" t="str">
        <f t="shared" ref="G182:G184" si="5">G181</f>
        <v>1st Floor for Residential</v>
      </c>
      <c r="H182" s="109"/>
      <c r="I182" s="35"/>
      <c r="J182" s="36">
        <f>1.5*2.1</f>
        <v>3.1500000000000004</v>
      </c>
      <c r="K182" s="61"/>
      <c r="L182" s="119"/>
      <c r="M182" s="119"/>
      <c r="N182" s="64"/>
      <c r="Q182" s="64"/>
      <c r="R182" s="68"/>
      <c r="S182" s="64"/>
    </row>
    <row r="183" spans="1:19" s="36" customFormat="1" ht="15.75" customHeight="1" x14ac:dyDescent="0.25">
      <c r="A183" s="108">
        <f t="shared" si="4"/>
        <v>110</v>
      </c>
      <c r="B183" s="109"/>
      <c r="C183" s="51" t="s">
        <v>199</v>
      </c>
      <c r="D183" s="80">
        <f>(29.52+8.45)*10.764</f>
        <v>408.70907999999997</v>
      </c>
      <c r="E183" s="41">
        <v>0</v>
      </c>
      <c r="F183" s="41">
        <v>635</v>
      </c>
      <c r="G183" s="108" t="str">
        <f t="shared" si="5"/>
        <v>1st Floor for Residential</v>
      </c>
      <c r="H183" s="109"/>
      <c r="I183" s="35"/>
      <c r="J183" s="36">
        <f>J181+J182</f>
        <v>35.536000000000001</v>
      </c>
      <c r="K183" s="61"/>
      <c r="L183" s="119"/>
      <c r="M183" s="119"/>
      <c r="N183" s="64"/>
      <c r="Q183" s="64"/>
      <c r="R183" s="68"/>
      <c r="S183" s="64"/>
    </row>
    <row r="184" spans="1:19" s="36" customFormat="1" ht="15.75" customHeight="1" x14ac:dyDescent="0.25">
      <c r="A184" s="108">
        <f t="shared" si="4"/>
        <v>111</v>
      </c>
      <c r="B184" s="109"/>
      <c r="C184" s="51" t="s">
        <v>199</v>
      </c>
      <c r="D184" s="80">
        <f>(31.22+9.19)*10.764</f>
        <v>434.97323999999992</v>
      </c>
      <c r="E184" s="41">
        <v>0</v>
      </c>
      <c r="F184" s="41">
        <v>680</v>
      </c>
      <c r="G184" s="108" t="str">
        <f t="shared" si="5"/>
        <v>1st Floor for Residential</v>
      </c>
      <c r="H184" s="109"/>
      <c r="I184" s="35"/>
      <c r="K184" s="61"/>
      <c r="L184" s="119"/>
      <c r="M184" s="119"/>
      <c r="N184" s="64"/>
      <c r="Q184" s="64"/>
      <c r="R184" s="68"/>
      <c r="S184" s="64"/>
    </row>
    <row r="185" spans="1:19" s="33" customFormat="1" ht="15.75" customHeight="1" x14ac:dyDescent="0.25">
      <c r="A185" s="131" t="s">
        <v>217</v>
      </c>
      <c r="B185" s="131"/>
      <c r="C185" s="131"/>
      <c r="D185" s="131"/>
      <c r="E185" s="131"/>
      <c r="F185" s="131"/>
      <c r="G185" s="131"/>
      <c r="H185" s="131"/>
      <c r="K185" s="61"/>
      <c r="L185" s="66"/>
      <c r="M185" s="66"/>
      <c r="N185" s="64"/>
      <c r="Q185" s="64"/>
      <c r="R185" s="64"/>
      <c r="S185" s="64"/>
    </row>
    <row r="186" spans="1:19" s="36" customFormat="1" ht="15.75" customHeight="1" x14ac:dyDescent="0.25">
      <c r="A186" s="237" t="s">
        <v>216</v>
      </c>
      <c r="B186" s="237"/>
      <c r="C186" s="237"/>
      <c r="D186" s="237"/>
      <c r="E186" s="237"/>
      <c r="F186" s="237"/>
      <c r="G186" s="237"/>
      <c r="H186" s="237"/>
      <c r="I186" s="35"/>
      <c r="J186" s="36">
        <f>29.21+10.21</f>
        <v>39.42</v>
      </c>
      <c r="K186" s="61"/>
      <c r="L186" s="119"/>
      <c r="M186" s="119"/>
      <c r="N186" s="64"/>
      <c r="Q186" s="64"/>
      <c r="R186" s="68"/>
      <c r="S186" s="64"/>
    </row>
    <row r="187" spans="1:19" s="36" customFormat="1" ht="15.75" customHeight="1" x14ac:dyDescent="0.25">
      <c r="A187" s="144">
        <f>LEFT(A186,SUM(LEN(A186)-LEN(SUBSTITUTE(A186,{"0","1","2","3","4","5","6","7","8","9"},""))))*100+1</f>
        <v>101</v>
      </c>
      <c r="B187" s="144"/>
      <c r="C187" s="51" t="s">
        <v>199</v>
      </c>
      <c r="D187" s="80">
        <f>(30+8.02)*10.764</f>
        <v>409.24727999999993</v>
      </c>
      <c r="E187" s="41">
        <v>0</v>
      </c>
      <c r="F187" s="41">
        <v>635</v>
      </c>
      <c r="G187" s="144" t="str">
        <f>A186</f>
        <v>1st Floor for Residential</v>
      </c>
      <c r="H187" s="144"/>
      <c r="I187" s="35"/>
      <c r="J187" s="61">
        <f>635/D187</f>
        <v>1.5516291275045251</v>
      </c>
      <c r="K187" s="68"/>
      <c r="L187" s="68"/>
      <c r="M187" s="64"/>
      <c r="P187" s="64"/>
      <c r="Q187" s="68"/>
      <c r="R187" s="64"/>
    </row>
    <row r="188" spans="1:19" s="36" customFormat="1" ht="15.75" customHeight="1" x14ac:dyDescent="0.25">
      <c r="A188" s="144">
        <f>A187+1</f>
        <v>102</v>
      </c>
      <c r="B188" s="144"/>
      <c r="C188" s="51" t="s">
        <v>200</v>
      </c>
      <c r="D188" s="80">
        <f>(39.06+11.9)*10.764</f>
        <v>548.53343999999993</v>
      </c>
      <c r="E188" s="41">
        <v>0</v>
      </c>
      <c r="F188" s="41">
        <v>845</v>
      </c>
      <c r="G188" s="144" t="str">
        <f>G187</f>
        <v>1st Floor for Residential</v>
      </c>
      <c r="H188" s="144"/>
      <c r="I188" s="35"/>
      <c r="J188" s="61">
        <f>845/D188</f>
        <v>1.5404712609681557</v>
      </c>
      <c r="K188" s="69"/>
      <c r="L188" s="68"/>
      <c r="M188" s="64"/>
      <c r="P188" s="64"/>
      <c r="Q188" s="68"/>
      <c r="R188" s="64"/>
    </row>
    <row r="189" spans="1:19" s="36" customFormat="1" ht="15.75" customHeight="1" x14ac:dyDescent="0.25">
      <c r="A189" s="144">
        <v>103</v>
      </c>
      <c r="B189" s="144"/>
      <c r="C189" s="51" t="s">
        <v>200</v>
      </c>
      <c r="D189" s="80">
        <f>(39.06+11.9)*10.764</f>
        <v>548.53343999999993</v>
      </c>
      <c r="E189" s="41">
        <v>0</v>
      </c>
      <c r="F189" s="41">
        <v>845</v>
      </c>
      <c r="G189" s="144" t="str">
        <f>G188</f>
        <v>1st Floor for Residential</v>
      </c>
      <c r="H189" s="144"/>
      <c r="I189" s="35"/>
      <c r="J189" s="61">
        <f>845/D189</f>
        <v>1.5404712609681557</v>
      </c>
      <c r="K189" s="68"/>
      <c r="L189" s="68"/>
      <c r="M189" s="64"/>
      <c r="P189" s="64"/>
      <c r="Q189" s="68"/>
      <c r="R189" s="64"/>
    </row>
    <row r="190" spans="1:19" s="36" customFormat="1" ht="15.75" customHeight="1" x14ac:dyDescent="0.25">
      <c r="A190" s="144">
        <f t="shared" ref="A190" si="6">A189+1</f>
        <v>104</v>
      </c>
      <c r="B190" s="144"/>
      <c r="C190" s="51" t="s">
        <v>199</v>
      </c>
      <c r="D190" s="80">
        <f>(30+9.15)*10.764</f>
        <v>421.41059999999993</v>
      </c>
      <c r="E190" s="41">
        <v>0</v>
      </c>
      <c r="F190" s="41">
        <v>655</v>
      </c>
      <c r="G190" s="144" t="str">
        <f>G189</f>
        <v>1st Floor for Residential</v>
      </c>
      <c r="H190" s="144"/>
      <c r="I190" s="35"/>
      <c r="J190" s="61">
        <f>655/D190</f>
        <v>1.5543035699624075</v>
      </c>
      <c r="K190" s="68"/>
      <c r="L190" s="68"/>
      <c r="M190" s="64"/>
      <c r="P190" s="64"/>
      <c r="Q190" s="68"/>
      <c r="R190" s="64"/>
    </row>
    <row r="191" spans="1:19" s="36" customFormat="1" ht="15.75" customHeight="1" x14ac:dyDescent="0.25">
      <c r="A191" s="144">
        <v>105</v>
      </c>
      <c r="B191" s="144"/>
      <c r="C191" s="51" t="s">
        <v>199</v>
      </c>
      <c r="D191" s="80">
        <f>(30+9.15)*10.764</f>
        <v>421.41059999999993</v>
      </c>
      <c r="E191" s="41">
        <v>0</v>
      </c>
      <c r="F191" s="41">
        <v>655</v>
      </c>
      <c r="G191" s="144" t="str">
        <f>G190</f>
        <v>1st Floor for Residential</v>
      </c>
      <c r="H191" s="144"/>
      <c r="I191" s="35"/>
      <c r="J191" s="61"/>
      <c r="K191" s="68"/>
      <c r="L191" s="68"/>
      <c r="M191" s="64"/>
      <c r="P191" s="64"/>
      <c r="Q191" s="68"/>
      <c r="R191" s="64"/>
    </row>
    <row r="192" spans="1:19" s="36" customFormat="1" ht="15.75" customHeight="1" x14ac:dyDescent="0.25">
      <c r="A192" s="144">
        <f t="shared" ref="A192" si="7">A191+1</f>
        <v>106</v>
      </c>
      <c r="B192" s="144"/>
      <c r="C192" s="51" t="s">
        <v>200</v>
      </c>
      <c r="D192" s="80">
        <f>(39.06+11.9)*10.764</f>
        <v>548.53343999999993</v>
      </c>
      <c r="E192" s="41">
        <v>0</v>
      </c>
      <c r="F192" s="41">
        <v>845</v>
      </c>
      <c r="G192" s="144" t="str">
        <f t="shared" ref="G192:G197" si="8">G191</f>
        <v>1st Floor for Residential</v>
      </c>
      <c r="H192" s="144"/>
      <c r="I192" s="35"/>
      <c r="J192" s="61"/>
      <c r="K192" s="68"/>
      <c r="L192" s="68"/>
      <c r="M192" s="64"/>
      <c r="P192" s="64"/>
      <c r="Q192" s="68"/>
      <c r="R192" s="64"/>
    </row>
    <row r="193" spans="1:19" s="36" customFormat="1" ht="15.75" customHeight="1" x14ac:dyDescent="0.25">
      <c r="A193" s="144">
        <v>107</v>
      </c>
      <c r="B193" s="144"/>
      <c r="C193" s="51" t="s">
        <v>199</v>
      </c>
      <c r="D193" s="80">
        <f>(30+9.15)*10.764</f>
        <v>421.41059999999993</v>
      </c>
      <c r="E193" s="41">
        <v>0</v>
      </c>
      <c r="F193" s="41">
        <v>655</v>
      </c>
      <c r="G193" s="144" t="str">
        <f t="shared" si="8"/>
        <v>1st Floor for Residential</v>
      </c>
      <c r="H193" s="144"/>
      <c r="I193" s="35"/>
      <c r="J193" s="61"/>
      <c r="K193" s="69"/>
      <c r="L193" s="68"/>
      <c r="M193" s="64"/>
      <c r="P193" s="64"/>
      <c r="Q193" s="68"/>
      <c r="R193" s="64"/>
    </row>
    <row r="194" spans="1:19" s="36" customFormat="1" ht="15.75" customHeight="1" x14ac:dyDescent="0.25">
      <c r="A194" s="144">
        <f t="shared" ref="A194" si="9">A193+1</f>
        <v>108</v>
      </c>
      <c r="B194" s="144"/>
      <c r="C194" s="51" t="s">
        <v>199</v>
      </c>
      <c r="D194" s="80">
        <f>(29.21+10.21)*10.764</f>
        <v>424.31687999999997</v>
      </c>
      <c r="E194" s="41">
        <v>0</v>
      </c>
      <c r="F194" s="41">
        <v>655</v>
      </c>
      <c r="G194" s="144" t="str">
        <f t="shared" si="8"/>
        <v>1st Floor for Residential</v>
      </c>
      <c r="H194" s="144"/>
      <c r="I194" s="35"/>
      <c r="J194" s="61"/>
      <c r="K194" s="68"/>
      <c r="L194" s="68"/>
      <c r="M194" s="64"/>
      <c r="P194" s="64"/>
      <c r="Q194" s="68"/>
      <c r="R194" s="64"/>
    </row>
    <row r="195" spans="1:19" s="36" customFormat="1" ht="15.75" customHeight="1" x14ac:dyDescent="0.25">
      <c r="A195" s="144">
        <v>109</v>
      </c>
      <c r="B195" s="144"/>
      <c r="C195" s="51" t="s">
        <v>199</v>
      </c>
      <c r="D195" s="80">
        <f>(29.21+10.21)*10.764</f>
        <v>424.31687999999997</v>
      </c>
      <c r="E195" s="41">
        <v>0</v>
      </c>
      <c r="F195" s="41">
        <v>655</v>
      </c>
      <c r="G195" s="144" t="str">
        <f t="shared" si="8"/>
        <v>1st Floor for Residential</v>
      </c>
      <c r="H195" s="144"/>
      <c r="I195" s="35"/>
      <c r="J195" s="61"/>
      <c r="K195" s="68"/>
      <c r="L195" s="68"/>
      <c r="M195" s="64"/>
      <c r="P195" s="64"/>
      <c r="Q195" s="68"/>
      <c r="R195" s="64"/>
    </row>
    <row r="196" spans="1:19" s="36" customFormat="1" ht="15.75" customHeight="1" x14ac:dyDescent="0.25">
      <c r="A196" s="144">
        <f t="shared" ref="A196" si="10">A195+1</f>
        <v>110</v>
      </c>
      <c r="B196" s="144"/>
      <c r="C196" s="51" t="s">
        <v>199</v>
      </c>
      <c r="D196" s="80">
        <f>(29.52+8.45)*10.764</f>
        <v>408.70907999999997</v>
      </c>
      <c r="E196" s="41">
        <v>0</v>
      </c>
      <c r="F196" s="41">
        <v>635</v>
      </c>
      <c r="G196" s="144" t="str">
        <f t="shared" si="8"/>
        <v>1st Floor for Residential</v>
      </c>
      <c r="H196" s="144"/>
      <c r="I196" s="35"/>
      <c r="K196" s="61"/>
      <c r="L196" s="68"/>
      <c r="M196" s="68"/>
      <c r="N196" s="64"/>
      <c r="Q196" s="64"/>
      <c r="R196" s="68"/>
      <c r="S196" s="64"/>
    </row>
    <row r="197" spans="1:19" s="36" customFormat="1" ht="15.75" customHeight="1" x14ac:dyDescent="0.25">
      <c r="A197" s="144">
        <f t="shared" ref="A197" si="11">A196+1</f>
        <v>111</v>
      </c>
      <c r="B197" s="144"/>
      <c r="C197" s="51" t="s">
        <v>199</v>
      </c>
      <c r="D197" s="80">
        <f>(31.22+9.19)*10.764</f>
        <v>434.97323999999992</v>
      </c>
      <c r="E197" s="41">
        <v>0</v>
      </c>
      <c r="F197" s="41">
        <v>680</v>
      </c>
      <c r="G197" s="144" t="str">
        <f t="shared" si="8"/>
        <v>1st Floor for Residential</v>
      </c>
      <c r="H197" s="144"/>
      <c r="I197" s="35"/>
      <c r="K197" s="61"/>
      <c r="L197" s="68"/>
      <c r="M197" s="68"/>
      <c r="N197" s="64"/>
      <c r="Q197" s="64"/>
      <c r="R197" s="68"/>
      <c r="S197" s="64"/>
    </row>
    <row r="198" spans="1:19" s="36" customFormat="1" ht="15.75" customHeight="1" x14ac:dyDescent="0.25">
      <c r="A198" s="127" t="s">
        <v>150</v>
      </c>
      <c r="B198" s="128"/>
      <c r="C198" s="128"/>
      <c r="D198" s="128"/>
      <c r="E198" s="128"/>
      <c r="F198" s="128"/>
      <c r="G198" s="128"/>
      <c r="H198" s="129"/>
      <c r="I198" s="35"/>
      <c r="K198" s="61"/>
      <c r="L198" s="68"/>
      <c r="M198" s="68"/>
      <c r="N198" s="64"/>
      <c r="Q198" s="64"/>
      <c r="R198" s="68"/>
      <c r="S198" s="64"/>
    </row>
    <row r="199" spans="1:19" s="36" customFormat="1" ht="15.75" customHeight="1" x14ac:dyDescent="0.25">
      <c r="A199" s="108" t="str">
        <f ca="1">(SUMPRODUCT(MID(0&amp;(LEFT(A198,SUM(LEN(A198)-LEN(SUBSTITUTE(A198,{"0","1","2"},""))))), LARGE(INDEX(ISNUMBER(--MID((LEFT(A198,SUM(LEN(A198)-LEN(SUBSTITUTE(A198,{"0","1","2"},""))))), ROW(INDIRECT("1:"&amp;LEN((LEFT(A198,SUM(LEN(A198)-LEN(SUBSTITUTE(A198,{"0","1","2"},"")))))))), 1)) * ROW(INDIRECT("1:"&amp;LEN((LEFT(A198,SUM(LEN(A198)-LEN(SUBSTITUTE(A198,{"0","1","2"},"")))))))), 0), ROW(INDIRECT("1:"&amp;LEN((LEFT(A198,SUM(LEN(A198)-LEN(SUBSTITUTE(A198,{"0","1","2"},"")))))))))+1, 1) * 10^ROW(INDIRECT("1:"&amp;LEN((LEFT(A198,SUM(LEN(A198)-LEN(SUBSTITUTE(A198,{"0","1","2"},""))))))))/10))*100+1&amp;""&amp;" ,.., "&amp;""&amp;(SUMPRODUCT(MID(0&amp;(--TRIM(RIGHT(SUBSTITUTE(LEFT(A198,_xlfn.AGGREGATE(16,6,FIND({0,1,2,3,4,5,6,7,8,9},A198,ROW(INDIRECT("1:"&amp;LEN(A198)))),1))," ",REPT(" ",LEN(A198))),LEN(A198)))), LARGE(INDEX(ISNUMBER(--MID((--TRIM(RIGHT(SUBSTITUTE(LEFT(A198,_xlfn.AGGREGATE(16,6,FIND({0,1,2,3,4,5,6,7,8,9},A198,ROW(INDIRECT("1:"&amp;LEN(A198)))),1))," ",REPT(" ",LEN(A198))),LEN(A198)))), ROW(INDIRECT("1:"&amp;LEN((--TRIM(RIGHT(SUBSTITUTE(LEFT(A198,_xlfn.AGGREGATE(16,6,FIND({0,1,2,3,4,5,6,7,8,9},A198,ROW(INDIRECT("1:"&amp;LEN(A198)))),1))," ",REPT(" ",LEN(A198))),LEN(A198))))))), 1)) * ROW(INDIRECT("1:"&amp;LEN((--TRIM(RIGHT(SUBSTITUTE(LEFT(A198,_xlfn.AGGREGATE(16,6,FIND({0,1,2,3,4,5,6,7,8,9},A198,ROW(INDIRECT("1:"&amp;LEN(A198)))),1))," ",REPT(" ",LEN(A198))),LEN(A198))))))), 0), ROW(INDIRECT("1:"&amp;LEN((--TRIM(RIGHT(SUBSTITUTE(LEFT(A198,_xlfn.AGGREGATE(16,6,FIND({0,1,2,3,4,5,6,7,8,9},A198,ROW(INDIRECT("1:"&amp;LEN(A198)))),1))," ",REPT(" ",LEN(A198))),LEN(A198))))))))+1, 1) * 10^ROW(INDIRECT("1:"&amp;LEN((--TRIM(RIGHT(SUBSTITUTE(LEFT(A198,_xlfn.AGGREGATE(16,6,FIND({0,1,2,3,4,5,6,7,8,9},A198,ROW(INDIRECT("1:"&amp;LEN(A198)))),1))," ",REPT(" ",LEN(A198))),LEN(A198)))))))/10))*100+1</f>
        <v>201 ,.., 501</v>
      </c>
      <c r="B199" s="109"/>
      <c r="C199" s="51" t="s">
        <v>199</v>
      </c>
      <c r="D199" s="80">
        <f>(30+8.02)*10.764</f>
        <v>409.24727999999993</v>
      </c>
      <c r="E199" s="41">
        <v>0</v>
      </c>
      <c r="F199" s="41">
        <v>635</v>
      </c>
      <c r="G199" s="108" t="str">
        <f>A198</f>
        <v>2nd to 5th Floor</v>
      </c>
      <c r="H199" s="109"/>
      <c r="I199" s="35"/>
      <c r="K199" s="61"/>
      <c r="L199" s="68"/>
      <c r="M199" s="68"/>
      <c r="N199" s="64"/>
      <c r="Q199" s="64"/>
      <c r="R199" s="68"/>
      <c r="S199" s="64"/>
    </row>
    <row r="200" spans="1:19" s="36" customFormat="1" ht="15.75" customHeight="1" x14ac:dyDescent="0.25">
      <c r="A200" s="108" t="str">
        <f ca="1">(SUMPRODUCT(MID(0&amp;(LEFT(A199,SUM(LEN(A199)-LEN(SUBSTITUTE(A199,{"0","1","2"},""))))), LARGE(INDEX(ISNUMBER(--MID((LEFT(A199,SUM(LEN(A199)-LEN(SUBSTITUTE(A199,{"0","1","2"},""))))), ROW(INDIRECT("1:"&amp;LEN((LEFT(A199,SUM(LEN(A199)-LEN(SUBSTITUTE(A199,{"0","1","2"},"")))))))), 1)) * ROW(INDIRECT("1:"&amp;LEN((LEFT(A199,SUM(LEN(A199)-LEN(SUBSTITUTE(A199,{"0","1","2"},"")))))))), 0), ROW(INDIRECT("1:"&amp;LEN((LEFT(A199,SUM(LEN(A199)-LEN(SUBSTITUTE(A199,{"0","1","2"},"")))))))))+1, 1) * 10^ROW(INDIRECT("1:"&amp;LEN((LEFT(A199,SUM(LEN(A199)-LEN(SUBSTITUTE(A199,{"0","1","2"},""))))))))/10))*1+1&amp;""&amp;" ,.., "&amp;""&amp;(SUMPRODUCT(MID(0&amp;(--TRIM(RIGHT(SUBSTITUTE(LEFT(A199,_xlfn.AGGREGATE(16,6,FIND({0,1,2,3,4,5,6,7,8,9},A199,ROW(INDIRECT("1:"&amp;LEN(A199)))),1))," ",REPT(" ",LEN(A199))),LEN(A199)))), LARGE(INDEX(ISNUMBER(--MID((--TRIM(RIGHT(SUBSTITUTE(LEFT(A199,_xlfn.AGGREGATE(16,6,FIND({0,1,2,3,4,5,6,7,8,9},A199,ROW(INDIRECT("1:"&amp;LEN(A199)))),1))," ",REPT(" ",LEN(A199))),LEN(A199)))), ROW(INDIRECT("1:"&amp;LEN((--TRIM(RIGHT(SUBSTITUTE(LEFT(A199,_xlfn.AGGREGATE(16,6,FIND({0,1,2,3,4,5,6,7,8,9},A199,ROW(INDIRECT("1:"&amp;LEN(A199)))),1))," ",REPT(" ",LEN(A199))),LEN(A199))))))), 1)) * ROW(INDIRECT("1:"&amp;LEN((--TRIM(RIGHT(SUBSTITUTE(LEFT(A199,_xlfn.AGGREGATE(16,6,FIND({0,1,2,3,4,5,6,7,8,9},A199,ROW(INDIRECT("1:"&amp;LEN(A199)))),1))," ",REPT(" ",LEN(A199))),LEN(A199))))))), 0), ROW(INDIRECT("1:"&amp;LEN((--TRIM(RIGHT(SUBSTITUTE(LEFT(A199,_xlfn.AGGREGATE(16,6,FIND({0,1,2,3,4,5,6,7,8,9},A199,ROW(INDIRECT("1:"&amp;LEN(A199)))),1))," ",REPT(" ",LEN(A199))),LEN(A199))))))))+1, 1) * 10^ROW(INDIRECT("1:"&amp;LEN((--TRIM(RIGHT(SUBSTITUTE(LEFT(A199,_xlfn.AGGREGATE(16,6,FIND({0,1,2,3,4,5,6,7,8,9},A199,ROW(INDIRECT("1:"&amp;LEN(A199)))),1))," ",REPT(" ",LEN(A199))),LEN(A199)))))))/10))*1+1</f>
        <v>202 ,.., 502</v>
      </c>
      <c r="B200" s="109"/>
      <c r="C200" s="51" t="s">
        <v>200</v>
      </c>
      <c r="D200" s="80">
        <f>(39.06+11.9)*10.764</f>
        <v>548.53343999999993</v>
      </c>
      <c r="E200" s="41">
        <v>0</v>
      </c>
      <c r="F200" s="41">
        <v>845</v>
      </c>
      <c r="G200" s="108" t="str">
        <f>G199</f>
        <v>2nd to 5th Floor</v>
      </c>
      <c r="H200" s="109"/>
      <c r="I200" s="35"/>
      <c r="K200" s="61"/>
      <c r="L200" s="68"/>
      <c r="M200" s="68"/>
      <c r="N200" s="64"/>
      <c r="Q200" s="64"/>
      <c r="R200" s="68"/>
      <c r="S200" s="64"/>
    </row>
    <row r="201" spans="1:19" s="36" customFormat="1" ht="15.75" customHeight="1" x14ac:dyDescent="0.25">
      <c r="A201" s="108" t="str">
        <f ca="1">(SUMPRODUCT(MID(0&amp;(LEFT(A200,SUM(LEN(A200)-LEN(SUBSTITUTE(A200,{"0","1","2"},""))))), LARGE(INDEX(ISNUMBER(--MID((LEFT(A200,SUM(LEN(A200)-LEN(SUBSTITUTE(A200,{"0","1","2"},""))))), ROW(INDIRECT("1:"&amp;LEN((LEFT(A200,SUM(LEN(A200)-LEN(SUBSTITUTE(A200,{"0","1","2"},"")))))))), 1)) * ROW(INDIRECT("1:"&amp;LEN((LEFT(A200,SUM(LEN(A200)-LEN(SUBSTITUTE(A200,{"0","1","2"},"")))))))), 0), ROW(INDIRECT("1:"&amp;LEN((LEFT(A200,SUM(LEN(A200)-LEN(SUBSTITUTE(A200,{"0","1","2"},"")))))))))+1, 1) * 10^ROW(INDIRECT("1:"&amp;LEN((LEFT(A200,SUM(LEN(A200)-LEN(SUBSTITUTE(A200,{"0","1","2"},""))))))))/10))*1+1&amp;""&amp;" ,.., "&amp;""&amp;(SUMPRODUCT(MID(0&amp;(--TRIM(RIGHT(SUBSTITUTE(LEFT(A200,_xlfn.AGGREGATE(16,6,FIND({0,1,2,3,4,5,6,7,8,9},A200,ROW(INDIRECT("1:"&amp;LEN(A200)))),1))," ",REPT(" ",LEN(A200))),LEN(A200)))), LARGE(INDEX(ISNUMBER(--MID((--TRIM(RIGHT(SUBSTITUTE(LEFT(A200,_xlfn.AGGREGATE(16,6,FIND({0,1,2,3,4,5,6,7,8,9},A200,ROW(INDIRECT("1:"&amp;LEN(A200)))),1))," ",REPT(" ",LEN(A200))),LEN(A200)))), ROW(INDIRECT("1:"&amp;LEN((--TRIM(RIGHT(SUBSTITUTE(LEFT(A200,_xlfn.AGGREGATE(16,6,FIND({0,1,2,3,4,5,6,7,8,9},A200,ROW(INDIRECT("1:"&amp;LEN(A200)))),1))," ",REPT(" ",LEN(A200))),LEN(A200))))))), 1)) * ROW(INDIRECT("1:"&amp;LEN((--TRIM(RIGHT(SUBSTITUTE(LEFT(A200,_xlfn.AGGREGATE(16,6,FIND({0,1,2,3,4,5,6,7,8,9},A200,ROW(INDIRECT("1:"&amp;LEN(A200)))),1))," ",REPT(" ",LEN(A200))),LEN(A200))))))), 0), ROW(INDIRECT("1:"&amp;LEN((--TRIM(RIGHT(SUBSTITUTE(LEFT(A200,_xlfn.AGGREGATE(16,6,FIND({0,1,2,3,4,5,6,7,8,9},A200,ROW(INDIRECT("1:"&amp;LEN(A200)))),1))," ",REPT(" ",LEN(A200))),LEN(A200))))))))+1, 1) * 10^ROW(INDIRECT("1:"&amp;LEN((--TRIM(RIGHT(SUBSTITUTE(LEFT(A200,_xlfn.AGGREGATE(16,6,FIND({0,1,2,3,4,5,6,7,8,9},A200,ROW(INDIRECT("1:"&amp;LEN(A200)))),1))," ",REPT(" ",LEN(A200))),LEN(A200)))))))/10))*1+1</f>
        <v>203 ,.., 503</v>
      </c>
      <c r="B201" s="109"/>
      <c r="C201" s="51" t="s">
        <v>200</v>
      </c>
      <c r="D201" s="80">
        <f>(39.06+11.9)*10.764</f>
        <v>548.53343999999993</v>
      </c>
      <c r="E201" s="41">
        <v>0</v>
      </c>
      <c r="F201" s="41">
        <v>845</v>
      </c>
      <c r="G201" s="108" t="str">
        <f>G200</f>
        <v>2nd to 5th Floor</v>
      </c>
      <c r="H201" s="109"/>
      <c r="I201" s="35"/>
      <c r="K201" s="61"/>
      <c r="L201" s="68"/>
      <c r="M201" s="68"/>
      <c r="N201" s="64"/>
      <c r="Q201" s="64"/>
      <c r="R201" s="68"/>
      <c r="S201" s="64"/>
    </row>
    <row r="202" spans="1:19" s="36" customFormat="1" ht="15.75" customHeight="1" x14ac:dyDescent="0.25">
      <c r="A202" s="108" t="str">
        <f ca="1">(SUMPRODUCT(MID(0&amp;(LEFT(A201,SUM(LEN(A201)-LEN(SUBSTITUTE(A201,{"0","1","2"},""))))), LARGE(INDEX(ISNUMBER(--MID((LEFT(A201,SUM(LEN(A201)-LEN(SUBSTITUTE(A201,{"0","1","2"},""))))), ROW(INDIRECT("1:"&amp;LEN((LEFT(A201,SUM(LEN(A201)-LEN(SUBSTITUTE(A201,{"0","1","2"},"")))))))), 1)) * ROW(INDIRECT("1:"&amp;LEN((LEFT(A201,SUM(LEN(A201)-LEN(SUBSTITUTE(A201,{"0","1","2"},"")))))))), 0), ROW(INDIRECT("1:"&amp;LEN((LEFT(A201,SUM(LEN(A201)-LEN(SUBSTITUTE(A201,{"0","1","2"},"")))))))))+1, 1) * 10^ROW(INDIRECT("1:"&amp;LEN((LEFT(A201,SUM(LEN(A201)-LEN(SUBSTITUTE(A201,{"0","1","2"},""))))))))/10))*1+1&amp;""&amp;" ,.., "&amp;""&amp;(SUMPRODUCT(MID(0&amp;(--TRIM(RIGHT(SUBSTITUTE(LEFT(A201,_xlfn.AGGREGATE(16,6,FIND({0,1,2,3,4,5,6,7,8,9},A201,ROW(INDIRECT("1:"&amp;LEN(A201)))),1))," ",REPT(" ",LEN(A201))),LEN(A201)))), LARGE(INDEX(ISNUMBER(--MID((--TRIM(RIGHT(SUBSTITUTE(LEFT(A201,_xlfn.AGGREGATE(16,6,FIND({0,1,2,3,4,5,6,7,8,9},A201,ROW(INDIRECT("1:"&amp;LEN(A201)))),1))," ",REPT(" ",LEN(A201))),LEN(A201)))), ROW(INDIRECT("1:"&amp;LEN((--TRIM(RIGHT(SUBSTITUTE(LEFT(A201,_xlfn.AGGREGATE(16,6,FIND({0,1,2,3,4,5,6,7,8,9},A201,ROW(INDIRECT("1:"&amp;LEN(A201)))),1))," ",REPT(" ",LEN(A201))),LEN(A201))))))), 1)) * ROW(INDIRECT("1:"&amp;LEN((--TRIM(RIGHT(SUBSTITUTE(LEFT(A201,_xlfn.AGGREGATE(16,6,FIND({0,1,2,3,4,5,6,7,8,9},A201,ROW(INDIRECT("1:"&amp;LEN(A201)))),1))," ",REPT(" ",LEN(A201))),LEN(A201))))))), 0), ROW(INDIRECT("1:"&amp;LEN((--TRIM(RIGHT(SUBSTITUTE(LEFT(A201,_xlfn.AGGREGATE(16,6,FIND({0,1,2,3,4,5,6,7,8,9},A201,ROW(INDIRECT("1:"&amp;LEN(A201)))),1))," ",REPT(" ",LEN(A201))),LEN(A201))))))))+1, 1) * 10^ROW(INDIRECT("1:"&amp;LEN((--TRIM(RIGHT(SUBSTITUTE(LEFT(A201,_xlfn.AGGREGATE(16,6,FIND({0,1,2,3,4,5,6,7,8,9},A201,ROW(INDIRECT("1:"&amp;LEN(A201)))),1))," ",REPT(" ",LEN(A201))),LEN(A201)))))))/10))*1+1</f>
        <v>204 ,.., 504</v>
      </c>
      <c r="B202" s="109"/>
      <c r="C202" s="51" t="s">
        <v>199</v>
      </c>
      <c r="D202" s="80">
        <f>(30+9.15)*10.764</f>
        <v>421.41059999999993</v>
      </c>
      <c r="E202" s="41">
        <v>0</v>
      </c>
      <c r="F202" s="41">
        <v>655</v>
      </c>
      <c r="G202" s="108" t="str">
        <f>G201</f>
        <v>2nd to 5th Floor</v>
      </c>
      <c r="H202" s="109"/>
      <c r="I202" s="35"/>
      <c r="K202" s="61"/>
      <c r="L202" s="68"/>
      <c r="M202" s="68"/>
      <c r="N202" s="64"/>
      <c r="Q202" s="64"/>
      <c r="R202" s="68"/>
      <c r="S202" s="64"/>
    </row>
    <row r="203" spans="1:19" s="36" customFormat="1" ht="15.75" customHeight="1" x14ac:dyDescent="0.25">
      <c r="A203" s="108" t="str">
        <f ca="1">(SUMPRODUCT(MID(0&amp;(LEFT(A202,SUM(LEN(A202)-LEN(SUBSTITUTE(A202,{"0","1","2"},""))))), LARGE(INDEX(ISNUMBER(--MID((LEFT(A202,SUM(LEN(A202)-LEN(SUBSTITUTE(A202,{"0","1","2"},""))))), ROW(INDIRECT("1:"&amp;LEN((LEFT(A202,SUM(LEN(A202)-LEN(SUBSTITUTE(A202,{"0","1","2"},"")))))))), 1)) * ROW(INDIRECT("1:"&amp;LEN((LEFT(A202,SUM(LEN(A202)-LEN(SUBSTITUTE(A202,{"0","1","2"},"")))))))), 0), ROW(INDIRECT("1:"&amp;LEN((LEFT(A202,SUM(LEN(A202)-LEN(SUBSTITUTE(A202,{"0","1","2"},"")))))))))+1, 1) * 10^ROW(INDIRECT("1:"&amp;LEN((LEFT(A202,SUM(LEN(A202)-LEN(SUBSTITUTE(A202,{"0","1","2"},""))))))))/10))*1+1&amp;""&amp;" ,.., "&amp;""&amp;(SUMPRODUCT(MID(0&amp;(--TRIM(RIGHT(SUBSTITUTE(LEFT(A202,_xlfn.AGGREGATE(16,6,FIND({0,1,2,3,4,5,6,7,8,9},A202,ROW(INDIRECT("1:"&amp;LEN(A202)))),1))," ",REPT(" ",LEN(A202))),LEN(A202)))), LARGE(INDEX(ISNUMBER(--MID((--TRIM(RIGHT(SUBSTITUTE(LEFT(A202,_xlfn.AGGREGATE(16,6,FIND({0,1,2,3,4,5,6,7,8,9},A202,ROW(INDIRECT("1:"&amp;LEN(A202)))),1))," ",REPT(" ",LEN(A202))),LEN(A202)))), ROW(INDIRECT("1:"&amp;LEN((--TRIM(RIGHT(SUBSTITUTE(LEFT(A202,_xlfn.AGGREGATE(16,6,FIND({0,1,2,3,4,5,6,7,8,9},A202,ROW(INDIRECT("1:"&amp;LEN(A202)))),1))," ",REPT(" ",LEN(A202))),LEN(A202))))))), 1)) * ROW(INDIRECT("1:"&amp;LEN((--TRIM(RIGHT(SUBSTITUTE(LEFT(A202,_xlfn.AGGREGATE(16,6,FIND({0,1,2,3,4,5,6,7,8,9},A202,ROW(INDIRECT("1:"&amp;LEN(A202)))),1))," ",REPT(" ",LEN(A202))),LEN(A202))))))), 0), ROW(INDIRECT("1:"&amp;LEN((--TRIM(RIGHT(SUBSTITUTE(LEFT(A202,_xlfn.AGGREGATE(16,6,FIND({0,1,2,3,4,5,6,7,8,9},A202,ROW(INDIRECT("1:"&amp;LEN(A202)))),1))," ",REPT(" ",LEN(A202))),LEN(A202))))))))+1, 1) * 10^ROW(INDIRECT("1:"&amp;LEN((--TRIM(RIGHT(SUBSTITUTE(LEFT(A202,_xlfn.AGGREGATE(16,6,FIND({0,1,2,3,4,5,6,7,8,9},A202,ROW(INDIRECT("1:"&amp;LEN(A202)))),1))," ",REPT(" ",LEN(A202))),LEN(A202)))))))/10))*1+1</f>
        <v>205 ,.., 505</v>
      </c>
      <c r="B203" s="109"/>
      <c r="C203" s="51" t="s">
        <v>199</v>
      </c>
      <c r="D203" s="80">
        <f>(30+9.15)*10.764</f>
        <v>421.41059999999993</v>
      </c>
      <c r="E203" s="41">
        <v>0</v>
      </c>
      <c r="F203" s="41">
        <v>655</v>
      </c>
      <c r="G203" s="108" t="str">
        <f>G202</f>
        <v>2nd to 5th Floor</v>
      </c>
      <c r="H203" s="109"/>
      <c r="I203" s="35"/>
      <c r="K203" s="61"/>
      <c r="L203" s="68"/>
      <c r="M203" s="68"/>
      <c r="N203" s="64"/>
      <c r="Q203" s="64"/>
      <c r="R203" s="68"/>
      <c r="S203" s="64"/>
    </row>
    <row r="204" spans="1:19" s="36" customFormat="1" ht="15.75" customHeight="1" x14ac:dyDescent="0.25">
      <c r="A204" s="108" t="str">
        <f ca="1">(SUMPRODUCT(MID(0&amp;(LEFT(A203,SUM(LEN(A203)-LEN(SUBSTITUTE(A203,{"0","1","2"},""))))), LARGE(INDEX(ISNUMBER(--MID((LEFT(A203,SUM(LEN(A203)-LEN(SUBSTITUTE(A203,{"0","1","2"},""))))), ROW(INDIRECT("1:"&amp;LEN((LEFT(A203,SUM(LEN(A203)-LEN(SUBSTITUTE(A203,{"0","1","2"},"")))))))), 1)) * ROW(INDIRECT("1:"&amp;LEN((LEFT(A203,SUM(LEN(A203)-LEN(SUBSTITUTE(A203,{"0","1","2"},"")))))))), 0), ROW(INDIRECT("1:"&amp;LEN((LEFT(A203,SUM(LEN(A203)-LEN(SUBSTITUTE(A203,{"0","1","2"},"")))))))))+1, 1) * 10^ROW(INDIRECT("1:"&amp;LEN((LEFT(A203,SUM(LEN(A203)-LEN(SUBSTITUTE(A203,{"0","1","2"},""))))))))/10))*1+1&amp;""&amp;" ,.., "&amp;""&amp;(SUMPRODUCT(MID(0&amp;(--TRIM(RIGHT(SUBSTITUTE(LEFT(A203,_xlfn.AGGREGATE(16,6,FIND({0,1,2,3,4,5,6,7,8,9},A203,ROW(INDIRECT("1:"&amp;LEN(A203)))),1))," ",REPT(" ",LEN(A203))),LEN(A203)))), LARGE(INDEX(ISNUMBER(--MID((--TRIM(RIGHT(SUBSTITUTE(LEFT(A203,_xlfn.AGGREGATE(16,6,FIND({0,1,2,3,4,5,6,7,8,9},A203,ROW(INDIRECT("1:"&amp;LEN(A203)))),1))," ",REPT(" ",LEN(A203))),LEN(A203)))), ROW(INDIRECT("1:"&amp;LEN((--TRIM(RIGHT(SUBSTITUTE(LEFT(A203,_xlfn.AGGREGATE(16,6,FIND({0,1,2,3,4,5,6,7,8,9},A203,ROW(INDIRECT("1:"&amp;LEN(A203)))),1))," ",REPT(" ",LEN(A203))),LEN(A203))))))), 1)) * ROW(INDIRECT("1:"&amp;LEN((--TRIM(RIGHT(SUBSTITUTE(LEFT(A203,_xlfn.AGGREGATE(16,6,FIND({0,1,2,3,4,5,6,7,8,9},A203,ROW(INDIRECT("1:"&amp;LEN(A203)))),1))," ",REPT(" ",LEN(A203))),LEN(A203))))))), 0), ROW(INDIRECT("1:"&amp;LEN((--TRIM(RIGHT(SUBSTITUTE(LEFT(A203,_xlfn.AGGREGATE(16,6,FIND({0,1,2,3,4,5,6,7,8,9},A203,ROW(INDIRECT("1:"&amp;LEN(A203)))),1))," ",REPT(" ",LEN(A203))),LEN(A203))))))))+1, 1) * 10^ROW(INDIRECT("1:"&amp;LEN((--TRIM(RIGHT(SUBSTITUTE(LEFT(A203,_xlfn.AGGREGATE(16,6,FIND({0,1,2,3,4,5,6,7,8,9},A203,ROW(INDIRECT("1:"&amp;LEN(A203)))),1))," ",REPT(" ",LEN(A203))),LEN(A203)))))))/10))*1+1</f>
        <v>206 ,.., 506</v>
      </c>
      <c r="B204" s="109"/>
      <c r="C204" s="51" t="s">
        <v>200</v>
      </c>
      <c r="D204" s="80">
        <f>(39.06+11.9)*10.764</f>
        <v>548.53343999999993</v>
      </c>
      <c r="E204" s="41">
        <v>0</v>
      </c>
      <c r="F204" s="41">
        <v>845</v>
      </c>
      <c r="G204" s="108" t="str">
        <f t="shared" ref="G204:G209" si="12">G203</f>
        <v>2nd to 5th Floor</v>
      </c>
      <c r="H204" s="109"/>
      <c r="I204" s="35"/>
      <c r="K204" s="61"/>
      <c r="L204" s="68"/>
      <c r="M204" s="68"/>
      <c r="N204" s="64"/>
      <c r="Q204" s="64"/>
      <c r="R204" s="68"/>
      <c r="S204" s="64"/>
    </row>
    <row r="205" spans="1:19" s="36" customFormat="1" ht="15.75" customHeight="1" x14ac:dyDescent="0.25">
      <c r="A205" s="108" t="str">
        <f ca="1">(SUMPRODUCT(MID(0&amp;(LEFT(A204,SUM(LEN(A204)-LEN(SUBSTITUTE(A204,{"0","1","2"},""))))), LARGE(INDEX(ISNUMBER(--MID((LEFT(A204,SUM(LEN(A204)-LEN(SUBSTITUTE(A204,{"0","1","2"},""))))), ROW(INDIRECT("1:"&amp;LEN((LEFT(A204,SUM(LEN(A204)-LEN(SUBSTITUTE(A204,{"0","1","2"},"")))))))), 1)) * ROW(INDIRECT("1:"&amp;LEN((LEFT(A204,SUM(LEN(A204)-LEN(SUBSTITUTE(A204,{"0","1","2"},"")))))))), 0), ROW(INDIRECT("1:"&amp;LEN((LEFT(A204,SUM(LEN(A204)-LEN(SUBSTITUTE(A204,{"0","1","2"},"")))))))))+1, 1) * 10^ROW(INDIRECT("1:"&amp;LEN((LEFT(A204,SUM(LEN(A204)-LEN(SUBSTITUTE(A204,{"0","1","2"},""))))))))/10))*1+1&amp;""&amp;" ,.., "&amp;""&amp;(SUMPRODUCT(MID(0&amp;(--TRIM(RIGHT(SUBSTITUTE(LEFT(A204,_xlfn.AGGREGATE(16,6,FIND({0,1,2,3,4,5,6,7,8,9},A204,ROW(INDIRECT("1:"&amp;LEN(A204)))),1))," ",REPT(" ",LEN(A204))),LEN(A204)))), LARGE(INDEX(ISNUMBER(--MID((--TRIM(RIGHT(SUBSTITUTE(LEFT(A204,_xlfn.AGGREGATE(16,6,FIND({0,1,2,3,4,5,6,7,8,9},A204,ROW(INDIRECT("1:"&amp;LEN(A204)))),1))," ",REPT(" ",LEN(A204))),LEN(A204)))), ROW(INDIRECT("1:"&amp;LEN((--TRIM(RIGHT(SUBSTITUTE(LEFT(A204,_xlfn.AGGREGATE(16,6,FIND({0,1,2,3,4,5,6,7,8,9},A204,ROW(INDIRECT("1:"&amp;LEN(A204)))),1))," ",REPT(" ",LEN(A204))),LEN(A204))))))), 1)) * ROW(INDIRECT("1:"&amp;LEN((--TRIM(RIGHT(SUBSTITUTE(LEFT(A204,_xlfn.AGGREGATE(16,6,FIND({0,1,2,3,4,5,6,7,8,9},A204,ROW(INDIRECT("1:"&amp;LEN(A204)))),1))," ",REPT(" ",LEN(A204))),LEN(A204))))))), 0), ROW(INDIRECT("1:"&amp;LEN((--TRIM(RIGHT(SUBSTITUTE(LEFT(A204,_xlfn.AGGREGATE(16,6,FIND({0,1,2,3,4,5,6,7,8,9},A204,ROW(INDIRECT("1:"&amp;LEN(A204)))),1))," ",REPT(" ",LEN(A204))),LEN(A204))))))))+1, 1) * 10^ROW(INDIRECT("1:"&amp;LEN((--TRIM(RIGHT(SUBSTITUTE(LEFT(A204,_xlfn.AGGREGATE(16,6,FIND({0,1,2,3,4,5,6,7,8,9},A204,ROW(INDIRECT("1:"&amp;LEN(A204)))),1))," ",REPT(" ",LEN(A204))),LEN(A204)))))))/10))*1+1</f>
        <v>207 ,.., 507</v>
      </c>
      <c r="B205" s="109"/>
      <c r="C205" s="51" t="s">
        <v>199</v>
      </c>
      <c r="D205" s="80">
        <f>(30+9.15)*10.764</f>
        <v>421.41059999999993</v>
      </c>
      <c r="E205" s="41">
        <v>0</v>
      </c>
      <c r="F205" s="41">
        <v>655</v>
      </c>
      <c r="G205" s="108" t="str">
        <f t="shared" si="12"/>
        <v>2nd to 5th Floor</v>
      </c>
      <c r="H205" s="109"/>
      <c r="I205" s="35"/>
      <c r="K205" s="61"/>
      <c r="L205" s="68"/>
      <c r="M205" s="68"/>
      <c r="N205" s="64"/>
      <c r="Q205" s="64"/>
      <c r="R205" s="68"/>
      <c r="S205" s="64"/>
    </row>
    <row r="206" spans="1:19" s="36" customFormat="1" ht="15.75" customHeight="1" x14ac:dyDescent="0.25">
      <c r="A206" s="108" t="str">
        <f ca="1">(SUMPRODUCT(MID(0&amp;(LEFT(A205,SUM(LEN(A205)-LEN(SUBSTITUTE(A205,{"0","1","2"},""))))), LARGE(INDEX(ISNUMBER(--MID((LEFT(A205,SUM(LEN(A205)-LEN(SUBSTITUTE(A205,{"0","1","2"},""))))), ROW(INDIRECT("1:"&amp;LEN((LEFT(A205,SUM(LEN(A205)-LEN(SUBSTITUTE(A205,{"0","1","2"},"")))))))), 1)) * ROW(INDIRECT("1:"&amp;LEN((LEFT(A205,SUM(LEN(A205)-LEN(SUBSTITUTE(A205,{"0","1","2"},"")))))))), 0), ROW(INDIRECT("1:"&amp;LEN((LEFT(A205,SUM(LEN(A205)-LEN(SUBSTITUTE(A205,{"0","1","2"},"")))))))))+1, 1) * 10^ROW(INDIRECT("1:"&amp;LEN((LEFT(A205,SUM(LEN(A205)-LEN(SUBSTITUTE(A205,{"0","1","2"},""))))))))/10))*1+1&amp;""&amp;" ,.., "&amp;""&amp;(SUMPRODUCT(MID(0&amp;(--TRIM(RIGHT(SUBSTITUTE(LEFT(A205,_xlfn.AGGREGATE(16,6,FIND({0,1,2,3,4,5,6,7,8,9},A205,ROW(INDIRECT("1:"&amp;LEN(A205)))),1))," ",REPT(" ",LEN(A205))),LEN(A205)))), LARGE(INDEX(ISNUMBER(--MID((--TRIM(RIGHT(SUBSTITUTE(LEFT(A205,_xlfn.AGGREGATE(16,6,FIND({0,1,2,3,4,5,6,7,8,9},A205,ROW(INDIRECT("1:"&amp;LEN(A205)))),1))," ",REPT(" ",LEN(A205))),LEN(A205)))), ROW(INDIRECT("1:"&amp;LEN((--TRIM(RIGHT(SUBSTITUTE(LEFT(A205,_xlfn.AGGREGATE(16,6,FIND({0,1,2,3,4,5,6,7,8,9},A205,ROW(INDIRECT("1:"&amp;LEN(A205)))),1))," ",REPT(" ",LEN(A205))),LEN(A205))))))), 1)) * ROW(INDIRECT("1:"&amp;LEN((--TRIM(RIGHT(SUBSTITUTE(LEFT(A205,_xlfn.AGGREGATE(16,6,FIND({0,1,2,3,4,5,6,7,8,9},A205,ROW(INDIRECT("1:"&amp;LEN(A205)))),1))," ",REPT(" ",LEN(A205))),LEN(A205))))))), 0), ROW(INDIRECT("1:"&amp;LEN((--TRIM(RIGHT(SUBSTITUTE(LEFT(A205,_xlfn.AGGREGATE(16,6,FIND({0,1,2,3,4,5,6,7,8,9},A205,ROW(INDIRECT("1:"&amp;LEN(A205)))),1))," ",REPT(" ",LEN(A205))),LEN(A205))))))))+1, 1) * 10^ROW(INDIRECT("1:"&amp;LEN((--TRIM(RIGHT(SUBSTITUTE(LEFT(A205,_xlfn.AGGREGATE(16,6,FIND({0,1,2,3,4,5,6,7,8,9},A205,ROW(INDIRECT("1:"&amp;LEN(A205)))),1))," ",REPT(" ",LEN(A205))),LEN(A205)))))))/10))*1+1</f>
        <v>208 ,.., 508</v>
      </c>
      <c r="B206" s="109"/>
      <c r="C206" s="51" t="s">
        <v>199</v>
      </c>
      <c r="D206" s="80">
        <f>(29.21+10.21)*10.764</f>
        <v>424.31687999999997</v>
      </c>
      <c r="E206" s="41">
        <v>0</v>
      </c>
      <c r="F206" s="41">
        <v>655</v>
      </c>
      <c r="G206" s="108" t="str">
        <f t="shared" si="12"/>
        <v>2nd to 5th Floor</v>
      </c>
      <c r="H206" s="109"/>
      <c r="I206" s="35"/>
      <c r="K206" s="61"/>
      <c r="L206" s="68"/>
      <c r="M206" s="68"/>
      <c r="N206" s="64"/>
      <c r="Q206" s="64"/>
      <c r="R206" s="68"/>
      <c r="S206" s="64"/>
    </row>
    <row r="207" spans="1:19" s="36" customFormat="1" ht="15.75" customHeight="1" x14ac:dyDescent="0.25">
      <c r="A207" s="108" t="str">
        <f ca="1">(SUMPRODUCT(MID(0&amp;(LEFT(A206,SUM(LEN(A206)-LEN(SUBSTITUTE(A206,{"0","1","2"},""))))), LARGE(INDEX(ISNUMBER(--MID((LEFT(A206,SUM(LEN(A206)-LEN(SUBSTITUTE(A206,{"0","1","2"},""))))), ROW(INDIRECT("1:"&amp;LEN((LEFT(A206,SUM(LEN(A206)-LEN(SUBSTITUTE(A206,{"0","1","2"},"")))))))), 1)) * ROW(INDIRECT("1:"&amp;LEN((LEFT(A206,SUM(LEN(A206)-LEN(SUBSTITUTE(A206,{"0","1","2"},"")))))))), 0), ROW(INDIRECT("1:"&amp;LEN((LEFT(A206,SUM(LEN(A206)-LEN(SUBSTITUTE(A206,{"0","1","2"},"")))))))))+1, 1) * 10^ROW(INDIRECT("1:"&amp;LEN((LEFT(A206,SUM(LEN(A206)-LEN(SUBSTITUTE(A206,{"0","1","2"},""))))))))/10))*1+1&amp;""&amp;" ,.., "&amp;""&amp;(SUMPRODUCT(MID(0&amp;(--TRIM(RIGHT(SUBSTITUTE(LEFT(A206,_xlfn.AGGREGATE(16,6,FIND({0,1,2,3,4,5,6,7,8,9},A206,ROW(INDIRECT("1:"&amp;LEN(A206)))),1))," ",REPT(" ",LEN(A206))),LEN(A206)))), LARGE(INDEX(ISNUMBER(--MID((--TRIM(RIGHT(SUBSTITUTE(LEFT(A206,_xlfn.AGGREGATE(16,6,FIND({0,1,2,3,4,5,6,7,8,9},A206,ROW(INDIRECT("1:"&amp;LEN(A206)))),1))," ",REPT(" ",LEN(A206))),LEN(A206)))), ROW(INDIRECT("1:"&amp;LEN((--TRIM(RIGHT(SUBSTITUTE(LEFT(A206,_xlfn.AGGREGATE(16,6,FIND({0,1,2,3,4,5,6,7,8,9},A206,ROW(INDIRECT("1:"&amp;LEN(A206)))),1))," ",REPT(" ",LEN(A206))),LEN(A206))))))), 1)) * ROW(INDIRECT("1:"&amp;LEN((--TRIM(RIGHT(SUBSTITUTE(LEFT(A206,_xlfn.AGGREGATE(16,6,FIND({0,1,2,3,4,5,6,7,8,9},A206,ROW(INDIRECT("1:"&amp;LEN(A206)))),1))," ",REPT(" ",LEN(A206))),LEN(A206))))))), 0), ROW(INDIRECT("1:"&amp;LEN((--TRIM(RIGHT(SUBSTITUTE(LEFT(A206,_xlfn.AGGREGATE(16,6,FIND({0,1,2,3,4,5,6,7,8,9},A206,ROW(INDIRECT("1:"&amp;LEN(A206)))),1))," ",REPT(" ",LEN(A206))),LEN(A206))))))))+1, 1) * 10^ROW(INDIRECT("1:"&amp;LEN((--TRIM(RIGHT(SUBSTITUTE(LEFT(A206,_xlfn.AGGREGATE(16,6,FIND({0,1,2,3,4,5,6,7,8,9},A206,ROW(INDIRECT("1:"&amp;LEN(A206)))),1))," ",REPT(" ",LEN(A206))),LEN(A206)))))))/10))*1+1</f>
        <v>209 ,.., 509</v>
      </c>
      <c r="B207" s="109"/>
      <c r="C207" s="51" t="s">
        <v>199</v>
      </c>
      <c r="D207" s="80">
        <f>(29.21+10.21)*10.764</f>
        <v>424.31687999999997</v>
      </c>
      <c r="E207" s="41">
        <v>0</v>
      </c>
      <c r="F207" s="41">
        <v>655</v>
      </c>
      <c r="G207" s="108" t="str">
        <f t="shared" si="12"/>
        <v>2nd to 5th Floor</v>
      </c>
      <c r="H207" s="109"/>
      <c r="I207" s="35"/>
      <c r="K207" s="61"/>
      <c r="L207" s="68"/>
      <c r="M207" s="68"/>
      <c r="N207" s="64"/>
      <c r="Q207" s="64"/>
      <c r="R207" s="68"/>
      <c r="S207" s="64"/>
    </row>
    <row r="208" spans="1:19" s="36" customFormat="1" ht="15.75" customHeight="1" x14ac:dyDescent="0.25">
      <c r="A208" s="108" t="str">
        <f ca="1">(SUMPRODUCT(MID(0&amp;(LEFT(A207,SUM(LEN(A207)-LEN(SUBSTITUTE(A207,{"0","1","2"},""))))), LARGE(INDEX(ISNUMBER(--MID((LEFT(A207,SUM(LEN(A207)-LEN(SUBSTITUTE(A207,{"0","1","2"},""))))), ROW(INDIRECT("1:"&amp;LEN((LEFT(A207,SUM(LEN(A207)-LEN(SUBSTITUTE(A207,{"0","1","2"},"")))))))), 1)) * ROW(INDIRECT("1:"&amp;LEN((LEFT(A207,SUM(LEN(A207)-LEN(SUBSTITUTE(A207,{"0","1","2"},"")))))))), 0), ROW(INDIRECT("1:"&amp;LEN((LEFT(A207,SUM(LEN(A207)-LEN(SUBSTITUTE(A207,{"0","1","2"},"")))))))))+1, 1) * 10^ROW(INDIRECT("1:"&amp;LEN((LEFT(A207,SUM(LEN(A207)-LEN(SUBSTITUTE(A207,{"0","1","2"},""))))))))/10))*1+1&amp;""&amp;" ,.., "&amp;""&amp;(SUMPRODUCT(MID(0&amp;(--TRIM(RIGHT(SUBSTITUTE(LEFT(A207,_xlfn.AGGREGATE(16,6,FIND({0,1,2,3,4,5,6,7,8,9},A207,ROW(INDIRECT("1:"&amp;LEN(A207)))),1))," ",REPT(" ",LEN(A207))),LEN(A207)))), LARGE(INDEX(ISNUMBER(--MID((--TRIM(RIGHT(SUBSTITUTE(LEFT(A207,_xlfn.AGGREGATE(16,6,FIND({0,1,2,3,4,5,6,7,8,9},A207,ROW(INDIRECT("1:"&amp;LEN(A207)))),1))," ",REPT(" ",LEN(A207))),LEN(A207)))), ROW(INDIRECT("1:"&amp;LEN((--TRIM(RIGHT(SUBSTITUTE(LEFT(A207,_xlfn.AGGREGATE(16,6,FIND({0,1,2,3,4,5,6,7,8,9},A207,ROW(INDIRECT("1:"&amp;LEN(A207)))),1))," ",REPT(" ",LEN(A207))),LEN(A207))))))), 1)) * ROW(INDIRECT("1:"&amp;LEN((--TRIM(RIGHT(SUBSTITUTE(LEFT(A207,_xlfn.AGGREGATE(16,6,FIND({0,1,2,3,4,5,6,7,8,9},A207,ROW(INDIRECT("1:"&amp;LEN(A207)))),1))," ",REPT(" ",LEN(A207))),LEN(A207))))))), 0), ROW(INDIRECT("1:"&amp;LEN((--TRIM(RIGHT(SUBSTITUTE(LEFT(A207,_xlfn.AGGREGATE(16,6,FIND({0,1,2,3,4,5,6,7,8,9},A207,ROW(INDIRECT("1:"&amp;LEN(A207)))),1))," ",REPT(" ",LEN(A207))),LEN(A207))))))))+1, 1) * 10^ROW(INDIRECT("1:"&amp;LEN((--TRIM(RIGHT(SUBSTITUTE(LEFT(A207,_xlfn.AGGREGATE(16,6,FIND({0,1,2,3,4,5,6,7,8,9},A207,ROW(INDIRECT("1:"&amp;LEN(A207)))),1))," ",REPT(" ",LEN(A207))),LEN(A207)))))))/10))*1+1</f>
        <v>210 ,.., 510</v>
      </c>
      <c r="B208" s="109"/>
      <c r="C208" s="51" t="s">
        <v>199</v>
      </c>
      <c r="D208" s="80">
        <f>(29.52+8.45)*10.764</f>
        <v>408.70907999999997</v>
      </c>
      <c r="E208" s="41">
        <v>0</v>
      </c>
      <c r="F208" s="41">
        <v>635</v>
      </c>
      <c r="G208" s="108" t="str">
        <f t="shared" si="12"/>
        <v>2nd to 5th Floor</v>
      </c>
      <c r="H208" s="109"/>
      <c r="I208" s="35"/>
      <c r="K208" s="61"/>
      <c r="L208" s="68"/>
      <c r="M208" s="68"/>
      <c r="N208" s="64"/>
      <c r="Q208" s="64"/>
      <c r="R208" s="68"/>
      <c r="S208" s="64"/>
    </row>
    <row r="209" spans="1:19" s="36" customFormat="1" ht="15.75" customHeight="1" x14ac:dyDescent="0.25">
      <c r="A209" s="108" t="str">
        <f ca="1">(SUMPRODUCT(MID(0&amp;(LEFT(A208,SUM(LEN(A208)-LEN(SUBSTITUTE(A208,{"0","1","2"},""))))), LARGE(INDEX(ISNUMBER(--MID((LEFT(A208,SUM(LEN(A208)-LEN(SUBSTITUTE(A208,{"0","1","2"},""))))), ROW(INDIRECT("1:"&amp;LEN((LEFT(A208,SUM(LEN(A208)-LEN(SUBSTITUTE(A208,{"0","1","2"},"")))))))), 1)) * ROW(INDIRECT("1:"&amp;LEN((LEFT(A208,SUM(LEN(A208)-LEN(SUBSTITUTE(A208,{"0","1","2"},"")))))))), 0), ROW(INDIRECT("1:"&amp;LEN((LEFT(A208,SUM(LEN(A208)-LEN(SUBSTITUTE(A208,{"0","1","2"},"")))))))))+1, 1) * 10^ROW(INDIRECT("1:"&amp;LEN((LEFT(A208,SUM(LEN(A208)-LEN(SUBSTITUTE(A208,{"0","1","2"},""))))))))/10))*1+1&amp;""&amp;" ,.., "&amp;""&amp;(SUMPRODUCT(MID(0&amp;(--TRIM(RIGHT(SUBSTITUTE(LEFT(A208,_xlfn.AGGREGATE(16,6,FIND({0,1,2,3,4,5,6,7,8,9},A208,ROW(INDIRECT("1:"&amp;LEN(A208)))),1))," ",REPT(" ",LEN(A208))),LEN(A208)))), LARGE(INDEX(ISNUMBER(--MID((--TRIM(RIGHT(SUBSTITUTE(LEFT(A208,_xlfn.AGGREGATE(16,6,FIND({0,1,2,3,4,5,6,7,8,9},A208,ROW(INDIRECT("1:"&amp;LEN(A208)))),1))," ",REPT(" ",LEN(A208))),LEN(A208)))), ROW(INDIRECT("1:"&amp;LEN((--TRIM(RIGHT(SUBSTITUTE(LEFT(A208,_xlfn.AGGREGATE(16,6,FIND({0,1,2,3,4,5,6,7,8,9},A208,ROW(INDIRECT("1:"&amp;LEN(A208)))),1))," ",REPT(" ",LEN(A208))),LEN(A208))))))), 1)) * ROW(INDIRECT("1:"&amp;LEN((--TRIM(RIGHT(SUBSTITUTE(LEFT(A208,_xlfn.AGGREGATE(16,6,FIND({0,1,2,3,4,5,6,7,8,9},A208,ROW(INDIRECT("1:"&amp;LEN(A208)))),1))," ",REPT(" ",LEN(A208))),LEN(A208))))))), 0), ROW(INDIRECT("1:"&amp;LEN((--TRIM(RIGHT(SUBSTITUTE(LEFT(A208,_xlfn.AGGREGATE(16,6,FIND({0,1,2,3,4,5,6,7,8,9},A208,ROW(INDIRECT("1:"&amp;LEN(A208)))),1))," ",REPT(" ",LEN(A208))),LEN(A208))))))))+1, 1) * 10^ROW(INDIRECT("1:"&amp;LEN((--TRIM(RIGHT(SUBSTITUTE(LEFT(A208,_xlfn.AGGREGATE(16,6,FIND({0,1,2,3,4,5,6,7,8,9},A208,ROW(INDIRECT("1:"&amp;LEN(A208)))),1))," ",REPT(" ",LEN(A208))),LEN(A208)))))))/10))*1+1</f>
        <v>211 ,.., 511</v>
      </c>
      <c r="B209" s="109"/>
      <c r="C209" s="51" t="s">
        <v>199</v>
      </c>
      <c r="D209" s="80">
        <f>(31.22+9.19)*10.764</f>
        <v>434.97323999999992</v>
      </c>
      <c r="E209" s="41">
        <v>0</v>
      </c>
      <c r="F209" s="41">
        <v>680</v>
      </c>
      <c r="G209" s="108" t="str">
        <f t="shared" si="12"/>
        <v>2nd to 5th Floor</v>
      </c>
      <c r="H209" s="109"/>
      <c r="I209" s="35"/>
      <c r="K209" s="61"/>
      <c r="L209" s="68"/>
      <c r="M209" s="68"/>
      <c r="N209" s="64"/>
      <c r="Q209" s="64"/>
      <c r="R209" s="68"/>
      <c r="S209" s="64"/>
    </row>
    <row r="210" spans="1:19" s="36" customFormat="1" ht="15.75" customHeight="1" x14ac:dyDescent="0.25">
      <c r="A210" s="127" t="s">
        <v>218</v>
      </c>
      <c r="B210" s="128"/>
      <c r="C210" s="128"/>
      <c r="D210" s="128"/>
      <c r="E210" s="128"/>
      <c r="F210" s="128"/>
      <c r="G210" s="128"/>
      <c r="H210" s="129"/>
      <c r="I210" s="35"/>
      <c r="K210" s="61"/>
      <c r="L210" s="68"/>
      <c r="M210" s="68"/>
      <c r="N210" s="64"/>
      <c r="Q210" s="64"/>
      <c r="R210" s="68"/>
      <c r="S210" s="64"/>
    </row>
    <row r="211" spans="1:19" s="36" customFormat="1" ht="15.75" customHeight="1" x14ac:dyDescent="0.25">
      <c r="A211" s="108">
        <v>601</v>
      </c>
      <c r="B211" s="109"/>
      <c r="C211" s="51" t="s">
        <v>199</v>
      </c>
      <c r="D211" s="80">
        <f>(30+8.02)*10.764</f>
        <v>409.24727999999993</v>
      </c>
      <c r="E211" s="41">
        <v>0</v>
      </c>
      <c r="F211" s="41">
        <v>635</v>
      </c>
      <c r="G211" s="108" t="str">
        <f>A210</f>
        <v xml:space="preserve">6th Floor </v>
      </c>
      <c r="H211" s="109"/>
      <c r="I211" s="35"/>
      <c r="K211" s="61"/>
      <c r="L211" s="68"/>
      <c r="M211" s="68"/>
      <c r="N211" s="64"/>
      <c r="Q211" s="64"/>
      <c r="R211" s="68"/>
      <c r="S211" s="64"/>
    </row>
    <row r="212" spans="1:19" s="36" customFormat="1" ht="15.75" customHeight="1" x14ac:dyDescent="0.25">
      <c r="A212" s="108">
        <v>602</v>
      </c>
      <c r="B212" s="109"/>
      <c r="C212" s="51" t="s">
        <v>200</v>
      </c>
      <c r="D212" s="80">
        <f>(39.06+11.9)*10.764</f>
        <v>548.53343999999993</v>
      </c>
      <c r="E212" s="41">
        <v>0</v>
      </c>
      <c r="F212" s="41">
        <v>845</v>
      </c>
      <c r="G212" s="108" t="str">
        <f t="shared" ref="G212:G221" si="13">G211</f>
        <v xml:space="preserve">6th Floor </v>
      </c>
      <c r="H212" s="109"/>
      <c r="I212" s="35"/>
      <c r="K212" s="61"/>
      <c r="L212" s="68"/>
      <c r="M212" s="68"/>
      <c r="N212" s="64"/>
      <c r="Q212" s="64"/>
      <c r="R212" s="68"/>
      <c r="S212" s="64"/>
    </row>
    <row r="213" spans="1:19" s="36" customFormat="1" ht="15.75" customHeight="1" x14ac:dyDescent="0.25">
      <c r="A213" s="108">
        <v>603</v>
      </c>
      <c r="B213" s="109"/>
      <c r="C213" s="51" t="s">
        <v>200</v>
      </c>
      <c r="D213" s="80">
        <f>(39.06+11.9)*10.764</f>
        <v>548.53343999999993</v>
      </c>
      <c r="E213" s="41">
        <v>0</v>
      </c>
      <c r="F213" s="41">
        <v>845</v>
      </c>
      <c r="G213" s="108" t="str">
        <f t="shared" si="13"/>
        <v xml:space="preserve">6th Floor </v>
      </c>
      <c r="H213" s="109"/>
      <c r="I213" s="35"/>
      <c r="K213" s="61"/>
      <c r="L213" s="68"/>
      <c r="M213" s="68"/>
      <c r="N213" s="64"/>
      <c r="Q213" s="64"/>
      <c r="R213" s="68"/>
      <c r="S213" s="64"/>
    </row>
    <row r="214" spans="1:19" s="36" customFormat="1" ht="15.75" customHeight="1" x14ac:dyDescent="0.25">
      <c r="A214" s="108">
        <v>604</v>
      </c>
      <c r="B214" s="109"/>
      <c r="C214" s="51" t="s">
        <v>199</v>
      </c>
      <c r="D214" s="80">
        <f>(30+9.15)*10.764</f>
        <v>421.41059999999993</v>
      </c>
      <c r="E214" s="41">
        <v>0</v>
      </c>
      <c r="F214" s="41">
        <v>655</v>
      </c>
      <c r="G214" s="108" t="str">
        <f t="shared" si="13"/>
        <v xml:space="preserve">6th Floor </v>
      </c>
      <c r="H214" s="109"/>
      <c r="I214" s="35"/>
      <c r="K214" s="61"/>
      <c r="L214" s="68"/>
      <c r="M214" s="68"/>
      <c r="N214" s="64"/>
      <c r="Q214" s="64"/>
      <c r="R214" s="68"/>
      <c r="S214" s="64"/>
    </row>
    <row r="215" spans="1:19" s="36" customFormat="1" ht="15.75" customHeight="1" x14ac:dyDescent="0.25">
      <c r="A215" s="108">
        <v>605</v>
      </c>
      <c r="B215" s="109"/>
      <c r="C215" s="51" t="s">
        <v>199</v>
      </c>
      <c r="D215" s="80">
        <f>(30+9.15)*10.764</f>
        <v>421.41059999999993</v>
      </c>
      <c r="E215" s="41">
        <v>0</v>
      </c>
      <c r="F215" s="41">
        <v>655</v>
      </c>
      <c r="G215" s="108" t="str">
        <f t="shared" si="13"/>
        <v xml:space="preserve">6th Floor </v>
      </c>
      <c r="H215" s="109"/>
      <c r="I215" s="35"/>
      <c r="K215" s="61"/>
      <c r="L215" s="68"/>
      <c r="M215" s="68"/>
      <c r="N215" s="64"/>
      <c r="Q215" s="64"/>
      <c r="R215" s="68"/>
      <c r="S215" s="64"/>
    </row>
    <row r="216" spans="1:19" s="36" customFormat="1" ht="15.75" customHeight="1" x14ac:dyDescent="0.25">
      <c r="A216" s="108">
        <v>606</v>
      </c>
      <c r="B216" s="109"/>
      <c r="C216" s="51" t="s">
        <v>200</v>
      </c>
      <c r="D216" s="80">
        <f>(39.06+11.9)*10.764</f>
        <v>548.53343999999993</v>
      </c>
      <c r="E216" s="41">
        <v>0</v>
      </c>
      <c r="F216" s="41">
        <v>845</v>
      </c>
      <c r="G216" s="108" t="str">
        <f t="shared" si="13"/>
        <v xml:space="preserve">6th Floor </v>
      </c>
      <c r="H216" s="109"/>
      <c r="I216" s="35"/>
      <c r="K216" s="61"/>
      <c r="L216" s="68"/>
      <c r="M216" s="68"/>
      <c r="N216" s="64"/>
      <c r="Q216" s="64"/>
      <c r="R216" s="68"/>
      <c r="S216" s="64"/>
    </row>
    <row r="217" spans="1:19" s="36" customFormat="1" ht="15.75" customHeight="1" x14ac:dyDescent="0.25">
      <c r="A217" s="108">
        <v>607</v>
      </c>
      <c r="B217" s="109"/>
      <c r="C217" s="51" t="s">
        <v>199</v>
      </c>
      <c r="D217" s="80">
        <f>(30+9.15)*10.764</f>
        <v>421.41059999999993</v>
      </c>
      <c r="E217" s="41">
        <v>0</v>
      </c>
      <c r="F217" s="41">
        <v>655</v>
      </c>
      <c r="G217" s="108" t="str">
        <f t="shared" si="13"/>
        <v xml:space="preserve">6th Floor </v>
      </c>
      <c r="H217" s="109"/>
      <c r="I217" s="35"/>
      <c r="K217" s="61"/>
      <c r="L217" s="68"/>
      <c r="M217" s="68"/>
      <c r="N217" s="64"/>
      <c r="Q217" s="64"/>
      <c r="R217" s="68"/>
      <c r="S217" s="64"/>
    </row>
    <row r="218" spans="1:19" s="36" customFormat="1" ht="15.75" customHeight="1" x14ac:dyDescent="0.25">
      <c r="A218" s="108">
        <v>608</v>
      </c>
      <c r="B218" s="109"/>
      <c r="C218" s="51" t="s">
        <v>199</v>
      </c>
      <c r="D218" s="80">
        <f>(29.21+10.21)*10.764</f>
        <v>424.31687999999997</v>
      </c>
      <c r="E218" s="41">
        <v>0</v>
      </c>
      <c r="F218" s="41">
        <v>655</v>
      </c>
      <c r="G218" s="108" t="str">
        <f t="shared" si="13"/>
        <v xml:space="preserve">6th Floor </v>
      </c>
      <c r="H218" s="109"/>
      <c r="I218" s="35"/>
      <c r="K218" s="61"/>
      <c r="L218" s="68"/>
      <c r="M218" s="68"/>
      <c r="N218" s="64"/>
      <c r="Q218" s="64"/>
      <c r="R218" s="68"/>
      <c r="S218" s="64"/>
    </row>
    <row r="219" spans="1:19" s="36" customFormat="1" ht="15.75" customHeight="1" x14ac:dyDescent="0.25">
      <c r="A219" s="108">
        <v>609</v>
      </c>
      <c r="B219" s="109"/>
      <c r="C219" s="51" t="s">
        <v>199</v>
      </c>
      <c r="D219" s="80">
        <f>(29.21+10.21)*10.764</f>
        <v>424.31687999999997</v>
      </c>
      <c r="E219" s="41">
        <v>0</v>
      </c>
      <c r="F219" s="41">
        <v>655</v>
      </c>
      <c r="G219" s="108" t="str">
        <f t="shared" si="13"/>
        <v xml:space="preserve">6th Floor </v>
      </c>
      <c r="H219" s="109"/>
      <c r="I219" s="35"/>
      <c r="K219" s="61"/>
      <c r="L219" s="68"/>
      <c r="M219" s="68"/>
      <c r="N219" s="64"/>
      <c r="Q219" s="64"/>
      <c r="R219" s="68"/>
      <c r="S219" s="64"/>
    </row>
    <row r="220" spans="1:19" s="36" customFormat="1" ht="15.75" customHeight="1" x14ac:dyDescent="0.25">
      <c r="A220" s="108">
        <v>610</v>
      </c>
      <c r="B220" s="109"/>
      <c r="C220" s="51" t="s">
        <v>199</v>
      </c>
      <c r="D220" s="80">
        <f>(29.52+8.45)*10.764</f>
        <v>408.70907999999997</v>
      </c>
      <c r="E220" s="41">
        <v>0</v>
      </c>
      <c r="F220" s="41">
        <v>635</v>
      </c>
      <c r="G220" s="108" t="str">
        <f t="shared" si="13"/>
        <v xml:space="preserve">6th Floor </v>
      </c>
      <c r="H220" s="109"/>
      <c r="I220" s="35"/>
      <c r="K220" s="61"/>
      <c r="L220" s="68"/>
      <c r="M220" s="68"/>
      <c r="N220" s="64"/>
      <c r="Q220" s="64"/>
      <c r="R220" s="68"/>
      <c r="S220" s="64"/>
    </row>
    <row r="221" spans="1:19" s="36" customFormat="1" ht="15.75" customHeight="1" x14ac:dyDescent="0.25">
      <c r="A221" s="108">
        <v>611</v>
      </c>
      <c r="B221" s="109"/>
      <c r="C221" s="51" t="s">
        <v>199</v>
      </c>
      <c r="D221" s="80">
        <f>(31.22+9.19)*10.764</f>
        <v>434.97323999999992</v>
      </c>
      <c r="E221" s="41">
        <v>0</v>
      </c>
      <c r="F221" s="41">
        <v>680</v>
      </c>
      <c r="G221" s="108" t="str">
        <f t="shared" si="13"/>
        <v xml:space="preserve">6th Floor </v>
      </c>
      <c r="H221" s="109"/>
      <c r="I221" s="35"/>
      <c r="K221" s="61"/>
      <c r="L221" s="68"/>
      <c r="M221" s="68"/>
      <c r="N221" s="64"/>
      <c r="Q221" s="64"/>
      <c r="R221" s="68"/>
      <c r="S221" s="64"/>
    </row>
    <row r="222" spans="1:19" s="36" customFormat="1" ht="15.75" customHeight="1" x14ac:dyDescent="0.25">
      <c r="A222" s="127" t="s">
        <v>219</v>
      </c>
      <c r="B222" s="128"/>
      <c r="C222" s="128"/>
      <c r="D222" s="128"/>
      <c r="E222" s="128"/>
      <c r="F222" s="128"/>
      <c r="G222" s="128"/>
      <c r="H222" s="129"/>
      <c r="I222" s="35"/>
      <c r="K222" s="61"/>
      <c r="L222" s="68"/>
      <c r="M222" s="68"/>
      <c r="N222" s="64"/>
      <c r="Q222" s="64"/>
      <c r="R222" s="68"/>
      <c r="S222" s="64"/>
    </row>
    <row r="223" spans="1:19" s="36" customFormat="1" ht="15.75" customHeight="1" x14ac:dyDescent="0.25">
      <c r="A223" s="41">
        <v>701</v>
      </c>
      <c r="B223" s="41" t="s">
        <v>220</v>
      </c>
      <c r="C223" s="51" t="s">
        <v>199</v>
      </c>
      <c r="D223" s="80">
        <f>(30+8.02)*10.764</f>
        <v>409.24727999999993</v>
      </c>
      <c r="E223" s="41">
        <v>0</v>
      </c>
      <c r="F223" s="41">
        <v>635</v>
      </c>
      <c r="G223" s="108" t="str">
        <f>A222</f>
        <v>7th Floor</v>
      </c>
      <c r="H223" s="109"/>
      <c r="I223" s="35"/>
      <c r="K223" s="61"/>
      <c r="L223" s="68"/>
      <c r="M223" s="68"/>
      <c r="N223" s="64"/>
      <c r="Q223" s="64"/>
      <c r="R223" s="68"/>
      <c r="S223" s="64"/>
    </row>
    <row r="224" spans="1:19" s="36" customFormat="1" ht="15.75" customHeight="1" x14ac:dyDescent="0.25">
      <c r="A224" s="41">
        <v>702</v>
      </c>
      <c r="B224" s="41" t="s">
        <v>220</v>
      </c>
      <c r="C224" s="51" t="s">
        <v>200</v>
      </c>
      <c r="D224" s="80">
        <f>(39.06+11.9)*10.764</f>
        <v>548.53343999999993</v>
      </c>
      <c r="E224" s="41">
        <v>0</v>
      </c>
      <c r="F224" s="41">
        <v>845</v>
      </c>
      <c r="G224" s="108" t="str">
        <f t="shared" ref="G224:G233" si="14">G223</f>
        <v>7th Floor</v>
      </c>
      <c r="H224" s="109"/>
      <c r="I224" s="35"/>
      <c r="K224" s="61"/>
      <c r="L224" s="68"/>
      <c r="M224" s="68"/>
      <c r="N224" s="64"/>
      <c r="Q224" s="64"/>
      <c r="R224" s="68"/>
      <c r="S224" s="64"/>
    </row>
    <row r="225" spans="1:19" s="36" customFormat="1" ht="15.75" customHeight="1" x14ac:dyDescent="0.25">
      <c r="A225" s="41">
        <v>703</v>
      </c>
      <c r="B225" s="41" t="s">
        <v>220</v>
      </c>
      <c r="C225" s="51" t="s">
        <v>200</v>
      </c>
      <c r="D225" s="80">
        <f>(39.06+11.9)*10.764</f>
        <v>548.53343999999993</v>
      </c>
      <c r="E225" s="41">
        <v>0</v>
      </c>
      <c r="F225" s="41">
        <v>845</v>
      </c>
      <c r="G225" s="108" t="str">
        <f t="shared" si="14"/>
        <v>7th Floor</v>
      </c>
      <c r="H225" s="109"/>
      <c r="I225" s="35"/>
      <c r="K225" s="61"/>
      <c r="L225" s="68"/>
      <c r="M225" s="68"/>
      <c r="N225" s="64"/>
      <c r="Q225" s="64"/>
      <c r="R225" s="68"/>
      <c r="S225" s="64"/>
    </row>
    <row r="226" spans="1:19" s="36" customFormat="1" ht="15.75" customHeight="1" x14ac:dyDescent="0.25">
      <c r="A226" s="41">
        <v>704</v>
      </c>
      <c r="B226" s="41" t="s">
        <v>220</v>
      </c>
      <c r="C226" s="51" t="s">
        <v>199</v>
      </c>
      <c r="D226" s="80">
        <f>(30+9.15)*10.764</f>
        <v>421.41059999999993</v>
      </c>
      <c r="E226" s="41">
        <v>0</v>
      </c>
      <c r="F226" s="41">
        <v>655</v>
      </c>
      <c r="G226" s="108" t="str">
        <f t="shared" si="14"/>
        <v>7th Floor</v>
      </c>
      <c r="H226" s="109"/>
      <c r="I226" s="35"/>
      <c r="K226" s="61"/>
      <c r="L226" s="68"/>
      <c r="M226" s="68"/>
      <c r="N226" s="64"/>
      <c r="Q226" s="64"/>
      <c r="R226" s="68"/>
      <c r="S226" s="64"/>
    </row>
    <row r="227" spans="1:19" s="36" customFormat="1" ht="15.75" customHeight="1" x14ac:dyDescent="0.25">
      <c r="A227" s="41">
        <v>705</v>
      </c>
      <c r="B227" s="41" t="s">
        <v>220</v>
      </c>
      <c r="C227" s="51" t="s">
        <v>199</v>
      </c>
      <c r="D227" s="80">
        <f>(30+9.15)*10.764</f>
        <v>421.41059999999993</v>
      </c>
      <c r="E227" s="41">
        <v>0</v>
      </c>
      <c r="F227" s="41">
        <v>655</v>
      </c>
      <c r="G227" s="108" t="str">
        <f t="shared" si="14"/>
        <v>7th Floor</v>
      </c>
      <c r="H227" s="109"/>
      <c r="I227" s="35"/>
      <c r="K227" s="61"/>
      <c r="L227" s="68"/>
      <c r="M227" s="68"/>
      <c r="N227" s="64"/>
      <c r="Q227" s="64"/>
      <c r="R227" s="68"/>
      <c r="S227" s="64"/>
    </row>
    <row r="228" spans="1:19" s="36" customFormat="1" ht="15.75" customHeight="1" x14ac:dyDescent="0.25">
      <c r="A228" s="41">
        <v>706</v>
      </c>
      <c r="B228" s="41" t="s">
        <v>220</v>
      </c>
      <c r="C228" s="51" t="s">
        <v>200</v>
      </c>
      <c r="D228" s="80">
        <f>(39.06+11.9)*10.764</f>
        <v>548.53343999999993</v>
      </c>
      <c r="E228" s="41">
        <v>0</v>
      </c>
      <c r="F228" s="41">
        <v>845</v>
      </c>
      <c r="G228" s="108" t="str">
        <f t="shared" si="14"/>
        <v>7th Floor</v>
      </c>
      <c r="H228" s="109"/>
      <c r="I228" s="35"/>
      <c r="K228" s="61"/>
      <c r="L228" s="68"/>
      <c r="M228" s="68"/>
      <c r="N228" s="64"/>
      <c r="Q228" s="64"/>
      <c r="R228" s="68"/>
      <c r="S228" s="64"/>
    </row>
    <row r="229" spans="1:19" s="36" customFormat="1" ht="15.75" customHeight="1" x14ac:dyDescent="0.25">
      <c r="A229" s="41">
        <v>707</v>
      </c>
      <c r="B229" s="41" t="s">
        <v>220</v>
      </c>
      <c r="C229" s="51" t="s">
        <v>199</v>
      </c>
      <c r="D229" s="80">
        <f>(30+9.15)*10.764</f>
        <v>421.41059999999993</v>
      </c>
      <c r="E229" s="41">
        <v>0</v>
      </c>
      <c r="F229" s="41">
        <v>655</v>
      </c>
      <c r="G229" s="108" t="str">
        <f t="shared" si="14"/>
        <v>7th Floor</v>
      </c>
      <c r="H229" s="109"/>
      <c r="I229" s="35"/>
      <c r="K229" s="61"/>
      <c r="L229" s="68"/>
      <c r="M229" s="68"/>
      <c r="N229" s="64"/>
      <c r="Q229" s="64"/>
      <c r="R229" s="68"/>
      <c r="S229" s="64"/>
    </row>
    <row r="230" spans="1:19" s="36" customFormat="1" ht="15.75" customHeight="1" x14ac:dyDescent="0.25">
      <c r="A230" s="41">
        <v>708</v>
      </c>
      <c r="B230" s="41" t="s">
        <v>220</v>
      </c>
      <c r="C230" s="51" t="s">
        <v>199</v>
      </c>
      <c r="D230" s="80">
        <f>(29.21+10.21)*10.764</f>
        <v>424.31687999999997</v>
      </c>
      <c r="E230" s="41">
        <v>0</v>
      </c>
      <c r="F230" s="41">
        <v>655</v>
      </c>
      <c r="G230" s="108" t="str">
        <f t="shared" si="14"/>
        <v>7th Floor</v>
      </c>
      <c r="H230" s="109"/>
      <c r="I230" s="35"/>
      <c r="K230" s="61"/>
      <c r="L230" s="68"/>
      <c r="M230" s="68"/>
      <c r="N230" s="64"/>
      <c r="Q230" s="64"/>
      <c r="R230" s="68"/>
      <c r="S230" s="64"/>
    </row>
    <row r="231" spans="1:19" s="36" customFormat="1" ht="15.75" customHeight="1" x14ac:dyDescent="0.25">
      <c r="A231" s="41">
        <v>709</v>
      </c>
      <c r="B231" s="41" t="s">
        <v>220</v>
      </c>
      <c r="C231" s="51" t="s">
        <v>199</v>
      </c>
      <c r="D231" s="80">
        <f>(29.21+10.21)*10.764</f>
        <v>424.31687999999997</v>
      </c>
      <c r="E231" s="41">
        <v>0</v>
      </c>
      <c r="F231" s="41">
        <v>655</v>
      </c>
      <c r="G231" s="108" t="str">
        <f t="shared" si="14"/>
        <v>7th Floor</v>
      </c>
      <c r="H231" s="109"/>
      <c r="I231" s="35"/>
      <c r="K231" s="61"/>
      <c r="L231" s="68"/>
      <c r="M231" s="68"/>
      <c r="N231" s="64"/>
      <c r="Q231" s="64"/>
      <c r="R231" s="68"/>
      <c r="S231" s="64"/>
    </row>
    <row r="232" spans="1:19" s="36" customFormat="1" ht="15.75" customHeight="1" x14ac:dyDescent="0.25">
      <c r="A232" s="41">
        <v>710</v>
      </c>
      <c r="B232" s="41" t="s">
        <v>220</v>
      </c>
      <c r="C232" s="51" t="s">
        <v>199</v>
      </c>
      <c r="D232" s="80">
        <f>(29.52+8.45)*10.764</f>
        <v>408.70907999999997</v>
      </c>
      <c r="E232" s="41">
        <v>0</v>
      </c>
      <c r="F232" s="41">
        <v>635</v>
      </c>
      <c r="G232" s="108" t="str">
        <f t="shared" si="14"/>
        <v>7th Floor</v>
      </c>
      <c r="H232" s="109"/>
      <c r="I232" s="35"/>
      <c r="K232" s="61"/>
      <c r="L232" s="68"/>
      <c r="M232" s="68"/>
      <c r="N232" s="64"/>
      <c r="Q232" s="64"/>
      <c r="R232" s="68"/>
      <c r="S232" s="64"/>
    </row>
    <row r="233" spans="1:19" s="36" customFormat="1" ht="15.75" customHeight="1" x14ac:dyDescent="0.25">
      <c r="A233" s="41">
        <v>711</v>
      </c>
      <c r="B233" s="41" t="s">
        <v>220</v>
      </c>
      <c r="C233" s="51" t="s">
        <v>199</v>
      </c>
      <c r="D233" s="80">
        <f>(31.22+9.19)*10.764</f>
        <v>434.97323999999992</v>
      </c>
      <c r="E233" s="41">
        <v>0</v>
      </c>
      <c r="F233" s="41">
        <v>680</v>
      </c>
      <c r="G233" s="108" t="str">
        <f t="shared" si="14"/>
        <v>7th Floor</v>
      </c>
      <c r="H233" s="109"/>
      <c r="I233" s="35"/>
      <c r="K233" s="61"/>
      <c r="L233" s="68"/>
      <c r="M233" s="68"/>
      <c r="N233" s="64"/>
      <c r="Q233" s="64"/>
      <c r="R233" s="68"/>
      <c r="S233" s="64"/>
    </row>
    <row r="234" spans="1:19" s="36" customFormat="1" ht="15.75" customHeight="1" x14ac:dyDescent="0.25">
      <c r="A234" s="127" t="s">
        <v>225</v>
      </c>
      <c r="B234" s="128"/>
      <c r="C234" s="128"/>
      <c r="D234" s="128"/>
      <c r="E234" s="128"/>
      <c r="F234" s="128"/>
      <c r="G234" s="128"/>
      <c r="H234" s="129"/>
      <c r="I234" s="35"/>
      <c r="K234" s="61"/>
      <c r="L234" s="68"/>
      <c r="M234" s="68"/>
      <c r="N234" s="64"/>
      <c r="Q234" s="64"/>
      <c r="R234" s="68"/>
      <c r="S234" s="64"/>
    </row>
    <row r="235" spans="1:19" s="36" customFormat="1" ht="15.75" customHeight="1" x14ac:dyDescent="0.25">
      <c r="A235" s="41">
        <v>808</v>
      </c>
      <c r="B235" s="41" t="s">
        <v>220</v>
      </c>
      <c r="C235" s="51" t="s">
        <v>199</v>
      </c>
      <c r="D235" s="80">
        <f>(29.21+10.21)*10.764</f>
        <v>424.31687999999997</v>
      </c>
      <c r="E235" s="41">
        <v>0</v>
      </c>
      <c r="F235" s="41">
        <v>655</v>
      </c>
      <c r="G235" s="108" t="str">
        <f>A234</f>
        <v>8th Floor (Part Terrace Area)</v>
      </c>
      <c r="H235" s="109"/>
      <c r="I235" s="35"/>
      <c r="K235" s="61"/>
      <c r="L235" s="68"/>
      <c r="M235" s="68"/>
      <c r="N235" s="64"/>
      <c r="Q235" s="64"/>
      <c r="R235" s="68"/>
      <c r="S235" s="64"/>
    </row>
    <row r="236" spans="1:19" s="36" customFormat="1" ht="15.75" customHeight="1" x14ac:dyDescent="0.25">
      <c r="A236" s="41">
        <v>809</v>
      </c>
      <c r="B236" s="41" t="s">
        <v>220</v>
      </c>
      <c r="C236" s="51" t="s">
        <v>199</v>
      </c>
      <c r="D236" s="80">
        <f>(29.21+10.21)*10.764</f>
        <v>424.31687999999997</v>
      </c>
      <c r="E236" s="41">
        <v>0</v>
      </c>
      <c r="F236" s="41">
        <v>655</v>
      </c>
      <c r="G236" s="108" t="str">
        <f t="shared" ref="G236:G238" si="15">G235</f>
        <v>8th Floor (Part Terrace Area)</v>
      </c>
      <c r="H236" s="109"/>
      <c r="I236" s="35"/>
      <c r="K236" s="61"/>
      <c r="L236" s="68"/>
      <c r="M236" s="68"/>
      <c r="N236" s="64"/>
      <c r="Q236" s="64"/>
      <c r="R236" s="68"/>
      <c r="S236" s="64"/>
    </row>
    <row r="237" spans="1:19" s="36" customFormat="1" ht="15.75" customHeight="1" x14ac:dyDescent="0.25">
      <c r="A237" s="41">
        <v>810</v>
      </c>
      <c r="B237" s="41" t="s">
        <v>220</v>
      </c>
      <c r="C237" s="51" t="s">
        <v>199</v>
      </c>
      <c r="D237" s="80">
        <f>(29.52+8.45)*10.764</f>
        <v>408.70907999999997</v>
      </c>
      <c r="E237" s="41">
        <v>0</v>
      </c>
      <c r="F237" s="41">
        <v>635</v>
      </c>
      <c r="G237" s="108" t="str">
        <f t="shared" si="15"/>
        <v>8th Floor (Part Terrace Area)</v>
      </c>
      <c r="H237" s="109"/>
      <c r="I237" s="35"/>
      <c r="K237" s="61"/>
      <c r="L237" s="68"/>
      <c r="M237" s="68"/>
      <c r="N237" s="64"/>
      <c r="Q237" s="64"/>
      <c r="R237" s="68"/>
      <c r="S237" s="64"/>
    </row>
    <row r="238" spans="1:19" s="36" customFormat="1" ht="15.75" customHeight="1" x14ac:dyDescent="0.25">
      <c r="A238" s="41">
        <v>811</v>
      </c>
      <c r="B238" s="41" t="s">
        <v>220</v>
      </c>
      <c r="C238" s="51" t="s">
        <v>199</v>
      </c>
      <c r="D238" s="80">
        <f>(31.22+9.19)*10.764</f>
        <v>434.97323999999992</v>
      </c>
      <c r="E238" s="41">
        <v>0</v>
      </c>
      <c r="F238" s="41">
        <v>680</v>
      </c>
      <c r="G238" s="108" t="str">
        <f t="shared" si="15"/>
        <v>8th Floor (Part Terrace Area)</v>
      </c>
      <c r="H238" s="109"/>
      <c r="I238" s="35"/>
      <c r="K238" s="61"/>
      <c r="L238" s="68"/>
      <c r="M238" s="68"/>
      <c r="N238" s="64"/>
      <c r="Q238" s="64"/>
      <c r="R238" s="68"/>
      <c r="S238" s="64"/>
    </row>
    <row r="239" spans="1:19" s="34" customFormat="1" x14ac:dyDescent="0.25">
      <c r="A239" s="110" t="s">
        <v>69</v>
      </c>
      <c r="B239" s="110"/>
      <c r="C239" s="110"/>
      <c r="D239" s="110"/>
      <c r="E239" s="110"/>
      <c r="F239" s="110"/>
      <c r="G239" s="110"/>
      <c r="H239" s="110"/>
      <c r="K239" s="61"/>
      <c r="L239" s="65" t="s">
        <v>203</v>
      </c>
      <c r="M239" s="71">
        <f>2350000/635</f>
        <v>3700.787401574803</v>
      </c>
      <c r="N239" s="64"/>
      <c r="Q239" s="64"/>
      <c r="R239" s="65">
        <f>5000000/2000</f>
        <v>2500</v>
      </c>
      <c r="S239" s="64"/>
    </row>
    <row r="240" spans="1:19" s="59" customFormat="1" ht="34.5" customHeight="1" x14ac:dyDescent="0.25">
      <c r="A240" s="58" t="s">
        <v>158</v>
      </c>
      <c r="B240" s="98" t="s">
        <v>253</v>
      </c>
      <c r="C240" s="99"/>
      <c r="D240" s="99"/>
      <c r="E240" s="99"/>
      <c r="F240" s="99"/>
      <c r="G240" s="99"/>
      <c r="H240" s="100"/>
      <c r="K240" s="61"/>
      <c r="L240" s="70" t="s">
        <v>204</v>
      </c>
      <c r="M240" s="72">
        <f>2450000/655</f>
        <v>3740.4580152671756</v>
      </c>
      <c r="N240" s="64"/>
      <c r="Q240" s="64"/>
      <c r="R240" s="72">
        <f>5000000/900</f>
        <v>5555.5555555555557</v>
      </c>
      <c r="S240" s="64"/>
    </row>
    <row r="241" spans="1:14" s="34" customFormat="1" ht="15.75" hidden="1" customHeight="1" x14ac:dyDescent="0.25">
      <c r="A241" s="45" t="s">
        <v>158</v>
      </c>
      <c r="B241" s="98" t="str">
        <f>(IF(F177="Saleable area Loading :","We have considered Saleable area of Flats as per our Calculation.","We considered Saleable area of Flat as per Builder area Sheet."))</f>
        <v>We considered Saleable area of Flat as per Builder area Sheet.</v>
      </c>
      <c r="C241" s="99"/>
      <c r="D241" s="99"/>
      <c r="E241" s="99"/>
      <c r="F241" s="99"/>
      <c r="G241" s="99"/>
      <c r="H241" s="100"/>
      <c r="K241" s="61"/>
      <c r="L241" s="65"/>
      <c r="M241" s="71"/>
      <c r="N241" s="64"/>
    </row>
    <row r="242" spans="1:14" s="34" customFormat="1" ht="15.75" hidden="1" customHeight="1" x14ac:dyDescent="0.25">
      <c r="A242" s="45" t="s">
        <v>158</v>
      </c>
      <c r="B242" s="98" t="str">
        <f>(IF(F149="Saleable area Loading :","We have considered Saleable area of Commercial as per our Calculation.","We considered Saleable area of Commercial as per Builder area Sheet."))</f>
        <v>We considered Saleable area of Commercial as per Builder area Sheet.</v>
      </c>
      <c r="C242" s="99"/>
      <c r="D242" s="99"/>
      <c r="E242" s="99"/>
      <c r="F242" s="99"/>
      <c r="G242" s="99"/>
      <c r="H242" s="100"/>
      <c r="K242" s="61"/>
      <c r="L242" s="65"/>
      <c r="M242" s="71"/>
      <c r="N242" s="64"/>
    </row>
    <row r="243" spans="1:14" s="34" customFormat="1" ht="15.75" hidden="1" customHeight="1" x14ac:dyDescent="0.25">
      <c r="A243" s="45" t="s">
        <v>158</v>
      </c>
      <c r="B243" s="238" t="s">
        <v>126</v>
      </c>
      <c r="C243" s="239"/>
      <c r="D243" s="239"/>
      <c r="E243" s="239"/>
      <c r="F243" s="239"/>
      <c r="G243" s="239"/>
      <c r="H243" s="240"/>
      <c r="K243" s="61"/>
      <c r="L243" s="65"/>
      <c r="M243" s="71"/>
      <c r="N243" s="64"/>
    </row>
    <row r="244" spans="1:14" s="34" customFormat="1" ht="15.75" customHeight="1" x14ac:dyDescent="0.25">
      <c r="A244" s="45" t="s">
        <v>158</v>
      </c>
      <c r="B244" s="238" t="s">
        <v>127</v>
      </c>
      <c r="C244" s="239"/>
      <c r="D244" s="239"/>
      <c r="E244" s="239"/>
      <c r="F244" s="239"/>
      <c r="G244" s="239"/>
      <c r="H244" s="240"/>
      <c r="K244" s="61"/>
      <c r="L244" s="65"/>
      <c r="M244" s="71"/>
      <c r="N244" s="64"/>
    </row>
    <row r="245" spans="1:14" s="34" customFormat="1" x14ac:dyDescent="0.25">
      <c r="A245" s="45" t="s">
        <v>158</v>
      </c>
      <c r="B245" s="238" t="s">
        <v>157</v>
      </c>
      <c r="C245" s="239"/>
      <c r="D245" s="239"/>
      <c r="E245" s="239"/>
      <c r="F245" s="239"/>
      <c r="G245" s="239"/>
      <c r="H245" s="240"/>
      <c r="K245" s="61"/>
      <c r="L245" s="65" t="s">
        <v>205</v>
      </c>
      <c r="M245" s="71">
        <f>2550000/680</f>
        <v>3750</v>
      </c>
      <c r="N245" s="64"/>
    </row>
    <row r="246" spans="1:14" s="34" customFormat="1" x14ac:dyDescent="0.25">
      <c r="A246" s="45" t="s">
        <v>158</v>
      </c>
      <c r="B246" s="238" t="s">
        <v>128</v>
      </c>
      <c r="C246" s="239"/>
      <c r="D246" s="239"/>
      <c r="E246" s="239"/>
      <c r="F246" s="239"/>
      <c r="G246" s="239"/>
      <c r="H246" s="240"/>
      <c r="K246" s="61"/>
      <c r="L246" s="124" t="s">
        <v>200</v>
      </c>
      <c r="M246" s="124"/>
      <c r="N246" s="64"/>
    </row>
    <row r="247" spans="1:14" s="34" customFormat="1" ht="34.5" customHeight="1" x14ac:dyDescent="0.25">
      <c r="A247" s="45" t="s">
        <v>158</v>
      </c>
      <c r="B247" s="238" t="s">
        <v>159</v>
      </c>
      <c r="C247" s="239"/>
      <c r="D247" s="239"/>
      <c r="E247" s="239"/>
      <c r="F247" s="239"/>
      <c r="G247" s="239"/>
      <c r="H247" s="240"/>
      <c r="K247" s="61"/>
      <c r="L247" s="65" t="s">
        <v>206</v>
      </c>
      <c r="M247" s="71">
        <f>3170000/845</f>
        <v>3751.4792899408285</v>
      </c>
      <c r="N247" s="64"/>
    </row>
    <row r="248" spans="1:14" s="34" customFormat="1" x14ac:dyDescent="0.25">
      <c r="A248" s="45" t="s">
        <v>158</v>
      </c>
      <c r="B248" s="238" t="s">
        <v>129</v>
      </c>
      <c r="C248" s="239"/>
      <c r="D248" s="239"/>
      <c r="E248" s="239"/>
      <c r="F248" s="239"/>
      <c r="G248" s="239"/>
      <c r="H248" s="240"/>
    </row>
    <row r="249" spans="1:14" s="59" customFormat="1" x14ac:dyDescent="0.25">
      <c r="A249" s="58" t="s">
        <v>158</v>
      </c>
      <c r="B249" s="98" t="s">
        <v>239</v>
      </c>
      <c r="C249" s="99"/>
      <c r="D249" s="99"/>
      <c r="E249" s="99"/>
      <c r="F249" s="99"/>
      <c r="G249" s="99"/>
      <c r="H249" s="100"/>
    </row>
    <row r="250" spans="1:14" s="59" customFormat="1" x14ac:dyDescent="0.25">
      <c r="A250" s="58" t="s">
        <v>158</v>
      </c>
      <c r="B250" s="98" t="s">
        <v>244</v>
      </c>
      <c r="C250" s="99"/>
      <c r="D250" s="99"/>
      <c r="E250" s="99"/>
      <c r="F250" s="99"/>
      <c r="G250" s="99"/>
      <c r="H250" s="100"/>
    </row>
    <row r="251" spans="1:14" s="59" customFormat="1" x14ac:dyDescent="0.25">
      <c r="A251" s="58" t="s">
        <v>158</v>
      </c>
      <c r="B251" s="98" t="s">
        <v>245</v>
      </c>
      <c r="C251" s="99"/>
      <c r="D251" s="99"/>
      <c r="E251" s="99"/>
      <c r="F251" s="99"/>
      <c r="G251" s="99"/>
      <c r="H251" s="100"/>
    </row>
    <row r="252" spans="1:14" s="59" customFormat="1" hidden="1" x14ac:dyDescent="0.25">
      <c r="A252" s="58" t="s">
        <v>158</v>
      </c>
      <c r="B252" s="98" t="s">
        <v>236</v>
      </c>
      <c r="C252" s="99"/>
      <c r="D252" s="99"/>
      <c r="E252" s="99"/>
      <c r="F252" s="99"/>
      <c r="G252" s="99"/>
      <c r="H252" s="100"/>
    </row>
    <row r="253" spans="1:14" s="59" customFormat="1" ht="30.95" hidden="1" customHeight="1" x14ac:dyDescent="0.25">
      <c r="A253" s="58" t="s">
        <v>158</v>
      </c>
      <c r="B253" s="243" t="s">
        <v>194</v>
      </c>
      <c r="C253" s="244"/>
      <c r="D253" s="244"/>
      <c r="E253" s="244"/>
      <c r="F253" s="244"/>
      <c r="G253" s="244"/>
      <c r="H253" s="245"/>
    </row>
    <row r="254" spans="1:14" x14ac:dyDescent="0.25">
      <c r="A254" s="208" t="s">
        <v>62</v>
      </c>
      <c r="B254" s="208"/>
      <c r="C254" s="208"/>
      <c r="D254" s="208"/>
      <c r="E254" s="208"/>
      <c r="F254" s="208"/>
      <c r="G254" s="208"/>
      <c r="H254" s="208"/>
    </row>
    <row r="255" spans="1:14" x14ac:dyDescent="0.25">
      <c r="A255" s="143" t="s">
        <v>63</v>
      </c>
      <c r="B255" s="143"/>
      <c r="C255" s="143"/>
      <c r="D255" s="143"/>
      <c r="E255" s="143"/>
      <c r="F255" s="143"/>
      <c r="G255" s="143"/>
      <c r="H255" s="143"/>
    </row>
    <row r="256" spans="1:14" ht="15.75" customHeight="1" x14ac:dyDescent="0.25">
      <c r="A256" s="246" t="s">
        <v>64</v>
      </c>
      <c r="B256" s="246"/>
      <c r="C256" s="246"/>
      <c r="D256" s="246"/>
      <c r="E256" s="246"/>
      <c r="F256" s="246"/>
      <c r="G256" s="246"/>
      <c r="H256" s="246"/>
    </row>
    <row r="257" spans="1:8" x14ac:dyDescent="0.25">
      <c r="A257" s="143" t="s">
        <v>65</v>
      </c>
      <c r="B257" s="143"/>
      <c r="C257" s="143"/>
      <c r="D257" s="143"/>
      <c r="E257" s="143"/>
      <c r="F257" s="143"/>
      <c r="G257" s="143"/>
      <c r="H257" s="143"/>
    </row>
    <row r="258" spans="1:8" x14ac:dyDescent="0.25">
      <c r="A258" s="143" t="s">
        <v>66</v>
      </c>
      <c r="B258" s="143"/>
      <c r="C258" s="143"/>
      <c r="D258" s="143"/>
      <c r="E258" s="143"/>
      <c r="F258" s="143"/>
      <c r="G258" s="143"/>
      <c r="H258" s="143"/>
    </row>
    <row r="259" spans="1:8" x14ac:dyDescent="0.25">
      <c r="A259" s="143" t="s">
        <v>130</v>
      </c>
      <c r="B259" s="143"/>
      <c r="C259" s="143"/>
      <c r="D259" s="143"/>
      <c r="E259" s="143"/>
      <c r="F259" s="143"/>
      <c r="G259" s="143"/>
      <c r="H259" s="143"/>
    </row>
    <row r="260" spans="1:8" ht="35.25" customHeight="1" x14ac:dyDescent="0.25">
      <c r="A260" s="196" t="s">
        <v>131</v>
      </c>
      <c r="B260" s="196"/>
      <c r="C260" s="196"/>
      <c r="D260" s="196"/>
      <c r="E260" s="196"/>
      <c r="F260" s="196"/>
      <c r="G260" s="196"/>
      <c r="H260" s="196"/>
    </row>
    <row r="261" spans="1:8" x14ac:dyDescent="0.25">
      <c r="A261" s="242" t="s">
        <v>78</v>
      </c>
      <c r="B261" s="242"/>
      <c r="C261" s="242" t="s">
        <v>251</v>
      </c>
      <c r="D261" s="242"/>
      <c r="E261" s="242" t="s">
        <v>107</v>
      </c>
      <c r="F261" s="242"/>
      <c r="G261" s="242" t="s">
        <v>250</v>
      </c>
      <c r="H261" s="242"/>
    </row>
    <row r="262" spans="1:8" x14ac:dyDescent="0.25">
      <c r="A262" s="241" t="s">
        <v>80</v>
      </c>
      <c r="B262" s="241"/>
      <c r="C262" s="241"/>
      <c r="D262" s="241"/>
      <c r="E262" s="241"/>
      <c r="F262" s="241"/>
      <c r="G262" s="241"/>
      <c r="H262" s="241"/>
    </row>
    <row r="263" spans="1:8" x14ac:dyDescent="0.25">
      <c r="A263" s="241"/>
      <c r="B263" s="241"/>
      <c r="C263" s="241"/>
      <c r="D263" s="241"/>
      <c r="E263" s="241"/>
      <c r="F263" s="241"/>
      <c r="G263" s="241"/>
      <c r="H263" s="241"/>
    </row>
    <row r="264" spans="1:8" x14ac:dyDescent="0.25">
      <c r="A264" s="241"/>
      <c r="B264" s="241"/>
      <c r="C264" s="241"/>
      <c r="D264" s="241"/>
      <c r="E264" s="241"/>
      <c r="F264" s="241"/>
      <c r="G264" s="241"/>
      <c r="H264" s="241"/>
    </row>
    <row r="265" spans="1:8" x14ac:dyDescent="0.25">
      <c r="A265" s="241"/>
      <c r="B265" s="241"/>
      <c r="C265" s="241"/>
      <c r="D265" s="241"/>
      <c r="E265" s="241"/>
      <c r="F265" s="241"/>
      <c r="G265" s="241"/>
      <c r="H265" s="241"/>
    </row>
    <row r="266" spans="1:8" x14ac:dyDescent="0.25">
      <c r="A266" s="37" t="s">
        <v>67</v>
      </c>
      <c r="B266" s="38"/>
      <c r="C266" s="38"/>
      <c r="D266" s="37" t="str">
        <f>E8</f>
        <v>Aastha Omkar</v>
      </c>
      <c r="F266" s="38"/>
      <c r="G266" s="38"/>
      <c r="H266" s="38"/>
    </row>
    <row r="267" spans="1:8" x14ac:dyDescent="0.25">
      <c r="A267" s="38"/>
      <c r="B267" s="38"/>
      <c r="C267" s="38"/>
      <c r="D267" s="38"/>
      <c r="E267" s="38"/>
      <c r="F267" s="38"/>
      <c r="G267" s="38"/>
      <c r="H267" s="38"/>
    </row>
    <row r="268" spans="1:8" x14ac:dyDescent="0.25">
      <c r="A268" s="38"/>
      <c r="B268" s="38"/>
      <c r="C268" s="38"/>
      <c r="D268" s="38"/>
      <c r="E268" s="38"/>
      <c r="F268" s="38"/>
      <c r="G268" s="38"/>
      <c r="H268" s="38"/>
    </row>
    <row r="269" spans="1:8" ht="15" customHeight="1" x14ac:dyDescent="0.25"/>
    <row r="309" spans="1:1" x14ac:dyDescent="0.25">
      <c r="A309" s="40" t="s">
        <v>68</v>
      </c>
    </row>
  </sheetData>
  <mergeCells count="494">
    <mergeCell ref="C53:H53"/>
    <mergeCell ref="C51:H51"/>
    <mergeCell ref="A71:B71"/>
    <mergeCell ref="G70:H70"/>
    <mergeCell ref="A109:B109"/>
    <mergeCell ref="A81:B81"/>
    <mergeCell ref="C81:H81"/>
    <mergeCell ref="A76:B76"/>
    <mergeCell ref="F125:H125"/>
    <mergeCell ref="G140:H140"/>
    <mergeCell ref="A48:B48"/>
    <mergeCell ref="C48:E48"/>
    <mergeCell ref="G48:H48"/>
    <mergeCell ref="G50:H50"/>
    <mergeCell ref="D55:H55"/>
    <mergeCell ref="C50:E50"/>
    <mergeCell ref="C49:E49"/>
    <mergeCell ref="C52:E52"/>
    <mergeCell ref="A112:B112"/>
    <mergeCell ref="E112:F112"/>
    <mergeCell ref="G112:H112"/>
    <mergeCell ref="A113:B113"/>
    <mergeCell ref="E113:F122"/>
    <mergeCell ref="G113:H122"/>
    <mergeCell ref="A114:B114"/>
    <mergeCell ref="A115:B115"/>
    <mergeCell ref="A116:B116"/>
    <mergeCell ref="A117:B117"/>
    <mergeCell ref="A118:B118"/>
    <mergeCell ref="A259:H259"/>
    <mergeCell ref="A256:H256"/>
    <mergeCell ref="G214:H214"/>
    <mergeCell ref="A187:B187"/>
    <mergeCell ref="A143:B143"/>
    <mergeCell ref="G177:H177"/>
    <mergeCell ref="A89:B89"/>
    <mergeCell ref="A90:B90"/>
    <mergeCell ref="A91:B91"/>
    <mergeCell ref="B246:H246"/>
    <mergeCell ref="B242:H242"/>
    <mergeCell ref="G225:H225"/>
    <mergeCell ref="A119:B119"/>
    <mergeCell ref="A120:B120"/>
    <mergeCell ref="A121:B121"/>
    <mergeCell ref="A122:B122"/>
    <mergeCell ref="G224:H224"/>
    <mergeCell ref="A222:H222"/>
    <mergeCell ref="G189:H189"/>
    <mergeCell ref="G212:H212"/>
    <mergeCell ref="A200:B200"/>
    <mergeCell ref="A191:B191"/>
    <mergeCell ref="A189:B189"/>
    <mergeCell ref="A211:B211"/>
    <mergeCell ref="A212:B212"/>
    <mergeCell ref="A213:B213"/>
    <mergeCell ref="A190:B190"/>
    <mergeCell ref="G191:H191"/>
    <mergeCell ref="G203:H203"/>
    <mergeCell ref="G199:H199"/>
    <mergeCell ref="G202:H202"/>
    <mergeCell ref="G211:H211"/>
    <mergeCell ref="A203:B203"/>
    <mergeCell ref="A210:H210"/>
    <mergeCell ref="G205:H205"/>
    <mergeCell ref="A206:B206"/>
    <mergeCell ref="G213:H213"/>
    <mergeCell ref="G195:H195"/>
    <mergeCell ref="A196:B196"/>
    <mergeCell ref="G196:H196"/>
    <mergeCell ref="G227:H227"/>
    <mergeCell ref="G226:H226"/>
    <mergeCell ref="B240:H240"/>
    <mergeCell ref="B241:H241"/>
    <mergeCell ref="B243:H243"/>
    <mergeCell ref="B244:H244"/>
    <mergeCell ref="G223:H223"/>
    <mergeCell ref="A262:H265"/>
    <mergeCell ref="A261:B261"/>
    <mergeCell ref="E261:F261"/>
    <mergeCell ref="C261:D261"/>
    <mergeCell ref="G261:H261"/>
    <mergeCell ref="A257:H257"/>
    <mergeCell ref="A260:H260"/>
    <mergeCell ref="A258:H258"/>
    <mergeCell ref="A254:H254"/>
    <mergeCell ref="A255:H255"/>
    <mergeCell ref="B248:H248"/>
    <mergeCell ref="B251:H251"/>
    <mergeCell ref="G236:H236"/>
    <mergeCell ref="B245:H245"/>
    <mergeCell ref="B253:H253"/>
    <mergeCell ref="B247:H247"/>
    <mergeCell ref="G237:H237"/>
    <mergeCell ref="A186:H186"/>
    <mergeCell ref="A144:B144"/>
    <mergeCell ref="A201:B201"/>
    <mergeCell ref="A140:B140"/>
    <mergeCell ref="A142:H142"/>
    <mergeCell ref="E143:F143"/>
    <mergeCell ref="G155:H155"/>
    <mergeCell ref="C144:D144"/>
    <mergeCell ref="E144:F144"/>
    <mergeCell ref="G144:H144"/>
    <mergeCell ref="A198:H198"/>
    <mergeCell ref="A199:B199"/>
    <mergeCell ref="G184:H184"/>
    <mergeCell ref="G201:H201"/>
    <mergeCell ref="A193:B193"/>
    <mergeCell ref="G193:H193"/>
    <mergeCell ref="A194:B194"/>
    <mergeCell ref="G194:H194"/>
    <mergeCell ref="A195:B195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10:D10"/>
    <mergeCell ref="E10:H10"/>
    <mergeCell ref="A5:D5"/>
    <mergeCell ref="E5:H5"/>
    <mergeCell ref="A6:D6"/>
    <mergeCell ref="E6:H6"/>
    <mergeCell ref="A7:D7"/>
    <mergeCell ref="E7:H7"/>
    <mergeCell ref="A15:B15"/>
    <mergeCell ref="A12:D12"/>
    <mergeCell ref="E12:H12"/>
    <mergeCell ref="A13:D13"/>
    <mergeCell ref="A11:D11"/>
    <mergeCell ref="E11:H11"/>
    <mergeCell ref="A21:D22"/>
    <mergeCell ref="E21:H22"/>
    <mergeCell ref="E13:H13"/>
    <mergeCell ref="A14:B14"/>
    <mergeCell ref="C14:H14"/>
    <mergeCell ref="C15:H15"/>
    <mergeCell ref="A23:D23"/>
    <mergeCell ref="E23:H23"/>
    <mergeCell ref="A17:B17"/>
    <mergeCell ref="C17:D17"/>
    <mergeCell ref="E17:F17"/>
    <mergeCell ref="G17:H17"/>
    <mergeCell ref="A18:B18"/>
    <mergeCell ref="C18:D18"/>
    <mergeCell ref="E18:F18"/>
    <mergeCell ref="G18:H18"/>
    <mergeCell ref="A19:B19"/>
    <mergeCell ref="C19:D19"/>
    <mergeCell ref="E19:F19"/>
    <mergeCell ref="G19:H19"/>
    <mergeCell ref="A20:B20"/>
    <mergeCell ref="C20:D20"/>
    <mergeCell ref="E20:F20"/>
    <mergeCell ref="G20:H20"/>
    <mergeCell ref="E25:H25"/>
    <mergeCell ref="A27:D27"/>
    <mergeCell ref="E27:H27"/>
    <mergeCell ref="A24:D24"/>
    <mergeCell ref="E24:H24"/>
    <mergeCell ref="A28:D28"/>
    <mergeCell ref="E28:H28"/>
    <mergeCell ref="A25:D25"/>
    <mergeCell ref="A34:B34"/>
    <mergeCell ref="C34:E34"/>
    <mergeCell ref="A29:D29"/>
    <mergeCell ref="E29:H29"/>
    <mergeCell ref="A30:D30"/>
    <mergeCell ref="E30:H30"/>
    <mergeCell ref="A26:D26"/>
    <mergeCell ref="E26:H26"/>
    <mergeCell ref="C31:E31"/>
    <mergeCell ref="F34:H34"/>
    <mergeCell ref="F31:H31"/>
    <mergeCell ref="A32:B32"/>
    <mergeCell ref="A31:B31"/>
    <mergeCell ref="C32:E32"/>
    <mergeCell ref="A33:B33"/>
    <mergeCell ref="C33:E33"/>
    <mergeCell ref="A36:H36"/>
    <mergeCell ref="A35:B35"/>
    <mergeCell ref="C35:E35"/>
    <mergeCell ref="A40:D40"/>
    <mergeCell ref="E40:H40"/>
    <mergeCell ref="F32:H32"/>
    <mergeCell ref="F33:H33"/>
    <mergeCell ref="A39:H39"/>
    <mergeCell ref="A60:C60"/>
    <mergeCell ref="F35:H35"/>
    <mergeCell ref="A37:B37"/>
    <mergeCell ref="A44:D44"/>
    <mergeCell ref="A45:D45"/>
    <mergeCell ref="A46:H46"/>
    <mergeCell ref="D57:H57"/>
    <mergeCell ref="A57:C57"/>
    <mergeCell ref="G49:H49"/>
    <mergeCell ref="A50:B51"/>
    <mergeCell ref="A58:C59"/>
    <mergeCell ref="D58:H58"/>
    <mergeCell ref="D59:H59"/>
    <mergeCell ref="E41:H41"/>
    <mergeCell ref="A41:D41"/>
    <mergeCell ref="A52:B53"/>
    <mergeCell ref="A42:D42"/>
    <mergeCell ref="E42:H42"/>
    <mergeCell ref="E43:H43"/>
    <mergeCell ref="E44:H44"/>
    <mergeCell ref="E45:H45"/>
    <mergeCell ref="A43:D43"/>
    <mergeCell ref="A77:B77"/>
    <mergeCell ref="A70:B70"/>
    <mergeCell ref="A73:B73"/>
    <mergeCell ref="A69:B69"/>
    <mergeCell ref="A67:B67"/>
    <mergeCell ref="C67:H67"/>
    <mergeCell ref="A75:B75"/>
    <mergeCell ref="A62:C62"/>
    <mergeCell ref="D62:H62"/>
    <mergeCell ref="C69:H69"/>
    <mergeCell ref="A72:B72"/>
    <mergeCell ref="A74:B74"/>
    <mergeCell ref="A49:B49"/>
    <mergeCell ref="A54:H54"/>
    <mergeCell ref="A55:C55"/>
    <mergeCell ref="A56:C56"/>
    <mergeCell ref="D56:H56"/>
    <mergeCell ref="G52:H52"/>
    <mergeCell ref="D60:H60"/>
    <mergeCell ref="E71:F80"/>
    <mergeCell ref="G71:H80"/>
    <mergeCell ref="A79:B79"/>
    <mergeCell ref="A80:B80"/>
    <mergeCell ref="D61:H61"/>
    <mergeCell ref="A61:C61"/>
    <mergeCell ref="E70:F70"/>
    <mergeCell ref="A63:C63"/>
    <mergeCell ref="D63:H63"/>
    <mergeCell ref="A66:C66"/>
    <mergeCell ref="D66:H66"/>
    <mergeCell ref="A64:C64"/>
    <mergeCell ref="D64:H64"/>
    <mergeCell ref="A65:C65"/>
    <mergeCell ref="D65:H65"/>
    <mergeCell ref="A148:H148"/>
    <mergeCell ref="A146:B146"/>
    <mergeCell ref="A151:H151"/>
    <mergeCell ref="C139:D139"/>
    <mergeCell ref="E145:F145"/>
    <mergeCell ref="G145:H145"/>
    <mergeCell ref="C143:D143"/>
    <mergeCell ref="G143:H143"/>
    <mergeCell ref="C109:H109"/>
    <mergeCell ref="A111:B111"/>
    <mergeCell ref="C111:H111"/>
    <mergeCell ref="A138:H138"/>
    <mergeCell ref="A136:E136"/>
    <mergeCell ref="F136:H136"/>
    <mergeCell ref="A137:E137"/>
    <mergeCell ref="F137:H137"/>
    <mergeCell ref="A85:B85"/>
    <mergeCell ref="E85:F94"/>
    <mergeCell ref="A92:B92"/>
    <mergeCell ref="A93:B93"/>
    <mergeCell ref="A94:B94"/>
    <mergeCell ref="F124:H124"/>
    <mergeCell ref="F129:H129"/>
    <mergeCell ref="A127:E127"/>
    <mergeCell ref="A124:E124"/>
    <mergeCell ref="A99:B99"/>
    <mergeCell ref="E99:F108"/>
    <mergeCell ref="A100:B100"/>
    <mergeCell ref="A101:B101"/>
    <mergeCell ref="G85:H94"/>
    <mergeCell ref="A188:B188"/>
    <mergeCell ref="A181:B181"/>
    <mergeCell ref="A156:B156"/>
    <mergeCell ref="A197:B197"/>
    <mergeCell ref="A205:B205"/>
    <mergeCell ref="A185:H185"/>
    <mergeCell ref="A192:B192"/>
    <mergeCell ref="C83:H83"/>
    <mergeCell ref="A84:B84"/>
    <mergeCell ref="E84:F84"/>
    <mergeCell ref="G84:H84"/>
    <mergeCell ref="A130:E130"/>
    <mergeCell ref="F130:H130"/>
    <mergeCell ref="A131:E131"/>
    <mergeCell ref="A133:E133"/>
    <mergeCell ref="F127:H127"/>
    <mergeCell ref="A132:E132"/>
    <mergeCell ref="A129:E129"/>
    <mergeCell ref="F132:H132"/>
    <mergeCell ref="A95:B95"/>
    <mergeCell ref="C95:H95"/>
    <mergeCell ref="A97:B97"/>
    <mergeCell ref="C97:H97"/>
    <mergeCell ref="A98:B98"/>
    <mergeCell ref="A16:B16"/>
    <mergeCell ref="C16:H16"/>
    <mergeCell ref="A38:B38"/>
    <mergeCell ref="C38:H38"/>
    <mergeCell ref="G197:H197"/>
    <mergeCell ref="F135:H135"/>
    <mergeCell ref="F133:H133"/>
    <mergeCell ref="G139:H139"/>
    <mergeCell ref="A134:E134"/>
    <mergeCell ref="C140:D140"/>
    <mergeCell ref="E140:F140"/>
    <mergeCell ref="C146:D146"/>
    <mergeCell ref="E146:F146"/>
    <mergeCell ref="A135:E135"/>
    <mergeCell ref="G146:H146"/>
    <mergeCell ref="A141:B141"/>
    <mergeCell ref="G141:H141"/>
    <mergeCell ref="A145:B145"/>
    <mergeCell ref="C145:D145"/>
    <mergeCell ref="A78:B78"/>
    <mergeCell ref="G171:H171"/>
    <mergeCell ref="A172:B172"/>
    <mergeCell ref="A47:B47"/>
    <mergeCell ref="C47:H47"/>
    <mergeCell ref="G200:H200"/>
    <mergeCell ref="G190:H190"/>
    <mergeCell ref="G187:H187"/>
    <mergeCell ref="A128:E128"/>
    <mergeCell ref="A153:B153"/>
    <mergeCell ref="A154:B154"/>
    <mergeCell ref="A155:B155"/>
    <mergeCell ref="F128:H128"/>
    <mergeCell ref="A179:H179"/>
    <mergeCell ref="G192:H192"/>
    <mergeCell ref="G172:H172"/>
    <mergeCell ref="A173:B173"/>
    <mergeCell ref="G173:H173"/>
    <mergeCell ref="A150:H150"/>
    <mergeCell ref="A174:B174"/>
    <mergeCell ref="G174:H174"/>
    <mergeCell ref="G167:H167"/>
    <mergeCell ref="A159:B159"/>
    <mergeCell ref="G159:H159"/>
    <mergeCell ref="A160:B160"/>
    <mergeCell ref="G188:H188"/>
    <mergeCell ref="A180:H180"/>
    <mergeCell ref="A157:B157"/>
    <mergeCell ref="G157:H157"/>
    <mergeCell ref="A175:B175"/>
    <mergeCell ref="G175:H175"/>
    <mergeCell ref="A171:B171"/>
    <mergeCell ref="L171:M171"/>
    <mergeCell ref="L172:M172"/>
    <mergeCell ref="G99:H108"/>
    <mergeCell ref="A86:B86"/>
    <mergeCell ref="A87:B87"/>
    <mergeCell ref="A88:B88"/>
    <mergeCell ref="F126:H126"/>
    <mergeCell ref="A126:E126"/>
    <mergeCell ref="G153:H153"/>
    <mergeCell ref="G154:H154"/>
    <mergeCell ref="G156:H156"/>
    <mergeCell ref="E98:F98"/>
    <mergeCell ref="E139:F139"/>
    <mergeCell ref="A139:B139"/>
    <mergeCell ref="F131:H131"/>
    <mergeCell ref="A125:E125"/>
    <mergeCell ref="A152:H152"/>
    <mergeCell ref="G149:H149"/>
    <mergeCell ref="C141:D141"/>
    <mergeCell ref="E141:F141"/>
    <mergeCell ref="A147:H147"/>
    <mergeCell ref="G181:H181"/>
    <mergeCell ref="L181:M181"/>
    <mergeCell ref="A182:B182"/>
    <mergeCell ref="G182:H182"/>
    <mergeCell ref="L182:M182"/>
    <mergeCell ref="A183:B183"/>
    <mergeCell ref="G183:H183"/>
    <mergeCell ref="L183:M183"/>
    <mergeCell ref="A83:B83"/>
    <mergeCell ref="G160:H160"/>
    <mergeCell ref="E123:F123"/>
    <mergeCell ref="G123:H123"/>
    <mergeCell ref="G98:H98"/>
    <mergeCell ref="A158:B158"/>
    <mergeCell ref="G158:H158"/>
    <mergeCell ref="L160:M160"/>
    <mergeCell ref="A176:H176"/>
    <mergeCell ref="A167:B167"/>
    <mergeCell ref="A168:B168"/>
    <mergeCell ref="G168:H168"/>
    <mergeCell ref="A169:B169"/>
    <mergeCell ref="G169:H169"/>
    <mergeCell ref="A170:B170"/>
    <mergeCell ref="G170:H170"/>
    <mergeCell ref="O131:O134"/>
    <mergeCell ref="P136:Q136"/>
    <mergeCell ref="P137:Q137"/>
    <mergeCell ref="L246:M246"/>
    <mergeCell ref="A161:B161"/>
    <mergeCell ref="G161:H161"/>
    <mergeCell ref="L161:M161"/>
    <mergeCell ref="A162:B162"/>
    <mergeCell ref="G162:H162"/>
    <mergeCell ref="L162:M162"/>
    <mergeCell ref="A163:H163"/>
    <mergeCell ref="A164:B164"/>
    <mergeCell ref="G164:H164"/>
    <mergeCell ref="A165:B165"/>
    <mergeCell ref="G165:H165"/>
    <mergeCell ref="A166:B166"/>
    <mergeCell ref="G166:H166"/>
    <mergeCell ref="F134:H134"/>
    <mergeCell ref="A184:B184"/>
    <mergeCell ref="L157:M157"/>
    <mergeCell ref="A234:H234"/>
    <mergeCell ref="G235:H235"/>
    <mergeCell ref="A178:H178"/>
    <mergeCell ref="L184:M184"/>
    <mergeCell ref="R132:R134"/>
    <mergeCell ref="U131:V131"/>
    <mergeCell ref="W132:W134"/>
    <mergeCell ref="M124:M125"/>
    <mergeCell ref="U132:U134"/>
    <mergeCell ref="U136:V136"/>
    <mergeCell ref="L186:M186"/>
    <mergeCell ref="K156:L156"/>
    <mergeCell ref="L155:M155"/>
    <mergeCell ref="L154:M154"/>
    <mergeCell ref="L153:M153"/>
    <mergeCell ref="L164:M164"/>
    <mergeCell ref="L165:M165"/>
    <mergeCell ref="L166:M166"/>
    <mergeCell ref="L158:M158"/>
    <mergeCell ref="L159:M159"/>
    <mergeCell ref="K167:L167"/>
    <mergeCell ref="L168:M168"/>
    <mergeCell ref="L169:M169"/>
    <mergeCell ref="L170:M170"/>
    <mergeCell ref="L174:M174"/>
    <mergeCell ref="L175:M175"/>
    <mergeCell ref="L173:M173"/>
    <mergeCell ref="P131:Q131"/>
    <mergeCell ref="A214:B214"/>
    <mergeCell ref="A215:B215"/>
    <mergeCell ref="A202:B202"/>
    <mergeCell ref="G238:H238"/>
    <mergeCell ref="A221:B221"/>
    <mergeCell ref="G221:H221"/>
    <mergeCell ref="G228:H228"/>
    <mergeCell ref="G229:H229"/>
    <mergeCell ref="G230:H230"/>
    <mergeCell ref="G231:H231"/>
    <mergeCell ref="A216:B216"/>
    <mergeCell ref="G216:H216"/>
    <mergeCell ref="A217:B217"/>
    <mergeCell ref="G217:H217"/>
    <mergeCell ref="A218:B218"/>
    <mergeCell ref="G218:H218"/>
    <mergeCell ref="A219:B219"/>
    <mergeCell ref="G219:H219"/>
    <mergeCell ref="A220:B220"/>
    <mergeCell ref="G220:H220"/>
    <mergeCell ref="G232:H232"/>
    <mergeCell ref="G233:H233"/>
    <mergeCell ref="A204:B204"/>
    <mergeCell ref="G204:H204"/>
    <mergeCell ref="I37:J37"/>
    <mergeCell ref="K37:L37"/>
    <mergeCell ref="C37:H37"/>
    <mergeCell ref="B249:H249"/>
    <mergeCell ref="B250:H250"/>
    <mergeCell ref="B252:H252"/>
    <mergeCell ref="A102:B102"/>
    <mergeCell ref="A103:B103"/>
    <mergeCell ref="A104:B104"/>
    <mergeCell ref="A105:B105"/>
    <mergeCell ref="A106:B106"/>
    <mergeCell ref="A107:B107"/>
    <mergeCell ref="A108:B108"/>
    <mergeCell ref="A123:B123"/>
    <mergeCell ref="C123:D123"/>
    <mergeCell ref="G206:H206"/>
    <mergeCell ref="A207:B207"/>
    <mergeCell ref="G207:H207"/>
    <mergeCell ref="A208:B208"/>
    <mergeCell ref="G208:H208"/>
    <mergeCell ref="A209:B209"/>
    <mergeCell ref="G209:H209"/>
    <mergeCell ref="G215:H215"/>
    <mergeCell ref="A239:H239"/>
  </mergeCells>
  <hyperlinks>
    <hyperlink ref="C38" r:id="rId1"/>
  </hyperlinks>
  <printOptions horizontalCentered="1"/>
  <pageMargins left="0.39370078740157483" right="0.39370078740157483" top="0.78740157480314965" bottom="0.78740157480314965" header="0.15748031496062992" footer="0.19685039370078741"/>
  <pageSetup paperSize="2" scale="93" fitToHeight="0" orientation="portrait" r:id="rId2"/>
  <headerFooter>
    <oddHeader>&amp;C&amp;G</oddHeader>
    <oddFooter>&amp;L&amp;"Times New Roman,Bold"&amp;12Ref No: &amp;F&amp;C&amp;G&amp;R&amp;"Times New Roman,Bold"&amp;12&amp;P</oddFooter>
  </headerFooter>
  <rowBreaks count="4" manualBreakCount="4">
    <brk id="80" max="16383" man="1"/>
    <brk id="197" max="7" man="1"/>
    <brk id="265" max="16383" man="1"/>
    <brk id="308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6"/>
  <sheetViews>
    <sheetView zoomScale="85" zoomScaleNormal="85" workbookViewId="0">
      <selection activeCell="G12" sqref="G12"/>
    </sheetView>
  </sheetViews>
  <sheetFormatPr defaultColWidth="8.7109375" defaultRowHeight="15" x14ac:dyDescent="0.25"/>
  <cols>
    <col min="1" max="1" width="8.7109375" style="1"/>
    <col min="2" max="2" width="22.140625" style="1" customWidth="1"/>
    <col min="3" max="3" width="37" style="1" customWidth="1"/>
    <col min="4" max="5" width="11.42578125" style="1" customWidth="1"/>
    <col min="6" max="6" width="14" style="1" customWidth="1"/>
    <col min="7" max="7" width="20" style="1" customWidth="1"/>
    <col min="8" max="8" width="16.42578125" style="1" customWidth="1"/>
    <col min="9" max="16384" width="8.7109375" style="1"/>
  </cols>
  <sheetData>
    <row r="1" spans="1:9" ht="15" customHeight="1" x14ac:dyDescent="0.25"/>
    <row r="2" spans="1:9" ht="15" customHeight="1" x14ac:dyDescent="0.25">
      <c r="A2" s="2"/>
      <c r="B2" s="2"/>
      <c r="C2" s="2"/>
      <c r="D2" s="2"/>
      <c r="E2" s="2"/>
      <c r="F2" s="2"/>
      <c r="G2" s="2"/>
      <c r="H2" s="2"/>
    </row>
    <row r="3" spans="1:9" ht="15.75" customHeight="1" x14ac:dyDescent="0.25">
      <c r="A3" s="2"/>
      <c r="B3" s="257" t="s">
        <v>108</v>
      </c>
      <c r="C3" s="257"/>
      <c r="D3" s="257"/>
      <c r="E3" s="257"/>
      <c r="F3" s="257"/>
      <c r="G3" s="257"/>
      <c r="H3" s="257"/>
    </row>
    <row r="4" spans="1:9" x14ac:dyDescent="0.25">
      <c r="A4" s="2"/>
      <c r="B4" s="3" t="s">
        <v>109</v>
      </c>
      <c r="C4" s="3" t="s">
        <v>110</v>
      </c>
      <c r="D4" s="3" t="s">
        <v>70</v>
      </c>
      <c r="E4" s="3" t="s">
        <v>111</v>
      </c>
      <c r="F4" s="3" t="s">
        <v>117</v>
      </c>
      <c r="G4" s="3" t="s">
        <v>118</v>
      </c>
      <c r="H4" s="3" t="s">
        <v>112</v>
      </c>
    </row>
    <row r="5" spans="1:9" ht="15" customHeight="1" x14ac:dyDescent="0.25">
      <c r="A5" s="2"/>
      <c r="B5" s="5" t="s">
        <v>113</v>
      </c>
      <c r="C5" s="6"/>
      <c r="D5" s="5"/>
      <c r="E5" s="5"/>
      <c r="F5" s="7">
        <f>E5*1.6</f>
        <v>0</v>
      </c>
      <c r="G5" s="7" t="e">
        <f>H5/F5</f>
        <v>#DIV/0!</v>
      </c>
      <c r="H5" s="8"/>
    </row>
    <row r="6" spans="1:9" x14ac:dyDescent="0.25">
      <c r="A6" s="2"/>
      <c r="B6" s="5" t="s">
        <v>113</v>
      </c>
      <c r="C6" s="9"/>
      <c r="D6" s="5"/>
      <c r="E6" s="5"/>
      <c r="F6" s="7">
        <f t="shared" ref="F6:F11" si="0">E6*1.6</f>
        <v>0</v>
      </c>
      <c r="G6" s="7" t="e">
        <f t="shared" ref="G6:G11" si="1">H6/F6</f>
        <v>#DIV/0!</v>
      </c>
      <c r="H6" s="8"/>
    </row>
    <row r="7" spans="1:9" ht="15" customHeight="1" x14ac:dyDescent="0.25">
      <c r="A7" s="2"/>
      <c r="B7" s="5" t="s">
        <v>113</v>
      </c>
      <c r="C7" s="6"/>
      <c r="D7" s="5"/>
      <c r="E7" s="5"/>
      <c r="F7" s="7">
        <f t="shared" si="0"/>
        <v>0</v>
      </c>
      <c r="G7" s="7" t="e">
        <f t="shared" si="1"/>
        <v>#DIV/0!</v>
      </c>
      <c r="H7" s="8"/>
    </row>
    <row r="8" spans="1:9" x14ac:dyDescent="0.25">
      <c r="A8" s="2"/>
      <c r="B8" s="5" t="s">
        <v>113</v>
      </c>
      <c r="C8" s="9"/>
      <c r="D8" s="5"/>
      <c r="E8" s="5"/>
      <c r="F8" s="7">
        <f t="shared" si="0"/>
        <v>0</v>
      </c>
      <c r="G8" s="7" t="e">
        <f t="shared" si="1"/>
        <v>#DIV/0!</v>
      </c>
      <c r="H8" s="8"/>
    </row>
    <row r="9" spans="1:9" ht="15" customHeight="1" x14ac:dyDescent="0.25">
      <c r="A9" s="2"/>
      <c r="B9" s="5" t="s">
        <v>113</v>
      </c>
      <c r="C9" s="9"/>
      <c r="D9" s="5"/>
      <c r="E9" s="5"/>
      <c r="F9" s="7">
        <f t="shared" si="0"/>
        <v>0</v>
      </c>
      <c r="G9" s="7" t="e">
        <f t="shared" si="1"/>
        <v>#DIV/0!</v>
      </c>
      <c r="H9" s="8"/>
    </row>
    <row r="10" spans="1:9" ht="15" customHeight="1" x14ac:dyDescent="0.25">
      <c r="A10" s="2"/>
      <c r="B10" s="5" t="s">
        <v>114</v>
      </c>
      <c r="C10" s="6"/>
      <c r="D10" s="5"/>
      <c r="E10" s="5"/>
      <c r="F10" s="7">
        <f t="shared" si="0"/>
        <v>0</v>
      </c>
      <c r="G10" s="7" t="e">
        <f t="shared" si="1"/>
        <v>#DIV/0!</v>
      </c>
      <c r="H10" s="8"/>
    </row>
    <row r="11" spans="1:9" ht="15" customHeight="1" x14ac:dyDescent="0.25">
      <c r="A11" s="2"/>
      <c r="B11" s="5" t="s">
        <v>114</v>
      </c>
      <c r="C11" s="6"/>
      <c r="D11" s="5"/>
      <c r="E11" s="5"/>
      <c r="F11" s="7">
        <f t="shared" si="0"/>
        <v>0</v>
      </c>
      <c r="G11" s="7" t="e">
        <f t="shared" si="1"/>
        <v>#DIV/0!</v>
      </c>
      <c r="H11" s="8"/>
    </row>
    <row r="12" spans="1:9" ht="15" customHeight="1" x14ac:dyDescent="0.25">
      <c r="A12" s="2"/>
      <c r="B12" s="10" t="s">
        <v>115</v>
      </c>
      <c r="C12" s="5"/>
      <c r="D12" s="5"/>
      <c r="E12" s="5"/>
      <c r="F12" s="5"/>
      <c r="G12" s="11" t="e">
        <f>AVERAGE(G5:G11)</f>
        <v>#DIV/0!</v>
      </c>
      <c r="H12" s="5"/>
    </row>
    <row r="13" spans="1:9" ht="15" customHeight="1" x14ac:dyDescent="0.25">
      <c r="B13" s="10" t="s">
        <v>116</v>
      </c>
      <c r="C13" s="5"/>
      <c r="D13" s="5"/>
      <c r="E13" s="5"/>
      <c r="F13" s="12"/>
      <c r="G13" s="10"/>
      <c r="H13" s="10"/>
      <c r="I13" s="4"/>
    </row>
    <row r="14" spans="1:9" ht="15" customHeight="1" x14ac:dyDescent="0.25"/>
    <row r="15" spans="1:9" ht="15" customHeight="1" x14ac:dyDescent="0.25"/>
    <row r="16" spans="1:9" ht="15" customHeight="1" x14ac:dyDescent="0.25"/>
  </sheetData>
  <mergeCells count="1">
    <mergeCell ref="B3:H3"/>
  </mergeCells>
  <pageMargins left="0.7" right="0.7" top="0.75" bottom="0.75" header="0.3" footer="0.3"/>
  <pageSetup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zoomScale="70" zoomScaleNormal="70" workbookViewId="0">
      <selection activeCell="E24" sqref="E24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VSJC</cp:lastModifiedBy>
  <cp:lastPrinted>2025-10-03T11:06:40Z</cp:lastPrinted>
  <dcterms:created xsi:type="dcterms:W3CDTF">2019-07-16T09:29:46Z</dcterms:created>
  <dcterms:modified xsi:type="dcterms:W3CDTF">2025-10-03T11:15:15Z</dcterms:modified>
</cp:coreProperties>
</file>