
<file path=[Content_Types].xml><?xml version="1.0" encoding="utf-8"?>
<Types xmlns="http://schemas.openxmlformats.org/package/2006/content-types">
  <Default Extension="bin" ContentType="application/vnd.openxmlformats-officedocument.spreadsheetml.printerSettings"/>
  <Default Extension="jpg" ContentType="image/jpeg"/>
  <Default Extension="png" ContentType="image/png"/>
  <Default Extension="rels" ContentType="application/vnd.openxmlformats-package.relationships+xml"/>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7928"/>
  <workbookPr/>
  <mc:AlternateContent xmlns:mc="http://schemas.openxmlformats.org/markup-compatibility/2006">
    <mc:Choice Requires="x15">
      <x15ac:absPath xmlns:x15ac="http://schemas.microsoft.com/office/spreadsheetml/2010/11/ac" url="D:\Kunal\Sept 25\Axis\Dump\"/>
    </mc:Choice>
  </mc:AlternateContent>
  <xr:revisionPtr revIDLastSave="0" documentId="13_ncr:1_{24FC4CDF-E88B-405E-84BF-24A3B6FEA553}" xr6:coauthVersionLast="47" xr6:coauthVersionMax="47" xr10:uidLastSave="{00000000-0000-0000-0000-000000000000}"/>
  <bookViews>
    <workbookView xWindow="-108" yWindow="-108" windowWidth="23256" windowHeight="12456" xr2:uid="{00000000-000D-0000-FFFF-FFFF00000000}"/>
  </bookViews>
  <sheets>
    <sheet name="Report (2)" sheetId="1" r:id="rId1"/>
    <sheet name="Note" sheetId="4" r:id="rId2"/>
    <sheet name="Flat detail" sheetId="3" r:id="rId3"/>
    <sheet name="VALUATION" sheetId="8" r:id="rId4"/>
  </sheets>
  <definedNames>
    <definedName name="_xlnm.Print_Area" localSheetId="0">'Report (2)'!$A$1:$J$392</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C77" i="1" l="1"/>
  <c r="D186" i="1" l="1"/>
  <c r="G186" i="1" s="1"/>
  <c r="D185" i="1"/>
  <c r="G185" i="1" s="1"/>
  <c r="M184" i="1"/>
  <c r="D184" i="1"/>
  <c r="G184" i="1" s="1"/>
  <c r="D183" i="1"/>
  <c r="G183" i="1" s="1"/>
  <c r="D182" i="1"/>
  <c r="G182" i="1" s="1"/>
  <c r="D181" i="1"/>
  <c r="G181" i="1" s="1"/>
  <c r="D180" i="1"/>
  <c r="G180" i="1" s="1"/>
  <c r="I179" i="1"/>
  <c r="D179" i="1"/>
  <c r="G179" i="1" s="1"/>
  <c r="O206" i="1" l="1"/>
  <c r="M175" i="1"/>
  <c r="N151" i="1"/>
  <c r="L205" i="1"/>
  <c r="D158" i="1"/>
  <c r="D147" i="1"/>
  <c r="I188" i="1" l="1"/>
  <c r="I170" i="1"/>
  <c r="C93" i="1"/>
  <c r="D56" i="1"/>
  <c r="I216" i="1"/>
  <c r="L134" i="1"/>
  <c r="I228" i="1" l="1"/>
  <c r="F255" i="1"/>
  <c r="F254" i="1"/>
  <c r="F253" i="1"/>
  <c r="F252" i="1"/>
  <c r="F251" i="1"/>
  <c r="F244" i="1"/>
  <c r="F243" i="1"/>
  <c r="F242" i="1"/>
  <c r="F241" i="1"/>
  <c r="F240" i="1"/>
  <c r="F238" i="1"/>
  <c r="F237" i="1"/>
  <c r="F236" i="1"/>
  <c r="F235" i="1"/>
  <c r="F223" i="1"/>
  <c r="F222" i="1"/>
  <c r="F221" i="1"/>
  <c r="F220" i="1"/>
  <c r="F219" i="1"/>
  <c r="F218" i="1"/>
  <c r="F217" i="1"/>
  <c r="F214" i="1"/>
  <c r="F213" i="1"/>
  <c r="F212" i="1"/>
  <c r="F211" i="1"/>
  <c r="F210" i="1"/>
  <c r="F209" i="1"/>
  <c r="F208" i="1"/>
  <c r="F207" i="1"/>
  <c r="F206" i="1"/>
  <c r="F205" i="1"/>
  <c r="D255" i="1"/>
  <c r="D254" i="1"/>
  <c r="D253" i="1"/>
  <c r="D252" i="1"/>
  <c r="D251" i="1"/>
  <c r="D250" i="1"/>
  <c r="D249" i="1"/>
  <c r="D248" i="1"/>
  <c r="D247" i="1"/>
  <c r="D246" i="1"/>
  <c r="D244" i="1"/>
  <c r="D243" i="1"/>
  <c r="D242" i="1"/>
  <c r="D241" i="1"/>
  <c r="D240" i="1"/>
  <c r="D239" i="1"/>
  <c r="D238" i="1"/>
  <c r="D237" i="1"/>
  <c r="D236" i="1"/>
  <c r="D235" i="1"/>
  <c r="D233" i="1"/>
  <c r="D231" i="1"/>
  <c r="D230" i="1"/>
  <c r="D229" i="1"/>
  <c r="D228" i="1"/>
  <c r="D225" i="1"/>
  <c r="D224" i="1"/>
  <c r="D223" i="1"/>
  <c r="D222" i="1"/>
  <c r="D221" i="1"/>
  <c r="D220" i="1"/>
  <c r="D219" i="1"/>
  <c r="D218" i="1"/>
  <c r="D217" i="1"/>
  <c r="D216" i="1"/>
  <c r="D214" i="1"/>
  <c r="D213" i="1"/>
  <c r="D212" i="1"/>
  <c r="D211" i="1"/>
  <c r="D210" i="1"/>
  <c r="D209" i="1"/>
  <c r="D208" i="1"/>
  <c r="D207" i="1"/>
  <c r="D206" i="1"/>
  <c r="D205" i="1"/>
  <c r="D203" i="1"/>
  <c r="D202" i="1"/>
  <c r="D201" i="1"/>
  <c r="D199" i="1"/>
  <c r="D198" i="1"/>
  <c r="D195" i="1"/>
  <c r="D194" i="1"/>
  <c r="D193" i="1"/>
  <c r="D192" i="1"/>
  <c r="D190" i="1"/>
  <c r="D189" i="1"/>
  <c r="D188" i="1"/>
  <c r="D177" i="1"/>
  <c r="D176" i="1"/>
  <c r="D175" i="1"/>
  <c r="D174" i="1"/>
  <c r="G174" i="1" s="1"/>
  <c r="D173" i="1"/>
  <c r="D172" i="1"/>
  <c r="D171" i="1"/>
  <c r="D170" i="1"/>
  <c r="D166" i="1"/>
  <c r="D165" i="1"/>
  <c r="D164" i="1"/>
  <c r="D163" i="1"/>
  <c r="D162" i="1"/>
  <c r="D161" i="1"/>
  <c r="D159" i="1"/>
  <c r="D157" i="1"/>
  <c r="D155" i="1"/>
  <c r="D154" i="1"/>
  <c r="D153" i="1"/>
  <c r="D152" i="1"/>
  <c r="D151" i="1"/>
  <c r="D150" i="1"/>
  <c r="D149" i="1"/>
  <c r="D148" i="1"/>
  <c r="D146" i="1"/>
  <c r="C136" i="1" l="1"/>
  <c r="D136" i="1"/>
  <c r="C135" i="1"/>
  <c r="D135" i="1"/>
  <c r="C137" i="1"/>
  <c r="D137" i="1"/>
  <c r="C134" i="1"/>
  <c r="D134" i="1"/>
  <c r="G248" i="1"/>
  <c r="G246" i="1"/>
  <c r="G255" i="1"/>
  <c r="G254" i="1"/>
  <c r="G253" i="1"/>
  <c r="G252" i="1"/>
  <c r="G251" i="1"/>
  <c r="G250" i="1"/>
  <c r="G249" i="1"/>
  <c r="I246" i="1"/>
  <c r="G224" i="1"/>
  <c r="G216" i="1"/>
  <c r="G225" i="1"/>
  <c r="G222" i="1"/>
  <c r="G221" i="1"/>
  <c r="G220" i="1"/>
  <c r="G219" i="1"/>
  <c r="G218" i="1"/>
  <c r="G217" i="1"/>
  <c r="M203" i="1"/>
  <c r="G203" i="1"/>
  <c r="G199" i="1"/>
  <c r="G198" i="1"/>
  <c r="L196" i="1"/>
  <c r="I198" i="1"/>
  <c r="G190" i="1"/>
  <c r="G195" i="1"/>
  <c r="G194" i="1"/>
  <c r="G193" i="1"/>
  <c r="G192" i="1"/>
  <c r="G189" i="1"/>
  <c r="G188" i="1"/>
  <c r="G166" i="1"/>
  <c r="G165" i="1"/>
  <c r="G164" i="1"/>
  <c r="G163" i="1"/>
  <c r="G162" i="1"/>
  <c r="G161" i="1"/>
  <c r="G159" i="1"/>
  <c r="G158" i="1"/>
  <c r="I157" i="1"/>
  <c r="G157" i="1"/>
  <c r="D138" i="1" l="1"/>
  <c r="G247" i="1"/>
  <c r="G223" i="1"/>
  <c r="C14" i="1"/>
  <c r="G155" i="1" l="1"/>
  <c r="G154" i="1"/>
  <c r="G153" i="1"/>
  <c r="L145" i="1"/>
  <c r="L144" i="1"/>
  <c r="F40" i="1" l="1"/>
  <c r="H47" i="1" l="1"/>
  <c r="F3" i="1" l="1"/>
  <c r="F7" i="1" l="1"/>
  <c r="D269" i="1" l="1"/>
  <c r="D122" i="1" l="1"/>
  <c r="M119" i="1"/>
  <c r="C114" i="1" s="1"/>
  <c r="D114" i="1" s="1"/>
  <c r="D121" i="1"/>
  <c r="M118" i="1"/>
  <c r="D120" i="1"/>
  <c r="M117" i="1"/>
  <c r="D119" i="1"/>
  <c r="M116" i="1"/>
  <c r="D118" i="1"/>
  <c r="D117" i="1"/>
  <c r="M114" i="1"/>
  <c r="C113" i="1" s="1"/>
  <c r="D116" i="1"/>
  <c r="M113" i="1"/>
  <c r="D115" i="1"/>
  <c r="D106" i="1"/>
  <c r="M103" i="1"/>
  <c r="C98" i="1" s="1"/>
  <c r="D98" i="1" s="1"/>
  <c r="D105" i="1"/>
  <c r="M102" i="1"/>
  <c r="D104" i="1"/>
  <c r="M101" i="1"/>
  <c r="D103" i="1"/>
  <c r="M100" i="1"/>
  <c r="D102" i="1"/>
  <c r="D101" i="1"/>
  <c r="M98" i="1"/>
  <c r="C97" i="1" s="1"/>
  <c r="D100" i="1"/>
  <c r="M97" i="1"/>
  <c r="D99" i="1"/>
  <c r="D90" i="1"/>
  <c r="M87" i="1"/>
  <c r="C82" i="1" s="1"/>
  <c r="D89" i="1"/>
  <c r="M86" i="1"/>
  <c r="D88" i="1"/>
  <c r="M85" i="1"/>
  <c r="D87" i="1"/>
  <c r="M84" i="1"/>
  <c r="D86" i="1"/>
  <c r="D85" i="1"/>
  <c r="M82" i="1"/>
  <c r="C81" i="1" s="1"/>
  <c r="D84" i="1"/>
  <c r="M81" i="1"/>
  <c r="D83" i="1"/>
  <c r="D74" i="1"/>
  <c r="M71" i="1"/>
  <c r="C66" i="1" s="1"/>
  <c r="D73" i="1"/>
  <c r="M70" i="1"/>
  <c r="D72" i="1"/>
  <c r="M69" i="1"/>
  <c r="D71" i="1"/>
  <c r="M68" i="1"/>
  <c r="D70" i="1"/>
  <c r="D69" i="1"/>
  <c r="M66" i="1"/>
  <c r="C65" i="1" s="1"/>
  <c r="D68" i="1"/>
  <c r="M65" i="1"/>
  <c r="D67" i="1"/>
  <c r="D66" i="1" l="1"/>
  <c r="D82" i="1"/>
  <c r="H113" i="1"/>
  <c r="H97" i="1"/>
  <c r="D113" i="1"/>
  <c r="K105" i="1" s="1"/>
  <c r="F113" i="1" s="1"/>
  <c r="D97" i="1"/>
  <c r="K89" i="1" s="1"/>
  <c r="F97" i="1" s="1"/>
  <c r="D81" i="1"/>
  <c r="H81" i="1"/>
  <c r="D65" i="1"/>
  <c r="F6" i="8"/>
  <c r="G6" i="8" s="1"/>
  <c r="F7" i="8"/>
  <c r="G7" i="8" s="1"/>
  <c r="F8" i="8"/>
  <c r="G8" i="8" s="1"/>
  <c r="F9" i="8"/>
  <c r="G9" i="8" s="1"/>
  <c r="F10" i="8"/>
  <c r="G10" i="8" s="1"/>
  <c r="F5" i="8"/>
  <c r="G5" i="8" s="1"/>
  <c r="K73" i="1" l="1"/>
  <c r="F81" i="1" s="1"/>
  <c r="H65" i="1"/>
  <c r="K59" i="1"/>
  <c r="C63" i="1" s="1"/>
  <c r="F65" i="1" s="1"/>
  <c r="G11" i="8"/>
  <c r="I146" i="1" l="1"/>
  <c r="I205" i="1"/>
  <c r="I235" i="1"/>
  <c r="G239" i="1"/>
  <c r="G244" i="1"/>
  <c r="G205" i="1"/>
  <c r="G233" i="1"/>
  <c r="G231" i="1"/>
  <c r="G230" i="1"/>
  <c r="G229" i="1"/>
  <c r="G228" i="1"/>
  <c r="G202" i="1"/>
  <c r="G201" i="1"/>
  <c r="G151" i="1"/>
  <c r="G148" i="1"/>
  <c r="G150" i="1"/>
  <c r="G176" i="1"/>
  <c r="G173" i="1"/>
  <c r="G172" i="1"/>
  <c r="F41" i="1"/>
  <c r="G209" i="1" l="1"/>
  <c r="G236" i="1"/>
  <c r="G242" i="1"/>
  <c r="G213" i="1"/>
  <c r="G211" i="1"/>
  <c r="G238" i="1"/>
  <c r="G208" i="1"/>
  <c r="G171" i="1"/>
  <c r="G177" i="1"/>
  <c r="G146" i="1"/>
  <c r="G147" i="1"/>
  <c r="G207" i="1"/>
  <c r="G212" i="1"/>
  <c r="L208" i="1" s="1"/>
  <c r="G235" i="1"/>
  <c r="G241" i="1"/>
  <c r="G175" i="1"/>
  <c r="G240" i="1"/>
  <c r="G170" i="1"/>
  <c r="G149" i="1"/>
  <c r="G152" i="1"/>
  <c r="L198" i="1"/>
  <c r="G206" i="1"/>
  <c r="G210" i="1"/>
  <c r="G214" i="1"/>
  <c r="G237" i="1"/>
  <c r="G243" i="1"/>
  <c r="G136" i="1" l="1"/>
  <c r="G135" i="1"/>
  <c r="G137" i="1"/>
  <c r="G134" i="1"/>
  <c r="C138" i="1"/>
  <c r="G131" i="1"/>
  <c r="C47" i="1"/>
  <c r="F42" i="1"/>
  <c r="G138" i="1" l="1"/>
  <c r="L33" i="3"/>
  <c r="I33" i="3"/>
  <c r="E33" i="3"/>
  <c r="L32" i="3"/>
  <c r="I32" i="3"/>
  <c r="E32" i="3"/>
  <c r="L31" i="3"/>
  <c r="I31" i="3"/>
  <c r="E31" i="3"/>
  <c r="L30" i="3"/>
  <c r="I30" i="3"/>
  <c r="E30" i="3"/>
  <c r="L29" i="3"/>
  <c r="I29" i="3"/>
  <c r="E29" i="3"/>
  <c r="L28" i="3"/>
  <c r="I28" i="3"/>
  <c r="E28" i="3"/>
  <c r="L27" i="3"/>
  <c r="I27" i="3"/>
  <c r="E27" i="3"/>
  <c r="L26" i="3"/>
  <c r="I26" i="3"/>
  <c r="E26" i="3"/>
  <c r="L25" i="3"/>
  <c r="I25" i="3"/>
  <c r="E25" i="3"/>
  <c r="L24" i="3"/>
  <c r="I24" i="3"/>
  <c r="E24" i="3"/>
  <c r="L23" i="3"/>
  <c r="I23" i="3"/>
  <c r="E23" i="3"/>
  <c r="L22" i="3"/>
  <c r="I22" i="3"/>
  <c r="E22" i="3"/>
  <c r="L21" i="3"/>
  <c r="I21" i="3"/>
  <c r="E21" i="3"/>
  <c r="L20" i="3"/>
  <c r="I20" i="3"/>
  <c r="E20" i="3"/>
  <c r="L19" i="3"/>
  <c r="I19" i="3"/>
  <c r="E19" i="3"/>
  <c r="L18" i="3"/>
  <c r="I18" i="3"/>
  <c r="E18" i="3"/>
  <c r="L17" i="3"/>
  <c r="I17" i="3"/>
  <c r="E17" i="3"/>
  <c r="L16" i="3"/>
  <c r="I16" i="3"/>
  <c r="E16" i="3"/>
  <c r="L15" i="3"/>
  <c r="I15" i="3"/>
  <c r="E15" i="3"/>
  <c r="L14" i="3"/>
  <c r="I14" i="3"/>
  <c r="E14" i="3"/>
  <c r="L13" i="3"/>
  <c r="I13" i="3"/>
  <c r="E13" i="3"/>
  <c r="L12" i="3"/>
  <c r="I12" i="3"/>
  <c r="E12" i="3"/>
  <c r="L11" i="3"/>
  <c r="I11" i="3"/>
  <c r="E11" i="3"/>
  <c r="L10" i="3"/>
  <c r="I10" i="3"/>
  <c r="E10" i="3"/>
  <c r="L9" i="3"/>
  <c r="I9" i="3"/>
  <c r="E9" i="3"/>
  <c r="L8" i="3"/>
  <c r="I8" i="3"/>
  <c r="E8" i="3"/>
  <c r="L7" i="3"/>
  <c r="I7" i="3"/>
  <c r="E7" i="3"/>
  <c r="L6" i="3"/>
  <c r="I6" i="3"/>
  <c r="E6" i="3"/>
  <c r="L34" i="3" l="1"/>
  <c r="K34" i="3" s="1"/>
  <c r="E34" i="3"/>
  <c r="I34" i="3"/>
  <c r="H34" i="3" s="1"/>
  <c r="D34" i="3" l="1"/>
  <c r="D36" i="3" s="1"/>
  <c r="E36" i="3"/>
</calcChain>
</file>

<file path=xl/sharedStrings.xml><?xml version="1.0" encoding="utf-8"?>
<sst xmlns="http://schemas.openxmlformats.org/spreadsheetml/2006/main" count="612" uniqueCount="258">
  <si>
    <t xml:space="preserve">Valuation Report </t>
  </si>
  <si>
    <t>Date:</t>
  </si>
  <si>
    <t>CPC Name:</t>
  </si>
  <si>
    <t>Date Of Property Visit</t>
  </si>
  <si>
    <t>Name of the builder group</t>
  </si>
  <si>
    <t>Name of the builder company</t>
  </si>
  <si>
    <t>Name of the Project</t>
  </si>
  <si>
    <t>Name / No of the Building</t>
  </si>
  <si>
    <t>Docouments Provided</t>
  </si>
  <si>
    <t xml:space="preserve">Project location details       </t>
  </si>
  <si>
    <t>Road</t>
  </si>
  <si>
    <t>District</t>
  </si>
  <si>
    <t>City</t>
  </si>
  <si>
    <t>Pin Code</t>
  </si>
  <si>
    <t>Near by Landmark</t>
  </si>
  <si>
    <t xml:space="preserve">Distance from city centre: </t>
  </si>
  <si>
    <t>all available at  1 to 2 km.</t>
  </si>
  <si>
    <t>Does property have Electricity / Water / Drainage Connection</t>
  </si>
  <si>
    <t>Yes</t>
  </si>
  <si>
    <t>Class of locality</t>
  </si>
  <si>
    <t>Middle Class</t>
  </si>
  <si>
    <t>Nature of land with topographical condtion</t>
  </si>
  <si>
    <t>Plane</t>
  </si>
  <si>
    <t xml:space="preserve">Nature of the locality </t>
  </si>
  <si>
    <t>Developing</t>
  </si>
  <si>
    <t>Quality of infrastructure in vicinity</t>
  </si>
  <si>
    <t>Good</t>
  </si>
  <si>
    <t>Boundaries</t>
  </si>
  <si>
    <t>East</t>
  </si>
  <si>
    <t>West</t>
  </si>
  <si>
    <t>South</t>
  </si>
  <si>
    <t>North</t>
  </si>
  <si>
    <t>NA</t>
  </si>
  <si>
    <t>At site</t>
  </si>
  <si>
    <t>Does the boundaries at site match, as mentioned in the Docoumentation: NA</t>
  </si>
  <si>
    <t>Type of Structure : RCC Frame Structure</t>
  </si>
  <si>
    <t xml:space="preserve">Latitude &amp; Longitude </t>
  </si>
  <si>
    <t>Approval details:</t>
  </si>
  <si>
    <t xml:space="preserve">Approved usage of the Property:                                                                                                                                             </t>
  </si>
  <si>
    <t xml:space="preserve">(Restrictive Covenants in regard to Land Use, if any)    </t>
  </si>
  <si>
    <t>No</t>
  </si>
  <si>
    <t>Area Statement Details :</t>
  </si>
  <si>
    <t>Total land area of the project in Sq. Mt.</t>
  </si>
  <si>
    <t>Permissible FSI</t>
  </si>
  <si>
    <t>Permissible TDR/Paid FSI</t>
  </si>
  <si>
    <t>Total FSI availaible for the project</t>
  </si>
  <si>
    <t>Total Approved Builtup area of the project in Sq. Mt.</t>
  </si>
  <si>
    <t>Total number of Buildings</t>
  </si>
  <si>
    <t xml:space="preserve">Approval Detail : Plan approval </t>
  </si>
  <si>
    <t xml:space="preserve">Layout Approval No     </t>
  </si>
  <si>
    <t>Dated</t>
  </si>
  <si>
    <t xml:space="preserve">Approved Floor plan No.  </t>
  </si>
  <si>
    <t xml:space="preserve">O. Certificate No.: </t>
  </si>
  <si>
    <t xml:space="preserve">Date of approval: </t>
  </si>
  <si>
    <t xml:space="preserve">Commencement date of construction </t>
  </si>
  <si>
    <t>Expected Completion</t>
  </si>
  <si>
    <t>Building wise Construction details</t>
  </si>
  <si>
    <t>Approved area of the building in Sq.Mt</t>
  </si>
  <si>
    <t>Approved no of units</t>
  </si>
  <si>
    <t>Approved no of Floors</t>
  </si>
  <si>
    <t>Quality of construction: Good</t>
  </si>
  <si>
    <t>Projected life of the structure: 60 Years After Completion</t>
  </si>
  <si>
    <t>Type of Work</t>
  </si>
  <si>
    <t>Plinth</t>
  </si>
  <si>
    <t>RCC</t>
  </si>
  <si>
    <t>Violations Observed if any : NA</t>
  </si>
  <si>
    <t>Recommended Rates of the Property :</t>
  </si>
  <si>
    <t xml:space="preserve">Recommended rate of Parking </t>
  </si>
  <si>
    <t>Distressed valuation of the Property</t>
  </si>
  <si>
    <t>Building &amp; Wing</t>
  </si>
  <si>
    <t>Total Carpet Area</t>
  </si>
  <si>
    <t>Total Saleable Area</t>
  </si>
  <si>
    <t>A</t>
  </si>
  <si>
    <t>Total</t>
  </si>
  <si>
    <t>Building details Floor Wise</t>
  </si>
  <si>
    <t xml:space="preserve">Details of Flats in Building   </t>
  </si>
  <si>
    <t>Description</t>
  </si>
  <si>
    <t>Gross Carpet area</t>
  </si>
  <si>
    <t>Attached Terrace area</t>
  </si>
  <si>
    <t>PLC Y/N</t>
  </si>
  <si>
    <t>Floor</t>
  </si>
  <si>
    <t>N</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</si>
  <si>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</si>
  <si>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</si>
  <si>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</si>
  <si>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</si>
  <si>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</si>
  <si>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5) Gross carpet area =  Net Carpet area + Fungible area.</t>
  </si>
  <si>
    <t>6) Fungible Area= Enclosed Balcony + Flower Bed + Covered Balcony + Service Slab + Duct + Chajja + Wheather Shed area.</t>
  </si>
  <si>
    <t xml:space="preserve">PHOTOGRAPHS OF PROPERTY : 
</t>
  </si>
  <si>
    <t>Google Map :</t>
  </si>
  <si>
    <t xml:space="preserve">Remarks:  </t>
  </si>
  <si>
    <t xml:space="preserve">Floor No </t>
  </si>
  <si>
    <t>Flat</t>
  </si>
  <si>
    <t>Discription</t>
  </si>
  <si>
    <t>Carpet</t>
  </si>
  <si>
    <t>Fungible</t>
  </si>
  <si>
    <t>Terrace</t>
  </si>
  <si>
    <t>L</t>
  </si>
  <si>
    <t>W</t>
  </si>
  <si>
    <t>Hall</t>
  </si>
  <si>
    <t>CB</t>
  </si>
  <si>
    <t>FB</t>
  </si>
  <si>
    <t>kitch</t>
  </si>
  <si>
    <t>Bed1</t>
  </si>
  <si>
    <t>Bed2</t>
  </si>
  <si>
    <t>toilet1</t>
  </si>
  <si>
    <t>DB</t>
  </si>
  <si>
    <t>toilet2</t>
  </si>
  <si>
    <t>toilet3</t>
  </si>
  <si>
    <t>passage1</t>
  </si>
  <si>
    <t>passage2</t>
  </si>
  <si>
    <t>passage3</t>
  </si>
  <si>
    <t>passage4</t>
  </si>
  <si>
    <t>Residential Area Details :</t>
  </si>
  <si>
    <t>Podium</t>
  </si>
  <si>
    <t>Ground</t>
  </si>
  <si>
    <t>Locality/Village</t>
  </si>
  <si>
    <t>Taluka</t>
  </si>
  <si>
    <r>
      <t xml:space="preserve">Proposed Amenities :                                                                                                                                                                                                                      </t>
    </r>
    <r>
      <rPr>
        <sz val="12"/>
        <rFont val="Times New Roman"/>
        <family val="1"/>
      </rPr>
      <t xml:space="preserve">   </t>
    </r>
    <r>
      <rPr>
        <b/>
        <sz val="12"/>
        <rFont val="Times New Roman"/>
        <family val="1"/>
      </rPr>
      <t xml:space="preserve">                                               </t>
    </r>
  </si>
  <si>
    <t>Excavation in process</t>
  </si>
  <si>
    <t>Excavation Completed</t>
  </si>
  <si>
    <t>Footing in Process</t>
  </si>
  <si>
    <t>Footing Completed</t>
  </si>
  <si>
    <t>Plinth in process</t>
  </si>
  <si>
    <t>Plinth completed</t>
  </si>
  <si>
    <t>Recommended rate of the flat Per Sq. Ft. ( on Saleable area)</t>
  </si>
  <si>
    <t>Accessibility to the Project from the City: (Proximity to civic amenities like school, hospital, market, etc.)</t>
  </si>
  <si>
    <t>Inspected By :</t>
  </si>
  <si>
    <t>Report Prepared By :</t>
  </si>
  <si>
    <t>Authorized Signatory
Name &amp; Seal of the agency</t>
  </si>
  <si>
    <t>Date</t>
  </si>
  <si>
    <t>RERA Name &amp; No.</t>
  </si>
  <si>
    <t>Checked By</t>
  </si>
  <si>
    <t xml:space="preserve">M/s.Khatri Realty
</t>
  </si>
  <si>
    <t>Khatri Sparsh</t>
  </si>
  <si>
    <t xml:space="preserve">P51700021704
</t>
  </si>
  <si>
    <t>Chikhloli</t>
  </si>
  <si>
    <t>Thane</t>
  </si>
  <si>
    <t>Ambernath</t>
  </si>
  <si>
    <t>Open Plot</t>
  </si>
  <si>
    <t>D Mart</t>
  </si>
  <si>
    <t>Building No.1</t>
  </si>
  <si>
    <t>1BHK</t>
  </si>
  <si>
    <t>Building No.2</t>
  </si>
  <si>
    <t>2BHK</t>
  </si>
  <si>
    <t>Building No.3</t>
  </si>
  <si>
    <t>1RK</t>
  </si>
  <si>
    <t>Building No.4</t>
  </si>
  <si>
    <t xml:space="preserve">Residential </t>
  </si>
  <si>
    <t>Material laying at Site: Bricks, Cement &amp; Steel etc.</t>
  </si>
  <si>
    <t>Wheather the construction is as per approved Building plan : Under Construction</t>
  </si>
  <si>
    <t>14/03/2020.</t>
  </si>
  <si>
    <t>Survey No</t>
  </si>
  <si>
    <t>No. of Flats</t>
  </si>
  <si>
    <t>Pratiksha</t>
  </si>
  <si>
    <t>we have search Index II as well as market inquire but not found. So we have match cost sheet.</t>
  </si>
  <si>
    <t>rate as per cost sheet.</t>
  </si>
  <si>
    <t>Market Research Data</t>
  </si>
  <si>
    <t>Source</t>
  </si>
  <si>
    <t>Distance from proposed property</t>
  </si>
  <si>
    <t>Net Carpet</t>
  </si>
  <si>
    <t>Saleable Area</t>
  </si>
  <si>
    <t>Rate on Saleable</t>
  </si>
  <si>
    <t>Market Value</t>
  </si>
  <si>
    <t>Average</t>
  </si>
  <si>
    <t xml:space="preserve">Valuation Adopted </t>
  </si>
  <si>
    <t>housing.</t>
  </si>
  <si>
    <t>Development charges</t>
  </si>
  <si>
    <t>Other Charges</t>
  </si>
  <si>
    <t>12/03/2021.</t>
  </si>
  <si>
    <t>Asmi</t>
  </si>
  <si>
    <t>Akash</t>
  </si>
  <si>
    <t>Floors</t>
  </si>
  <si>
    <t>All work Completed. Wait For OC.</t>
  </si>
  <si>
    <t xml:space="preserve">Stage of construction: </t>
  </si>
  <si>
    <t>All work Completed. Provide OC.</t>
  </si>
  <si>
    <t>Slab/Floor</t>
  </si>
  <si>
    <t>Complition %</t>
  </si>
  <si>
    <t>Progress %</t>
  </si>
  <si>
    <t>Disbursement %</t>
  </si>
  <si>
    <t>All work Completed. OC Received.</t>
  </si>
  <si>
    <t>Excavation</t>
  </si>
  <si>
    <t>Brickwork</t>
  </si>
  <si>
    <t>Brickwork &amp; Internal Plaster</t>
  </si>
  <si>
    <t>Internal Plaster</t>
  </si>
  <si>
    <t>Ext. Plaster &amp; Plumbing</t>
  </si>
  <si>
    <t>External Plaster &amp; Plumbing</t>
  </si>
  <si>
    <t>Flooring &amp; Fitting</t>
  </si>
  <si>
    <t>Painting &amp; Wooden</t>
  </si>
  <si>
    <t>Building Common Amenities</t>
  </si>
  <si>
    <t>Possession</t>
  </si>
  <si>
    <t xml:space="preserve">RCC </t>
  </si>
  <si>
    <t>Construction details: Building No.3 = G + 1st to 7th Floor</t>
  </si>
  <si>
    <t>Abhishek</t>
  </si>
  <si>
    <t>2,00,000/-</t>
  </si>
  <si>
    <t>1,00,000/-</t>
  </si>
  <si>
    <t>4100 to 4500</t>
  </si>
  <si>
    <t>cost sheet</t>
  </si>
  <si>
    <t>Abhishek Manjrekar</t>
  </si>
  <si>
    <t>4 Buildings</t>
  </si>
  <si>
    <t>Location Link</t>
  </si>
  <si>
    <t>https://goo.gl/maps/sek6ty4APVdV3Wiq8</t>
  </si>
  <si>
    <t>Proposed no of Floors</t>
  </si>
  <si>
    <t>Construction details: Building No.3 &amp; 4 = G + 1st to 7th Floor</t>
  </si>
  <si>
    <t>ANP/NRV/BP/2021-22/1411/9271/147</t>
  </si>
  <si>
    <t>Construction details: Building No.2 = G + 1st to 12th Floor</t>
  </si>
  <si>
    <t>Construction details: Building No.1 = G + 1st to 12th Floor</t>
  </si>
  <si>
    <t xml:space="preserve">Office No. 1031, Wing J, Akshar Business Park, Plot No. 03 Sector 25, Near APMC Market, Vashi, Navi Mumbai, Maharashtra 400703 TEL: 022-46090378/79/80                                                                                                                                E mail : vsjcapf@gmail.com. Web site : www.vsjadon.com </t>
  </si>
  <si>
    <t>Axis Badlapur</t>
  </si>
  <si>
    <t>Building No.1 to 4</t>
  </si>
  <si>
    <t>Contact Details ( Name &amp; Contact No.)</t>
  </si>
  <si>
    <t>Site Person - Contact Details (Name &amp; Contact No.)</t>
  </si>
  <si>
    <t>As per Layout</t>
  </si>
  <si>
    <t>ANP/NRV/BP/21-22/1411/9271/147</t>
  </si>
  <si>
    <t>CATAM/FO/2023/APL/00009
Approved upto : 
Building No.03 = Gr/Stilt + 1st to 7th Floor</t>
  </si>
  <si>
    <t>ANP/NRV/2022-23/334
Approved upto :
Building No.04 = G + 1st to 7th Floor</t>
  </si>
  <si>
    <t>Layout :</t>
  </si>
  <si>
    <t>Saleable area Loading :</t>
  </si>
  <si>
    <t>Shop No.</t>
  </si>
  <si>
    <t>Ground Floor For Entrance Lobby, Meter Room, Society Office &amp; Parking</t>
  </si>
  <si>
    <t>1st to 7th, 9th to 12th Floor For Residential</t>
  </si>
  <si>
    <t>19.185667,73.214583</t>
  </si>
  <si>
    <t>3.8 Km from Badlapur Railway Station</t>
  </si>
  <si>
    <t>Badlapur West</t>
  </si>
  <si>
    <t>Railway Track</t>
  </si>
  <si>
    <t>Internal Road</t>
  </si>
  <si>
    <t>Central Railway</t>
  </si>
  <si>
    <t>18.0 M/W D.P Road</t>
  </si>
  <si>
    <t>Other Plot</t>
  </si>
  <si>
    <t xml:space="preserve">Commencement Certificate No.
Valid Up to: </t>
  </si>
  <si>
    <t>Building No.1 &amp; 2 = Stilt + 1st to 12th Floor
Building No.3 &amp; 4 = Gr/Stilt + 1st to 7th Floor</t>
  </si>
  <si>
    <t>8th Floor For (Part Refuge Area)</t>
  </si>
  <si>
    <t>Refuge Area</t>
  </si>
  <si>
    <t>Ground Floor For Residential &amp; (Part Society Room, Entrance Lobby, Meter Space &amp; Parking Area)</t>
  </si>
  <si>
    <t xml:space="preserve"> Society Room, Entrance Lobby, Meter Space &amp; Parking Area</t>
  </si>
  <si>
    <t>-</t>
  </si>
  <si>
    <t>Society Room, Entrance Lobby, Meter Space &amp; Parking Area</t>
  </si>
  <si>
    <t>2nd, 4th &amp; 6th Floor</t>
  </si>
  <si>
    <t>1st, 3rd, 5th &amp; 7th Floor For Residential</t>
  </si>
  <si>
    <t>Flats = 364</t>
  </si>
  <si>
    <t>Railway Noc No.</t>
  </si>
  <si>
    <t>BB/W/6561/NOC/ABH/1120/DB</t>
  </si>
  <si>
    <t>https://housing.com/in/buy/projects/page/202420-khatri-sparsh-by-khatri-constructions-in-ambernath-west</t>
  </si>
  <si>
    <t>Childern Play Area, Ample Car Parking Space, Power Backup For Lift, 24X7 Water Supply, Meter Space, Society Room etc.</t>
  </si>
  <si>
    <t>Building No.1 &amp; 2 = Gr + 1st to 12th Floor
Building No.3 &amp; 4 = Gr + 1st to 7th Floor</t>
  </si>
  <si>
    <t>Approved Plans, CC, OC &amp; Railway Noc</t>
  </si>
  <si>
    <t>Ground Floor For Entrance Lobby, Meter Room, Fitness Center, Society Office &amp; Parking</t>
  </si>
  <si>
    <t>2nd to 7th, 9th to 12th Floor</t>
  </si>
  <si>
    <t>890 to 910</t>
  </si>
  <si>
    <t>rushikesh</t>
  </si>
  <si>
    <t>Building No. 2 Room No. 105 salable area change 890 to 910 by rushikesh 11/03/2024.</t>
  </si>
  <si>
    <t xml:space="preserve">Miss. Ayesha Khan </t>
  </si>
  <si>
    <t>AMC/TPD/2025-26/303
Approved upto : 
Building No.02 = Gr/Stilt + 1st to 12th Floor</t>
  </si>
  <si>
    <t>rate 4700 by bhargav verbal on 06/08/2025.</t>
  </si>
  <si>
    <t>1. Building No. 1 = Construction work in progress at the time of visit.
    Building No. 2 to 4 = All work Completed. OC Received.
2. We considered Saleable area as per our calculation.
3. We considered Carpet area as per Approved Plan.
4. We considered Gross carpet area = Net carpet + E.P Area.
5. We have considered rate by verifying it from market inquire.
6. Car parking is subjected to authentic documentation.
7. We refer OC for bldg no.4 from Rera (on 11/03/2023).
8. We have considered proposed No. of Floor for Stage Calculation.
9. We have updated OC for Building No.3 (On 26/10/2023).
10. We have updated latest CC from Rera (On 26/10/2023).
11. We have updated revised approved plans of Building No. 1, 2, 3 &amp; 4 &amp; Railway NOC (On 05/03/2024).
12. We have updated OC for building no.2 (On 13/06/2025).
13. Recommended Rates of the Property have been revised on 06/08/2025.</t>
  </si>
  <si>
    <t>Kunal Kadam</t>
  </si>
  <si>
    <t xml:space="preserve">Sudhir Bhosale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</si>
</sst>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164" formatCode="0.0"/>
    <numFmt numFmtId="165" formatCode="_(* #,##0.00_);_(* \(#,##0.00\);_(* &quot;-&quot;??_);_(@_)"/>
    <numFmt numFmtId="166" formatCode="_(* #,##0_);_(* \(#,##0\);_(* &quot;-&quot;??_);_(@_)"/>
    <numFmt numFmtId="167" formatCode="0.000"/>
  </numFmts>
  <fonts count="23"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b/>
      <sz val="11"/>
      <color indexed="8"/>
      <name val="Times New Roman"/>
      <family val="1"/>
    </font>
    <font>
      <sz val="11"/>
      <color indexed="8"/>
      <name val="Times New Roman"/>
      <family val="1"/>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b/>
      <sz val="11"/>
      <color rgb="FF000000"/>
      <name val="Times New Roman"/>
      <family val="1"/>
    </font>
    <font>
      <sz val="11"/>
      <color rgb="FF000000"/>
      <name val="Times New Roman"/>
      <family val="1"/>
    </font>
    <font>
      <sz val="11"/>
      <name val="Times New Roman"/>
      <family val="1"/>
    </font>
    <font>
      <sz val="11"/>
      <color rgb="FFFF0000"/>
      <name val="Calibri"/>
      <family val="2"/>
      <scheme val="minor"/>
    </font>
    <font>
      <sz val="11"/>
      <color rgb="FFFF0000"/>
      <name val="Calibri"/>
      <family val="2"/>
    </font>
    <font>
      <sz val="10"/>
      <name val="Arial"/>
      <family val="2"/>
    </font>
    <font>
      <u/>
      <sz val="11"/>
      <color theme="10"/>
      <name val="Calibri"/>
      <family val="2"/>
    </font>
    <font>
      <sz val="11"/>
      <color rgb="FF000000"/>
      <name val="Calibri"/>
      <family val="2"/>
    </font>
  </fonts>
  <fills count="3">
    <fill>
      <patternFill patternType="none"/>
    </fill>
    <fill>
      <patternFill patternType="gray125"/>
    </fill>
    <fill>
      <patternFill patternType="solid">
        <fgColor rgb="FFFFFF00"/>
        <bgColor indexed="64"/>
      </patternFill>
    </fill>
  </fills>
  <borders count="30">
    <border>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diagonal/>
    </border>
    <border>
      <left/>
      <right style="thin">
        <color indexed="64"/>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diagonal/>
    </border>
    <border>
      <left/>
      <right style="medium">
        <color indexed="64"/>
      </right>
      <top style="thin">
        <color indexed="64"/>
      </top>
      <bottom/>
      <diagonal/>
    </border>
    <border>
      <left style="medium">
        <color indexed="64"/>
      </left>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s>
  <cellStyleXfs count="12">
    <xf numFmtId="0" fontId="0" fillId="0" borderId="0"/>
    <xf numFmtId="0" fontId="3" fillId="0" borderId="0"/>
    <xf numFmtId="0" fontId="6" fillId="0" borderId="0"/>
    <xf numFmtId="0" fontId="2" fillId="0" borderId="0"/>
    <xf numFmtId="0" fontId="1" fillId="0" borderId="0"/>
    <xf numFmtId="0" fontId="1" fillId="0" borderId="0"/>
    <xf numFmtId="0" fontId="6" fillId="0" borderId="0"/>
    <xf numFmtId="0" fontId="1" fillId="0" borderId="0"/>
    <xf numFmtId="165" fontId="6" fillId="0" borderId="0" applyFont="0" applyFill="0" applyBorder="0" applyAlignment="0" applyProtection="0"/>
    <xf numFmtId="0" fontId="20" fillId="0" borderId="0"/>
    <xf numFmtId="0" fontId="21" fillId="0" borderId="0" applyNumberFormat="0" applyFill="0" applyBorder="0" applyAlignment="0" applyProtection="0"/>
    <xf numFmtId="9" fontId="22" fillId="0" borderId="0" applyFont="0" applyFill="0" applyBorder="0" applyAlignment="0" applyProtection="0"/>
  </cellStyleXfs>
  <cellXfs count="251">
    <xf numFmtId="0" fontId="0" fillId="0" borderId="0" xfId="0"/>
    <xf numFmtId="0" fontId="0" fillId="2" borderId="4" xfId="0" applyFill="1" applyBorder="1"/>
    <xf numFmtId="0" fontId="0" fillId="0" borderId="9" xfId="0" applyBorder="1"/>
    <xf numFmtId="0" fontId="10" fillId="0" borderId="4" xfId="0" applyFont="1" applyBorder="1"/>
    <xf numFmtId="0" fontId="10" fillId="0" borderId="4" xfId="0" applyFont="1" applyBorder="1" applyAlignment="1">
      <alignment horizontal="center"/>
    </xf>
    <xf numFmtId="0" fontId="0" fillId="0" borderId="4" xfId="0" applyBorder="1"/>
    <xf numFmtId="0" fontId="16" fillId="0" borderId="0" xfId="0" applyFont="1"/>
    <xf numFmtId="0" fontId="15" fillId="0" borderId="0" xfId="0" applyFont="1"/>
    <xf numFmtId="0" fontId="6" fillId="0" borderId="0" xfId="6"/>
    <xf numFmtId="0" fontId="1" fillId="0" borderId="0" xfId="7"/>
    <xf numFmtId="0" fontId="10" fillId="0" borderId="4" xfId="7" applyFont="1" applyBorder="1" applyAlignment="1">
      <alignment horizontal="center" vertical="top" wrapText="1"/>
    </xf>
    <xf numFmtId="0" fontId="19" fillId="0" borderId="0" xfId="6" applyFont="1"/>
    <xf numFmtId="0" fontId="1" fillId="0" borderId="4" xfId="7" applyBorder="1" applyAlignment="1">
      <alignment horizontal="center" vertical="center"/>
    </xf>
    <xf numFmtId="0" fontId="1" fillId="0" borderId="4" xfId="7" applyBorder="1" applyAlignment="1">
      <alignment horizontal="left" vertical="center"/>
    </xf>
    <xf numFmtId="1" fontId="1" fillId="0" borderId="4" xfId="7" applyNumberFormat="1" applyBorder="1" applyAlignment="1">
      <alignment horizontal="center" vertical="center"/>
    </xf>
    <xf numFmtId="166" fontId="1" fillId="0" borderId="4" xfId="8" applyNumberFormat="1" applyFont="1" applyBorder="1" applyAlignment="1">
      <alignment horizontal="right" vertical="center"/>
    </xf>
    <xf numFmtId="0" fontId="10" fillId="0" borderId="4" xfId="7" applyFont="1" applyBorder="1" applyAlignment="1">
      <alignment horizontal="center" vertical="center"/>
    </xf>
    <xf numFmtId="1" fontId="18" fillId="0" borderId="4" xfId="7" applyNumberFormat="1" applyFont="1" applyBorder="1" applyAlignment="1">
      <alignment horizontal="center" vertical="center"/>
    </xf>
    <xf numFmtId="0" fontId="6" fillId="0" borderId="4" xfId="6" applyBorder="1" applyAlignment="1">
      <alignment horizontal="center" vertical="center"/>
    </xf>
    <xf numFmtId="14" fontId="16" fillId="0" borderId="0" xfId="0" applyNumberFormat="1" applyFont="1"/>
    <xf numFmtId="0" fontId="8" fillId="0" borderId="16" xfId="1" applyFont="1" applyBorder="1" applyProtection="1">
      <protection hidden="1"/>
    </xf>
    <xf numFmtId="0" fontId="8" fillId="0" borderId="0" xfId="1" applyFont="1" applyProtection="1">
      <protection hidden="1"/>
    </xf>
    <xf numFmtId="0" fontId="16" fillId="0" borderId="0" xfId="0" applyFont="1" applyProtection="1">
      <protection hidden="1"/>
    </xf>
    <xf numFmtId="1" fontId="7" fillId="0" borderId="0" xfId="1" applyNumberFormat="1" applyFont="1" applyAlignment="1">
      <alignment horizontal="center" vertical="center" wrapText="1"/>
    </xf>
    <xf numFmtId="1" fontId="7" fillId="0" borderId="4" xfId="1" applyNumberFormat="1" applyFont="1" applyBorder="1" applyAlignment="1">
      <alignment horizontal="center" vertical="center" wrapText="1"/>
    </xf>
    <xf numFmtId="0" fontId="8" fillId="0" borderId="0" xfId="1" applyFont="1"/>
    <xf numFmtId="0" fontId="7" fillId="0" borderId="4" xfId="1" applyFont="1" applyBorder="1" applyAlignment="1">
      <alignment vertical="top"/>
    </xf>
    <xf numFmtId="0" fontId="8" fillId="0" borderId="17" xfId="1" applyFont="1" applyBorder="1" applyProtection="1">
      <protection hidden="1"/>
    </xf>
    <xf numFmtId="0" fontId="8" fillId="0" borderId="20" xfId="1" applyFont="1" applyBorder="1" applyProtection="1">
      <protection hidden="1"/>
    </xf>
    <xf numFmtId="0" fontId="8" fillId="0" borderId="20" xfId="1" applyFont="1" applyBorder="1"/>
    <xf numFmtId="0" fontId="13" fillId="0" borderId="4" xfId="1" applyFont="1" applyBorder="1" applyAlignment="1" applyProtection="1">
      <alignment horizontal="center" wrapText="1"/>
      <protection locked="0"/>
    </xf>
    <xf numFmtId="1" fontId="13" fillId="0" borderId="4" xfId="1" applyNumberFormat="1" applyFont="1" applyBorder="1" applyAlignment="1" applyProtection="1">
      <alignment horizontal="center" wrapText="1"/>
      <protection locked="0"/>
    </xf>
    <xf numFmtId="9" fontId="16" fillId="0" borderId="0" xfId="0" applyNumberFormat="1" applyFont="1" applyProtection="1">
      <protection hidden="1"/>
    </xf>
    <xf numFmtId="0" fontId="16" fillId="0" borderId="20" xfId="0" applyFont="1" applyBorder="1" applyProtection="1">
      <protection hidden="1"/>
    </xf>
    <xf numFmtId="0" fontId="0" fillId="0" borderId="21" xfId="0" applyBorder="1"/>
    <xf numFmtId="0" fontId="0" fillId="0" borderId="22" xfId="0" applyBorder="1"/>
    <xf numFmtId="0" fontId="7" fillId="0" borderId="0" xfId="2" applyFont="1"/>
    <xf numFmtId="0" fontId="8" fillId="0" borderId="0" xfId="0" applyFont="1" applyAlignment="1">
      <alignment horizontal="center" vertical="center"/>
    </xf>
    <xf numFmtId="0" fontId="11" fillId="0" borderId="4" xfId="0" applyFont="1" applyBorder="1" applyAlignment="1">
      <alignment horizontal="center" vertical="center"/>
    </xf>
    <xf numFmtId="0" fontId="8" fillId="0" borderId="0" xfId="1" applyFont="1" applyAlignment="1">
      <alignment horizontal="center" vertical="center"/>
    </xf>
    <xf numFmtId="0" fontId="8" fillId="0" borderId="0" xfId="0" applyFont="1"/>
    <xf numFmtId="0" fontId="9" fillId="0" borderId="0" xfId="1" applyFont="1" applyAlignment="1">
      <alignment vertical="top"/>
    </xf>
    <xf numFmtId="0" fontId="9" fillId="0" borderId="0" xfId="1" applyFont="1" applyAlignment="1">
      <alignment vertical="top" wrapText="1"/>
    </xf>
    <xf numFmtId="0" fontId="11" fillId="0" borderId="0" xfId="1" applyFont="1"/>
    <xf numFmtId="0" fontId="13" fillId="0" borderId="4" xfId="1" applyFont="1" applyBorder="1" applyAlignment="1" applyProtection="1">
      <alignment horizontal="center" vertical="top" wrapText="1"/>
      <protection locked="0"/>
    </xf>
    <xf numFmtId="0" fontId="13" fillId="0" borderId="4" xfId="1" applyFont="1" applyBorder="1" applyAlignment="1" applyProtection="1">
      <alignment horizontal="center" vertical="top"/>
      <protection locked="0"/>
    </xf>
    <xf numFmtId="0" fontId="8" fillId="0" borderId="4" xfId="1" applyFont="1" applyBorder="1" applyAlignment="1">
      <alignment horizontal="center" vertical="center"/>
    </xf>
    <xf numFmtId="0" fontId="8" fillId="0" borderId="4" xfId="1" applyFont="1" applyBorder="1"/>
    <xf numFmtId="0" fontId="8" fillId="0" borderId="0" xfId="1" applyFont="1" applyAlignment="1" applyProtection="1">
      <alignment horizontal="center" vertical="center"/>
      <protection hidden="1"/>
    </xf>
    <xf numFmtId="0" fontId="8" fillId="0" borderId="20" xfId="1" applyFont="1" applyBorder="1" applyAlignment="1" applyProtection="1">
      <alignment horizontal="center" vertical="center"/>
      <protection hidden="1"/>
    </xf>
    <xf numFmtId="0" fontId="13" fillId="0" borderId="23" xfId="1" applyFont="1" applyBorder="1" applyAlignment="1" applyProtection="1">
      <alignment horizontal="center" vertical="top" wrapText="1"/>
      <protection locked="0"/>
    </xf>
    <xf numFmtId="0" fontId="0" fillId="0" borderId="3" xfId="0" applyBorder="1"/>
    <xf numFmtId="0" fontId="8" fillId="2" borderId="0" xfId="1" applyFont="1" applyFill="1"/>
    <xf numFmtId="14" fontId="8" fillId="2" borderId="0" xfId="1" applyNumberFormat="1" applyFont="1" applyFill="1"/>
    <xf numFmtId="0" fontId="9" fillId="0" borderId="4" xfId="1" applyFont="1" applyBorder="1" applyAlignment="1">
      <alignment horizontal="left" vertical="top"/>
    </xf>
    <xf numFmtId="1" fontId="7" fillId="0" borderId="4" xfId="1" applyNumberFormat="1" applyFont="1" applyBorder="1" applyAlignment="1" applyProtection="1">
      <alignment horizontal="center" vertical="center" wrapText="1"/>
      <protection locked="0"/>
    </xf>
    <xf numFmtId="0" fontId="8" fillId="0" borderId="3" xfId="1" applyFont="1" applyBorder="1" applyAlignment="1">
      <alignment horizontal="center" vertical="center"/>
    </xf>
    <xf numFmtId="167" fontId="8" fillId="0" borderId="0" xfId="1" applyNumberFormat="1" applyFont="1" applyAlignment="1">
      <alignment horizontal="center" vertical="center"/>
    </xf>
    <xf numFmtId="1" fontId="8" fillId="0" borderId="4" xfId="1" applyNumberFormat="1" applyFont="1" applyBorder="1" applyAlignment="1">
      <alignment horizontal="center" vertical="center"/>
    </xf>
    <xf numFmtId="1" fontId="11" fillId="0" borderId="24" xfId="1" applyNumberFormat="1" applyFont="1" applyBorder="1" applyAlignment="1" applyProtection="1">
      <alignment horizontal="center" vertical="top" wrapText="1"/>
      <protection locked="0"/>
    </xf>
    <xf numFmtId="9" fontId="11" fillId="0" borderId="23" xfId="11" applyFont="1" applyFill="1" applyBorder="1" applyAlignment="1" applyProtection="1">
      <alignment horizontal="center" vertical="top" wrapText="1"/>
      <protection locked="0"/>
    </xf>
    <xf numFmtId="1" fontId="8" fillId="0" borderId="4" xfId="0" applyNumberFormat="1" applyFont="1" applyBorder="1" applyAlignment="1">
      <alignment horizontal="center" vertical="center"/>
    </xf>
    <xf numFmtId="0" fontId="21" fillId="0" borderId="0" xfId="10" applyFill="1" applyAlignment="1">
      <alignment wrapText="1"/>
    </xf>
    <xf numFmtId="14" fontId="8" fillId="0" borderId="0" xfId="1" applyNumberFormat="1" applyFont="1" applyAlignment="1">
      <alignment horizontal="center" vertical="center"/>
    </xf>
    <xf numFmtId="0" fontId="7" fillId="0" borderId="4" xfId="1" applyFont="1" applyBorder="1" applyAlignment="1">
      <alignment horizontal="left" vertical="top"/>
    </xf>
    <xf numFmtId="1" fontId="7" fillId="0" borderId="1" xfId="1" applyNumberFormat="1" applyFont="1" applyBorder="1" applyAlignment="1">
      <alignment horizontal="center" vertical="center" wrapText="1"/>
    </xf>
    <xf numFmtId="1" fontId="7" fillId="0" borderId="3" xfId="1" applyNumberFormat="1" applyFont="1" applyBorder="1" applyAlignment="1">
      <alignment horizontal="center" vertical="center" wrapText="1"/>
    </xf>
    <xf numFmtId="1" fontId="8" fillId="0" borderId="1" xfId="1" applyNumberFormat="1" applyFont="1" applyBorder="1" applyAlignment="1">
      <alignment horizontal="center" vertical="center"/>
    </xf>
    <xf numFmtId="1" fontId="8" fillId="0" borderId="3" xfId="1" applyNumberFormat="1" applyFont="1" applyBorder="1" applyAlignment="1">
      <alignment horizontal="center" vertical="center"/>
    </xf>
    <xf numFmtId="1" fontId="8" fillId="0" borderId="11" xfId="1" applyNumberFormat="1" applyFont="1" applyBorder="1" applyAlignment="1">
      <alignment horizontal="center" vertical="center"/>
    </xf>
    <xf numFmtId="1" fontId="8" fillId="0" borderId="0" xfId="1" applyNumberFormat="1" applyFont="1" applyAlignment="1">
      <alignment horizontal="center" vertical="center"/>
    </xf>
    <xf numFmtId="0" fontId="7" fillId="0" borderId="5" xfId="1" applyFont="1" applyBorder="1" applyAlignment="1">
      <alignment horizontal="left" vertical="top" wrapText="1"/>
    </xf>
    <xf numFmtId="0" fontId="7" fillId="0" borderId="7" xfId="1" applyFont="1" applyBorder="1" applyAlignment="1">
      <alignment horizontal="left" vertical="top" wrapText="1"/>
    </xf>
    <xf numFmtId="0" fontId="7" fillId="0" borderId="1" xfId="1" applyFont="1" applyBorder="1" applyAlignment="1">
      <alignment horizontal="left" vertical="top" wrapText="1"/>
    </xf>
    <xf numFmtId="0" fontId="7" fillId="0" borderId="2" xfId="1" applyFont="1" applyBorder="1" applyAlignment="1">
      <alignment horizontal="left" vertical="top"/>
    </xf>
    <xf numFmtId="0" fontId="7" fillId="0" borderId="3" xfId="1" applyFont="1" applyBorder="1" applyAlignment="1">
      <alignment horizontal="left" vertical="top"/>
    </xf>
    <xf numFmtId="14" fontId="7" fillId="0" borderId="1" xfId="1" applyNumberFormat="1" applyFont="1" applyBorder="1" applyAlignment="1">
      <alignment horizontal="left" vertical="top"/>
    </xf>
    <xf numFmtId="1" fontId="7" fillId="0" borderId="5" xfId="1" applyNumberFormat="1" applyFont="1" applyBorder="1" applyAlignment="1">
      <alignment horizontal="center" vertical="center" wrapText="1"/>
    </xf>
    <xf numFmtId="1" fontId="7" fillId="0" borderId="7" xfId="1" applyNumberFormat="1" applyFont="1" applyBorder="1" applyAlignment="1">
      <alignment horizontal="center" vertical="center" wrapText="1"/>
    </xf>
    <xf numFmtId="1" fontId="7" fillId="0" borderId="11" xfId="1" applyNumberFormat="1" applyFont="1" applyBorder="1" applyAlignment="1">
      <alignment horizontal="center" vertical="center" wrapText="1"/>
    </xf>
    <xf numFmtId="1" fontId="7" fillId="0" borderId="12" xfId="1" applyNumberFormat="1" applyFont="1" applyBorder="1" applyAlignment="1">
      <alignment horizontal="center" vertical="center" wrapText="1"/>
    </xf>
    <xf numFmtId="1" fontId="7" fillId="0" borderId="2" xfId="1" applyNumberFormat="1" applyFont="1" applyBorder="1" applyAlignment="1">
      <alignment horizontal="center" vertical="center" wrapText="1"/>
    </xf>
    <xf numFmtId="1" fontId="7" fillId="0" borderId="4" xfId="1" applyNumberFormat="1" applyFont="1" applyBorder="1" applyAlignment="1">
      <alignment horizontal="center" vertical="center" wrapText="1"/>
    </xf>
    <xf numFmtId="1" fontId="8" fillId="0" borderId="4" xfId="1" applyNumberFormat="1" applyFont="1" applyBorder="1" applyAlignment="1">
      <alignment horizontal="center" vertical="center"/>
    </xf>
    <xf numFmtId="1" fontId="9" fillId="0" borderId="1" xfId="1" applyNumberFormat="1" applyFont="1" applyBorder="1" applyAlignment="1">
      <alignment horizontal="center" vertical="center" wrapText="1"/>
    </xf>
    <xf numFmtId="1" fontId="9" fillId="0" borderId="2" xfId="1" applyNumberFormat="1" applyFont="1" applyBorder="1" applyAlignment="1">
      <alignment horizontal="center" vertical="center" wrapText="1"/>
    </xf>
    <xf numFmtId="1" fontId="9" fillId="0" borderId="3" xfId="1" applyNumberFormat="1" applyFont="1" applyBorder="1" applyAlignment="1">
      <alignment horizontal="center" vertical="center" wrapText="1"/>
    </xf>
    <xf numFmtId="0" fontId="13" fillId="0" borderId="1" xfId="1" applyFont="1" applyBorder="1" applyAlignment="1">
      <alignment horizontal="left" vertical="top" wrapText="1"/>
    </xf>
    <xf numFmtId="0" fontId="13" fillId="0" borderId="2" xfId="1" applyFont="1" applyBorder="1" applyAlignment="1">
      <alignment horizontal="left" vertical="top" wrapText="1"/>
    </xf>
    <xf numFmtId="0" fontId="13" fillId="0" borderId="3" xfId="1" applyFont="1" applyBorder="1" applyAlignment="1">
      <alignment horizontal="left" vertical="top" wrapText="1"/>
    </xf>
    <xf numFmtId="0" fontId="13" fillId="0" borderId="1" xfId="1" applyFont="1" applyBorder="1" applyAlignment="1">
      <alignment horizontal="left" vertical="top"/>
    </xf>
    <xf numFmtId="0" fontId="13" fillId="0" borderId="2" xfId="1" applyFont="1" applyBorder="1" applyAlignment="1">
      <alignment horizontal="left" vertical="top"/>
    </xf>
    <xf numFmtId="0" fontId="13" fillId="0" borderId="4" xfId="1" applyFont="1" applyBorder="1" applyAlignment="1" applyProtection="1">
      <alignment horizontal="center" vertical="top" wrapText="1"/>
      <protection locked="0"/>
    </xf>
    <xf numFmtId="9" fontId="13" fillId="0" borderId="4" xfId="1" applyNumberFormat="1" applyFont="1" applyBorder="1" applyAlignment="1" applyProtection="1">
      <alignment horizontal="center" vertical="center" wrapText="1"/>
      <protection hidden="1"/>
    </xf>
    <xf numFmtId="0" fontId="14" fillId="0" borderId="18" xfId="1" applyFont="1" applyBorder="1" applyAlignment="1" applyProtection="1">
      <alignment horizontal="left" vertical="top"/>
      <protection locked="0"/>
    </xf>
    <xf numFmtId="0" fontId="14" fillId="0" borderId="4" xfId="1" applyFont="1" applyBorder="1" applyAlignment="1" applyProtection="1">
      <alignment horizontal="left" vertical="top"/>
      <protection locked="0"/>
    </xf>
    <xf numFmtId="0" fontId="14" fillId="0" borderId="4" xfId="1" applyFont="1" applyBorder="1" applyAlignment="1" applyProtection="1">
      <alignment horizontal="left" vertical="top" wrapText="1"/>
      <protection locked="0"/>
    </xf>
    <xf numFmtId="0" fontId="14" fillId="0" borderId="19" xfId="1" applyFont="1" applyBorder="1" applyAlignment="1" applyProtection="1">
      <alignment horizontal="left" vertical="top" wrapText="1"/>
      <protection locked="0"/>
    </xf>
    <xf numFmtId="0" fontId="13" fillId="0" borderId="23" xfId="1" applyFont="1" applyBorder="1" applyAlignment="1" applyProtection="1">
      <alignment horizontal="center" vertical="top" wrapText="1"/>
      <protection locked="0"/>
    </xf>
    <xf numFmtId="1" fontId="9" fillId="0" borderId="4" xfId="1" applyNumberFormat="1" applyFont="1" applyBorder="1" applyAlignment="1">
      <alignment horizontal="center" vertical="center" wrapText="1"/>
    </xf>
    <xf numFmtId="0" fontId="13" fillId="0" borderId="4" xfId="1" applyFont="1" applyBorder="1" applyAlignment="1" applyProtection="1">
      <alignment horizontal="center" vertical="top"/>
      <protection locked="0"/>
    </xf>
    <xf numFmtId="0" fontId="13" fillId="0" borderId="19" xfId="1" applyFont="1" applyBorder="1" applyAlignment="1" applyProtection="1">
      <alignment horizontal="center" vertical="top"/>
      <protection locked="0"/>
    </xf>
    <xf numFmtId="0" fontId="14" fillId="0" borderId="25" xfId="1" applyFont="1" applyBorder="1" applyAlignment="1" applyProtection="1">
      <alignment horizontal="center" vertical="center"/>
      <protection locked="0"/>
    </xf>
    <xf numFmtId="0" fontId="14" fillId="0" borderId="7" xfId="1" applyFont="1" applyBorder="1" applyAlignment="1" applyProtection="1">
      <alignment horizontal="center" vertical="center"/>
      <protection locked="0"/>
    </xf>
    <xf numFmtId="0" fontId="14" fillId="0" borderId="27" xfId="1" applyFont="1" applyBorder="1" applyAlignment="1" applyProtection="1">
      <alignment horizontal="center" vertical="center"/>
      <protection locked="0"/>
    </xf>
    <xf numFmtId="0" fontId="14" fillId="0" borderId="28" xfId="1" applyFont="1" applyBorder="1" applyAlignment="1" applyProtection="1">
      <alignment horizontal="center" vertical="center"/>
      <protection locked="0"/>
    </xf>
    <xf numFmtId="0" fontId="13" fillId="0" borderId="18" xfId="1" applyFont="1" applyBorder="1" applyAlignment="1" applyProtection="1">
      <alignment horizontal="center" vertical="top"/>
      <protection locked="0"/>
    </xf>
    <xf numFmtId="9" fontId="14" fillId="0" borderId="5" xfId="1" applyNumberFormat="1" applyFont="1" applyBorder="1" applyAlignment="1" applyProtection="1">
      <alignment horizontal="center" vertical="center" wrapText="1"/>
      <protection locked="0"/>
    </xf>
    <xf numFmtId="0" fontId="14" fillId="0" borderId="6" xfId="1" applyFont="1" applyBorder="1" applyAlignment="1" applyProtection="1">
      <alignment horizontal="center" vertical="center" wrapText="1"/>
      <protection locked="0"/>
    </xf>
    <xf numFmtId="0" fontId="14" fillId="0" borderId="7" xfId="1" applyFont="1" applyBorder="1" applyAlignment="1" applyProtection="1">
      <alignment horizontal="center" vertical="center" wrapText="1"/>
      <protection locked="0"/>
    </xf>
    <xf numFmtId="0" fontId="14" fillId="0" borderId="29" xfId="1" applyFont="1" applyBorder="1" applyAlignment="1" applyProtection="1">
      <alignment horizontal="center" vertical="center" wrapText="1"/>
      <protection locked="0"/>
    </xf>
    <xf numFmtId="0" fontId="14" fillId="0" borderId="21" xfId="1" applyFont="1" applyBorder="1" applyAlignment="1" applyProtection="1">
      <alignment horizontal="center" vertical="center" wrapText="1"/>
      <protection locked="0"/>
    </xf>
    <xf numFmtId="0" fontId="14" fillId="0" borderId="28" xfId="1" applyFont="1" applyBorder="1" applyAlignment="1" applyProtection="1">
      <alignment horizontal="center" vertical="center" wrapText="1"/>
      <protection locked="0"/>
    </xf>
    <xf numFmtId="0" fontId="14" fillId="0" borderId="5" xfId="1" applyFont="1" applyBorder="1" applyAlignment="1" applyProtection="1">
      <alignment horizontal="center" vertical="center" wrapText="1"/>
      <protection locked="0"/>
    </xf>
    <xf numFmtId="0" fontId="14" fillId="0" borderId="26" xfId="1" applyFont="1" applyBorder="1" applyAlignment="1" applyProtection="1">
      <alignment horizontal="center" vertical="center" wrapText="1"/>
      <protection locked="0"/>
    </xf>
    <xf numFmtId="0" fontId="14" fillId="0" borderId="22" xfId="1" applyFont="1" applyBorder="1" applyAlignment="1" applyProtection="1">
      <alignment horizontal="center" vertical="center" wrapText="1"/>
      <protection locked="0"/>
    </xf>
    <xf numFmtId="0" fontId="14" fillId="0" borderId="4" xfId="1" applyFont="1" applyBorder="1" applyAlignment="1" applyProtection="1">
      <alignment horizontal="center" vertical="center"/>
      <protection locked="0"/>
    </xf>
    <xf numFmtId="9" fontId="14" fillId="0" borderId="4" xfId="1" applyNumberFormat="1" applyFont="1" applyBorder="1" applyAlignment="1" applyProtection="1">
      <alignment horizontal="center" vertical="center" wrapText="1"/>
      <protection locked="0"/>
    </xf>
    <xf numFmtId="0" fontId="14" fillId="0" borderId="4" xfId="1" applyFont="1" applyBorder="1" applyAlignment="1" applyProtection="1">
      <alignment horizontal="center" vertical="center" wrapText="1"/>
      <protection locked="0"/>
    </xf>
    <xf numFmtId="0" fontId="11" fillId="0" borderId="4" xfId="1" applyFont="1" applyBorder="1" applyAlignment="1" applyProtection="1">
      <alignment horizontal="left" vertical="top"/>
      <protection locked="0"/>
    </xf>
    <xf numFmtId="1" fontId="7" fillId="0" borderId="0" xfId="1" applyNumberFormat="1" applyFont="1" applyAlignment="1">
      <alignment horizontal="center" vertical="center" wrapText="1"/>
    </xf>
    <xf numFmtId="0" fontId="7" fillId="0" borderId="1" xfId="1" applyFont="1" applyBorder="1" applyAlignment="1">
      <alignment vertical="top"/>
    </xf>
    <xf numFmtId="0" fontId="7" fillId="0" borderId="2" xfId="1" applyFont="1" applyBorder="1" applyAlignment="1">
      <alignment vertical="top"/>
    </xf>
    <xf numFmtId="0" fontId="7" fillId="0" borderId="3" xfId="1" applyFont="1" applyBorder="1" applyAlignment="1">
      <alignment vertical="top"/>
    </xf>
    <xf numFmtId="0" fontId="7" fillId="0" borderId="1" xfId="1" applyFont="1" applyBorder="1" applyAlignment="1">
      <alignment horizontal="left" vertical="top"/>
    </xf>
    <xf numFmtId="0" fontId="7" fillId="0" borderId="2" xfId="1" applyFont="1" applyBorder="1" applyAlignment="1">
      <alignment horizontal="left" vertical="top" wrapText="1"/>
    </xf>
    <xf numFmtId="0" fontId="7" fillId="0" borderId="3" xfId="1" applyFont="1" applyBorder="1" applyAlignment="1">
      <alignment horizontal="left" vertical="top" wrapText="1"/>
    </xf>
    <xf numFmtId="1" fontId="9" fillId="0" borderId="4" xfId="0" applyNumberFormat="1" applyFont="1" applyBorder="1" applyAlignment="1">
      <alignment horizontal="left" vertical="top" wrapText="1"/>
    </xf>
    <xf numFmtId="0" fontId="14" fillId="0" borderId="4" xfId="2" applyFont="1" applyBorder="1" applyAlignment="1">
      <alignment horizontal="left" vertical="top" wrapText="1"/>
    </xf>
    <xf numFmtId="0" fontId="9" fillId="0" borderId="4" xfId="1" applyFont="1" applyBorder="1" applyAlignment="1">
      <alignment horizontal="center" vertical="top" wrapText="1"/>
    </xf>
    <xf numFmtId="0" fontId="5" fillId="0" borderId="4" xfId="1" applyFont="1" applyBorder="1" applyAlignment="1">
      <alignment horizontal="center" vertical="top" wrapText="1"/>
    </xf>
    <xf numFmtId="0" fontId="17" fillId="0" borderId="4" xfId="1" applyFont="1" applyBorder="1" applyAlignment="1">
      <alignment horizontal="center" vertical="top" wrapText="1"/>
    </xf>
    <xf numFmtId="1" fontId="7" fillId="0" borderId="6" xfId="1" applyNumberFormat="1" applyFont="1" applyBorder="1" applyAlignment="1">
      <alignment horizontal="center" vertical="center" wrapText="1"/>
    </xf>
    <xf numFmtId="1" fontId="14" fillId="0" borderId="1" xfId="1" applyNumberFormat="1" applyFont="1" applyBorder="1" applyAlignment="1">
      <alignment horizontal="center" vertical="center" wrapText="1"/>
    </xf>
    <xf numFmtId="1" fontId="14" fillId="0" borderId="2" xfId="1" applyNumberFormat="1" applyFont="1" applyBorder="1" applyAlignment="1">
      <alignment horizontal="center" vertical="center" wrapText="1"/>
    </xf>
    <xf numFmtId="1" fontId="14" fillId="0" borderId="3" xfId="1" applyNumberFormat="1" applyFont="1" applyBorder="1" applyAlignment="1">
      <alignment horizontal="center" vertical="center" wrapText="1"/>
    </xf>
    <xf numFmtId="1" fontId="14" fillId="0" borderId="4" xfId="1" applyNumberFormat="1" applyFont="1" applyBorder="1" applyAlignment="1">
      <alignment horizontal="center" vertical="center" wrapText="1"/>
    </xf>
    <xf numFmtId="1" fontId="9" fillId="0" borderId="1" xfId="0" applyNumberFormat="1" applyFont="1" applyBorder="1" applyAlignment="1">
      <alignment horizontal="center" vertical="center" wrapText="1"/>
    </xf>
    <xf numFmtId="1" fontId="9" fillId="0" borderId="2" xfId="0" applyNumberFormat="1" applyFont="1" applyBorder="1" applyAlignment="1">
      <alignment horizontal="center" vertical="center" wrapText="1"/>
    </xf>
    <xf numFmtId="1" fontId="14" fillId="0" borderId="1" xfId="0" applyNumberFormat="1" applyFont="1" applyBorder="1" applyAlignment="1">
      <alignment horizontal="center" vertical="top" wrapText="1"/>
    </xf>
    <xf numFmtId="1" fontId="14" fillId="0" borderId="2" xfId="0" applyNumberFormat="1" applyFont="1" applyBorder="1" applyAlignment="1">
      <alignment horizontal="center" vertical="top" wrapText="1"/>
    </xf>
    <xf numFmtId="1" fontId="14" fillId="0" borderId="3" xfId="0" applyNumberFormat="1" applyFont="1" applyBorder="1" applyAlignment="1">
      <alignment horizontal="center" vertical="top" wrapText="1"/>
    </xf>
    <xf numFmtId="1" fontId="9" fillId="0" borderId="1" xfId="0" applyNumberFormat="1" applyFont="1" applyBorder="1" applyAlignment="1">
      <alignment horizontal="center" vertical="top" wrapText="1"/>
    </xf>
    <xf numFmtId="1" fontId="9" fillId="0" borderId="2" xfId="0" applyNumberFormat="1" applyFont="1" applyBorder="1" applyAlignment="1">
      <alignment horizontal="center" vertical="top" wrapText="1"/>
    </xf>
    <xf numFmtId="1" fontId="9" fillId="0" borderId="3" xfId="0" applyNumberFormat="1" applyFont="1" applyBorder="1" applyAlignment="1">
      <alignment horizontal="center" vertical="top" wrapText="1"/>
    </xf>
    <xf numFmtId="0" fontId="9" fillId="0" borderId="1" xfId="1" applyFont="1" applyBorder="1" applyAlignment="1">
      <alignment horizontal="center" vertical="top"/>
    </xf>
    <xf numFmtId="0" fontId="9" fillId="0" borderId="2" xfId="1" applyFont="1" applyBorder="1" applyAlignment="1">
      <alignment horizontal="center" vertical="top"/>
    </xf>
    <xf numFmtId="0" fontId="9" fillId="0" borderId="3" xfId="1" applyFont="1" applyBorder="1" applyAlignment="1">
      <alignment horizontal="center" vertical="top"/>
    </xf>
    <xf numFmtId="1" fontId="7" fillId="0" borderId="1" xfId="0" applyNumberFormat="1" applyFont="1" applyBorder="1" applyAlignment="1">
      <alignment horizontal="center" vertical="center" wrapText="1"/>
    </xf>
    <xf numFmtId="1" fontId="7" fillId="0" borderId="3" xfId="0" applyNumberFormat="1" applyFont="1" applyBorder="1" applyAlignment="1">
      <alignment horizontal="center" vertical="center" wrapText="1"/>
    </xf>
    <xf numFmtId="1" fontId="9" fillId="0" borderId="5" xfId="1" applyNumberFormat="1" applyFont="1" applyBorder="1" applyAlignment="1">
      <alignment horizontal="center" vertical="top" wrapText="1"/>
    </xf>
    <xf numFmtId="1" fontId="9" fillId="0" borderId="6" xfId="1" applyNumberFormat="1" applyFont="1" applyBorder="1" applyAlignment="1">
      <alignment horizontal="center" vertical="top" wrapText="1"/>
    </xf>
    <xf numFmtId="1" fontId="9" fillId="0" borderId="8" xfId="1" applyNumberFormat="1" applyFont="1" applyBorder="1" applyAlignment="1">
      <alignment horizontal="center" vertical="top" wrapText="1"/>
    </xf>
    <xf numFmtId="1" fontId="9" fillId="0" borderId="9" xfId="1" applyNumberFormat="1" applyFont="1" applyBorder="1" applyAlignment="1">
      <alignment horizontal="center" vertical="top" wrapText="1"/>
    </xf>
    <xf numFmtId="1" fontId="9" fillId="0" borderId="4" xfId="1" applyNumberFormat="1" applyFont="1" applyBorder="1" applyAlignment="1">
      <alignment horizontal="center" vertical="top" wrapText="1"/>
    </xf>
    <xf numFmtId="1" fontId="4" fillId="0" borderId="24" xfId="1" applyNumberFormat="1" applyFont="1" applyBorder="1" applyAlignment="1">
      <alignment horizontal="center" vertical="top" wrapText="1"/>
    </xf>
    <xf numFmtId="1" fontId="4" fillId="0" borderId="23" xfId="1" applyNumberFormat="1" applyFont="1" applyBorder="1" applyAlignment="1">
      <alignment horizontal="center" vertical="top" wrapText="1"/>
    </xf>
    <xf numFmtId="1" fontId="9" fillId="0" borderId="24" xfId="1" applyNumberFormat="1" applyFont="1" applyBorder="1" applyAlignment="1">
      <alignment horizontal="center" vertical="top" wrapText="1"/>
    </xf>
    <xf numFmtId="1" fontId="9" fillId="0" borderId="23" xfId="1" applyNumberFormat="1" applyFont="1" applyBorder="1" applyAlignment="1">
      <alignment horizontal="center" vertical="top" wrapText="1"/>
    </xf>
    <xf numFmtId="1" fontId="9" fillId="0" borderId="7" xfId="1" applyNumberFormat="1" applyFont="1" applyBorder="1" applyAlignment="1">
      <alignment horizontal="center" vertical="top" wrapText="1"/>
    </xf>
    <xf numFmtId="1" fontId="9" fillId="0" borderId="10" xfId="1" applyNumberFormat="1" applyFont="1" applyBorder="1" applyAlignment="1">
      <alignment horizontal="center" vertical="top" wrapText="1"/>
    </xf>
    <xf numFmtId="0" fontId="9" fillId="0" borderId="1" xfId="1" applyFont="1" applyBorder="1" applyAlignment="1">
      <alignment horizontal="left" vertical="top"/>
    </xf>
    <xf numFmtId="0" fontId="9" fillId="0" borderId="2" xfId="1" applyFont="1" applyBorder="1" applyAlignment="1">
      <alignment horizontal="left" vertical="top"/>
    </xf>
    <xf numFmtId="0" fontId="9" fillId="0" borderId="3" xfId="1" applyFont="1" applyBorder="1" applyAlignment="1">
      <alignment horizontal="left" vertical="top"/>
    </xf>
    <xf numFmtId="1" fontId="8" fillId="0" borderId="1" xfId="0" applyNumberFormat="1" applyFont="1" applyBorder="1" applyAlignment="1">
      <alignment horizontal="center" vertical="top" wrapText="1"/>
    </xf>
    <xf numFmtId="1" fontId="8" fillId="0" borderId="2" xfId="0" applyNumberFormat="1" applyFont="1" applyBorder="1" applyAlignment="1">
      <alignment horizontal="center" vertical="top" wrapText="1"/>
    </xf>
    <xf numFmtId="1" fontId="8" fillId="0" borderId="3" xfId="0" applyNumberFormat="1" applyFont="1" applyBorder="1" applyAlignment="1">
      <alignment horizontal="center" vertical="top" wrapText="1"/>
    </xf>
    <xf numFmtId="1" fontId="7" fillId="0" borderId="1" xfId="0" applyNumberFormat="1" applyFont="1" applyBorder="1" applyAlignment="1">
      <alignment horizontal="center" vertical="top" wrapText="1"/>
    </xf>
    <xf numFmtId="1" fontId="7" fillId="0" borderId="2" xfId="0" applyNumberFormat="1" applyFont="1" applyBorder="1" applyAlignment="1">
      <alignment horizontal="center" vertical="top" wrapText="1"/>
    </xf>
    <xf numFmtId="1" fontId="7" fillId="0" borderId="3" xfId="0" applyNumberFormat="1" applyFont="1" applyBorder="1" applyAlignment="1">
      <alignment horizontal="center" vertical="top" wrapText="1"/>
    </xf>
    <xf numFmtId="1" fontId="9" fillId="0" borderId="3" xfId="0" applyNumberFormat="1" applyFont="1" applyBorder="1" applyAlignment="1">
      <alignment horizontal="center" vertical="center" wrapText="1"/>
    </xf>
    <xf numFmtId="0" fontId="11" fillId="0" borderId="1" xfId="0" applyFont="1" applyBorder="1" applyAlignment="1">
      <alignment horizontal="center" vertical="top" wrapText="1"/>
    </xf>
    <xf numFmtId="0" fontId="11" fillId="0" borderId="2" xfId="0" applyFont="1" applyBorder="1" applyAlignment="1">
      <alignment horizontal="center" vertical="top" wrapText="1"/>
    </xf>
    <xf numFmtId="0" fontId="11" fillId="0" borderId="3" xfId="0" applyFont="1" applyBorder="1" applyAlignment="1">
      <alignment horizontal="center" vertical="top" wrapText="1"/>
    </xf>
    <xf numFmtId="0" fontId="13" fillId="0" borderId="8" xfId="1" applyFont="1" applyBorder="1" applyAlignment="1">
      <alignment horizontal="left" vertical="top"/>
    </xf>
    <xf numFmtId="0" fontId="13" fillId="0" borderId="9" xfId="1" applyFont="1" applyBorder="1" applyAlignment="1">
      <alignment horizontal="left" vertical="top"/>
    </xf>
    <xf numFmtId="0" fontId="13" fillId="0" borderId="10" xfId="1" applyFont="1" applyBorder="1" applyAlignment="1">
      <alignment horizontal="left" vertical="top"/>
    </xf>
    <xf numFmtId="0" fontId="13" fillId="0" borderId="18" xfId="1" applyFont="1" applyBorder="1" applyAlignment="1" applyProtection="1">
      <alignment horizontal="center" vertical="top" wrapText="1"/>
      <protection locked="0"/>
    </xf>
    <xf numFmtId="0" fontId="13" fillId="0" borderId="19" xfId="1" applyFont="1" applyBorder="1" applyAlignment="1" applyProtection="1">
      <alignment horizontal="center" vertical="top" wrapText="1"/>
      <protection locked="0"/>
    </xf>
    <xf numFmtId="14" fontId="13" fillId="0" borderId="1" xfId="1" applyNumberFormat="1" applyFont="1" applyBorder="1" applyAlignment="1">
      <alignment horizontal="left" vertical="top"/>
    </xf>
    <xf numFmtId="0" fontId="13" fillId="0" borderId="3" xfId="1" applyFont="1" applyBorder="1" applyAlignment="1">
      <alignment horizontal="left" vertical="top"/>
    </xf>
    <xf numFmtId="0" fontId="7" fillId="0" borderId="4" xfId="1" applyFont="1" applyBorder="1" applyAlignment="1">
      <alignment horizontal="left" vertical="top"/>
    </xf>
    <xf numFmtId="2" fontId="7" fillId="0" borderId="4" xfId="1" applyNumberFormat="1" applyFont="1" applyBorder="1" applyAlignment="1">
      <alignment horizontal="left" vertical="top" wrapText="1"/>
    </xf>
    <xf numFmtId="14" fontId="7" fillId="0" borderId="4" xfId="1" applyNumberFormat="1" applyFont="1" applyBorder="1" applyAlignment="1">
      <alignment horizontal="left" vertical="top" wrapText="1"/>
    </xf>
    <xf numFmtId="0" fontId="7" fillId="0" borderId="4" xfId="1" applyFont="1" applyBorder="1" applyAlignment="1">
      <alignment horizontal="left" vertical="top" wrapText="1"/>
    </xf>
    <xf numFmtId="164" fontId="7" fillId="0" borderId="4" xfId="1" applyNumberFormat="1" applyFont="1" applyBorder="1" applyAlignment="1">
      <alignment horizontal="left" vertical="top"/>
    </xf>
    <xf numFmtId="2" fontId="7" fillId="0" borderId="4" xfId="1" applyNumberFormat="1" applyFont="1" applyBorder="1" applyAlignment="1">
      <alignment horizontal="left" vertical="top"/>
    </xf>
    <xf numFmtId="0" fontId="13" fillId="0" borderId="4" xfId="1" applyFont="1" applyBorder="1" applyAlignment="1">
      <alignment horizontal="left" vertical="top"/>
    </xf>
    <xf numFmtId="0" fontId="9" fillId="0" borderId="1" xfId="1" applyFont="1" applyBorder="1" applyAlignment="1">
      <alignment horizontal="left" vertical="top" wrapText="1"/>
    </xf>
    <xf numFmtId="0" fontId="8" fillId="0" borderId="1" xfId="1" applyFont="1" applyBorder="1" applyAlignment="1" applyProtection="1">
      <alignment horizontal="left" vertical="center" wrapText="1"/>
      <protection locked="0"/>
    </xf>
    <xf numFmtId="0" fontId="8" fillId="0" borderId="2" xfId="1" applyFont="1" applyBorder="1" applyAlignment="1" applyProtection="1">
      <alignment horizontal="left" vertical="center" wrapText="1"/>
      <protection locked="0"/>
    </xf>
    <xf numFmtId="0" fontId="8" fillId="0" borderId="3" xfId="1" applyFont="1" applyBorder="1" applyAlignment="1" applyProtection="1">
      <alignment horizontal="left" vertical="center" wrapText="1"/>
      <protection locked="0"/>
    </xf>
    <xf numFmtId="0" fontId="7" fillId="0" borderId="6" xfId="1" applyFont="1" applyBorder="1" applyAlignment="1">
      <alignment horizontal="left" vertical="top" wrapText="1"/>
    </xf>
    <xf numFmtId="0" fontId="7" fillId="0" borderId="8" xfId="1" applyFont="1" applyBorder="1" applyAlignment="1">
      <alignment horizontal="left" vertical="top" wrapText="1"/>
    </xf>
    <xf numFmtId="0" fontId="7" fillId="0" borderId="9" xfId="1" applyFont="1" applyBorder="1" applyAlignment="1">
      <alignment horizontal="left" vertical="top" wrapText="1"/>
    </xf>
    <xf numFmtId="0" fontId="7" fillId="0" borderId="10" xfId="1" applyFont="1" applyBorder="1" applyAlignment="1">
      <alignment horizontal="left" vertical="top" wrapText="1"/>
    </xf>
    <xf numFmtId="0" fontId="7" fillId="0" borderId="5" xfId="1" applyFont="1" applyBorder="1" applyAlignment="1">
      <alignment horizontal="left" vertical="top"/>
    </xf>
    <xf numFmtId="0" fontId="7" fillId="0" borderId="6" xfId="1" applyFont="1" applyBorder="1" applyAlignment="1">
      <alignment horizontal="left" vertical="top"/>
    </xf>
    <xf numFmtId="0" fontId="7" fillId="0" borderId="7" xfId="1" applyFont="1" applyBorder="1" applyAlignment="1">
      <alignment horizontal="left" vertical="top"/>
    </xf>
    <xf numFmtId="0" fontId="7" fillId="0" borderId="8" xfId="1" applyFont="1" applyBorder="1" applyAlignment="1">
      <alignment horizontal="left" vertical="top"/>
    </xf>
    <xf numFmtId="0" fontId="7" fillId="0" borderId="9" xfId="1" applyFont="1" applyBorder="1" applyAlignment="1">
      <alignment horizontal="left" vertical="top"/>
    </xf>
    <xf numFmtId="0" fontId="7" fillId="0" borderId="10" xfId="1" applyFont="1" applyBorder="1" applyAlignment="1">
      <alignment horizontal="left" vertical="top"/>
    </xf>
    <xf numFmtId="0" fontId="9" fillId="0" borderId="4" xfId="1" applyFont="1" applyBorder="1" applyAlignment="1">
      <alignment horizontal="left" vertical="top"/>
    </xf>
    <xf numFmtId="0" fontId="12" fillId="0" borderId="1" xfId="1" applyFont="1" applyBorder="1" applyAlignment="1">
      <alignment horizontal="center" vertical="top" wrapText="1"/>
    </xf>
    <xf numFmtId="0" fontId="12" fillId="0" borderId="2" xfId="1" applyFont="1" applyBorder="1" applyAlignment="1">
      <alignment horizontal="center" vertical="top" wrapText="1"/>
    </xf>
    <xf numFmtId="0" fontId="12" fillId="0" borderId="3" xfId="1" applyFont="1" applyBorder="1" applyAlignment="1">
      <alignment horizontal="center" vertical="top" wrapText="1"/>
    </xf>
    <xf numFmtId="14" fontId="7" fillId="0" borderId="2" xfId="1" applyNumberFormat="1" applyFont="1" applyBorder="1" applyAlignment="1">
      <alignment horizontal="left" vertical="top"/>
    </xf>
    <xf numFmtId="14" fontId="7" fillId="0" borderId="3" xfId="1" applyNumberFormat="1" applyFont="1" applyBorder="1" applyAlignment="1">
      <alignment horizontal="left" vertical="top"/>
    </xf>
    <xf numFmtId="14" fontId="9" fillId="0" borderId="1" xfId="1" applyNumberFormat="1" applyFont="1" applyBorder="1" applyAlignment="1">
      <alignment horizontal="left" vertical="top" wrapText="1"/>
    </xf>
    <xf numFmtId="0" fontId="9" fillId="0" borderId="2" xfId="1" applyFont="1" applyBorder="1" applyAlignment="1">
      <alignment horizontal="left" vertical="top" wrapText="1"/>
    </xf>
    <xf numFmtId="0" fontId="9" fillId="0" borderId="3" xfId="1" applyFont="1" applyBorder="1" applyAlignment="1">
      <alignment horizontal="left" vertical="top" wrapText="1"/>
    </xf>
    <xf numFmtId="0" fontId="9" fillId="0" borderId="5" xfId="1" applyFont="1" applyBorder="1" applyAlignment="1">
      <alignment horizontal="left" vertical="top" wrapText="1"/>
    </xf>
    <xf numFmtId="0" fontId="9" fillId="0" borderId="7" xfId="1" applyFont="1" applyBorder="1" applyAlignment="1">
      <alignment horizontal="left" vertical="top" wrapText="1"/>
    </xf>
    <xf numFmtId="0" fontId="9" fillId="0" borderId="11" xfId="1" applyFont="1" applyBorder="1" applyAlignment="1">
      <alignment horizontal="left" vertical="top" wrapText="1"/>
    </xf>
    <xf numFmtId="0" fontId="9" fillId="0" borderId="12" xfId="1" applyFont="1" applyBorder="1" applyAlignment="1">
      <alignment horizontal="left" vertical="top" wrapText="1"/>
    </xf>
    <xf numFmtId="0" fontId="9" fillId="0" borderId="8" xfId="1" applyFont="1" applyBorder="1" applyAlignment="1">
      <alignment horizontal="left" vertical="top" wrapText="1"/>
    </xf>
    <xf numFmtId="0" fontId="9" fillId="0" borderId="10" xfId="1" applyFont="1" applyBorder="1" applyAlignment="1">
      <alignment horizontal="left" vertical="top" wrapText="1"/>
    </xf>
    <xf numFmtId="0" fontId="13" fillId="0" borderId="4" xfId="1" applyFont="1" applyBorder="1" applyAlignment="1">
      <alignment horizontal="left"/>
    </xf>
    <xf numFmtId="0" fontId="8" fillId="0" borderId="1" xfId="1" applyFont="1" applyBorder="1" applyAlignment="1">
      <alignment horizontal="center" vertical="top"/>
    </xf>
    <xf numFmtId="0" fontId="8" fillId="0" borderId="3" xfId="1" applyFont="1" applyBorder="1" applyAlignment="1">
      <alignment horizontal="center" vertical="top"/>
    </xf>
    <xf numFmtId="0" fontId="7" fillId="0" borderId="1" xfId="1" applyFont="1" applyBorder="1" applyAlignment="1">
      <alignment horizontal="center" vertical="center"/>
    </xf>
    <xf numFmtId="0" fontId="7" fillId="0" borderId="3" xfId="1" applyFont="1" applyBorder="1" applyAlignment="1">
      <alignment horizontal="center" vertical="center"/>
    </xf>
    <xf numFmtId="0" fontId="7" fillId="0" borderId="1" xfId="1" applyFont="1" applyBorder="1" applyAlignment="1">
      <alignment horizontal="center" vertical="center" wrapText="1"/>
    </xf>
    <xf numFmtId="0" fontId="7" fillId="0" borderId="3" xfId="1" applyFont="1" applyBorder="1" applyAlignment="1">
      <alignment horizontal="center" vertical="center" wrapText="1"/>
    </xf>
    <xf numFmtId="0" fontId="21" fillId="0" borderId="1" xfId="10" applyFill="1" applyBorder="1" applyAlignment="1">
      <alignment horizontal="left" vertical="top"/>
    </xf>
    <xf numFmtId="0" fontId="9" fillId="0" borderId="1" xfId="1" applyFont="1" applyBorder="1" applyAlignment="1">
      <alignment vertical="top"/>
    </xf>
    <xf numFmtId="0" fontId="9" fillId="0" borderId="2" xfId="1" applyFont="1" applyBorder="1" applyAlignment="1">
      <alignment vertical="top"/>
    </xf>
    <xf numFmtId="0" fontId="9" fillId="0" borderId="3" xfId="1" applyFont="1" applyBorder="1" applyAlignment="1">
      <alignment vertical="top"/>
    </xf>
    <xf numFmtId="2" fontId="7" fillId="0" borderId="1" xfId="1" applyNumberFormat="1" applyFont="1" applyBorder="1" applyAlignment="1">
      <alignment horizontal="center" vertical="top"/>
    </xf>
    <xf numFmtId="0" fontId="7" fillId="0" borderId="3" xfId="1" applyFont="1" applyBorder="1" applyAlignment="1">
      <alignment horizontal="center" vertical="top"/>
    </xf>
    <xf numFmtId="0" fontId="13" fillId="0" borderId="1" xfId="1" applyFont="1" applyBorder="1" applyAlignment="1">
      <alignment horizontal="center" vertical="top" wrapText="1"/>
    </xf>
    <xf numFmtId="0" fontId="13" fillId="0" borderId="3" xfId="1" applyFont="1" applyBorder="1" applyAlignment="1">
      <alignment horizontal="center" vertical="top" wrapText="1"/>
    </xf>
    <xf numFmtId="0" fontId="8" fillId="0" borderId="1" xfId="1" applyFont="1" applyBorder="1" applyAlignment="1">
      <alignment horizontal="center" vertical="top" wrapText="1"/>
    </xf>
    <xf numFmtId="0" fontId="8" fillId="0" borderId="2" xfId="1" applyFont="1" applyBorder="1" applyAlignment="1">
      <alignment horizontal="center" vertical="top" wrapText="1"/>
    </xf>
    <xf numFmtId="0" fontId="8" fillId="0" borderId="3" xfId="1" applyFont="1" applyBorder="1" applyAlignment="1">
      <alignment horizontal="center" vertical="top" wrapText="1"/>
    </xf>
    <xf numFmtId="0" fontId="14" fillId="0" borderId="1" xfId="1" applyFont="1" applyBorder="1" applyAlignment="1">
      <alignment horizontal="left" vertical="top"/>
    </xf>
    <xf numFmtId="0" fontId="14" fillId="0" borderId="3" xfId="1" applyFont="1" applyBorder="1" applyAlignment="1">
      <alignment horizontal="left" vertical="top"/>
    </xf>
    <xf numFmtId="0" fontId="14" fillId="0" borderId="13" xfId="1" applyFont="1" applyBorder="1" applyAlignment="1" applyProtection="1">
      <alignment horizontal="left" vertical="top" wrapText="1"/>
      <protection locked="0"/>
    </xf>
    <xf numFmtId="0" fontId="14" fillId="0" borderId="14" xfId="1" applyFont="1" applyBorder="1" applyAlignment="1" applyProtection="1">
      <alignment horizontal="left" vertical="top" wrapText="1"/>
      <protection locked="0"/>
    </xf>
    <xf numFmtId="0" fontId="14" fillId="0" borderId="15" xfId="1" applyFont="1" applyBorder="1" applyAlignment="1" applyProtection="1">
      <alignment horizontal="left" vertical="top" wrapText="1"/>
      <protection locked="0"/>
    </xf>
    <xf numFmtId="14" fontId="7" fillId="0" borderId="4" xfId="1" applyNumberFormat="1" applyFont="1" applyBorder="1" applyAlignment="1">
      <alignment horizontal="left" vertical="top"/>
    </xf>
    <xf numFmtId="0" fontId="8" fillId="0" borderId="3" xfId="1" applyFont="1" applyBorder="1" applyAlignment="1">
      <alignment horizontal="left"/>
    </xf>
    <xf numFmtId="0" fontId="13" fillId="0" borderId="1" xfId="1" applyFont="1" applyBorder="1" applyAlignment="1" applyProtection="1">
      <alignment horizontal="left" vertical="center" wrapText="1"/>
      <protection locked="0"/>
    </xf>
    <xf numFmtId="0" fontId="13" fillId="0" borderId="2" xfId="1" applyFont="1" applyBorder="1" applyAlignment="1" applyProtection="1">
      <alignment horizontal="left" vertical="center" wrapText="1"/>
      <protection locked="0"/>
    </xf>
    <xf numFmtId="0" fontId="13" fillId="0" borderId="3" xfId="1" applyFont="1" applyBorder="1" applyAlignment="1" applyProtection="1">
      <alignment horizontal="left" vertical="center" wrapText="1"/>
      <protection locked="0"/>
    </xf>
    <xf numFmtId="0" fontId="7" fillId="0" borderId="1" xfId="1" applyFont="1" applyBorder="1" applyAlignment="1">
      <alignment horizontal="center" vertical="top"/>
    </xf>
    <xf numFmtId="0" fontId="7" fillId="0" borderId="1" xfId="1" applyFont="1" applyBorder="1" applyAlignment="1">
      <alignment horizontal="center" vertical="top" wrapText="1"/>
    </xf>
    <xf numFmtId="0" fontId="7" fillId="0" borderId="3" xfId="1" applyFont="1" applyBorder="1" applyAlignment="1">
      <alignment horizontal="center" vertical="top" wrapText="1"/>
    </xf>
    <xf numFmtId="0" fontId="0" fillId="2" borderId="4" xfId="0" applyFill="1" applyBorder="1" applyAlignment="1">
      <alignment horizontal="center" wrapText="1"/>
    </xf>
    <xf numFmtId="0" fontId="10" fillId="0" borderId="4" xfId="0" applyFont="1" applyBorder="1" applyAlignment="1">
      <alignment horizontal="center"/>
    </xf>
    <xf numFmtId="0" fontId="10" fillId="0" borderId="4" xfId="7" applyFont="1" applyBorder="1" applyAlignment="1">
      <alignment horizontal="left"/>
    </xf>
  </cellXfs>
  <cellStyles count="12">
    <cellStyle name="Comma 2" xfId="8" xr:uid="{00000000-0005-0000-0000-000000000000}"/>
    <cellStyle name="Excel Built-in Normal" xfId="2" xr:uid="{00000000-0005-0000-0000-000001000000}"/>
    <cellStyle name="Excel Built-in Normal 2" xfId="6" xr:uid="{00000000-0005-0000-0000-000002000000}"/>
    <cellStyle name="Hyperlink" xfId="10" builtinId="8"/>
    <cellStyle name="Normal" xfId="0" builtinId="0"/>
    <cellStyle name="Normal 2" xfId="3" xr:uid="{00000000-0005-0000-0000-000005000000}"/>
    <cellStyle name="Normal 2 2" xfId="5" xr:uid="{00000000-0005-0000-0000-000006000000}"/>
    <cellStyle name="Normal 3" xfId="1" xr:uid="{00000000-0005-0000-0000-000007000000}"/>
    <cellStyle name="Normal 3 2" xfId="4" xr:uid="{00000000-0005-0000-0000-000008000000}"/>
    <cellStyle name="Normal 3 3" xfId="9" xr:uid="{00000000-0005-0000-0000-000009000000}"/>
    <cellStyle name="Normal 4" xfId="7" xr:uid="{00000000-0005-0000-0000-00000A000000}"/>
    <cellStyle name="Percent" xfId="11" builtinId="5"/>
  </cellStyles>
  <dxfs count="0"/>
  <tableStyles count="0" defaultTableStyle="TableStyleMedium2" defaultPivotStyle="PivotStyleLight16"/>
  <colors>
    <mruColors>
      <color rgb="FF3C1A5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8" Type="http://schemas.openxmlformats.org/officeDocument/2006/relationships/image" Target="../media/image6.png"/><Relationship Id="rId13" Type="http://schemas.openxmlformats.org/officeDocument/2006/relationships/image" Target="../media/image11.png"/><Relationship Id="rId18" Type="http://schemas.openxmlformats.org/officeDocument/2006/relationships/image" Target="../media/image16.jpg"/><Relationship Id="rId3" Type="http://schemas.openxmlformats.org/officeDocument/2006/relationships/image" Target="../media/image2.png"/><Relationship Id="rId7" Type="http://schemas.openxmlformats.org/officeDocument/2006/relationships/image" Target="../media/image5.png"/><Relationship Id="rId12" Type="http://schemas.openxmlformats.org/officeDocument/2006/relationships/image" Target="../media/image10.png"/><Relationship Id="rId17" Type="http://schemas.openxmlformats.org/officeDocument/2006/relationships/image" Target="../media/image15.jpg"/><Relationship Id="rId2" Type="http://schemas.microsoft.com/office/2007/relationships/hdphoto" Target="../media/hdphoto1.wdp"/><Relationship Id="rId16" Type="http://schemas.openxmlformats.org/officeDocument/2006/relationships/image" Target="../media/image14.jpg"/><Relationship Id="rId1" Type="http://schemas.openxmlformats.org/officeDocument/2006/relationships/image" Target="../media/image1.png"/><Relationship Id="rId6" Type="http://schemas.openxmlformats.org/officeDocument/2006/relationships/image" Target="../media/image4.png"/><Relationship Id="rId11" Type="http://schemas.openxmlformats.org/officeDocument/2006/relationships/image" Target="../media/image9.png"/><Relationship Id="rId5" Type="http://schemas.openxmlformats.org/officeDocument/2006/relationships/image" Target="../media/image3.png"/><Relationship Id="rId15" Type="http://schemas.openxmlformats.org/officeDocument/2006/relationships/image" Target="../media/image13.jpg"/><Relationship Id="rId10" Type="http://schemas.openxmlformats.org/officeDocument/2006/relationships/image" Target="../media/image8.png"/><Relationship Id="rId19" Type="http://schemas.openxmlformats.org/officeDocument/2006/relationships/image" Target="../media/image17.jpg"/><Relationship Id="rId4" Type="http://schemas.microsoft.com/office/2007/relationships/hdphoto" Target="../media/hdphoto2.wdp"/><Relationship Id="rId9" Type="http://schemas.openxmlformats.org/officeDocument/2006/relationships/image" Target="../media/image7.png"/><Relationship Id="rId14" Type="http://schemas.openxmlformats.org/officeDocument/2006/relationships/image" Target="../media/image12.jpg"/></Relationships>
</file>

<file path=xl/drawings/_rels/drawing2.xml.rels><?xml version="1.0" encoding="UTF-8" standalone="yes"?>
<Relationships xmlns="http://schemas.openxmlformats.org/package/2006/relationships"><Relationship Id="rId3" Type="http://schemas.openxmlformats.org/officeDocument/2006/relationships/image" Target="../media/image22.png"/><Relationship Id="rId2" Type="http://schemas.openxmlformats.org/officeDocument/2006/relationships/image" Target="../media/image21.png"/><Relationship Id="rId1" Type="http://schemas.openxmlformats.org/officeDocument/2006/relationships/image" Target="../media/image20.png"/><Relationship Id="rId4" Type="http://schemas.openxmlformats.org/officeDocument/2006/relationships/image" Target="../media/image23.png"/></Relationships>
</file>

<file path=xl/drawings/_rels/drawing3.xml.rels><?xml version="1.0" encoding="UTF-8" standalone="yes"?>
<Relationships xmlns="http://schemas.openxmlformats.org/package/2006/relationships"><Relationship Id="rId2" Type="http://schemas.openxmlformats.org/officeDocument/2006/relationships/image" Target="../media/image25.png"/><Relationship Id="rId1" Type="http://schemas.openxmlformats.org/officeDocument/2006/relationships/image" Target="../media/image24.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19.png"/><Relationship Id="rId1" Type="http://schemas.openxmlformats.org/officeDocument/2006/relationships/image" Target="../media/image18.png"/></Relationships>
</file>

<file path=xl/drawings/drawing1.xml><?xml version="1.0" encoding="utf-8"?>
<xdr:wsDr xmlns:xdr="http://schemas.openxmlformats.org/drawingml/2006/spreadsheetDrawing" xmlns:a="http://schemas.openxmlformats.org/drawingml/2006/main">
  <xdr:twoCellAnchor>
    <xdr:from>
      <xdr:col>2</xdr:col>
      <xdr:colOff>814360</xdr:colOff>
      <xdr:row>330</xdr:row>
      <xdr:rowOff>155442</xdr:rowOff>
    </xdr:from>
    <xdr:to>
      <xdr:col>3</xdr:col>
      <xdr:colOff>12974</xdr:colOff>
      <xdr:row>332</xdr:row>
      <xdr:rowOff>121362</xdr:rowOff>
    </xdr:to>
    <xdr:sp macro="" textlink="">
      <xdr:nvSpPr>
        <xdr:cNvPr id="27" name="Rectangle 26">
          <a:extLst>
            <a:ext uri="{FF2B5EF4-FFF2-40B4-BE49-F238E27FC236}">
              <a16:creationId xmlns:a16="http://schemas.microsoft.com/office/drawing/2014/main" id="{00000000-0008-0000-0000-00001B000000}"/>
            </a:ext>
          </a:extLst>
        </xdr:cNvPr>
        <xdr:cNvSpPr/>
      </xdr:nvSpPr>
      <xdr:spPr>
        <a:xfrm>
          <a:off x="2259919" y="65855530"/>
          <a:ext cx="184731" cy="369332"/>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lang="en-IN"/>
        </a:p>
      </xdr:txBody>
    </xdr:sp>
    <xdr:clientData/>
  </xdr:twoCellAnchor>
  <xdr:twoCellAnchor>
    <xdr:from>
      <xdr:col>2</xdr:col>
      <xdr:colOff>519503</xdr:colOff>
      <xdr:row>330</xdr:row>
      <xdr:rowOff>155442</xdr:rowOff>
    </xdr:from>
    <xdr:to>
      <xdr:col>2</xdr:col>
      <xdr:colOff>704234</xdr:colOff>
      <xdr:row>332</xdr:row>
      <xdr:rowOff>121362</xdr:rowOff>
    </xdr:to>
    <xdr:sp macro="" textlink="">
      <xdr:nvSpPr>
        <xdr:cNvPr id="28" name="Rectangle 27">
          <a:extLst>
            <a:ext uri="{FF2B5EF4-FFF2-40B4-BE49-F238E27FC236}">
              <a16:creationId xmlns:a16="http://schemas.microsoft.com/office/drawing/2014/main" id="{00000000-0008-0000-0000-00001C000000}"/>
            </a:ext>
          </a:extLst>
        </xdr:cNvPr>
        <xdr:cNvSpPr/>
      </xdr:nvSpPr>
      <xdr:spPr>
        <a:xfrm>
          <a:off x="1965062" y="65855530"/>
          <a:ext cx="184731" cy="369332"/>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fontAlgn="b"/>
          <a:endParaRPr lang="en-IN"/>
        </a:p>
      </xdr:txBody>
    </xdr:sp>
    <xdr:clientData/>
  </xdr:twoCellAnchor>
  <xdr:twoCellAnchor editAs="oneCell">
    <xdr:from>
      <xdr:col>1</xdr:col>
      <xdr:colOff>772652</xdr:colOff>
      <xdr:row>313</xdr:row>
      <xdr:rowOff>164727</xdr:rowOff>
    </xdr:from>
    <xdr:to>
      <xdr:col>7</xdr:col>
      <xdr:colOff>439265</xdr:colOff>
      <xdr:row>329</xdr:row>
      <xdr:rowOff>66116</xdr:rowOff>
    </xdr:to>
    <xdr:pic>
      <xdr:nvPicPr>
        <xdr:cNvPr id="29" name="Picture 28">
          <a:extLst>
            <a:ext uri="{FF2B5EF4-FFF2-40B4-BE49-F238E27FC236}">
              <a16:creationId xmlns:a16="http://schemas.microsoft.com/office/drawing/2014/main" id="{00000000-0008-0000-0000-00001D000000}"/>
            </a:ext>
          </a:extLst>
        </xdr:cNvPr>
        <xdr:cNvPicPr>
          <a:picLocks noChangeAspect="1"/>
        </xdr:cNvPicPr>
      </xdr:nvPicPr>
      <xdr:blipFill rotWithShape="1">
        <a:blip xmlns:r="http://schemas.openxmlformats.org/officeDocument/2006/relationships" r:embed="rId1">
          <a:extLst>
            <a:ext uri="{BEBA8EAE-BF5A-486C-A8C5-ECC9F3942E4B}">
              <a14:imgProps xmlns:a14="http://schemas.microsoft.com/office/drawing/2010/main">
                <a14:imgLayer r:embed="rId2">
                  <a14:imgEffect>
                    <a14:artisticPhotocopy/>
                  </a14:imgEffect>
                  <a14:imgEffect>
                    <a14:colorTemperature colorTemp="4700"/>
                  </a14:imgEffect>
                  <a14:imgEffect>
                    <a14:brightnessContrast bright="20000"/>
                  </a14:imgEffect>
                </a14:imgLayer>
              </a14:imgProps>
            </a:ext>
          </a:extLst>
        </a:blip>
        <a:srcRect l="8510" t="6000" r="4740" b="1000"/>
        <a:stretch/>
      </xdr:blipFill>
      <xdr:spPr>
        <a:xfrm>
          <a:off x="1391777" y="60905652"/>
          <a:ext cx="3886188" cy="3101789"/>
        </a:xfrm>
        <a:prstGeom prst="rect">
          <a:avLst/>
        </a:prstGeom>
        <a:ln>
          <a:solidFill>
            <a:schemeClr val="tx1"/>
          </a:solidFill>
        </a:ln>
      </xdr:spPr>
    </xdr:pic>
    <xdr:clientData/>
  </xdr:twoCellAnchor>
  <xdr:twoCellAnchor>
    <xdr:from>
      <xdr:col>0</xdr:col>
      <xdr:colOff>561975</xdr:colOff>
      <xdr:row>329</xdr:row>
      <xdr:rowOff>198147</xdr:rowOff>
    </xdr:from>
    <xdr:to>
      <xdr:col>8</xdr:col>
      <xdr:colOff>480440</xdr:colOff>
      <xdr:row>349</xdr:row>
      <xdr:rowOff>142874</xdr:rowOff>
    </xdr:to>
    <xdr:grpSp>
      <xdr:nvGrpSpPr>
        <xdr:cNvPr id="4" name="Group 3">
          <a:extLst>
            <a:ext uri="{FF2B5EF4-FFF2-40B4-BE49-F238E27FC236}">
              <a16:creationId xmlns:a16="http://schemas.microsoft.com/office/drawing/2014/main" id="{00000000-0008-0000-0000-000004000000}"/>
            </a:ext>
          </a:extLst>
        </xdr:cNvPr>
        <xdr:cNvGrpSpPr/>
      </xdr:nvGrpSpPr>
      <xdr:grpSpPr>
        <a:xfrm>
          <a:off x="561975" y="61866807"/>
          <a:ext cx="5625845" cy="3907127"/>
          <a:chOff x="549089" y="65833119"/>
          <a:chExt cx="5345205" cy="3789029"/>
        </a:xfrm>
      </xdr:grpSpPr>
      <xdr:grpSp>
        <xdr:nvGrpSpPr>
          <xdr:cNvPr id="30" name="Group 29">
            <a:extLst>
              <a:ext uri="{FF2B5EF4-FFF2-40B4-BE49-F238E27FC236}">
                <a16:creationId xmlns:a16="http://schemas.microsoft.com/office/drawing/2014/main" id="{00000000-0008-0000-0000-00001E000000}"/>
              </a:ext>
            </a:extLst>
          </xdr:cNvPr>
          <xdr:cNvGrpSpPr/>
        </xdr:nvGrpSpPr>
        <xdr:grpSpPr>
          <a:xfrm>
            <a:off x="549089" y="65833119"/>
            <a:ext cx="5345205" cy="3789029"/>
            <a:chOff x="823632" y="4287379"/>
            <a:chExt cx="5210736" cy="3908052"/>
          </a:xfrm>
        </xdr:grpSpPr>
        <xdr:pic>
          <xdr:nvPicPr>
            <xdr:cNvPr id="32" name="Picture 31">
              <a:extLst>
                <a:ext uri="{FF2B5EF4-FFF2-40B4-BE49-F238E27FC236}">
                  <a16:creationId xmlns:a16="http://schemas.microsoft.com/office/drawing/2014/main" id="{00000000-0008-0000-0000-000020000000}"/>
                </a:ext>
              </a:extLst>
            </xdr:cNvPr>
            <xdr:cNvPicPr>
              <a:picLocks noChangeAspect="1"/>
            </xdr:cNvPicPr>
          </xdr:nvPicPr>
          <xdr:blipFill>
            <a:blip xmlns:r="http://schemas.openxmlformats.org/officeDocument/2006/relationships" r:embed="rId3">
              <a:extLst>
                <a:ext uri="{BEBA8EAE-BF5A-486C-A8C5-ECC9F3942E4B}">
                  <a14:imgProps xmlns:a14="http://schemas.microsoft.com/office/drawing/2010/main">
                    <a14:imgLayer r:embed="rId4">
                      <a14:imgEffect>
                        <a14:artisticPhotocopy/>
                      </a14:imgEffect>
                      <a14:imgEffect>
                        <a14:colorTemperature colorTemp="4700"/>
                      </a14:imgEffect>
                      <a14:imgEffect>
                        <a14:brightnessContrast bright="20000" contrast="20000"/>
                      </a14:imgEffect>
                    </a14:imgLayer>
                  </a14:imgProps>
                </a:ext>
              </a:extLst>
            </a:blip>
            <a:stretch>
              <a:fillRect/>
            </a:stretch>
          </xdr:blipFill>
          <xdr:spPr>
            <a:xfrm>
              <a:off x="823632" y="4287379"/>
              <a:ext cx="5210736" cy="3908052"/>
            </a:xfrm>
            <a:prstGeom prst="rect">
              <a:avLst/>
            </a:prstGeom>
            <a:ln>
              <a:solidFill>
                <a:schemeClr val="tx1"/>
              </a:solidFill>
            </a:ln>
          </xdr:spPr>
        </xdr:pic>
        <xdr:sp macro="" textlink="">
          <xdr:nvSpPr>
            <xdr:cNvPr id="33" name="Freeform 32">
              <a:extLst>
                <a:ext uri="{FF2B5EF4-FFF2-40B4-BE49-F238E27FC236}">
                  <a16:creationId xmlns:a16="http://schemas.microsoft.com/office/drawing/2014/main" id="{00000000-0008-0000-0000-000021000000}"/>
                </a:ext>
              </a:extLst>
            </xdr:cNvPr>
            <xdr:cNvSpPr/>
          </xdr:nvSpPr>
          <xdr:spPr>
            <a:xfrm rot="21446133">
              <a:off x="2698036" y="5628291"/>
              <a:ext cx="1703004" cy="1012651"/>
            </a:xfrm>
            <a:custGeom>
              <a:avLst/>
              <a:gdLst>
                <a:gd name="connsiteX0" fmla="*/ 247650 w 1612900"/>
                <a:gd name="connsiteY0" fmla="*/ 266700 h 869950"/>
                <a:gd name="connsiteX1" fmla="*/ 0 w 1612900"/>
                <a:gd name="connsiteY1" fmla="*/ 590550 h 869950"/>
                <a:gd name="connsiteX2" fmla="*/ 400050 w 1612900"/>
                <a:gd name="connsiteY2" fmla="*/ 869950 h 869950"/>
                <a:gd name="connsiteX3" fmla="*/ 527050 w 1612900"/>
                <a:gd name="connsiteY3" fmla="*/ 869950 h 869950"/>
                <a:gd name="connsiteX4" fmla="*/ 1612900 w 1612900"/>
                <a:gd name="connsiteY4" fmla="*/ 139700 h 869950"/>
                <a:gd name="connsiteX5" fmla="*/ 1517650 w 1612900"/>
                <a:gd name="connsiteY5" fmla="*/ 0 h 869950"/>
                <a:gd name="connsiteX6" fmla="*/ 1155700 w 1612900"/>
                <a:gd name="connsiteY6" fmla="*/ 228600 h 869950"/>
                <a:gd name="connsiteX7" fmla="*/ 1041400 w 1612900"/>
                <a:gd name="connsiteY7" fmla="*/ 82550 h 869950"/>
                <a:gd name="connsiteX8" fmla="*/ 508000 w 1612900"/>
                <a:gd name="connsiteY8" fmla="*/ 361950 h 869950"/>
                <a:gd name="connsiteX9" fmla="*/ 400050 w 1612900"/>
                <a:gd name="connsiteY9" fmla="*/ 361950 h 869950"/>
                <a:gd name="connsiteX10" fmla="*/ 247650 w 1612900"/>
                <a:gd name="connsiteY10" fmla="*/ 266700 h 869950"/>
                <a:gd name="connsiteX0" fmla="*/ 247650 w 1643681"/>
                <a:gd name="connsiteY0" fmla="*/ 266700 h 869950"/>
                <a:gd name="connsiteX1" fmla="*/ 0 w 1643681"/>
                <a:gd name="connsiteY1" fmla="*/ 590550 h 869950"/>
                <a:gd name="connsiteX2" fmla="*/ 400050 w 1643681"/>
                <a:gd name="connsiteY2" fmla="*/ 869950 h 869950"/>
                <a:gd name="connsiteX3" fmla="*/ 527050 w 1643681"/>
                <a:gd name="connsiteY3" fmla="*/ 869950 h 869950"/>
                <a:gd name="connsiteX4" fmla="*/ 1643681 w 1643681"/>
                <a:gd name="connsiteY4" fmla="*/ 178988 h 869950"/>
                <a:gd name="connsiteX5" fmla="*/ 1517650 w 1643681"/>
                <a:gd name="connsiteY5" fmla="*/ 0 h 869950"/>
                <a:gd name="connsiteX6" fmla="*/ 1155700 w 1643681"/>
                <a:gd name="connsiteY6" fmla="*/ 228600 h 869950"/>
                <a:gd name="connsiteX7" fmla="*/ 1041400 w 1643681"/>
                <a:gd name="connsiteY7" fmla="*/ 82550 h 869950"/>
                <a:gd name="connsiteX8" fmla="*/ 508000 w 1643681"/>
                <a:gd name="connsiteY8" fmla="*/ 361950 h 869950"/>
                <a:gd name="connsiteX9" fmla="*/ 400050 w 1643681"/>
                <a:gd name="connsiteY9" fmla="*/ 361950 h 869950"/>
                <a:gd name="connsiteX10" fmla="*/ 247650 w 1643681"/>
                <a:gd name="connsiteY10" fmla="*/ 266700 h 869950"/>
                <a:gd name="connsiteX0" fmla="*/ 247650 w 1643681"/>
                <a:gd name="connsiteY0" fmla="*/ 266700 h 869950"/>
                <a:gd name="connsiteX1" fmla="*/ 0 w 1643681"/>
                <a:gd name="connsiteY1" fmla="*/ 590550 h 869950"/>
                <a:gd name="connsiteX2" fmla="*/ 400050 w 1643681"/>
                <a:gd name="connsiteY2" fmla="*/ 869950 h 869950"/>
                <a:gd name="connsiteX3" fmla="*/ 527050 w 1643681"/>
                <a:gd name="connsiteY3" fmla="*/ 869950 h 869950"/>
                <a:gd name="connsiteX4" fmla="*/ 1643681 w 1643681"/>
                <a:gd name="connsiteY4" fmla="*/ 178988 h 869950"/>
                <a:gd name="connsiteX5" fmla="*/ 1523807 w 1643681"/>
                <a:gd name="connsiteY5" fmla="*/ 0 h 869950"/>
                <a:gd name="connsiteX6" fmla="*/ 1155700 w 1643681"/>
                <a:gd name="connsiteY6" fmla="*/ 228600 h 869950"/>
                <a:gd name="connsiteX7" fmla="*/ 1041400 w 1643681"/>
                <a:gd name="connsiteY7" fmla="*/ 82550 h 869950"/>
                <a:gd name="connsiteX8" fmla="*/ 508000 w 1643681"/>
                <a:gd name="connsiteY8" fmla="*/ 361950 h 869950"/>
                <a:gd name="connsiteX9" fmla="*/ 400050 w 1643681"/>
                <a:gd name="connsiteY9" fmla="*/ 361950 h 869950"/>
                <a:gd name="connsiteX10" fmla="*/ 247650 w 1643681"/>
                <a:gd name="connsiteY10" fmla="*/ 266700 h 869950"/>
                <a:gd name="connsiteX0" fmla="*/ 247650 w 1643681"/>
                <a:gd name="connsiteY0" fmla="*/ 266700 h 869950"/>
                <a:gd name="connsiteX1" fmla="*/ 0 w 1643681"/>
                <a:gd name="connsiteY1" fmla="*/ 590550 h 869950"/>
                <a:gd name="connsiteX2" fmla="*/ 400050 w 1643681"/>
                <a:gd name="connsiteY2" fmla="*/ 869950 h 869950"/>
                <a:gd name="connsiteX3" fmla="*/ 527050 w 1643681"/>
                <a:gd name="connsiteY3" fmla="*/ 869950 h 869950"/>
                <a:gd name="connsiteX4" fmla="*/ 1643681 w 1643681"/>
                <a:gd name="connsiteY4" fmla="*/ 178988 h 869950"/>
                <a:gd name="connsiteX5" fmla="*/ 1523807 w 1643681"/>
                <a:gd name="connsiteY5" fmla="*/ 0 h 869950"/>
                <a:gd name="connsiteX6" fmla="*/ 1155700 w 1643681"/>
                <a:gd name="connsiteY6" fmla="*/ 228600 h 869950"/>
                <a:gd name="connsiteX7" fmla="*/ 1035244 w 1643681"/>
                <a:gd name="connsiteY7" fmla="*/ 60100 h 869950"/>
                <a:gd name="connsiteX8" fmla="*/ 508000 w 1643681"/>
                <a:gd name="connsiteY8" fmla="*/ 361950 h 869950"/>
                <a:gd name="connsiteX9" fmla="*/ 400050 w 1643681"/>
                <a:gd name="connsiteY9" fmla="*/ 361950 h 869950"/>
                <a:gd name="connsiteX10" fmla="*/ 247650 w 1643681"/>
                <a:gd name="connsiteY10" fmla="*/ 266700 h 86995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Lst>
              <a:rect l="l" t="t" r="r" b="b"/>
              <a:pathLst>
                <a:path w="1643681" h="869950">
                  <a:moveTo>
                    <a:pt x="247650" y="266700"/>
                  </a:moveTo>
                  <a:lnTo>
                    <a:pt x="0" y="590550"/>
                  </a:lnTo>
                  <a:lnTo>
                    <a:pt x="400050" y="869950"/>
                  </a:lnTo>
                  <a:lnTo>
                    <a:pt x="527050" y="869950"/>
                  </a:lnTo>
                  <a:lnTo>
                    <a:pt x="1643681" y="178988"/>
                  </a:lnTo>
                  <a:lnTo>
                    <a:pt x="1523807" y="0"/>
                  </a:lnTo>
                  <a:lnTo>
                    <a:pt x="1155700" y="228600"/>
                  </a:lnTo>
                  <a:lnTo>
                    <a:pt x="1035244" y="60100"/>
                  </a:lnTo>
                  <a:lnTo>
                    <a:pt x="508000" y="361950"/>
                  </a:lnTo>
                  <a:lnTo>
                    <a:pt x="400050" y="361950"/>
                  </a:lnTo>
                  <a:lnTo>
                    <a:pt x="247650" y="266700"/>
                  </a:lnTo>
                  <a:close/>
                </a:path>
              </a:pathLst>
            </a:custGeom>
            <a:noFill/>
            <a:ln w="19050">
              <a:solidFill>
                <a:srgbClr val="0000FF"/>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34" name="Rectangle 33">
              <a:extLst>
                <a:ext uri="{FF2B5EF4-FFF2-40B4-BE49-F238E27FC236}">
                  <a16:creationId xmlns:a16="http://schemas.microsoft.com/office/drawing/2014/main" id="{00000000-0008-0000-0000-000022000000}"/>
                </a:ext>
              </a:extLst>
            </xdr:cNvPr>
            <xdr:cNvSpPr/>
          </xdr:nvSpPr>
          <xdr:spPr>
            <a:xfrm rot="1952454">
              <a:off x="1711882" y="5515188"/>
              <a:ext cx="1191075" cy="559294"/>
            </a:xfrm>
            <a:prstGeom prst="rect">
              <a:avLst/>
            </a:prstGeom>
            <a:noFill/>
            <a:ln w="19050">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39" name="TextBox 12">
              <a:extLst>
                <a:ext uri="{FF2B5EF4-FFF2-40B4-BE49-F238E27FC236}">
                  <a16:creationId xmlns:a16="http://schemas.microsoft.com/office/drawing/2014/main" id="{00000000-0008-0000-0000-000027000000}"/>
                </a:ext>
              </a:extLst>
            </xdr:cNvPr>
            <xdr:cNvSpPr txBox="1"/>
          </xdr:nvSpPr>
          <xdr:spPr>
            <a:xfrm rot="19667503">
              <a:off x="3112130" y="6317352"/>
              <a:ext cx="1071469" cy="276999"/>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200" b="1">
                  <a:solidFill>
                    <a:srgbClr val="0000FF"/>
                  </a:solidFill>
                </a:rPr>
                <a:t>Building No.1</a:t>
              </a:r>
              <a:endParaRPr lang="en-IN" sz="1200" b="1">
                <a:solidFill>
                  <a:srgbClr val="0000FF"/>
                </a:solidFill>
              </a:endParaRPr>
            </a:p>
          </xdr:txBody>
        </xdr:sp>
        <xdr:sp macro="" textlink="">
          <xdr:nvSpPr>
            <xdr:cNvPr id="40" name="TextBox 13">
              <a:extLst>
                <a:ext uri="{FF2B5EF4-FFF2-40B4-BE49-F238E27FC236}">
                  <a16:creationId xmlns:a16="http://schemas.microsoft.com/office/drawing/2014/main" id="{00000000-0008-0000-0000-000028000000}"/>
                </a:ext>
              </a:extLst>
            </xdr:cNvPr>
            <xdr:cNvSpPr txBox="1"/>
          </xdr:nvSpPr>
          <xdr:spPr>
            <a:xfrm rot="1860431">
              <a:off x="1542093" y="5964226"/>
              <a:ext cx="1071469" cy="276999"/>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200" b="1">
                  <a:solidFill>
                    <a:srgbClr val="C00000"/>
                  </a:solidFill>
                </a:rPr>
                <a:t>Building No.2</a:t>
              </a:r>
              <a:endParaRPr lang="en-IN" sz="1200" b="1">
                <a:solidFill>
                  <a:srgbClr val="C00000"/>
                </a:solidFill>
              </a:endParaRPr>
            </a:p>
          </xdr:txBody>
        </xdr:sp>
        <xdr:sp macro="" textlink="">
          <xdr:nvSpPr>
            <xdr:cNvPr id="41" name="Rectangle 40">
              <a:extLst>
                <a:ext uri="{FF2B5EF4-FFF2-40B4-BE49-F238E27FC236}">
                  <a16:creationId xmlns:a16="http://schemas.microsoft.com/office/drawing/2014/main" id="{00000000-0008-0000-0000-000029000000}"/>
                </a:ext>
              </a:extLst>
            </xdr:cNvPr>
            <xdr:cNvSpPr/>
          </xdr:nvSpPr>
          <xdr:spPr>
            <a:xfrm rot="207815">
              <a:off x="2372685" y="5028622"/>
              <a:ext cx="1418522" cy="465398"/>
            </a:xfrm>
            <a:prstGeom prst="rect">
              <a:avLst/>
            </a:prstGeom>
            <a:noFill/>
            <a:ln w="19050">
              <a:solidFill>
                <a:srgbClr val="CC0099"/>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42" name="Rectangle 41">
              <a:extLst>
                <a:ext uri="{FF2B5EF4-FFF2-40B4-BE49-F238E27FC236}">
                  <a16:creationId xmlns:a16="http://schemas.microsoft.com/office/drawing/2014/main" id="{00000000-0008-0000-0000-00002A000000}"/>
                </a:ext>
              </a:extLst>
            </xdr:cNvPr>
            <xdr:cNvSpPr/>
          </xdr:nvSpPr>
          <xdr:spPr>
            <a:xfrm rot="207815">
              <a:off x="3803105" y="5114418"/>
              <a:ext cx="1418522" cy="465398"/>
            </a:xfrm>
            <a:prstGeom prst="rect">
              <a:avLst/>
            </a:prstGeom>
            <a:noFill/>
            <a:ln w="19050">
              <a:solidFill>
                <a:srgbClr val="3C1A56"/>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solidFill>
                  <a:schemeClr val="accent4">
                    <a:lumMod val="75000"/>
                  </a:schemeClr>
                </a:solidFill>
              </a:endParaRPr>
            </a:p>
          </xdr:txBody>
        </xdr:sp>
        <xdr:sp macro="" textlink="">
          <xdr:nvSpPr>
            <xdr:cNvPr id="43" name="TextBox 16">
              <a:extLst>
                <a:ext uri="{FF2B5EF4-FFF2-40B4-BE49-F238E27FC236}">
                  <a16:creationId xmlns:a16="http://schemas.microsoft.com/office/drawing/2014/main" id="{00000000-0008-0000-0000-00002B000000}"/>
                </a:ext>
              </a:extLst>
            </xdr:cNvPr>
            <xdr:cNvSpPr txBox="1"/>
          </xdr:nvSpPr>
          <xdr:spPr>
            <a:xfrm rot="234557">
              <a:off x="2851075" y="4830598"/>
              <a:ext cx="1071469" cy="276999"/>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200" b="1">
                  <a:solidFill>
                    <a:srgbClr val="CC0099"/>
                  </a:solidFill>
                </a:rPr>
                <a:t>Building No.3</a:t>
              </a:r>
              <a:endParaRPr lang="en-IN" sz="1200" b="1">
                <a:solidFill>
                  <a:srgbClr val="CC0099"/>
                </a:solidFill>
              </a:endParaRPr>
            </a:p>
          </xdr:txBody>
        </xdr:sp>
      </xdr:grpSp>
      <xdr:sp macro="" textlink="">
        <xdr:nvSpPr>
          <xdr:cNvPr id="31" name="TextBox 17">
            <a:extLst>
              <a:ext uri="{FF2B5EF4-FFF2-40B4-BE49-F238E27FC236}">
                <a16:creationId xmlns:a16="http://schemas.microsoft.com/office/drawing/2014/main" id="{00000000-0008-0000-0000-00001F000000}"/>
              </a:ext>
            </a:extLst>
          </xdr:cNvPr>
          <xdr:cNvSpPr txBox="1"/>
        </xdr:nvSpPr>
        <xdr:spPr>
          <a:xfrm rot="234557">
            <a:off x="4047773" y="67082566"/>
            <a:ext cx="1071469" cy="286875"/>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200" b="1">
                <a:solidFill>
                  <a:srgbClr val="3C1A56"/>
                </a:solidFill>
              </a:rPr>
              <a:t>Building No.4</a:t>
            </a:r>
            <a:endParaRPr lang="en-IN" sz="1200" b="1">
              <a:solidFill>
                <a:srgbClr val="3C1A56"/>
              </a:solidFill>
            </a:endParaRPr>
          </a:p>
        </xdr:txBody>
      </xdr:sp>
    </xdr:grpSp>
    <xdr:clientData/>
  </xdr:twoCellAnchor>
  <xdr:twoCellAnchor editAs="oneCell">
    <xdr:from>
      <xdr:col>1</xdr:col>
      <xdr:colOff>470280</xdr:colOff>
      <xdr:row>352</xdr:row>
      <xdr:rowOff>197063</xdr:rowOff>
    </xdr:from>
    <xdr:to>
      <xdr:col>7</xdr:col>
      <xdr:colOff>518316</xdr:colOff>
      <xdr:row>368</xdr:row>
      <xdr:rowOff>124032</xdr:rowOff>
    </xdr:to>
    <xdr:pic>
      <xdr:nvPicPr>
        <xdr:cNvPr id="48" name="Picture 47">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5"/>
        <a:stretch>
          <a:fillRect/>
        </a:stretch>
      </xdr:blipFill>
      <xdr:spPr>
        <a:xfrm>
          <a:off x="1091476" y="68371215"/>
          <a:ext cx="4263883" cy="3107490"/>
        </a:xfrm>
        <a:prstGeom prst="rect">
          <a:avLst/>
        </a:prstGeom>
        <a:ln>
          <a:solidFill>
            <a:schemeClr val="tx1"/>
          </a:solidFill>
        </a:ln>
      </xdr:spPr>
    </xdr:pic>
    <xdr:clientData/>
  </xdr:twoCellAnchor>
  <xdr:twoCellAnchor>
    <xdr:from>
      <xdr:col>1</xdr:col>
      <xdr:colOff>82825</xdr:colOff>
      <xdr:row>369</xdr:row>
      <xdr:rowOff>31888</xdr:rowOff>
    </xdr:from>
    <xdr:to>
      <xdr:col>8</xdr:col>
      <xdr:colOff>189257</xdr:colOff>
      <xdr:row>388</xdr:row>
      <xdr:rowOff>190500</xdr:rowOff>
    </xdr:to>
    <xdr:grpSp>
      <xdr:nvGrpSpPr>
        <xdr:cNvPr id="13" name="Group 12">
          <a:extLst>
            <a:ext uri="{FF2B5EF4-FFF2-40B4-BE49-F238E27FC236}">
              <a16:creationId xmlns:a16="http://schemas.microsoft.com/office/drawing/2014/main" id="{00000000-0008-0000-0000-00000D000000}"/>
            </a:ext>
          </a:extLst>
        </xdr:cNvPr>
        <xdr:cNvGrpSpPr/>
      </xdr:nvGrpSpPr>
      <xdr:grpSpPr>
        <a:xfrm>
          <a:off x="715285" y="69625348"/>
          <a:ext cx="5181352" cy="3922892"/>
          <a:chOff x="669415" y="73209150"/>
          <a:chExt cx="4902710" cy="3819526"/>
        </a:xfrm>
      </xdr:grpSpPr>
      <xdr:grpSp>
        <xdr:nvGrpSpPr>
          <xdr:cNvPr id="49" name="Group 48">
            <a:extLst>
              <a:ext uri="{FF2B5EF4-FFF2-40B4-BE49-F238E27FC236}">
                <a16:creationId xmlns:a16="http://schemas.microsoft.com/office/drawing/2014/main" id="{00000000-0008-0000-0000-000031000000}"/>
              </a:ext>
            </a:extLst>
          </xdr:cNvPr>
          <xdr:cNvGrpSpPr/>
        </xdr:nvGrpSpPr>
        <xdr:grpSpPr>
          <a:xfrm>
            <a:off x="669415" y="73228200"/>
            <a:ext cx="4855560" cy="3800476"/>
            <a:chOff x="500950" y="5018754"/>
            <a:chExt cx="5378998" cy="4036044"/>
          </a:xfrm>
        </xdr:grpSpPr>
        <xdr:pic>
          <xdr:nvPicPr>
            <xdr:cNvPr id="50" name="Picture 49">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6"/>
            <a:stretch>
              <a:fillRect/>
            </a:stretch>
          </xdr:blipFill>
          <xdr:spPr>
            <a:xfrm>
              <a:off x="500950" y="5018754"/>
              <a:ext cx="5378998" cy="4036044"/>
            </a:xfrm>
            <a:prstGeom prst="rect">
              <a:avLst/>
            </a:prstGeom>
            <a:ln>
              <a:solidFill>
                <a:schemeClr val="tx1"/>
              </a:solidFill>
            </a:ln>
          </xdr:spPr>
        </xdr:pic>
        <xdr:sp macro="" textlink="">
          <xdr:nvSpPr>
            <xdr:cNvPr id="51" name="Freeform 50">
              <a:extLst>
                <a:ext uri="{FF2B5EF4-FFF2-40B4-BE49-F238E27FC236}">
                  <a16:creationId xmlns:a16="http://schemas.microsoft.com/office/drawing/2014/main" id="{00000000-0008-0000-0000-000033000000}"/>
                </a:ext>
              </a:extLst>
            </xdr:cNvPr>
            <xdr:cNvSpPr/>
          </xdr:nvSpPr>
          <xdr:spPr>
            <a:xfrm rot="1862366">
              <a:off x="2347238" y="6446809"/>
              <a:ext cx="1354598" cy="879143"/>
            </a:xfrm>
            <a:custGeom>
              <a:avLst/>
              <a:gdLst>
                <a:gd name="connsiteX0" fmla="*/ 419100 w 4391025"/>
                <a:gd name="connsiteY0" fmla="*/ 1581150 h 2562225"/>
                <a:gd name="connsiteX1" fmla="*/ 85725 w 4391025"/>
                <a:gd name="connsiteY1" fmla="*/ 1685925 h 2562225"/>
                <a:gd name="connsiteX2" fmla="*/ 0 w 4391025"/>
                <a:gd name="connsiteY2" fmla="*/ 1343025 h 2562225"/>
                <a:gd name="connsiteX3" fmla="*/ 85725 w 4391025"/>
                <a:gd name="connsiteY3" fmla="*/ 1085850 h 2562225"/>
                <a:gd name="connsiteX4" fmla="*/ 1400175 w 4391025"/>
                <a:gd name="connsiteY4" fmla="*/ 0 h 2562225"/>
                <a:gd name="connsiteX5" fmla="*/ 4000500 w 4391025"/>
                <a:gd name="connsiteY5" fmla="*/ 161925 h 2562225"/>
                <a:gd name="connsiteX6" fmla="*/ 4391025 w 4391025"/>
                <a:gd name="connsiteY6" fmla="*/ 723900 h 2562225"/>
                <a:gd name="connsiteX7" fmla="*/ 4257675 w 4391025"/>
                <a:gd name="connsiteY7" fmla="*/ 1047750 h 2562225"/>
                <a:gd name="connsiteX8" fmla="*/ 3819525 w 4391025"/>
                <a:gd name="connsiteY8" fmla="*/ 1171575 h 2562225"/>
                <a:gd name="connsiteX9" fmla="*/ 1400175 w 4391025"/>
                <a:gd name="connsiteY9" fmla="*/ 2562225 h 2562225"/>
                <a:gd name="connsiteX10" fmla="*/ 1219200 w 4391025"/>
                <a:gd name="connsiteY10" fmla="*/ 2047875 h 2562225"/>
                <a:gd name="connsiteX11" fmla="*/ 904875 w 4391025"/>
                <a:gd name="connsiteY11" fmla="*/ 1800225 h 2562225"/>
                <a:gd name="connsiteX12" fmla="*/ 419100 w 4391025"/>
                <a:gd name="connsiteY12" fmla="*/ 1581150 h 256222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Lst>
              <a:rect l="l" t="t" r="r" b="b"/>
              <a:pathLst>
                <a:path w="4391025" h="2562225">
                  <a:moveTo>
                    <a:pt x="419100" y="1581150"/>
                  </a:moveTo>
                  <a:lnTo>
                    <a:pt x="85725" y="1685925"/>
                  </a:lnTo>
                  <a:lnTo>
                    <a:pt x="0" y="1343025"/>
                  </a:lnTo>
                  <a:lnTo>
                    <a:pt x="85725" y="1085850"/>
                  </a:lnTo>
                  <a:lnTo>
                    <a:pt x="1400175" y="0"/>
                  </a:lnTo>
                  <a:lnTo>
                    <a:pt x="4000500" y="161925"/>
                  </a:lnTo>
                  <a:lnTo>
                    <a:pt x="4391025" y="723900"/>
                  </a:lnTo>
                  <a:lnTo>
                    <a:pt x="4257675" y="1047750"/>
                  </a:lnTo>
                  <a:lnTo>
                    <a:pt x="3819525" y="1171575"/>
                  </a:lnTo>
                  <a:lnTo>
                    <a:pt x="1400175" y="2562225"/>
                  </a:lnTo>
                  <a:lnTo>
                    <a:pt x="1219200" y="2047875"/>
                  </a:lnTo>
                  <a:lnTo>
                    <a:pt x="904875" y="1800225"/>
                  </a:lnTo>
                  <a:lnTo>
                    <a:pt x="419100" y="1581150"/>
                  </a:lnTo>
                  <a:close/>
                </a:path>
              </a:pathLst>
            </a:custGeom>
            <a:noFill/>
            <a:ln w="1905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grpSp>
      <xdr:cxnSp macro="">
        <xdr:nvCxnSpPr>
          <xdr:cNvPr id="6" name="Straight Connector 5">
            <a:extLst>
              <a:ext uri="{FF2B5EF4-FFF2-40B4-BE49-F238E27FC236}">
                <a16:creationId xmlns:a16="http://schemas.microsoft.com/office/drawing/2014/main" id="{00000000-0008-0000-0000-000006000000}"/>
              </a:ext>
            </a:extLst>
          </xdr:cNvPr>
          <xdr:cNvCxnSpPr/>
        </xdr:nvCxnSpPr>
        <xdr:spPr>
          <a:xfrm>
            <a:off x="1381125" y="73218675"/>
            <a:ext cx="4143375" cy="3219450"/>
          </a:xfrm>
          <a:prstGeom prst="line">
            <a:avLst/>
          </a:prstGeom>
          <a:ln w="28575">
            <a:solidFill>
              <a:schemeClr val="bg1"/>
            </a:solidFill>
          </a:ln>
        </xdr:spPr>
        <xdr:style>
          <a:lnRef idx="1">
            <a:schemeClr val="accent1"/>
          </a:lnRef>
          <a:fillRef idx="0">
            <a:schemeClr val="accent1"/>
          </a:fillRef>
          <a:effectRef idx="0">
            <a:schemeClr val="accent1"/>
          </a:effectRef>
          <a:fontRef idx="minor">
            <a:schemeClr val="tx1"/>
          </a:fontRef>
        </xdr:style>
      </xdr:cxnSp>
      <xdr:cxnSp macro="">
        <xdr:nvCxnSpPr>
          <xdr:cNvPr id="52" name="Straight Connector 51">
            <a:extLst>
              <a:ext uri="{FF2B5EF4-FFF2-40B4-BE49-F238E27FC236}">
                <a16:creationId xmlns:a16="http://schemas.microsoft.com/office/drawing/2014/main" id="{00000000-0008-0000-0000-000034000000}"/>
              </a:ext>
            </a:extLst>
          </xdr:cNvPr>
          <xdr:cNvCxnSpPr/>
        </xdr:nvCxnSpPr>
        <xdr:spPr>
          <a:xfrm>
            <a:off x="1676400" y="73209150"/>
            <a:ext cx="3895725" cy="3057525"/>
          </a:xfrm>
          <a:prstGeom prst="line">
            <a:avLst/>
          </a:prstGeom>
          <a:ln w="28575">
            <a:solidFill>
              <a:schemeClr val="bg1"/>
            </a:solidFill>
          </a:ln>
        </xdr:spPr>
        <xdr:style>
          <a:lnRef idx="1">
            <a:schemeClr val="accent1"/>
          </a:lnRef>
          <a:fillRef idx="0">
            <a:schemeClr val="accent1"/>
          </a:fillRef>
          <a:effectRef idx="0">
            <a:schemeClr val="accent1"/>
          </a:effectRef>
          <a:fontRef idx="minor">
            <a:schemeClr val="tx1"/>
          </a:fontRef>
        </xdr:style>
      </xdr:cxnSp>
      <xdr:sp macro="" textlink="">
        <xdr:nvSpPr>
          <xdr:cNvPr id="12" name="TextBox 11">
            <a:extLst>
              <a:ext uri="{FF2B5EF4-FFF2-40B4-BE49-F238E27FC236}">
                <a16:creationId xmlns:a16="http://schemas.microsoft.com/office/drawing/2014/main" id="{00000000-0008-0000-0000-00000C000000}"/>
              </a:ext>
            </a:extLst>
          </xdr:cNvPr>
          <xdr:cNvSpPr txBox="1"/>
        </xdr:nvSpPr>
        <xdr:spPr>
          <a:xfrm rot="2200381">
            <a:off x="2667001" y="74523601"/>
            <a:ext cx="1466850" cy="2476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200" b="1">
                <a:solidFill>
                  <a:schemeClr val="bg1"/>
                </a:solidFill>
              </a:rPr>
              <a:t>Railway Track</a:t>
            </a:r>
          </a:p>
        </xdr:txBody>
      </xdr:sp>
    </xdr:grpSp>
    <xdr:clientData/>
  </xdr:twoCellAnchor>
  <xdr:twoCellAnchor>
    <xdr:from>
      <xdr:col>12</xdr:col>
      <xdr:colOff>566092</xdr:colOff>
      <xdr:row>276</xdr:row>
      <xdr:rowOff>161919</xdr:rowOff>
    </xdr:from>
    <xdr:to>
      <xdr:col>14</xdr:col>
      <xdr:colOff>556396</xdr:colOff>
      <xdr:row>278</xdr:row>
      <xdr:rowOff>101294</xdr:rowOff>
    </xdr:to>
    <xdr:sp macro="" textlink="">
      <xdr:nvSpPr>
        <xdr:cNvPr id="69" name="TextBox 2">
          <a:extLst>
            <a:ext uri="{FF2B5EF4-FFF2-40B4-BE49-F238E27FC236}">
              <a16:creationId xmlns:a16="http://schemas.microsoft.com/office/drawing/2014/main" id="{00000000-0008-0000-0000-000045000000}"/>
            </a:ext>
          </a:extLst>
        </xdr:cNvPr>
        <xdr:cNvSpPr txBox="1"/>
      </xdr:nvSpPr>
      <xdr:spPr>
        <a:xfrm>
          <a:off x="8094983" y="53352832"/>
          <a:ext cx="1356935" cy="336940"/>
        </a:xfrm>
        <a:prstGeom prst="rect">
          <a:avLst/>
        </a:prstGeom>
        <a:solidFill>
          <a:schemeClr val="bg1">
            <a:lumMod val="95000"/>
          </a:schemeClr>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600" b="1"/>
            <a:t>Building No.1</a:t>
          </a:r>
          <a:endParaRPr lang="en-IN" sz="1600" b="1"/>
        </a:p>
      </xdr:txBody>
    </xdr:sp>
    <xdr:clientData/>
  </xdr:twoCellAnchor>
  <xdr:twoCellAnchor>
    <xdr:from>
      <xdr:col>12</xdr:col>
      <xdr:colOff>627983</xdr:colOff>
      <xdr:row>280</xdr:row>
      <xdr:rowOff>70886</xdr:rowOff>
    </xdr:from>
    <xdr:to>
      <xdr:col>14</xdr:col>
      <xdr:colOff>683071</xdr:colOff>
      <xdr:row>282</xdr:row>
      <xdr:rowOff>13182</xdr:rowOff>
    </xdr:to>
    <xdr:sp macro="" textlink="">
      <xdr:nvSpPr>
        <xdr:cNvPr id="70" name="TextBox 23">
          <a:extLst>
            <a:ext uri="{FF2B5EF4-FFF2-40B4-BE49-F238E27FC236}">
              <a16:creationId xmlns:a16="http://schemas.microsoft.com/office/drawing/2014/main" id="{00000000-0008-0000-0000-000046000000}"/>
            </a:ext>
          </a:extLst>
        </xdr:cNvPr>
        <xdr:cNvSpPr txBox="1"/>
      </xdr:nvSpPr>
      <xdr:spPr>
        <a:xfrm>
          <a:off x="8156874" y="54056929"/>
          <a:ext cx="1421719" cy="339862"/>
        </a:xfrm>
        <a:prstGeom prst="rect">
          <a:avLst/>
        </a:prstGeom>
        <a:solidFill>
          <a:schemeClr val="bg1">
            <a:lumMod val="95000"/>
          </a:schemeClr>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600" b="1"/>
            <a:t>Building No.2</a:t>
          </a:r>
          <a:endParaRPr lang="en-IN" sz="1600" b="1"/>
        </a:p>
      </xdr:txBody>
    </xdr:sp>
    <xdr:clientData/>
  </xdr:twoCellAnchor>
  <xdr:twoCellAnchor>
    <xdr:from>
      <xdr:col>12</xdr:col>
      <xdr:colOff>136</xdr:colOff>
      <xdr:row>299</xdr:row>
      <xdr:rowOff>194747</xdr:rowOff>
    </xdr:from>
    <xdr:to>
      <xdr:col>14</xdr:col>
      <xdr:colOff>588830</xdr:colOff>
      <xdr:row>301</xdr:row>
      <xdr:rowOff>157478</xdr:rowOff>
    </xdr:to>
    <xdr:sp macro="" textlink="">
      <xdr:nvSpPr>
        <xdr:cNvPr id="71" name="TextBox 24">
          <a:extLst>
            <a:ext uri="{FF2B5EF4-FFF2-40B4-BE49-F238E27FC236}">
              <a16:creationId xmlns:a16="http://schemas.microsoft.com/office/drawing/2014/main" id="{00000000-0008-0000-0000-000047000000}"/>
            </a:ext>
          </a:extLst>
        </xdr:cNvPr>
        <xdr:cNvSpPr txBox="1"/>
      </xdr:nvSpPr>
      <xdr:spPr>
        <a:xfrm>
          <a:off x="7876897" y="57957660"/>
          <a:ext cx="1955324" cy="3602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t>Building No.3 &amp; 4</a:t>
          </a:r>
          <a:endParaRPr lang="en-IN" b="1"/>
        </a:p>
      </xdr:txBody>
    </xdr:sp>
    <xdr:clientData/>
  </xdr:twoCellAnchor>
  <xdr:twoCellAnchor editAs="oneCell">
    <xdr:from>
      <xdr:col>11</xdr:col>
      <xdr:colOff>49696</xdr:colOff>
      <xdr:row>46</xdr:row>
      <xdr:rowOff>141164</xdr:rowOff>
    </xdr:from>
    <xdr:to>
      <xdr:col>19</xdr:col>
      <xdr:colOff>240496</xdr:colOff>
      <xdr:row>50</xdr:row>
      <xdr:rowOff>184056</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a:stretch>
          <a:fillRect/>
        </a:stretch>
      </xdr:blipFill>
      <xdr:spPr>
        <a:xfrm>
          <a:off x="6965674" y="10245947"/>
          <a:ext cx="5375713" cy="1235588"/>
        </a:xfrm>
        <a:prstGeom prst="rect">
          <a:avLst/>
        </a:prstGeom>
      </xdr:spPr>
    </xdr:pic>
    <xdr:clientData/>
  </xdr:twoCellAnchor>
  <xdr:oneCellAnchor>
    <xdr:from>
      <xdr:col>12</xdr:col>
      <xdr:colOff>0</xdr:colOff>
      <xdr:row>266</xdr:row>
      <xdr:rowOff>0</xdr:rowOff>
    </xdr:from>
    <xdr:ext cx="736099" cy="264560"/>
    <xdr:sp macro="" textlink="">
      <xdr:nvSpPr>
        <xdr:cNvPr id="57" name="TextBox 56">
          <a:extLst>
            <a:ext uri="{FF2B5EF4-FFF2-40B4-BE49-F238E27FC236}">
              <a16:creationId xmlns:a16="http://schemas.microsoft.com/office/drawing/2014/main" id="{00000000-0008-0000-0000-000039000000}"/>
            </a:ext>
          </a:extLst>
        </xdr:cNvPr>
        <xdr:cNvSpPr txBox="1"/>
      </xdr:nvSpPr>
      <xdr:spPr>
        <a:xfrm>
          <a:off x="8420100" y="48799750"/>
          <a:ext cx="736099"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0" cap="none" spc="0">
              <a:ln w="0"/>
              <a:solidFill>
                <a:sysClr val="windowText" lastClr="000000"/>
              </a:solidFill>
              <a:effectLst>
                <a:outerShdw blurRad="38100" dist="25400" dir="5400000" algn="ctr" rotWithShape="0">
                  <a:srgbClr val="6E747A">
                    <a:alpha val="43000"/>
                  </a:srgbClr>
                </a:outerShdw>
              </a:effectLst>
            </a:rPr>
            <a:t>Bldg No.2</a:t>
          </a:r>
        </a:p>
      </xdr:txBody>
    </xdr:sp>
    <xdr:clientData/>
  </xdr:oneCellAnchor>
  <xdr:twoCellAnchor>
    <xdr:from>
      <xdr:col>12</xdr:col>
      <xdr:colOff>321310</xdr:colOff>
      <xdr:row>268</xdr:row>
      <xdr:rowOff>110490</xdr:rowOff>
    </xdr:from>
    <xdr:to>
      <xdr:col>21</xdr:col>
      <xdr:colOff>386812</xdr:colOff>
      <xdr:row>306</xdr:row>
      <xdr:rowOff>40450</xdr:rowOff>
    </xdr:to>
    <xdr:grpSp>
      <xdr:nvGrpSpPr>
        <xdr:cNvPr id="7" name="Group 6">
          <a:extLst>
            <a:ext uri="{FF2B5EF4-FFF2-40B4-BE49-F238E27FC236}">
              <a16:creationId xmlns:a16="http://schemas.microsoft.com/office/drawing/2014/main" id="{00000000-0008-0000-0000-000007000000}"/>
            </a:ext>
          </a:extLst>
        </xdr:cNvPr>
        <xdr:cNvGrpSpPr/>
      </xdr:nvGrpSpPr>
      <xdr:grpSpPr>
        <a:xfrm>
          <a:off x="8596630" y="49716690"/>
          <a:ext cx="6031962" cy="7435660"/>
          <a:chOff x="641350" y="49523650"/>
          <a:chExt cx="6138642" cy="7391210"/>
        </a:xfrm>
      </xdr:grpSpPr>
      <xdr:pic>
        <xdr:nvPicPr>
          <xdr:cNvPr id="58" name="Picture 57">
            <a:extLst>
              <a:ext uri="{FF2B5EF4-FFF2-40B4-BE49-F238E27FC236}">
                <a16:creationId xmlns:a16="http://schemas.microsoft.com/office/drawing/2014/main" id="{00000000-0008-0000-0000-00003A000000}"/>
              </a:ext>
            </a:extLst>
          </xdr:cNvPr>
          <xdr:cNvPicPr>
            <a:picLocks noChangeAspect="1"/>
          </xdr:cNvPicPr>
        </xdr:nvPicPr>
        <xdr:blipFill>
          <a:blip xmlns:r="http://schemas.openxmlformats.org/officeDocument/2006/relationships" r:embed="rId8"/>
          <a:stretch>
            <a:fillRect/>
          </a:stretch>
        </xdr:blipFill>
        <xdr:spPr>
          <a:xfrm>
            <a:off x="641350" y="49523650"/>
            <a:ext cx="3820516" cy="2880000"/>
          </a:xfrm>
          <a:prstGeom prst="rect">
            <a:avLst/>
          </a:prstGeom>
          <a:ln>
            <a:solidFill>
              <a:schemeClr val="tx1"/>
            </a:solidFill>
          </a:ln>
        </xdr:spPr>
      </xdr:pic>
      <xdr:pic>
        <xdr:nvPicPr>
          <xdr:cNvPr id="59" name="Picture 58">
            <a:extLst>
              <a:ext uri="{FF2B5EF4-FFF2-40B4-BE49-F238E27FC236}">
                <a16:creationId xmlns:a16="http://schemas.microsoft.com/office/drawing/2014/main" id="{00000000-0008-0000-0000-00003B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2827093" y="52499255"/>
            <a:ext cx="1624519" cy="2160000"/>
          </a:xfrm>
          <a:prstGeom prst="rect">
            <a:avLst/>
          </a:prstGeom>
          <a:ln>
            <a:solidFill>
              <a:schemeClr val="tx1"/>
            </a:solidFill>
          </a:ln>
        </xdr:spPr>
      </xdr:pic>
      <xdr:pic>
        <xdr:nvPicPr>
          <xdr:cNvPr id="60" name="Picture 59">
            <a:extLst>
              <a:ext uri="{FF2B5EF4-FFF2-40B4-BE49-F238E27FC236}">
                <a16:creationId xmlns:a16="http://schemas.microsoft.com/office/drawing/2014/main" id="{00000000-0008-0000-0000-00003C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4716085" y="52499255"/>
            <a:ext cx="1624519" cy="2160000"/>
          </a:xfrm>
          <a:prstGeom prst="rect">
            <a:avLst/>
          </a:prstGeom>
          <a:ln>
            <a:solidFill>
              <a:schemeClr val="tx1"/>
            </a:solidFill>
          </a:ln>
        </xdr:spPr>
      </xdr:pic>
      <xdr:pic>
        <xdr:nvPicPr>
          <xdr:cNvPr id="61" name="Picture 60">
            <a:extLst>
              <a:ext uri="{FF2B5EF4-FFF2-40B4-BE49-F238E27FC236}">
                <a16:creationId xmlns:a16="http://schemas.microsoft.com/office/drawing/2014/main" id="{00000000-0008-0000-0000-00003D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2827093" y="54754860"/>
            <a:ext cx="1617750" cy="2160000"/>
          </a:xfrm>
          <a:prstGeom prst="rect">
            <a:avLst/>
          </a:prstGeom>
          <a:ln>
            <a:solidFill>
              <a:schemeClr val="tx1"/>
            </a:solidFill>
          </a:ln>
        </xdr:spPr>
      </xdr:pic>
      <xdr:pic>
        <xdr:nvPicPr>
          <xdr:cNvPr id="62" name="Picture 61">
            <a:extLst>
              <a:ext uri="{FF2B5EF4-FFF2-40B4-BE49-F238E27FC236}">
                <a16:creationId xmlns:a16="http://schemas.microsoft.com/office/drawing/2014/main" id="{00000000-0008-0000-0000-00003E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1028156" y="52499255"/>
            <a:ext cx="1624519" cy="2160000"/>
          </a:xfrm>
          <a:prstGeom prst="rect">
            <a:avLst/>
          </a:prstGeom>
          <a:ln>
            <a:solidFill>
              <a:schemeClr val="tx1"/>
            </a:solidFill>
          </a:ln>
        </xdr:spPr>
      </xdr:pic>
      <xdr:pic>
        <xdr:nvPicPr>
          <xdr:cNvPr id="63" name="Picture 62">
            <a:extLst>
              <a:ext uri="{FF2B5EF4-FFF2-40B4-BE49-F238E27FC236}">
                <a16:creationId xmlns:a16="http://schemas.microsoft.com/office/drawing/2014/main" id="{00000000-0008-0000-0000-00003F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4613967" y="49523650"/>
            <a:ext cx="2166025" cy="2880000"/>
          </a:xfrm>
          <a:prstGeom prst="rect">
            <a:avLst/>
          </a:prstGeom>
          <a:ln>
            <a:solidFill>
              <a:schemeClr val="tx1"/>
            </a:solidFill>
          </a:ln>
        </xdr:spPr>
      </xdr:pic>
    </xdr:grpSp>
    <xdr:clientData/>
  </xdr:twoCellAnchor>
  <xdr:twoCellAnchor>
    <xdr:from>
      <xdr:col>0</xdr:col>
      <xdr:colOff>274320</xdr:colOff>
      <xdr:row>270</xdr:row>
      <xdr:rowOff>7620</xdr:rowOff>
    </xdr:from>
    <xdr:to>
      <xdr:col>9</xdr:col>
      <xdr:colOff>633192</xdr:colOff>
      <xdr:row>305</xdr:row>
      <xdr:rowOff>194591</xdr:rowOff>
    </xdr:to>
    <xdr:grpSp>
      <xdr:nvGrpSpPr>
        <xdr:cNvPr id="5" name="Group 4">
          <a:extLst>
            <a:ext uri="{FF2B5EF4-FFF2-40B4-BE49-F238E27FC236}">
              <a16:creationId xmlns:a16="http://schemas.microsoft.com/office/drawing/2014/main" id="{43EC1B57-4145-0345-E841-A28C291F0798}"/>
            </a:ext>
          </a:extLst>
        </xdr:cNvPr>
        <xdr:cNvGrpSpPr/>
      </xdr:nvGrpSpPr>
      <xdr:grpSpPr>
        <a:xfrm>
          <a:off x="274320" y="50010060"/>
          <a:ext cx="6835872" cy="7098311"/>
          <a:chOff x="-8352" y="95565"/>
          <a:chExt cx="6835872" cy="7098311"/>
        </a:xfrm>
      </xdr:grpSpPr>
      <xdr:pic>
        <xdr:nvPicPr>
          <xdr:cNvPr id="8" name="Picture 7">
            <a:extLst>
              <a:ext uri="{FF2B5EF4-FFF2-40B4-BE49-F238E27FC236}">
                <a16:creationId xmlns:a16="http://schemas.microsoft.com/office/drawing/2014/main" id="{88F9991D-50AD-D617-0686-DBC60316F6F6}"/>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a:ext>
            </a:extLst>
          </a:blip>
          <a:stretch>
            <a:fillRect/>
          </a:stretch>
        </xdr:blipFill>
        <xdr:spPr>
          <a:xfrm>
            <a:off x="1174600" y="5565615"/>
            <a:ext cx="2160000" cy="1628261"/>
          </a:xfrm>
          <a:prstGeom prst="rect">
            <a:avLst/>
          </a:prstGeom>
          <a:ln>
            <a:solidFill>
              <a:schemeClr val="tx1"/>
            </a:solidFill>
          </a:ln>
        </xdr:spPr>
      </xdr:pic>
      <xdr:pic>
        <xdr:nvPicPr>
          <xdr:cNvPr id="9" name="Picture 8">
            <a:extLst>
              <a:ext uri="{FF2B5EF4-FFF2-40B4-BE49-F238E27FC236}">
                <a16:creationId xmlns:a16="http://schemas.microsoft.com/office/drawing/2014/main" id="{A05A495A-6FDA-6BCD-90F6-A9E54BD1E61D}"/>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a:ext>
            </a:extLst>
          </a:blip>
          <a:stretch>
            <a:fillRect/>
          </a:stretch>
        </xdr:blipFill>
        <xdr:spPr>
          <a:xfrm>
            <a:off x="-8352" y="95565"/>
            <a:ext cx="3342952" cy="2520000"/>
          </a:xfrm>
          <a:prstGeom prst="rect">
            <a:avLst/>
          </a:prstGeom>
          <a:ln>
            <a:solidFill>
              <a:schemeClr val="tx1"/>
            </a:solidFill>
          </a:ln>
        </xdr:spPr>
      </xdr:pic>
      <xdr:pic>
        <xdr:nvPicPr>
          <xdr:cNvPr id="10" name="Picture 9">
            <a:extLst>
              <a:ext uri="{FF2B5EF4-FFF2-40B4-BE49-F238E27FC236}">
                <a16:creationId xmlns:a16="http://schemas.microsoft.com/office/drawing/2014/main" id="{6F2663D6-77ED-F507-5D7A-109E9E669F05}"/>
              </a:ext>
            </a:extLst>
          </xdr:cNvPr>
          <xdr:cNvPicPr>
            <a:picLocks noChangeAspect="1"/>
          </xdr:cNvPicPr>
        </xdr:nvPicPr>
        <xdr:blipFill>
          <a:blip xmlns:r="http://schemas.openxmlformats.org/officeDocument/2006/relationships" r:embed="rId16" cstate="hqprint">
            <a:extLst>
              <a:ext uri="{28A0092B-C50C-407E-A947-70E740481C1C}">
                <a14:useLocalDpi xmlns:a14="http://schemas.microsoft.com/office/drawing/2010/main"/>
              </a:ext>
            </a:extLst>
          </a:blip>
          <a:stretch>
            <a:fillRect/>
          </a:stretch>
        </xdr:blipFill>
        <xdr:spPr>
          <a:xfrm>
            <a:off x="1439328" y="2830590"/>
            <a:ext cx="1895272" cy="2520000"/>
          </a:xfrm>
          <a:prstGeom prst="rect">
            <a:avLst/>
          </a:prstGeom>
          <a:ln>
            <a:solidFill>
              <a:schemeClr val="tx1"/>
            </a:solidFill>
          </a:ln>
        </xdr:spPr>
      </xdr:pic>
      <xdr:pic>
        <xdr:nvPicPr>
          <xdr:cNvPr id="11" name="Picture 10">
            <a:extLst>
              <a:ext uri="{FF2B5EF4-FFF2-40B4-BE49-F238E27FC236}">
                <a16:creationId xmlns:a16="http://schemas.microsoft.com/office/drawing/2014/main" id="{A41ABA68-A1FC-53E9-D208-9BC207C9789C}"/>
              </a:ext>
            </a:extLst>
          </xdr:cNvPr>
          <xdr:cNvPicPr>
            <a:picLocks noChangeAspect="1"/>
          </xdr:cNvPicPr>
        </xdr:nvPicPr>
        <xdr:blipFill>
          <a:blip xmlns:r="http://schemas.openxmlformats.org/officeDocument/2006/relationships" r:embed="rId17" cstate="hqprint">
            <a:extLst>
              <a:ext uri="{28A0092B-C50C-407E-A947-70E740481C1C}">
                <a14:useLocalDpi xmlns:a14="http://schemas.microsoft.com/office/drawing/2010/main"/>
              </a:ext>
            </a:extLst>
          </a:blip>
          <a:stretch>
            <a:fillRect/>
          </a:stretch>
        </xdr:blipFill>
        <xdr:spPr>
          <a:xfrm>
            <a:off x="3482398" y="2830590"/>
            <a:ext cx="1895272" cy="2520000"/>
          </a:xfrm>
          <a:prstGeom prst="rect">
            <a:avLst/>
          </a:prstGeom>
          <a:ln>
            <a:solidFill>
              <a:schemeClr val="tx1"/>
            </a:solidFill>
          </a:ln>
        </xdr:spPr>
      </xdr:pic>
      <xdr:pic>
        <xdr:nvPicPr>
          <xdr:cNvPr id="14" name="Picture 13">
            <a:extLst>
              <a:ext uri="{FF2B5EF4-FFF2-40B4-BE49-F238E27FC236}">
                <a16:creationId xmlns:a16="http://schemas.microsoft.com/office/drawing/2014/main" id="{712F2290-329E-13EC-D536-4B28E24CF7E8}"/>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a:ext>
            </a:extLst>
          </a:blip>
          <a:stretch>
            <a:fillRect/>
          </a:stretch>
        </xdr:blipFill>
        <xdr:spPr>
          <a:xfrm>
            <a:off x="3484568" y="95565"/>
            <a:ext cx="3342952" cy="2520000"/>
          </a:xfrm>
          <a:prstGeom prst="rect">
            <a:avLst/>
          </a:prstGeom>
          <a:ln>
            <a:solidFill>
              <a:schemeClr val="tx1"/>
            </a:solidFill>
          </a:ln>
        </xdr:spPr>
      </xdr:pic>
      <xdr:pic>
        <xdr:nvPicPr>
          <xdr:cNvPr id="15" name="Picture 14">
            <a:extLst>
              <a:ext uri="{FF2B5EF4-FFF2-40B4-BE49-F238E27FC236}">
                <a16:creationId xmlns:a16="http://schemas.microsoft.com/office/drawing/2014/main" id="{BF9C296A-C664-A13E-A264-222E922D19B8}"/>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a:ext>
            </a:extLst>
          </a:blip>
          <a:stretch>
            <a:fillRect/>
          </a:stretch>
        </xdr:blipFill>
        <xdr:spPr>
          <a:xfrm>
            <a:off x="3482398" y="5565615"/>
            <a:ext cx="2160000" cy="1622253"/>
          </a:xfrm>
          <a:prstGeom prst="rect">
            <a:avLst/>
          </a:prstGeom>
          <a:ln>
            <a:solidFill>
              <a:schemeClr val="tx1"/>
            </a:solidFill>
          </a:ln>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3</xdr:col>
      <xdr:colOff>1</xdr:colOff>
      <xdr:row>6</xdr:row>
      <xdr:rowOff>0</xdr:rowOff>
    </xdr:from>
    <xdr:to>
      <xdr:col>14</xdr:col>
      <xdr:colOff>49346</xdr:colOff>
      <xdr:row>24</xdr:row>
      <xdr:rowOff>171000</xdr:rowOff>
    </xdr:to>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stretch>
          <a:fillRect/>
        </a:stretch>
      </xdr:blipFill>
      <xdr:spPr>
        <a:xfrm>
          <a:off x="2219326" y="1143000"/>
          <a:ext cx="6754945" cy="3600000"/>
        </a:xfrm>
        <a:prstGeom prst="rect">
          <a:avLst/>
        </a:prstGeom>
      </xdr:spPr>
    </xdr:pic>
    <xdr:clientData/>
  </xdr:twoCellAnchor>
  <xdr:twoCellAnchor editAs="oneCell">
    <xdr:from>
      <xdr:col>3</xdr:col>
      <xdr:colOff>0</xdr:colOff>
      <xdr:row>26</xdr:row>
      <xdr:rowOff>0</xdr:rowOff>
    </xdr:from>
    <xdr:to>
      <xdr:col>5</xdr:col>
      <xdr:colOff>400800</xdr:colOff>
      <xdr:row>37</xdr:row>
      <xdr:rowOff>64500</xdr:rowOff>
    </xdr:to>
    <xdr:pic>
      <xdr:nvPicPr>
        <xdr:cNvPr id="3" name="Picture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2219325" y="4953000"/>
          <a:ext cx="1620000" cy="2160000"/>
        </a:xfrm>
        <a:prstGeom prst="rect">
          <a:avLst/>
        </a:prstGeom>
      </xdr:spPr>
    </xdr:pic>
    <xdr:clientData/>
  </xdr:twoCellAnchor>
  <xdr:twoCellAnchor editAs="oneCell">
    <xdr:from>
      <xdr:col>6</xdr:col>
      <xdr:colOff>0</xdr:colOff>
      <xdr:row>26</xdr:row>
      <xdr:rowOff>0</xdr:rowOff>
    </xdr:from>
    <xdr:to>
      <xdr:col>8</xdr:col>
      <xdr:colOff>267021</xdr:colOff>
      <xdr:row>37</xdr:row>
      <xdr:rowOff>64500</xdr:rowOff>
    </xdr:to>
    <xdr:pic>
      <xdr:nvPicPr>
        <xdr:cNvPr id="4" name="Picture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a:stretch>
          <a:fillRect/>
        </a:stretch>
      </xdr:blipFill>
      <xdr:spPr>
        <a:xfrm>
          <a:off x="4048125" y="4953000"/>
          <a:ext cx="1486221" cy="2160000"/>
        </a:xfrm>
        <a:prstGeom prst="rect">
          <a:avLst/>
        </a:prstGeom>
      </xdr:spPr>
    </xdr:pic>
    <xdr:clientData/>
  </xdr:twoCellAnchor>
  <xdr:twoCellAnchor editAs="oneCell">
    <xdr:from>
      <xdr:col>3</xdr:col>
      <xdr:colOff>0</xdr:colOff>
      <xdr:row>38</xdr:row>
      <xdr:rowOff>0</xdr:rowOff>
    </xdr:from>
    <xdr:to>
      <xdr:col>5</xdr:col>
      <xdr:colOff>130800</xdr:colOff>
      <xdr:row>47</xdr:row>
      <xdr:rowOff>85500</xdr:rowOff>
    </xdr:to>
    <xdr:pic>
      <xdr:nvPicPr>
        <xdr:cNvPr id="5" name="Picture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4"/>
        <a:stretch>
          <a:fillRect/>
        </a:stretch>
      </xdr:blipFill>
      <xdr:spPr>
        <a:xfrm>
          <a:off x="2219325" y="7239000"/>
          <a:ext cx="1350000" cy="1800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1</xdr:colOff>
      <xdr:row>15</xdr:row>
      <xdr:rowOff>0</xdr:rowOff>
    </xdr:from>
    <xdr:to>
      <xdr:col>5</xdr:col>
      <xdr:colOff>544646</xdr:colOff>
      <xdr:row>33</xdr:row>
      <xdr:rowOff>171000</xdr:rowOff>
    </xdr:to>
    <xdr:pic>
      <xdr:nvPicPr>
        <xdr:cNvPr id="2" name="Picture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stretch>
          <a:fillRect/>
        </a:stretch>
      </xdr:blipFill>
      <xdr:spPr>
        <a:xfrm>
          <a:off x="609601" y="3048000"/>
          <a:ext cx="6754945" cy="3600000"/>
        </a:xfrm>
        <a:prstGeom prst="rect">
          <a:avLst/>
        </a:prstGeom>
        <a:ln>
          <a:solidFill>
            <a:schemeClr val="tx1"/>
          </a:solidFill>
        </a:ln>
      </xdr:spPr>
    </xdr:pic>
    <xdr:clientData/>
  </xdr:twoCellAnchor>
  <xdr:twoCellAnchor editAs="oneCell">
    <xdr:from>
      <xdr:col>1</xdr:col>
      <xdr:colOff>0</xdr:colOff>
      <xdr:row>35</xdr:row>
      <xdr:rowOff>20828</xdr:rowOff>
    </xdr:from>
    <xdr:to>
      <xdr:col>5</xdr:col>
      <xdr:colOff>544645</xdr:colOff>
      <xdr:row>54</xdr:row>
      <xdr:rowOff>1328</xdr:rowOff>
    </xdr:to>
    <xdr:pic>
      <xdr:nvPicPr>
        <xdr:cNvPr id="3" name="Picture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a:stretch>
          <a:fillRect/>
        </a:stretch>
      </xdr:blipFill>
      <xdr:spPr>
        <a:xfrm>
          <a:off x="609600" y="6878828"/>
          <a:ext cx="6754945" cy="3600000"/>
        </a:xfrm>
        <a:prstGeom prst="rect">
          <a:avLst/>
        </a:prstGeom>
        <a:ln>
          <a:solidFill>
            <a:schemeClr val="tx1"/>
          </a:solid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housing.com/in/buy/projects/page/202420-khatri-sparsh-by-khatri-constructions-in-ambernath-west" TargetMode="External"/><Relationship Id="rId1" Type="http://schemas.openxmlformats.org/officeDocument/2006/relationships/hyperlink" Target="https://goo.gl/maps/sek6ty4APVdV3Wiq8" TargetMode="External"/><Relationship Id="rId5" Type="http://schemas.openxmlformats.org/officeDocument/2006/relationships/vmlDrawing" Target="../drawings/vmlDrawing1.vml"/><Relationship Id="rId4"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DO353"/>
  <sheetViews>
    <sheetView tabSelected="1" view="pageBreakPreview" topLeftCell="A2" zoomScaleNormal="100" zoomScaleSheetLayoutView="100" workbookViewId="0">
      <selection activeCell="P4" sqref="P4"/>
    </sheetView>
  </sheetViews>
  <sheetFormatPr defaultRowHeight="15.6" x14ac:dyDescent="0.3"/>
  <cols>
    <col min="1" max="1" width="9.21875" style="25" customWidth="1"/>
    <col min="2" max="2" width="12.44140625" style="25" customWidth="1"/>
    <col min="3" max="3" width="14.77734375" style="25" customWidth="1"/>
    <col min="4" max="4" width="8.44140625" style="25" customWidth="1"/>
    <col min="5" max="5" width="7.77734375" style="25" customWidth="1"/>
    <col min="6" max="6" width="9.77734375" style="25" customWidth="1"/>
    <col min="7" max="7" width="10.21875" style="25" customWidth="1"/>
    <col min="8" max="8" width="10.5546875" style="25" customWidth="1"/>
    <col min="9" max="9" width="11.21875" style="25" customWidth="1"/>
    <col min="10" max="10" width="13.44140625" style="25" customWidth="1"/>
    <col min="11" max="11" width="3.5546875" style="25" customWidth="1"/>
    <col min="12" max="12" width="9.21875" style="25"/>
    <col min="13" max="13" width="11.21875" style="25" bestFit="1" customWidth="1"/>
    <col min="14" max="14" width="9.21875" style="25"/>
    <col min="15" max="15" width="11.21875" style="25" bestFit="1" customWidth="1"/>
    <col min="16" max="256" width="9.21875" style="25"/>
    <col min="257" max="257" width="8.77734375" style="25" customWidth="1"/>
    <col min="258" max="258" width="9.77734375" style="25" customWidth="1"/>
    <col min="259" max="259" width="14.44140625" style="25" customWidth="1"/>
    <col min="260" max="260" width="7.21875" style="25" customWidth="1"/>
    <col min="261" max="261" width="5.5546875" style="25" customWidth="1"/>
    <col min="262" max="262" width="9" style="25" customWidth="1"/>
    <col min="263" max="264" width="9.77734375" style="25" customWidth="1"/>
    <col min="265" max="265" width="11.21875" style="25" customWidth="1"/>
    <col min="266" max="266" width="2.77734375" style="25" customWidth="1"/>
    <col min="267" max="267" width="3.5546875" style="25" customWidth="1"/>
    <col min="268" max="512" width="9.21875" style="25"/>
    <col min="513" max="513" width="8.77734375" style="25" customWidth="1"/>
    <col min="514" max="514" width="9.77734375" style="25" customWidth="1"/>
    <col min="515" max="515" width="14.44140625" style="25" customWidth="1"/>
    <col min="516" max="516" width="7.21875" style="25" customWidth="1"/>
    <col min="517" max="517" width="5.5546875" style="25" customWidth="1"/>
    <col min="518" max="518" width="9" style="25" customWidth="1"/>
    <col min="519" max="520" width="9.77734375" style="25" customWidth="1"/>
    <col min="521" max="521" width="11.21875" style="25" customWidth="1"/>
    <col min="522" max="522" width="2.77734375" style="25" customWidth="1"/>
    <col min="523" max="523" width="3.5546875" style="25" customWidth="1"/>
    <col min="524" max="768" width="9.21875" style="25"/>
    <col min="769" max="769" width="8.77734375" style="25" customWidth="1"/>
    <col min="770" max="770" width="9.77734375" style="25" customWidth="1"/>
    <col min="771" max="771" width="14.44140625" style="25" customWidth="1"/>
    <col min="772" max="772" width="7.21875" style="25" customWidth="1"/>
    <col min="773" max="773" width="5.5546875" style="25" customWidth="1"/>
    <col min="774" max="774" width="9" style="25" customWidth="1"/>
    <col min="775" max="776" width="9.77734375" style="25" customWidth="1"/>
    <col min="777" max="777" width="11.21875" style="25" customWidth="1"/>
    <col min="778" max="778" width="2.77734375" style="25" customWidth="1"/>
    <col min="779" max="779" width="3.5546875" style="25" customWidth="1"/>
    <col min="780" max="1024" width="9.21875" style="25"/>
    <col min="1025" max="1025" width="8.77734375" style="25" customWidth="1"/>
    <col min="1026" max="1026" width="9.77734375" style="25" customWidth="1"/>
    <col min="1027" max="1027" width="14.44140625" style="25" customWidth="1"/>
    <col min="1028" max="1028" width="7.21875" style="25" customWidth="1"/>
    <col min="1029" max="1029" width="5.5546875" style="25" customWidth="1"/>
    <col min="1030" max="1030" width="9" style="25" customWidth="1"/>
    <col min="1031" max="1032" width="9.77734375" style="25" customWidth="1"/>
    <col min="1033" max="1033" width="11.21875" style="25" customWidth="1"/>
    <col min="1034" max="1034" width="2.77734375" style="25" customWidth="1"/>
    <col min="1035" max="1035" width="3.5546875" style="25" customWidth="1"/>
    <col min="1036" max="1280" width="9.21875" style="25"/>
    <col min="1281" max="1281" width="8.77734375" style="25" customWidth="1"/>
    <col min="1282" max="1282" width="9.77734375" style="25" customWidth="1"/>
    <col min="1283" max="1283" width="14.44140625" style="25" customWidth="1"/>
    <col min="1284" max="1284" width="7.21875" style="25" customWidth="1"/>
    <col min="1285" max="1285" width="5.5546875" style="25" customWidth="1"/>
    <col min="1286" max="1286" width="9" style="25" customWidth="1"/>
    <col min="1287" max="1288" width="9.77734375" style="25" customWidth="1"/>
    <col min="1289" max="1289" width="11.21875" style="25" customWidth="1"/>
    <col min="1290" max="1290" width="2.77734375" style="25" customWidth="1"/>
    <col min="1291" max="1291" width="3.5546875" style="25" customWidth="1"/>
    <col min="1292" max="1536" width="9.21875" style="25"/>
    <col min="1537" max="1537" width="8.77734375" style="25" customWidth="1"/>
    <col min="1538" max="1538" width="9.77734375" style="25" customWidth="1"/>
    <col min="1539" max="1539" width="14.44140625" style="25" customWidth="1"/>
    <col min="1540" max="1540" width="7.21875" style="25" customWidth="1"/>
    <col min="1541" max="1541" width="5.5546875" style="25" customWidth="1"/>
    <col min="1542" max="1542" width="9" style="25" customWidth="1"/>
    <col min="1543" max="1544" width="9.77734375" style="25" customWidth="1"/>
    <col min="1545" max="1545" width="11.21875" style="25" customWidth="1"/>
    <col min="1546" max="1546" width="2.77734375" style="25" customWidth="1"/>
    <col min="1547" max="1547" width="3.5546875" style="25" customWidth="1"/>
    <col min="1548" max="1792" width="9.21875" style="25"/>
    <col min="1793" max="1793" width="8.77734375" style="25" customWidth="1"/>
    <col min="1794" max="1794" width="9.77734375" style="25" customWidth="1"/>
    <col min="1795" max="1795" width="14.44140625" style="25" customWidth="1"/>
    <col min="1796" max="1796" width="7.21875" style="25" customWidth="1"/>
    <col min="1797" max="1797" width="5.5546875" style="25" customWidth="1"/>
    <col min="1798" max="1798" width="9" style="25" customWidth="1"/>
    <col min="1799" max="1800" width="9.77734375" style="25" customWidth="1"/>
    <col min="1801" max="1801" width="11.21875" style="25" customWidth="1"/>
    <col min="1802" max="1802" width="2.77734375" style="25" customWidth="1"/>
    <col min="1803" max="1803" width="3.5546875" style="25" customWidth="1"/>
    <col min="1804" max="2048" width="9.21875" style="25"/>
    <col min="2049" max="2049" width="8.77734375" style="25" customWidth="1"/>
    <col min="2050" max="2050" width="9.77734375" style="25" customWidth="1"/>
    <col min="2051" max="2051" width="14.44140625" style="25" customWidth="1"/>
    <col min="2052" max="2052" width="7.21875" style="25" customWidth="1"/>
    <col min="2053" max="2053" width="5.5546875" style="25" customWidth="1"/>
    <col min="2054" max="2054" width="9" style="25" customWidth="1"/>
    <col min="2055" max="2056" width="9.77734375" style="25" customWidth="1"/>
    <col min="2057" max="2057" width="11.21875" style="25" customWidth="1"/>
    <col min="2058" max="2058" width="2.77734375" style="25" customWidth="1"/>
    <col min="2059" max="2059" width="3.5546875" style="25" customWidth="1"/>
    <col min="2060" max="2304" width="9.21875" style="25"/>
    <col min="2305" max="2305" width="8.77734375" style="25" customWidth="1"/>
    <col min="2306" max="2306" width="9.77734375" style="25" customWidth="1"/>
    <col min="2307" max="2307" width="14.44140625" style="25" customWidth="1"/>
    <col min="2308" max="2308" width="7.21875" style="25" customWidth="1"/>
    <col min="2309" max="2309" width="5.5546875" style="25" customWidth="1"/>
    <col min="2310" max="2310" width="9" style="25" customWidth="1"/>
    <col min="2311" max="2312" width="9.77734375" style="25" customWidth="1"/>
    <col min="2313" max="2313" width="11.21875" style="25" customWidth="1"/>
    <col min="2314" max="2314" width="2.77734375" style="25" customWidth="1"/>
    <col min="2315" max="2315" width="3.5546875" style="25" customWidth="1"/>
    <col min="2316" max="2560" width="9.21875" style="25"/>
    <col min="2561" max="2561" width="8.77734375" style="25" customWidth="1"/>
    <col min="2562" max="2562" width="9.77734375" style="25" customWidth="1"/>
    <col min="2563" max="2563" width="14.44140625" style="25" customWidth="1"/>
    <col min="2564" max="2564" width="7.21875" style="25" customWidth="1"/>
    <col min="2565" max="2565" width="5.5546875" style="25" customWidth="1"/>
    <col min="2566" max="2566" width="9" style="25" customWidth="1"/>
    <col min="2567" max="2568" width="9.77734375" style="25" customWidth="1"/>
    <col min="2569" max="2569" width="11.21875" style="25" customWidth="1"/>
    <col min="2570" max="2570" width="2.77734375" style="25" customWidth="1"/>
    <col min="2571" max="2571" width="3.5546875" style="25" customWidth="1"/>
    <col min="2572" max="2816" width="9.21875" style="25"/>
    <col min="2817" max="2817" width="8.77734375" style="25" customWidth="1"/>
    <col min="2818" max="2818" width="9.77734375" style="25" customWidth="1"/>
    <col min="2819" max="2819" width="14.44140625" style="25" customWidth="1"/>
    <col min="2820" max="2820" width="7.21875" style="25" customWidth="1"/>
    <col min="2821" max="2821" width="5.5546875" style="25" customWidth="1"/>
    <col min="2822" max="2822" width="9" style="25" customWidth="1"/>
    <col min="2823" max="2824" width="9.77734375" style="25" customWidth="1"/>
    <col min="2825" max="2825" width="11.21875" style="25" customWidth="1"/>
    <col min="2826" max="2826" width="2.77734375" style="25" customWidth="1"/>
    <col min="2827" max="2827" width="3.5546875" style="25" customWidth="1"/>
    <col min="2828" max="3072" width="9.21875" style="25"/>
    <col min="3073" max="3073" width="8.77734375" style="25" customWidth="1"/>
    <col min="3074" max="3074" width="9.77734375" style="25" customWidth="1"/>
    <col min="3075" max="3075" width="14.44140625" style="25" customWidth="1"/>
    <col min="3076" max="3076" width="7.21875" style="25" customWidth="1"/>
    <col min="3077" max="3077" width="5.5546875" style="25" customWidth="1"/>
    <col min="3078" max="3078" width="9" style="25" customWidth="1"/>
    <col min="3079" max="3080" width="9.77734375" style="25" customWidth="1"/>
    <col min="3081" max="3081" width="11.21875" style="25" customWidth="1"/>
    <col min="3082" max="3082" width="2.77734375" style="25" customWidth="1"/>
    <col min="3083" max="3083" width="3.5546875" style="25" customWidth="1"/>
    <col min="3084" max="3328" width="9.21875" style="25"/>
    <col min="3329" max="3329" width="8.77734375" style="25" customWidth="1"/>
    <col min="3330" max="3330" width="9.77734375" style="25" customWidth="1"/>
    <col min="3331" max="3331" width="14.44140625" style="25" customWidth="1"/>
    <col min="3332" max="3332" width="7.21875" style="25" customWidth="1"/>
    <col min="3333" max="3333" width="5.5546875" style="25" customWidth="1"/>
    <col min="3334" max="3334" width="9" style="25" customWidth="1"/>
    <col min="3335" max="3336" width="9.77734375" style="25" customWidth="1"/>
    <col min="3337" max="3337" width="11.21875" style="25" customWidth="1"/>
    <col min="3338" max="3338" width="2.77734375" style="25" customWidth="1"/>
    <col min="3339" max="3339" width="3.5546875" style="25" customWidth="1"/>
    <col min="3340" max="3584" width="9.21875" style="25"/>
    <col min="3585" max="3585" width="8.77734375" style="25" customWidth="1"/>
    <col min="3586" max="3586" width="9.77734375" style="25" customWidth="1"/>
    <col min="3587" max="3587" width="14.44140625" style="25" customWidth="1"/>
    <col min="3588" max="3588" width="7.21875" style="25" customWidth="1"/>
    <col min="3589" max="3589" width="5.5546875" style="25" customWidth="1"/>
    <col min="3590" max="3590" width="9" style="25" customWidth="1"/>
    <col min="3591" max="3592" width="9.77734375" style="25" customWidth="1"/>
    <col min="3593" max="3593" width="11.21875" style="25" customWidth="1"/>
    <col min="3594" max="3594" width="2.77734375" style="25" customWidth="1"/>
    <col min="3595" max="3595" width="3.5546875" style="25" customWidth="1"/>
    <col min="3596" max="3840" width="9.21875" style="25"/>
    <col min="3841" max="3841" width="8.77734375" style="25" customWidth="1"/>
    <col min="3842" max="3842" width="9.77734375" style="25" customWidth="1"/>
    <col min="3843" max="3843" width="14.44140625" style="25" customWidth="1"/>
    <col min="3844" max="3844" width="7.21875" style="25" customWidth="1"/>
    <col min="3845" max="3845" width="5.5546875" style="25" customWidth="1"/>
    <col min="3846" max="3846" width="9" style="25" customWidth="1"/>
    <col min="3847" max="3848" width="9.77734375" style="25" customWidth="1"/>
    <col min="3849" max="3849" width="11.21875" style="25" customWidth="1"/>
    <col min="3850" max="3850" width="2.77734375" style="25" customWidth="1"/>
    <col min="3851" max="3851" width="3.5546875" style="25" customWidth="1"/>
    <col min="3852" max="4096" width="9.21875" style="25"/>
    <col min="4097" max="4097" width="8.77734375" style="25" customWidth="1"/>
    <col min="4098" max="4098" width="9.77734375" style="25" customWidth="1"/>
    <col min="4099" max="4099" width="14.44140625" style="25" customWidth="1"/>
    <col min="4100" max="4100" width="7.21875" style="25" customWidth="1"/>
    <col min="4101" max="4101" width="5.5546875" style="25" customWidth="1"/>
    <col min="4102" max="4102" width="9" style="25" customWidth="1"/>
    <col min="4103" max="4104" width="9.77734375" style="25" customWidth="1"/>
    <col min="4105" max="4105" width="11.21875" style="25" customWidth="1"/>
    <col min="4106" max="4106" width="2.77734375" style="25" customWidth="1"/>
    <col min="4107" max="4107" width="3.5546875" style="25" customWidth="1"/>
    <col min="4108" max="4352" width="9.21875" style="25"/>
    <col min="4353" max="4353" width="8.77734375" style="25" customWidth="1"/>
    <col min="4354" max="4354" width="9.77734375" style="25" customWidth="1"/>
    <col min="4355" max="4355" width="14.44140625" style="25" customWidth="1"/>
    <col min="4356" max="4356" width="7.21875" style="25" customWidth="1"/>
    <col min="4357" max="4357" width="5.5546875" style="25" customWidth="1"/>
    <col min="4358" max="4358" width="9" style="25" customWidth="1"/>
    <col min="4359" max="4360" width="9.77734375" style="25" customWidth="1"/>
    <col min="4361" max="4361" width="11.21875" style="25" customWidth="1"/>
    <col min="4362" max="4362" width="2.77734375" style="25" customWidth="1"/>
    <col min="4363" max="4363" width="3.5546875" style="25" customWidth="1"/>
    <col min="4364" max="4608" width="9.21875" style="25"/>
    <col min="4609" max="4609" width="8.77734375" style="25" customWidth="1"/>
    <col min="4610" max="4610" width="9.77734375" style="25" customWidth="1"/>
    <col min="4611" max="4611" width="14.44140625" style="25" customWidth="1"/>
    <col min="4612" max="4612" width="7.21875" style="25" customWidth="1"/>
    <col min="4613" max="4613" width="5.5546875" style="25" customWidth="1"/>
    <col min="4614" max="4614" width="9" style="25" customWidth="1"/>
    <col min="4615" max="4616" width="9.77734375" style="25" customWidth="1"/>
    <col min="4617" max="4617" width="11.21875" style="25" customWidth="1"/>
    <col min="4618" max="4618" width="2.77734375" style="25" customWidth="1"/>
    <col min="4619" max="4619" width="3.5546875" style="25" customWidth="1"/>
    <col min="4620" max="4864" width="9.21875" style="25"/>
    <col min="4865" max="4865" width="8.77734375" style="25" customWidth="1"/>
    <col min="4866" max="4866" width="9.77734375" style="25" customWidth="1"/>
    <col min="4867" max="4867" width="14.44140625" style="25" customWidth="1"/>
    <col min="4868" max="4868" width="7.21875" style="25" customWidth="1"/>
    <col min="4869" max="4869" width="5.5546875" style="25" customWidth="1"/>
    <col min="4870" max="4870" width="9" style="25" customWidth="1"/>
    <col min="4871" max="4872" width="9.77734375" style="25" customWidth="1"/>
    <col min="4873" max="4873" width="11.21875" style="25" customWidth="1"/>
    <col min="4874" max="4874" width="2.77734375" style="25" customWidth="1"/>
    <col min="4875" max="4875" width="3.5546875" style="25" customWidth="1"/>
    <col min="4876" max="5120" width="9.21875" style="25"/>
    <col min="5121" max="5121" width="8.77734375" style="25" customWidth="1"/>
    <col min="5122" max="5122" width="9.77734375" style="25" customWidth="1"/>
    <col min="5123" max="5123" width="14.44140625" style="25" customWidth="1"/>
    <col min="5124" max="5124" width="7.21875" style="25" customWidth="1"/>
    <col min="5125" max="5125" width="5.5546875" style="25" customWidth="1"/>
    <col min="5126" max="5126" width="9" style="25" customWidth="1"/>
    <col min="5127" max="5128" width="9.77734375" style="25" customWidth="1"/>
    <col min="5129" max="5129" width="11.21875" style="25" customWidth="1"/>
    <col min="5130" max="5130" width="2.77734375" style="25" customWidth="1"/>
    <col min="5131" max="5131" width="3.5546875" style="25" customWidth="1"/>
    <col min="5132" max="5376" width="9.21875" style="25"/>
    <col min="5377" max="5377" width="8.77734375" style="25" customWidth="1"/>
    <col min="5378" max="5378" width="9.77734375" style="25" customWidth="1"/>
    <col min="5379" max="5379" width="14.44140625" style="25" customWidth="1"/>
    <col min="5380" max="5380" width="7.21875" style="25" customWidth="1"/>
    <col min="5381" max="5381" width="5.5546875" style="25" customWidth="1"/>
    <col min="5382" max="5382" width="9" style="25" customWidth="1"/>
    <col min="5383" max="5384" width="9.77734375" style="25" customWidth="1"/>
    <col min="5385" max="5385" width="11.21875" style="25" customWidth="1"/>
    <col min="5386" max="5386" width="2.77734375" style="25" customWidth="1"/>
    <col min="5387" max="5387" width="3.5546875" style="25" customWidth="1"/>
    <col min="5388" max="5632" width="9.21875" style="25"/>
    <col min="5633" max="5633" width="8.77734375" style="25" customWidth="1"/>
    <col min="5634" max="5634" width="9.77734375" style="25" customWidth="1"/>
    <col min="5635" max="5635" width="14.44140625" style="25" customWidth="1"/>
    <col min="5636" max="5636" width="7.21875" style="25" customWidth="1"/>
    <col min="5637" max="5637" width="5.5546875" style="25" customWidth="1"/>
    <col min="5638" max="5638" width="9" style="25" customWidth="1"/>
    <col min="5639" max="5640" width="9.77734375" style="25" customWidth="1"/>
    <col min="5641" max="5641" width="11.21875" style="25" customWidth="1"/>
    <col min="5642" max="5642" width="2.77734375" style="25" customWidth="1"/>
    <col min="5643" max="5643" width="3.5546875" style="25" customWidth="1"/>
    <col min="5644" max="5888" width="9.21875" style="25"/>
    <col min="5889" max="5889" width="8.77734375" style="25" customWidth="1"/>
    <col min="5890" max="5890" width="9.77734375" style="25" customWidth="1"/>
    <col min="5891" max="5891" width="14.44140625" style="25" customWidth="1"/>
    <col min="5892" max="5892" width="7.21875" style="25" customWidth="1"/>
    <col min="5893" max="5893" width="5.5546875" style="25" customWidth="1"/>
    <col min="5894" max="5894" width="9" style="25" customWidth="1"/>
    <col min="5895" max="5896" width="9.77734375" style="25" customWidth="1"/>
    <col min="5897" max="5897" width="11.21875" style="25" customWidth="1"/>
    <col min="5898" max="5898" width="2.77734375" style="25" customWidth="1"/>
    <col min="5899" max="5899" width="3.5546875" style="25" customWidth="1"/>
    <col min="5900" max="6144" width="9.21875" style="25"/>
    <col min="6145" max="6145" width="8.77734375" style="25" customWidth="1"/>
    <col min="6146" max="6146" width="9.77734375" style="25" customWidth="1"/>
    <col min="6147" max="6147" width="14.44140625" style="25" customWidth="1"/>
    <col min="6148" max="6148" width="7.21875" style="25" customWidth="1"/>
    <col min="6149" max="6149" width="5.5546875" style="25" customWidth="1"/>
    <col min="6150" max="6150" width="9" style="25" customWidth="1"/>
    <col min="6151" max="6152" width="9.77734375" style="25" customWidth="1"/>
    <col min="6153" max="6153" width="11.21875" style="25" customWidth="1"/>
    <col min="6154" max="6154" width="2.77734375" style="25" customWidth="1"/>
    <col min="6155" max="6155" width="3.5546875" style="25" customWidth="1"/>
    <col min="6156" max="6400" width="9.21875" style="25"/>
    <col min="6401" max="6401" width="8.77734375" style="25" customWidth="1"/>
    <col min="6402" max="6402" width="9.77734375" style="25" customWidth="1"/>
    <col min="6403" max="6403" width="14.44140625" style="25" customWidth="1"/>
    <col min="6404" max="6404" width="7.21875" style="25" customWidth="1"/>
    <col min="6405" max="6405" width="5.5546875" style="25" customWidth="1"/>
    <col min="6406" max="6406" width="9" style="25" customWidth="1"/>
    <col min="6407" max="6408" width="9.77734375" style="25" customWidth="1"/>
    <col min="6409" max="6409" width="11.21875" style="25" customWidth="1"/>
    <col min="6410" max="6410" width="2.77734375" style="25" customWidth="1"/>
    <col min="6411" max="6411" width="3.5546875" style="25" customWidth="1"/>
    <col min="6412" max="6656" width="9.21875" style="25"/>
    <col min="6657" max="6657" width="8.77734375" style="25" customWidth="1"/>
    <col min="6658" max="6658" width="9.77734375" style="25" customWidth="1"/>
    <col min="6659" max="6659" width="14.44140625" style="25" customWidth="1"/>
    <col min="6660" max="6660" width="7.21875" style="25" customWidth="1"/>
    <col min="6661" max="6661" width="5.5546875" style="25" customWidth="1"/>
    <col min="6662" max="6662" width="9" style="25" customWidth="1"/>
    <col min="6663" max="6664" width="9.77734375" style="25" customWidth="1"/>
    <col min="6665" max="6665" width="11.21875" style="25" customWidth="1"/>
    <col min="6666" max="6666" width="2.77734375" style="25" customWidth="1"/>
    <col min="6667" max="6667" width="3.5546875" style="25" customWidth="1"/>
    <col min="6668" max="6912" width="9.21875" style="25"/>
    <col min="6913" max="6913" width="8.77734375" style="25" customWidth="1"/>
    <col min="6914" max="6914" width="9.77734375" style="25" customWidth="1"/>
    <col min="6915" max="6915" width="14.44140625" style="25" customWidth="1"/>
    <col min="6916" max="6916" width="7.21875" style="25" customWidth="1"/>
    <col min="6917" max="6917" width="5.5546875" style="25" customWidth="1"/>
    <col min="6918" max="6918" width="9" style="25" customWidth="1"/>
    <col min="6919" max="6920" width="9.77734375" style="25" customWidth="1"/>
    <col min="6921" max="6921" width="11.21875" style="25" customWidth="1"/>
    <col min="6922" max="6922" width="2.77734375" style="25" customWidth="1"/>
    <col min="6923" max="6923" width="3.5546875" style="25" customWidth="1"/>
    <col min="6924" max="7168" width="9.21875" style="25"/>
    <col min="7169" max="7169" width="8.77734375" style="25" customWidth="1"/>
    <col min="7170" max="7170" width="9.77734375" style="25" customWidth="1"/>
    <col min="7171" max="7171" width="14.44140625" style="25" customWidth="1"/>
    <col min="7172" max="7172" width="7.21875" style="25" customWidth="1"/>
    <col min="7173" max="7173" width="5.5546875" style="25" customWidth="1"/>
    <col min="7174" max="7174" width="9" style="25" customWidth="1"/>
    <col min="7175" max="7176" width="9.77734375" style="25" customWidth="1"/>
    <col min="7177" max="7177" width="11.21875" style="25" customWidth="1"/>
    <col min="7178" max="7178" width="2.77734375" style="25" customWidth="1"/>
    <col min="7179" max="7179" width="3.5546875" style="25" customWidth="1"/>
    <col min="7180" max="7424" width="9.21875" style="25"/>
    <col min="7425" max="7425" width="8.77734375" style="25" customWidth="1"/>
    <col min="7426" max="7426" width="9.77734375" style="25" customWidth="1"/>
    <col min="7427" max="7427" width="14.44140625" style="25" customWidth="1"/>
    <col min="7428" max="7428" width="7.21875" style="25" customWidth="1"/>
    <col min="7429" max="7429" width="5.5546875" style="25" customWidth="1"/>
    <col min="7430" max="7430" width="9" style="25" customWidth="1"/>
    <col min="7431" max="7432" width="9.77734375" style="25" customWidth="1"/>
    <col min="7433" max="7433" width="11.21875" style="25" customWidth="1"/>
    <col min="7434" max="7434" width="2.77734375" style="25" customWidth="1"/>
    <col min="7435" max="7435" width="3.5546875" style="25" customWidth="1"/>
    <col min="7436" max="7680" width="9.21875" style="25"/>
    <col min="7681" max="7681" width="8.77734375" style="25" customWidth="1"/>
    <col min="7682" max="7682" width="9.77734375" style="25" customWidth="1"/>
    <col min="7683" max="7683" width="14.44140625" style="25" customWidth="1"/>
    <col min="7684" max="7684" width="7.21875" style="25" customWidth="1"/>
    <col min="7685" max="7685" width="5.5546875" style="25" customWidth="1"/>
    <col min="7686" max="7686" width="9" style="25" customWidth="1"/>
    <col min="7687" max="7688" width="9.77734375" style="25" customWidth="1"/>
    <col min="7689" max="7689" width="11.21875" style="25" customWidth="1"/>
    <col min="7690" max="7690" width="2.77734375" style="25" customWidth="1"/>
    <col min="7691" max="7691" width="3.5546875" style="25" customWidth="1"/>
    <col min="7692" max="7936" width="9.21875" style="25"/>
    <col min="7937" max="7937" width="8.77734375" style="25" customWidth="1"/>
    <col min="7938" max="7938" width="9.77734375" style="25" customWidth="1"/>
    <col min="7939" max="7939" width="14.44140625" style="25" customWidth="1"/>
    <col min="7940" max="7940" width="7.21875" style="25" customWidth="1"/>
    <col min="7941" max="7941" width="5.5546875" style="25" customWidth="1"/>
    <col min="7942" max="7942" width="9" style="25" customWidth="1"/>
    <col min="7943" max="7944" width="9.77734375" style="25" customWidth="1"/>
    <col min="7945" max="7945" width="11.21875" style="25" customWidth="1"/>
    <col min="7946" max="7946" width="2.77734375" style="25" customWidth="1"/>
    <col min="7947" max="7947" width="3.5546875" style="25" customWidth="1"/>
    <col min="7948" max="8192" width="9.21875" style="25"/>
    <col min="8193" max="8193" width="8.77734375" style="25" customWidth="1"/>
    <col min="8194" max="8194" width="9.77734375" style="25" customWidth="1"/>
    <col min="8195" max="8195" width="14.44140625" style="25" customWidth="1"/>
    <col min="8196" max="8196" width="7.21875" style="25" customWidth="1"/>
    <col min="8197" max="8197" width="5.5546875" style="25" customWidth="1"/>
    <col min="8198" max="8198" width="9" style="25" customWidth="1"/>
    <col min="8199" max="8200" width="9.77734375" style="25" customWidth="1"/>
    <col min="8201" max="8201" width="11.21875" style="25" customWidth="1"/>
    <col min="8202" max="8202" width="2.77734375" style="25" customWidth="1"/>
    <col min="8203" max="8203" width="3.5546875" style="25" customWidth="1"/>
    <col min="8204" max="8448" width="9.21875" style="25"/>
    <col min="8449" max="8449" width="8.77734375" style="25" customWidth="1"/>
    <col min="8450" max="8450" width="9.77734375" style="25" customWidth="1"/>
    <col min="8451" max="8451" width="14.44140625" style="25" customWidth="1"/>
    <col min="8452" max="8452" width="7.21875" style="25" customWidth="1"/>
    <col min="8453" max="8453" width="5.5546875" style="25" customWidth="1"/>
    <col min="8454" max="8454" width="9" style="25" customWidth="1"/>
    <col min="8455" max="8456" width="9.77734375" style="25" customWidth="1"/>
    <col min="8457" max="8457" width="11.21875" style="25" customWidth="1"/>
    <col min="8458" max="8458" width="2.77734375" style="25" customWidth="1"/>
    <col min="8459" max="8459" width="3.5546875" style="25" customWidth="1"/>
    <col min="8460" max="8704" width="9.21875" style="25"/>
    <col min="8705" max="8705" width="8.77734375" style="25" customWidth="1"/>
    <col min="8706" max="8706" width="9.77734375" style="25" customWidth="1"/>
    <col min="8707" max="8707" width="14.44140625" style="25" customWidth="1"/>
    <col min="8708" max="8708" width="7.21875" style="25" customWidth="1"/>
    <col min="8709" max="8709" width="5.5546875" style="25" customWidth="1"/>
    <col min="8710" max="8710" width="9" style="25" customWidth="1"/>
    <col min="8711" max="8712" width="9.77734375" style="25" customWidth="1"/>
    <col min="8713" max="8713" width="11.21875" style="25" customWidth="1"/>
    <col min="8714" max="8714" width="2.77734375" style="25" customWidth="1"/>
    <col min="8715" max="8715" width="3.5546875" style="25" customWidth="1"/>
    <col min="8716" max="8960" width="9.21875" style="25"/>
    <col min="8961" max="8961" width="8.77734375" style="25" customWidth="1"/>
    <col min="8962" max="8962" width="9.77734375" style="25" customWidth="1"/>
    <col min="8963" max="8963" width="14.44140625" style="25" customWidth="1"/>
    <col min="8964" max="8964" width="7.21875" style="25" customWidth="1"/>
    <col min="8965" max="8965" width="5.5546875" style="25" customWidth="1"/>
    <col min="8966" max="8966" width="9" style="25" customWidth="1"/>
    <col min="8967" max="8968" width="9.77734375" style="25" customWidth="1"/>
    <col min="8969" max="8969" width="11.21875" style="25" customWidth="1"/>
    <col min="8970" max="8970" width="2.77734375" style="25" customWidth="1"/>
    <col min="8971" max="8971" width="3.5546875" style="25" customWidth="1"/>
    <col min="8972" max="9216" width="9.21875" style="25"/>
    <col min="9217" max="9217" width="8.77734375" style="25" customWidth="1"/>
    <col min="9218" max="9218" width="9.77734375" style="25" customWidth="1"/>
    <col min="9219" max="9219" width="14.44140625" style="25" customWidth="1"/>
    <col min="9220" max="9220" width="7.21875" style="25" customWidth="1"/>
    <col min="9221" max="9221" width="5.5546875" style="25" customWidth="1"/>
    <col min="9222" max="9222" width="9" style="25" customWidth="1"/>
    <col min="9223" max="9224" width="9.77734375" style="25" customWidth="1"/>
    <col min="9225" max="9225" width="11.21875" style="25" customWidth="1"/>
    <col min="9226" max="9226" width="2.77734375" style="25" customWidth="1"/>
    <col min="9227" max="9227" width="3.5546875" style="25" customWidth="1"/>
    <col min="9228" max="9472" width="9.21875" style="25"/>
    <col min="9473" max="9473" width="8.77734375" style="25" customWidth="1"/>
    <col min="9474" max="9474" width="9.77734375" style="25" customWidth="1"/>
    <col min="9475" max="9475" width="14.44140625" style="25" customWidth="1"/>
    <col min="9476" max="9476" width="7.21875" style="25" customWidth="1"/>
    <col min="9477" max="9477" width="5.5546875" style="25" customWidth="1"/>
    <col min="9478" max="9478" width="9" style="25" customWidth="1"/>
    <col min="9479" max="9480" width="9.77734375" style="25" customWidth="1"/>
    <col min="9481" max="9481" width="11.21875" style="25" customWidth="1"/>
    <col min="9482" max="9482" width="2.77734375" style="25" customWidth="1"/>
    <col min="9483" max="9483" width="3.5546875" style="25" customWidth="1"/>
    <col min="9484" max="9728" width="9.21875" style="25"/>
    <col min="9729" max="9729" width="8.77734375" style="25" customWidth="1"/>
    <col min="9730" max="9730" width="9.77734375" style="25" customWidth="1"/>
    <col min="9731" max="9731" width="14.44140625" style="25" customWidth="1"/>
    <col min="9732" max="9732" width="7.21875" style="25" customWidth="1"/>
    <col min="9733" max="9733" width="5.5546875" style="25" customWidth="1"/>
    <col min="9734" max="9734" width="9" style="25" customWidth="1"/>
    <col min="9735" max="9736" width="9.77734375" style="25" customWidth="1"/>
    <col min="9737" max="9737" width="11.21875" style="25" customWidth="1"/>
    <col min="9738" max="9738" width="2.77734375" style="25" customWidth="1"/>
    <col min="9739" max="9739" width="3.5546875" style="25" customWidth="1"/>
    <col min="9740" max="9984" width="9.21875" style="25"/>
    <col min="9985" max="9985" width="8.77734375" style="25" customWidth="1"/>
    <col min="9986" max="9986" width="9.77734375" style="25" customWidth="1"/>
    <col min="9987" max="9987" width="14.44140625" style="25" customWidth="1"/>
    <col min="9988" max="9988" width="7.21875" style="25" customWidth="1"/>
    <col min="9989" max="9989" width="5.5546875" style="25" customWidth="1"/>
    <col min="9990" max="9990" width="9" style="25" customWidth="1"/>
    <col min="9991" max="9992" width="9.77734375" style="25" customWidth="1"/>
    <col min="9993" max="9993" width="11.21875" style="25" customWidth="1"/>
    <col min="9994" max="9994" width="2.77734375" style="25" customWidth="1"/>
    <col min="9995" max="9995" width="3.5546875" style="25" customWidth="1"/>
    <col min="9996" max="10240" width="9.21875" style="25"/>
    <col min="10241" max="10241" width="8.77734375" style="25" customWidth="1"/>
    <col min="10242" max="10242" width="9.77734375" style="25" customWidth="1"/>
    <col min="10243" max="10243" width="14.44140625" style="25" customWidth="1"/>
    <col min="10244" max="10244" width="7.21875" style="25" customWidth="1"/>
    <col min="10245" max="10245" width="5.5546875" style="25" customWidth="1"/>
    <col min="10246" max="10246" width="9" style="25" customWidth="1"/>
    <col min="10247" max="10248" width="9.77734375" style="25" customWidth="1"/>
    <col min="10249" max="10249" width="11.21875" style="25" customWidth="1"/>
    <col min="10250" max="10250" width="2.77734375" style="25" customWidth="1"/>
    <col min="10251" max="10251" width="3.5546875" style="25" customWidth="1"/>
    <col min="10252" max="10496" width="9.21875" style="25"/>
    <col min="10497" max="10497" width="8.77734375" style="25" customWidth="1"/>
    <col min="10498" max="10498" width="9.77734375" style="25" customWidth="1"/>
    <col min="10499" max="10499" width="14.44140625" style="25" customWidth="1"/>
    <col min="10500" max="10500" width="7.21875" style="25" customWidth="1"/>
    <col min="10501" max="10501" width="5.5546875" style="25" customWidth="1"/>
    <col min="10502" max="10502" width="9" style="25" customWidth="1"/>
    <col min="10503" max="10504" width="9.77734375" style="25" customWidth="1"/>
    <col min="10505" max="10505" width="11.21875" style="25" customWidth="1"/>
    <col min="10506" max="10506" width="2.77734375" style="25" customWidth="1"/>
    <col min="10507" max="10507" width="3.5546875" style="25" customWidth="1"/>
    <col min="10508" max="10752" width="9.21875" style="25"/>
    <col min="10753" max="10753" width="8.77734375" style="25" customWidth="1"/>
    <col min="10754" max="10754" width="9.77734375" style="25" customWidth="1"/>
    <col min="10755" max="10755" width="14.44140625" style="25" customWidth="1"/>
    <col min="10756" max="10756" width="7.21875" style="25" customWidth="1"/>
    <col min="10757" max="10757" width="5.5546875" style="25" customWidth="1"/>
    <col min="10758" max="10758" width="9" style="25" customWidth="1"/>
    <col min="10759" max="10760" width="9.77734375" style="25" customWidth="1"/>
    <col min="10761" max="10761" width="11.21875" style="25" customWidth="1"/>
    <col min="10762" max="10762" width="2.77734375" style="25" customWidth="1"/>
    <col min="10763" max="10763" width="3.5546875" style="25" customWidth="1"/>
    <col min="10764" max="11008" width="9.21875" style="25"/>
    <col min="11009" max="11009" width="8.77734375" style="25" customWidth="1"/>
    <col min="11010" max="11010" width="9.77734375" style="25" customWidth="1"/>
    <col min="11011" max="11011" width="14.44140625" style="25" customWidth="1"/>
    <col min="11012" max="11012" width="7.21875" style="25" customWidth="1"/>
    <col min="11013" max="11013" width="5.5546875" style="25" customWidth="1"/>
    <col min="11014" max="11014" width="9" style="25" customWidth="1"/>
    <col min="11015" max="11016" width="9.77734375" style="25" customWidth="1"/>
    <col min="11017" max="11017" width="11.21875" style="25" customWidth="1"/>
    <col min="11018" max="11018" width="2.77734375" style="25" customWidth="1"/>
    <col min="11019" max="11019" width="3.5546875" style="25" customWidth="1"/>
    <col min="11020" max="11264" width="9.21875" style="25"/>
    <col min="11265" max="11265" width="8.77734375" style="25" customWidth="1"/>
    <col min="11266" max="11266" width="9.77734375" style="25" customWidth="1"/>
    <col min="11267" max="11267" width="14.44140625" style="25" customWidth="1"/>
    <col min="11268" max="11268" width="7.21875" style="25" customWidth="1"/>
    <col min="11269" max="11269" width="5.5546875" style="25" customWidth="1"/>
    <col min="11270" max="11270" width="9" style="25" customWidth="1"/>
    <col min="11271" max="11272" width="9.77734375" style="25" customWidth="1"/>
    <col min="11273" max="11273" width="11.21875" style="25" customWidth="1"/>
    <col min="11274" max="11274" width="2.77734375" style="25" customWidth="1"/>
    <col min="11275" max="11275" width="3.5546875" style="25" customWidth="1"/>
    <col min="11276" max="11520" width="9.21875" style="25"/>
    <col min="11521" max="11521" width="8.77734375" style="25" customWidth="1"/>
    <col min="11522" max="11522" width="9.77734375" style="25" customWidth="1"/>
    <col min="11523" max="11523" width="14.44140625" style="25" customWidth="1"/>
    <col min="11524" max="11524" width="7.21875" style="25" customWidth="1"/>
    <col min="11525" max="11525" width="5.5546875" style="25" customWidth="1"/>
    <col min="11526" max="11526" width="9" style="25" customWidth="1"/>
    <col min="11527" max="11528" width="9.77734375" style="25" customWidth="1"/>
    <col min="11529" max="11529" width="11.21875" style="25" customWidth="1"/>
    <col min="11530" max="11530" width="2.77734375" style="25" customWidth="1"/>
    <col min="11531" max="11531" width="3.5546875" style="25" customWidth="1"/>
    <col min="11532" max="11776" width="9.21875" style="25"/>
    <col min="11777" max="11777" width="8.77734375" style="25" customWidth="1"/>
    <col min="11778" max="11778" width="9.77734375" style="25" customWidth="1"/>
    <col min="11779" max="11779" width="14.44140625" style="25" customWidth="1"/>
    <col min="11780" max="11780" width="7.21875" style="25" customWidth="1"/>
    <col min="11781" max="11781" width="5.5546875" style="25" customWidth="1"/>
    <col min="11782" max="11782" width="9" style="25" customWidth="1"/>
    <col min="11783" max="11784" width="9.77734375" style="25" customWidth="1"/>
    <col min="11785" max="11785" width="11.21875" style="25" customWidth="1"/>
    <col min="11786" max="11786" width="2.77734375" style="25" customWidth="1"/>
    <col min="11787" max="11787" width="3.5546875" style="25" customWidth="1"/>
    <col min="11788" max="12032" width="9.21875" style="25"/>
    <col min="12033" max="12033" width="8.77734375" style="25" customWidth="1"/>
    <col min="12034" max="12034" width="9.77734375" style="25" customWidth="1"/>
    <col min="12035" max="12035" width="14.44140625" style="25" customWidth="1"/>
    <col min="12036" max="12036" width="7.21875" style="25" customWidth="1"/>
    <col min="12037" max="12037" width="5.5546875" style="25" customWidth="1"/>
    <col min="12038" max="12038" width="9" style="25" customWidth="1"/>
    <col min="12039" max="12040" width="9.77734375" style="25" customWidth="1"/>
    <col min="12041" max="12041" width="11.21875" style="25" customWidth="1"/>
    <col min="12042" max="12042" width="2.77734375" style="25" customWidth="1"/>
    <col min="12043" max="12043" width="3.5546875" style="25" customWidth="1"/>
    <col min="12044" max="12288" width="9.21875" style="25"/>
    <col min="12289" max="12289" width="8.77734375" style="25" customWidth="1"/>
    <col min="12290" max="12290" width="9.77734375" style="25" customWidth="1"/>
    <col min="12291" max="12291" width="14.44140625" style="25" customWidth="1"/>
    <col min="12292" max="12292" width="7.21875" style="25" customWidth="1"/>
    <col min="12293" max="12293" width="5.5546875" style="25" customWidth="1"/>
    <col min="12294" max="12294" width="9" style="25" customWidth="1"/>
    <col min="12295" max="12296" width="9.77734375" style="25" customWidth="1"/>
    <col min="12297" max="12297" width="11.21875" style="25" customWidth="1"/>
    <col min="12298" max="12298" width="2.77734375" style="25" customWidth="1"/>
    <col min="12299" max="12299" width="3.5546875" style="25" customWidth="1"/>
    <col min="12300" max="12544" width="9.21875" style="25"/>
    <col min="12545" max="12545" width="8.77734375" style="25" customWidth="1"/>
    <col min="12546" max="12546" width="9.77734375" style="25" customWidth="1"/>
    <col min="12547" max="12547" width="14.44140625" style="25" customWidth="1"/>
    <col min="12548" max="12548" width="7.21875" style="25" customWidth="1"/>
    <col min="12549" max="12549" width="5.5546875" style="25" customWidth="1"/>
    <col min="12550" max="12550" width="9" style="25" customWidth="1"/>
    <col min="12551" max="12552" width="9.77734375" style="25" customWidth="1"/>
    <col min="12553" max="12553" width="11.21875" style="25" customWidth="1"/>
    <col min="12554" max="12554" width="2.77734375" style="25" customWidth="1"/>
    <col min="12555" max="12555" width="3.5546875" style="25" customWidth="1"/>
    <col min="12556" max="12800" width="9.21875" style="25"/>
    <col min="12801" max="12801" width="8.77734375" style="25" customWidth="1"/>
    <col min="12802" max="12802" width="9.77734375" style="25" customWidth="1"/>
    <col min="12803" max="12803" width="14.44140625" style="25" customWidth="1"/>
    <col min="12804" max="12804" width="7.21875" style="25" customWidth="1"/>
    <col min="12805" max="12805" width="5.5546875" style="25" customWidth="1"/>
    <col min="12806" max="12806" width="9" style="25" customWidth="1"/>
    <col min="12807" max="12808" width="9.77734375" style="25" customWidth="1"/>
    <col min="12809" max="12809" width="11.21875" style="25" customWidth="1"/>
    <col min="12810" max="12810" width="2.77734375" style="25" customWidth="1"/>
    <col min="12811" max="12811" width="3.5546875" style="25" customWidth="1"/>
    <col min="12812" max="13056" width="9.21875" style="25"/>
    <col min="13057" max="13057" width="8.77734375" style="25" customWidth="1"/>
    <col min="13058" max="13058" width="9.77734375" style="25" customWidth="1"/>
    <col min="13059" max="13059" width="14.44140625" style="25" customWidth="1"/>
    <col min="13060" max="13060" width="7.21875" style="25" customWidth="1"/>
    <col min="13061" max="13061" width="5.5546875" style="25" customWidth="1"/>
    <col min="13062" max="13062" width="9" style="25" customWidth="1"/>
    <col min="13063" max="13064" width="9.77734375" style="25" customWidth="1"/>
    <col min="13065" max="13065" width="11.21875" style="25" customWidth="1"/>
    <col min="13066" max="13066" width="2.77734375" style="25" customWidth="1"/>
    <col min="13067" max="13067" width="3.5546875" style="25" customWidth="1"/>
    <col min="13068" max="13312" width="9.21875" style="25"/>
    <col min="13313" max="13313" width="8.77734375" style="25" customWidth="1"/>
    <col min="13314" max="13314" width="9.77734375" style="25" customWidth="1"/>
    <col min="13315" max="13315" width="14.44140625" style="25" customWidth="1"/>
    <col min="13316" max="13316" width="7.21875" style="25" customWidth="1"/>
    <col min="13317" max="13317" width="5.5546875" style="25" customWidth="1"/>
    <col min="13318" max="13318" width="9" style="25" customWidth="1"/>
    <col min="13319" max="13320" width="9.77734375" style="25" customWidth="1"/>
    <col min="13321" max="13321" width="11.21875" style="25" customWidth="1"/>
    <col min="13322" max="13322" width="2.77734375" style="25" customWidth="1"/>
    <col min="13323" max="13323" width="3.5546875" style="25" customWidth="1"/>
    <col min="13324" max="13568" width="9.21875" style="25"/>
    <col min="13569" max="13569" width="8.77734375" style="25" customWidth="1"/>
    <col min="13570" max="13570" width="9.77734375" style="25" customWidth="1"/>
    <col min="13571" max="13571" width="14.44140625" style="25" customWidth="1"/>
    <col min="13572" max="13572" width="7.21875" style="25" customWidth="1"/>
    <col min="13573" max="13573" width="5.5546875" style="25" customWidth="1"/>
    <col min="13574" max="13574" width="9" style="25" customWidth="1"/>
    <col min="13575" max="13576" width="9.77734375" style="25" customWidth="1"/>
    <col min="13577" max="13577" width="11.21875" style="25" customWidth="1"/>
    <col min="13578" max="13578" width="2.77734375" style="25" customWidth="1"/>
    <col min="13579" max="13579" width="3.5546875" style="25" customWidth="1"/>
    <col min="13580" max="13824" width="9.21875" style="25"/>
    <col min="13825" max="13825" width="8.77734375" style="25" customWidth="1"/>
    <col min="13826" max="13826" width="9.77734375" style="25" customWidth="1"/>
    <col min="13827" max="13827" width="14.44140625" style="25" customWidth="1"/>
    <col min="13828" max="13828" width="7.21875" style="25" customWidth="1"/>
    <col min="13829" max="13829" width="5.5546875" style="25" customWidth="1"/>
    <col min="13830" max="13830" width="9" style="25" customWidth="1"/>
    <col min="13831" max="13832" width="9.77734375" style="25" customWidth="1"/>
    <col min="13833" max="13833" width="11.21875" style="25" customWidth="1"/>
    <col min="13834" max="13834" width="2.77734375" style="25" customWidth="1"/>
    <col min="13835" max="13835" width="3.5546875" style="25" customWidth="1"/>
    <col min="13836" max="14080" width="9.21875" style="25"/>
    <col min="14081" max="14081" width="8.77734375" style="25" customWidth="1"/>
    <col min="14082" max="14082" width="9.77734375" style="25" customWidth="1"/>
    <col min="14083" max="14083" width="14.44140625" style="25" customWidth="1"/>
    <col min="14084" max="14084" width="7.21875" style="25" customWidth="1"/>
    <col min="14085" max="14085" width="5.5546875" style="25" customWidth="1"/>
    <col min="14086" max="14086" width="9" style="25" customWidth="1"/>
    <col min="14087" max="14088" width="9.77734375" style="25" customWidth="1"/>
    <col min="14089" max="14089" width="11.21875" style="25" customWidth="1"/>
    <col min="14090" max="14090" width="2.77734375" style="25" customWidth="1"/>
    <col min="14091" max="14091" width="3.5546875" style="25" customWidth="1"/>
    <col min="14092" max="14336" width="9.21875" style="25"/>
    <col min="14337" max="14337" width="8.77734375" style="25" customWidth="1"/>
    <col min="14338" max="14338" width="9.77734375" style="25" customWidth="1"/>
    <col min="14339" max="14339" width="14.44140625" style="25" customWidth="1"/>
    <col min="14340" max="14340" width="7.21875" style="25" customWidth="1"/>
    <col min="14341" max="14341" width="5.5546875" style="25" customWidth="1"/>
    <col min="14342" max="14342" width="9" style="25" customWidth="1"/>
    <col min="14343" max="14344" width="9.77734375" style="25" customWidth="1"/>
    <col min="14345" max="14345" width="11.21875" style="25" customWidth="1"/>
    <col min="14346" max="14346" width="2.77734375" style="25" customWidth="1"/>
    <col min="14347" max="14347" width="3.5546875" style="25" customWidth="1"/>
    <col min="14348" max="14592" width="9.21875" style="25"/>
    <col min="14593" max="14593" width="8.77734375" style="25" customWidth="1"/>
    <col min="14594" max="14594" width="9.77734375" style="25" customWidth="1"/>
    <col min="14595" max="14595" width="14.44140625" style="25" customWidth="1"/>
    <col min="14596" max="14596" width="7.21875" style="25" customWidth="1"/>
    <col min="14597" max="14597" width="5.5546875" style="25" customWidth="1"/>
    <col min="14598" max="14598" width="9" style="25" customWidth="1"/>
    <col min="14599" max="14600" width="9.77734375" style="25" customWidth="1"/>
    <col min="14601" max="14601" width="11.21875" style="25" customWidth="1"/>
    <col min="14602" max="14602" width="2.77734375" style="25" customWidth="1"/>
    <col min="14603" max="14603" width="3.5546875" style="25" customWidth="1"/>
    <col min="14604" max="14848" width="9.21875" style="25"/>
    <col min="14849" max="14849" width="8.77734375" style="25" customWidth="1"/>
    <col min="14850" max="14850" width="9.77734375" style="25" customWidth="1"/>
    <col min="14851" max="14851" width="14.44140625" style="25" customWidth="1"/>
    <col min="14852" max="14852" width="7.21875" style="25" customWidth="1"/>
    <col min="14853" max="14853" width="5.5546875" style="25" customWidth="1"/>
    <col min="14854" max="14854" width="9" style="25" customWidth="1"/>
    <col min="14855" max="14856" width="9.77734375" style="25" customWidth="1"/>
    <col min="14857" max="14857" width="11.21875" style="25" customWidth="1"/>
    <col min="14858" max="14858" width="2.77734375" style="25" customWidth="1"/>
    <col min="14859" max="14859" width="3.5546875" style="25" customWidth="1"/>
    <col min="14860" max="15104" width="9.21875" style="25"/>
    <col min="15105" max="15105" width="8.77734375" style="25" customWidth="1"/>
    <col min="15106" max="15106" width="9.77734375" style="25" customWidth="1"/>
    <col min="15107" max="15107" width="14.44140625" style="25" customWidth="1"/>
    <col min="15108" max="15108" width="7.21875" style="25" customWidth="1"/>
    <col min="15109" max="15109" width="5.5546875" style="25" customWidth="1"/>
    <col min="15110" max="15110" width="9" style="25" customWidth="1"/>
    <col min="15111" max="15112" width="9.77734375" style="25" customWidth="1"/>
    <col min="15113" max="15113" width="11.21875" style="25" customWidth="1"/>
    <col min="15114" max="15114" width="2.77734375" style="25" customWidth="1"/>
    <col min="15115" max="15115" width="3.5546875" style="25" customWidth="1"/>
    <col min="15116" max="15360" width="9.21875" style="25"/>
    <col min="15361" max="15361" width="8.77734375" style="25" customWidth="1"/>
    <col min="15362" max="15362" width="9.77734375" style="25" customWidth="1"/>
    <col min="15363" max="15363" width="14.44140625" style="25" customWidth="1"/>
    <col min="15364" max="15364" width="7.21875" style="25" customWidth="1"/>
    <col min="15365" max="15365" width="5.5546875" style="25" customWidth="1"/>
    <col min="15366" max="15366" width="9" style="25" customWidth="1"/>
    <col min="15367" max="15368" width="9.77734375" style="25" customWidth="1"/>
    <col min="15369" max="15369" width="11.21875" style="25" customWidth="1"/>
    <col min="15370" max="15370" width="2.77734375" style="25" customWidth="1"/>
    <col min="15371" max="15371" width="3.5546875" style="25" customWidth="1"/>
    <col min="15372" max="15616" width="9.21875" style="25"/>
    <col min="15617" max="15617" width="8.77734375" style="25" customWidth="1"/>
    <col min="15618" max="15618" width="9.77734375" style="25" customWidth="1"/>
    <col min="15619" max="15619" width="14.44140625" style="25" customWidth="1"/>
    <col min="15620" max="15620" width="7.21875" style="25" customWidth="1"/>
    <col min="15621" max="15621" width="5.5546875" style="25" customWidth="1"/>
    <col min="15622" max="15622" width="9" style="25" customWidth="1"/>
    <col min="15623" max="15624" width="9.77734375" style="25" customWidth="1"/>
    <col min="15625" max="15625" width="11.21875" style="25" customWidth="1"/>
    <col min="15626" max="15626" width="2.77734375" style="25" customWidth="1"/>
    <col min="15627" max="15627" width="3.5546875" style="25" customWidth="1"/>
    <col min="15628" max="15872" width="9.21875" style="25"/>
    <col min="15873" max="15873" width="8.77734375" style="25" customWidth="1"/>
    <col min="15874" max="15874" width="9.77734375" style="25" customWidth="1"/>
    <col min="15875" max="15875" width="14.44140625" style="25" customWidth="1"/>
    <col min="15876" max="15876" width="7.21875" style="25" customWidth="1"/>
    <col min="15877" max="15877" width="5.5546875" style="25" customWidth="1"/>
    <col min="15878" max="15878" width="9" style="25" customWidth="1"/>
    <col min="15879" max="15880" width="9.77734375" style="25" customWidth="1"/>
    <col min="15881" max="15881" width="11.21875" style="25" customWidth="1"/>
    <col min="15882" max="15882" width="2.77734375" style="25" customWidth="1"/>
    <col min="15883" max="15883" width="3.5546875" style="25" customWidth="1"/>
    <col min="15884" max="16128" width="9.21875" style="25"/>
    <col min="16129" max="16129" width="8.77734375" style="25" customWidth="1"/>
    <col min="16130" max="16130" width="9.77734375" style="25" customWidth="1"/>
    <col min="16131" max="16131" width="14.44140625" style="25" customWidth="1"/>
    <col min="16132" max="16132" width="7.21875" style="25" customWidth="1"/>
    <col min="16133" max="16133" width="5.5546875" style="25" customWidth="1"/>
    <col min="16134" max="16134" width="9" style="25" customWidth="1"/>
    <col min="16135" max="16136" width="9.77734375" style="25" customWidth="1"/>
    <col min="16137" max="16137" width="11.21875" style="25" customWidth="1"/>
    <col min="16138" max="16138" width="2.77734375" style="25" customWidth="1"/>
    <col min="16139" max="16139" width="3.5546875" style="25" customWidth="1"/>
    <col min="16140" max="16384" width="9.21875" style="25"/>
  </cols>
  <sheetData>
    <row r="1" spans="1:15" ht="46.5" customHeight="1" x14ac:dyDescent="0.3">
      <c r="A1" s="203" t="s">
        <v>208</v>
      </c>
      <c r="B1" s="204"/>
      <c r="C1" s="204"/>
      <c r="D1" s="204"/>
      <c r="E1" s="204"/>
      <c r="F1" s="204"/>
      <c r="G1" s="204"/>
      <c r="H1" s="204"/>
      <c r="I1" s="204"/>
      <c r="J1" s="205"/>
    </row>
    <row r="2" spans="1:15" ht="16.5" customHeight="1" x14ac:dyDescent="0.3">
      <c r="A2" s="145" t="s">
        <v>0</v>
      </c>
      <c r="B2" s="146"/>
      <c r="C2" s="146"/>
      <c r="D2" s="146"/>
      <c r="E2" s="146"/>
      <c r="F2" s="146"/>
      <c r="G2" s="146"/>
      <c r="H2" s="146"/>
      <c r="I2" s="146"/>
      <c r="J2" s="147"/>
    </row>
    <row r="3" spans="1:15" x14ac:dyDescent="0.3">
      <c r="A3" s="124" t="s">
        <v>1</v>
      </c>
      <c r="B3" s="74"/>
      <c r="C3" s="74"/>
      <c r="D3" s="74"/>
      <c r="E3" s="75"/>
      <c r="F3" s="76" t="str">
        <f ca="1">TEXT(TODAY(),"DD/MM/YYYY")</f>
        <v>10/09/2025</v>
      </c>
      <c r="G3" s="74"/>
      <c r="H3" s="74"/>
      <c r="I3" s="74"/>
      <c r="J3" s="75"/>
    </row>
    <row r="4" spans="1:15" ht="15" customHeight="1" x14ac:dyDescent="0.3">
      <c r="A4" s="124" t="s">
        <v>2</v>
      </c>
      <c r="B4" s="74"/>
      <c r="C4" s="74"/>
      <c r="D4" s="74"/>
      <c r="E4" s="75"/>
      <c r="F4" s="189" t="s">
        <v>209</v>
      </c>
      <c r="G4" s="190"/>
      <c r="H4" s="190"/>
      <c r="I4" s="190"/>
      <c r="J4" s="191"/>
    </row>
    <row r="5" spans="1:15" x14ac:dyDescent="0.3">
      <c r="A5" s="124" t="s">
        <v>3</v>
      </c>
      <c r="B5" s="74"/>
      <c r="C5" s="74"/>
      <c r="D5" s="74"/>
      <c r="E5" s="75"/>
      <c r="F5" s="76">
        <v>45908</v>
      </c>
      <c r="G5" s="206"/>
      <c r="H5" s="206"/>
      <c r="I5" s="206"/>
      <c r="J5" s="207"/>
    </row>
    <row r="6" spans="1:15" ht="16.5" customHeight="1" x14ac:dyDescent="0.3">
      <c r="A6" s="124" t="s">
        <v>4</v>
      </c>
      <c r="B6" s="74"/>
      <c r="C6" s="74"/>
      <c r="D6" s="74"/>
      <c r="E6" s="75"/>
      <c r="F6" s="73" t="s">
        <v>134</v>
      </c>
      <c r="G6" s="125"/>
      <c r="H6" s="125"/>
      <c r="I6" s="125"/>
      <c r="J6" s="126"/>
    </row>
    <row r="7" spans="1:15" ht="15" customHeight="1" x14ac:dyDescent="0.3">
      <c r="A7" s="124" t="s">
        <v>5</v>
      </c>
      <c r="B7" s="74"/>
      <c r="C7" s="74"/>
      <c r="D7" s="74"/>
      <c r="E7" s="75"/>
      <c r="F7" s="73" t="str">
        <f>F6</f>
        <v xml:space="preserve">M/s.Khatri Realty
</v>
      </c>
      <c r="G7" s="125"/>
      <c r="H7" s="125"/>
      <c r="I7" s="125"/>
      <c r="J7" s="126"/>
    </row>
    <row r="8" spans="1:15" x14ac:dyDescent="0.3">
      <c r="A8" s="124" t="s">
        <v>6</v>
      </c>
      <c r="B8" s="74"/>
      <c r="C8" s="74"/>
      <c r="D8" s="74"/>
      <c r="E8" s="75"/>
      <c r="F8" s="161" t="s">
        <v>135</v>
      </c>
      <c r="G8" s="162"/>
      <c r="H8" s="162"/>
      <c r="I8" s="162"/>
      <c r="J8" s="163"/>
    </row>
    <row r="9" spans="1:15" x14ac:dyDescent="0.3">
      <c r="A9" s="124" t="s">
        <v>211</v>
      </c>
      <c r="B9" s="74"/>
      <c r="C9" s="74"/>
      <c r="D9" s="74"/>
      <c r="E9" s="75"/>
      <c r="F9" s="124">
        <v>9763095556</v>
      </c>
      <c r="G9" s="74"/>
      <c r="H9" s="74"/>
      <c r="I9" s="74"/>
      <c r="J9" s="75"/>
    </row>
    <row r="10" spans="1:15" x14ac:dyDescent="0.3">
      <c r="A10" s="124" t="s">
        <v>212</v>
      </c>
      <c r="B10" s="74"/>
      <c r="C10" s="74"/>
      <c r="D10" s="74"/>
      <c r="E10" s="75"/>
      <c r="F10" s="124" t="s">
        <v>32</v>
      </c>
      <c r="G10" s="74"/>
      <c r="H10" s="74"/>
      <c r="I10" s="74"/>
      <c r="J10" s="75"/>
      <c r="K10" s="124" t="s">
        <v>252</v>
      </c>
      <c r="L10" s="74"/>
      <c r="M10" s="74"/>
      <c r="N10" s="74"/>
      <c r="O10" s="75"/>
    </row>
    <row r="11" spans="1:15" x14ac:dyDescent="0.3">
      <c r="A11" s="124" t="s">
        <v>7</v>
      </c>
      <c r="B11" s="74"/>
      <c r="C11" s="74"/>
      <c r="D11" s="74"/>
      <c r="E11" s="75"/>
      <c r="F11" s="87" t="s">
        <v>210</v>
      </c>
      <c r="G11" s="88"/>
      <c r="H11" s="88"/>
      <c r="I11" s="88"/>
      <c r="J11" s="89"/>
    </row>
    <row r="12" spans="1:15" ht="16.5" customHeight="1" x14ac:dyDescent="0.3">
      <c r="A12" s="124" t="s">
        <v>8</v>
      </c>
      <c r="B12" s="74"/>
      <c r="C12" s="74"/>
      <c r="D12" s="74"/>
      <c r="E12" s="75"/>
      <c r="F12" s="87" t="s">
        <v>246</v>
      </c>
      <c r="G12" s="88"/>
      <c r="H12" s="88"/>
      <c r="I12" s="88"/>
      <c r="J12" s="89"/>
    </row>
    <row r="13" spans="1:15" x14ac:dyDescent="0.3">
      <c r="A13" s="124" t="s">
        <v>132</v>
      </c>
      <c r="B13" s="74"/>
      <c r="C13" s="74"/>
      <c r="D13" s="74"/>
      <c r="E13" s="75"/>
      <c r="F13" s="73" t="s">
        <v>136</v>
      </c>
      <c r="G13" s="74"/>
      <c r="H13" s="74"/>
      <c r="I13" s="74"/>
      <c r="J13" s="75"/>
    </row>
    <row r="14" spans="1:15" x14ac:dyDescent="0.3">
      <c r="A14" s="184" t="s">
        <v>9</v>
      </c>
      <c r="B14" s="184"/>
      <c r="C14" s="73" t="str">
        <f>CONCATENATE((IF(OR(F8="",F8="NA"),"",F8)),", ",(IF(OR(A15="",A15="NA"),"",A15)),".",(IF(OR(C15="",C15="NA"),"",C15)),", ",(IF(OR(C16="",C16="NA"),"",C16)),", ",(IF(OR(H16="",H16="NA"),"",H16)),", ",(IF(OR(C17="",C17="NA"),"",C17)),", ",(IF(OR(C18="",C18="NA"),"",C18)),", ",(IF(OR(H17="",H17="NA"),"",H17)),".")</f>
        <v>Khatri Sparsh, Survey No.3, Internal Road, Chikhloli, Badlapur West, Ambernath, Thane.</v>
      </c>
      <c r="D14" s="125"/>
      <c r="E14" s="125"/>
      <c r="F14" s="125"/>
      <c r="G14" s="125"/>
      <c r="H14" s="125"/>
      <c r="I14" s="125"/>
      <c r="J14" s="126"/>
    </row>
    <row r="15" spans="1:15" ht="15.75" customHeight="1" x14ac:dyDescent="0.3">
      <c r="A15" s="73" t="s">
        <v>153</v>
      </c>
      <c r="B15" s="126"/>
      <c r="C15" s="87">
        <v>3</v>
      </c>
      <c r="D15" s="88"/>
      <c r="E15" s="88"/>
      <c r="F15" s="88"/>
      <c r="G15" s="88"/>
      <c r="H15" s="88"/>
      <c r="I15" s="88"/>
      <c r="J15" s="89"/>
    </row>
    <row r="16" spans="1:15" ht="15.75" customHeight="1" x14ac:dyDescent="0.3">
      <c r="A16" s="73" t="s">
        <v>10</v>
      </c>
      <c r="B16" s="126"/>
      <c r="C16" s="187" t="s">
        <v>226</v>
      </c>
      <c r="D16" s="187"/>
      <c r="E16" s="187"/>
      <c r="F16" s="71" t="s">
        <v>117</v>
      </c>
      <c r="G16" s="72"/>
      <c r="H16" s="87" t="s">
        <v>137</v>
      </c>
      <c r="I16" s="88"/>
      <c r="J16" s="89"/>
    </row>
    <row r="17" spans="1:10" x14ac:dyDescent="0.3">
      <c r="A17" s="181" t="s">
        <v>12</v>
      </c>
      <c r="B17" s="181"/>
      <c r="C17" s="187" t="s">
        <v>224</v>
      </c>
      <c r="D17" s="187"/>
      <c r="E17" s="187"/>
      <c r="F17" s="71" t="s">
        <v>11</v>
      </c>
      <c r="G17" s="72"/>
      <c r="H17" s="217" t="s">
        <v>138</v>
      </c>
      <c r="I17" s="217"/>
      <c r="J17" s="217"/>
    </row>
    <row r="18" spans="1:10" x14ac:dyDescent="0.3">
      <c r="A18" s="181" t="s">
        <v>118</v>
      </c>
      <c r="B18" s="181"/>
      <c r="C18" s="87" t="s">
        <v>139</v>
      </c>
      <c r="D18" s="88"/>
      <c r="E18" s="89"/>
      <c r="F18" s="71" t="s">
        <v>13</v>
      </c>
      <c r="G18" s="72"/>
      <c r="H18" s="87">
        <v>421501</v>
      </c>
      <c r="I18" s="88"/>
      <c r="J18" s="89"/>
    </row>
    <row r="19" spans="1:10" ht="32.25" customHeight="1" x14ac:dyDescent="0.3">
      <c r="A19" s="181" t="s">
        <v>14</v>
      </c>
      <c r="B19" s="181"/>
      <c r="C19" s="181" t="s">
        <v>141</v>
      </c>
      <c r="D19" s="181"/>
      <c r="E19" s="181"/>
      <c r="F19" s="184" t="s">
        <v>15</v>
      </c>
      <c r="G19" s="184"/>
      <c r="H19" s="88" t="s">
        <v>223</v>
      </c>
      <c r="I19" s="88"/>
      <c r="J19" s="89"/>
    </row>
    <row r="20" spans="1:10" ht="15" customHeight="1" x14ac:dyDescent="0.3">
      <c r="A20" s="71" t="s">
        <v>127</v>
      </c>
      <c r="B20" s="192"/>
      <c r="C20" s="192"/>
      <c r="D20" s="192"/>
      <c r="E20" s="72"/>
      <c r="F20" s="196" t="s">
        <v>16</v>
      </c>
      <c r="G20" s="197"/>
      <c r="H20" s="197"/>
      <c r="I20" s="197"/>
      <c r="J20" s="198"/>
    </row>
    <row r="21" spans="1:10" ht="18.75" customHeight="1" x14ac:dyDescent="0.3">
      <c r="A21" s="193"/>
      <c r="B21" s="194"/>
      <c r="C21" s="194"/>
      <c r="D21" s="194"/>
      <c r="E21" s="195"/>
      <c r="F21" s="199"/>
      <c r="G21" s="200"/>
      <c r="H21" s="200"/>
      <c r="I21" s="200"/>
      <c r="J21" s="201"/>
    </row>
    <row r="22" spans="1:10" ht="15" customHeight="1" x14ac:dyDescent="0.3">
      <c r="A22" s="71" t="s">
        <v>17</v>
      </c>
      <c r="B22" s="192"/>
      <c r="C22" s="192"/>
      <c r="D22" s="192"/>
      <c r="E22" s="72"/>
      <c r="F22" s="71" t="s">
        <v>18</v>
      </c>
      <c r="G22" s="192"/>
      <c r="H22" s="192"/>
      <c r="I22" s="192"/>
      <c r="J22" s="72"/>
    </row>
    <row r="23" spans="1:10" x14ac:dyDescent="0.3">
      <c r="A23" s="193"/>
      <c r="B23" s="194"/>
      <c r="C23" s="194"/>
      <c r="D23" s="194"/>
      <c r="E23" s="195"/>
      <c r="F23" s="193"/>
      <c r="G23" s="194"/>
      <c r="H23" s="194"/>
      <c r="I23" s="194"/>
      <c r="J23" s="195"/>
    </row>
    <row r="24" spans="1:10" ht="15" customHeight="1" x14ac:dyDescent="0.3">
      <c r="A24" s="124" t="s">
        <v>19</v>
      </c>
      <c r="B24" s="74"/>
      <c r="C24" s="74"/>
      <c r="D24" s="74"/>
      <c r="E24" s="75"/>
      <c r="F24" s="189" t="s">
        <v>20</v>
      </c>
      <c r="G24" s="190"/>
      <c r="H24" s="190"/>
      <c r="I24" s="190"/>
      <c r="J24" s="191"/>
    </row>
    <row r="25" spans="1:10" x14ac:dyDescent="0.3">
      <c r="A25" s="124" t="s">
        <v>21</v>
      </c>
      <c r="B25" s="74"/>
      <c r="C25" s="74"/>
      <c r="D25" s="74"/>
      <c r="E25" s="75"/>
      <c r="F25" s="189" t="s">
        <v>22</v>
      </c>
      <c r="G25" s="190"/>
      <c r="H25" s="190"/>
      <c r="I25" s="190"/>
      <c r="J25" s="191"/>
    </row>
    <row r="26" spans="1:10" ht="15" customHeight="1" x14ac:dyDescent="0.3">
      <c r="A26" s="124" t="s">
        <v>23</v>
      </c>
      <c r="B26" s="74"/>
      <c r="C26" s="74"/>
      <c r="D26" s="74"/>
      <c r="E26" s="75"/>
      <c r="F26" s="189" t="s">
        <v>24</v>
      </c>
      <c r="G26" s="190"/>
      <c r="H26" s="190"/>
      <c r="I26" s="190"/>
      <c r="J26" s="191"/>
    </row>
    <row r="27" spans="1:10" x14ac:dyDescent="0.3">
      <c r="A27" s="124" t="s">
        <v>25</v>
      </c>
      <c r="B27" s="74"/>
      <c r="C27" s="74"/>
      <c r="D27" s="74"/>
      <c r="E27" s="75"/>
      <c r="F27" s="189" t="s">
        <v>26</v>
      </c>
      <c r="G27" s="190"/>
      <c r="H27" s="190"/>
      <c r="I27" s="190"/>
      <c r="J27" s="191"/>
    </row>
    <row r="28" spans="1:10" x14ac:dyDescent="0.3">
      <c r="A28" s="218" t="s">
        <v>27</v>
      </c>
      <c r="B28" s="219"/>
      <c r="C28" s="218" t="s">
        <v>28</v>
      </c>
      <c r="D28" s="219"/>
      <c r="E28" s="218" t="s">
        <v>29</v>
      </c>
      <c r="F28" s="219"/>
      <c r="G28" s="218" t="s">
        <v>31</v>
      </c>
      <c r="H28" s="219"/>
      <c r="I28" s="218" t="s">
        <v>30</v>
      </c>
      <c r="J28" s="219"/>
    </row>
    <row r="29" spans="1:10" ht="27.75" customHeight="1" x14ac:dyDescent="0.3">
      <c r="A29" s="220" t="s">
        <v>213</v>
      </c>
      <c r="B29" s="221"/>
      <c r="C29" s="220" t="s">
        <v>229</v>
      </c>
      <c r="D29" s="221"/>
      <c r="E29" s="220" t="s">
        <v>229</v>
      </c>
      <c r="F29" s="221"/>
      <c r="G29" s="220" t="s">
        <v>227</v>
      </c>
      <c r="H29" s="221"/>
      <c r="I29" s="222" t="s">
        <v>228</v>
      </c>
      <c r="J29" s="223"/>
    </row>
    <row r="30" spans="1:10" ht="15.75" customHeight="1" x14ac:dyDescent="0.3">
      <c r="A30" s="245" t="s">
        <v>33</v>
      </c>
      <c r="B30" s="229"/>
      <c r="C30" s="246" t="s">
        <v>140</v>
      </c>
      <c r="D30" s="247"/>
      <c r="E30" s="246" t="s">
        <v>140</v>
      </c>
      <c r="F30" s="247"/>
      <c r="G30" s="245" t="s">
        <v>225</v>
      </c>
      <c r="H30" s="229"/>
      <c r="I30" s="246" t="s">
        <v>226</v>
      </c>
      <c r="J30" s="247"/>
    </row>
    <row r="31" spans="1:10" x14ac:dyDescent="0.3">
      <c r="A31" s="124" t="s">
        <v>34</v>
      </c>
      <c r="B31" s="74"/>
      <c r="C31" s="74"/>
      <c r="D31" s="74"/>
      <c r="E31" s="74"/>
      <c r="F31" s="74"/>
      <c r="G31" s="74"/>
      <c r="H31" s="74"/>
      <c r="I31" s="74"/>
      <c r="J31" s="75"/>
    </row>
    <row r="32" spans="1:10" x14ac:dyDescent="0.3">
      <c r="A32" s="124" t="s">
        <v>35</v>
      </c>
      <c r="B32" s="74"/>
      <c r="C32" s="74"/>
      <c r="D32" s="74"/>
      <c r="E32" s="74"/>
      <c r="F32" s="74"/>
      <c r="G32" s="74"/>
      <c r="H32" s="74"/>
      <c r="I32" s="74"/>
      <c r="J32" s="75"/>
    </row>
    <row r="33" spans="1:10" x14ac:dyDescent="0.3">
      <c r="A33" s="124" t="s">
        <v>36</v>
      </c>
      <c r="B33" s="75"/>
      <c r="C33" s="124" t="s">
        <v>222</v>
      </c>
      <c r="D33" s="74"/>
      <c r="E33" s="74"/>
      <c r="F33" s="74"/>
      <c r="G33" s="74"/>
      <c r="H33" s="74"/>
      <c r="I33" s="74"/>
      <c r="J33" s="75"/>
    </row>
    <row r="34" spans="1:10" x14ac:dyDescent="0.3">
      <c r="A34" s="124" t="s">
        <v>201</v>
      </c>
      <c r="B34" s="75"/>
      <c r="C34" s="224" t="s">
        <v>202</v>
      </c>
      <c r="D34" s="74"/>
      <c r="E34" s="74"/>
      <c r="F34" s="74"/>
      <c r="G34" s="74"/>
      <c r="H34" s="74"/>
      <c r="I34" s="74"/>
      <c r="J34" s="75"/>
    </row>
    <row r="35" spans="1:10" x14ac:dyDescent="0.3">
      <c r="A35" s="161" t="s">
        <v>37</v>
      </c>
      <c r="B35" s="162"/>
      <c r="C35" s="162"/>
      <c r="D35" s="162"/>
      <c r="E35" s="162"/>
      <c r="F35" s="162"/>
      <c r="G35" s="162"/>
      <c r="H35" s="162"/>
      <c r="I35" s="162"/>
      <c r="J35" s="163"/>
    </row>
    <row r="36" spans="1:10" ht="15" customHeight="1" x14ac:dyDescent="0.3">
      <c r="A36" s="73" t="s">
        <v>38</v>
      </c>
      <c r="B36" s="125"/>
      <c r="C36" s="125"/>
      <c r="D36" s="125"/>
      <c r="E36" s="126"/>
      <c r="F36" s="242" t="s">
        <v>149</v>
      </c>
      <c r="G36" s="243"/>
      <c r="H36" s="243"/>
      <c r="I36" s="243"/>
      <c r="J36" s="244"/>
    </row>
    <row r="37" spans="1:10" ht="15" customHeight="1" x14ac:dyDescent="0.3">
      <c r="A37" s="193" t="s">
        <v>39</v>
      </c>
      <c r="B37" s="194"/>
      <c r="C37" s="194"/>
      <c r="D37" s="194"/>
      <c r="E37" s="194"/>
      <c r="F37" s="73" t="s">
        <v>40</v>
      </c>
      <c r="G37" s="125"/>
      <c r="H37" s="125"/>
      <c r="I37" s="125"/>
      <c r="J37" s="126"/>
    </row>
    <row r="38" spans="1:10" x14ac:dyDescent="0.3">
      <c r="A38" s="202" t="s">
        <v>41</v>
      </c>
      <c r="B38" s="202"/>
      <c r="C38" s="202"/>
      <c r="D38" s="202"/>
      <c r="E38" s="202"/>
      <c r="F38" s="202"/>
      <c r="G38" s="202"/>
      <c r="H38" s="202"/>
      <c r="I38" s="202"/>
      <c r="J38" s="202"/>
    </row>
    <row r="39" spans="1:10" x14ac:dyDescent="0.3">
      <c r="A39" s="181" t="s">
        <v>42</v>
      </c>
      <c r="B39" s="181"/>
      <c r="C39" s="181"/>
      <c r="D39" s="181"/>
      <c r="E39" s="181"/>
      <c r="F39" s="182">
        <v>6995.3</v>
      </c>
      <c r="G39" s="182"/>
      <c r="H39" s="182"/>
      <c r="I39" s="182"/>
      <c r="J39" s="182"/>
    </row>
    <row r="40" spans="1:10" x14ac:dyDescent="0.3">
      <c r="A40" s="181" t="s">
        <v>43</v>
      </c>
      <c r="B40" s="181"/>
      <c r="C40" s="181"/>
      <c r="D40" s="181"/>
      <c r="E40" s="181"/>
      <c r="F40" s="185">
        <f>7694.83/F39</f>
        <v>1.0999999999999999</v>
      </c>
      <c r="G40" s="185"/>
      <c r="H40" s="185"/>
      <c r="I40" s="185"/>
      <c r="J40" s="185"/>
    </row>
    <row r="41" spans="1:10" x14ac:dyDescent="0.3">
      <c r="A41" s="181" t="s">
        <v>44</v>
      </c>
      <c r="B41" s="181"/>
      <c r="C41" s="181"/>
      <c r="D41" s="181"/>
      <c r="E41" s="181"/>
      <c r="F41" s="185">
        <f>F43/F39-F40</f>
        <v>1.5501665403914056</v>
      </c>
      <c r="G41" s="185"/>
      <c r="H41" s="185"/>
      <c r="I41" s="185"/>
      <c r="J41" s="185"/>
    </row>
    <row r="42" spans="1:10" x14ac:dyDescent="0.3">
      <c r="A42" s="181" t="s">
        <v>45</v>
      </c>
      <c r="B42" s="181"/>
      <c r="C42" s="181"/>
      <c r="D42" s="181"/>
      <c r="E42" s="181"/>
      <c r="F42" s="185">
        <f>F40+F41</f>
        <v>2.6501665403914054</v>
      </c>
      <c r="G42" s="185"/>
      <c r="H42" s="185"/>
      <c r="I42" s="185"/>
      <c r="J42" s="185"/>
    </row>
    <row r="43" spans="1:10" x14ac:dyDescent="0.3">
      <c r="A43" s="181" t="s">
        <v>46</v>
      </c>
      <c r="B43" s="181"/>
      <c r="C43" s="181"/>
      <c r="D43" s="181"/>
      <c r="E43" s="181"/>
      <c r="F43" s="186">
        <v>18538.71</v>
      </c>
      <c r="G43" s="186"/>
      <c r="H43" s="186"/>
      <c r="I43" s="186"/>
      <c r="J43" s="186"/>
    </row>
    <row r="44" spans="1:10" x14ac:dyDescent="0.3">
      <c r="A44" s="181" t="s">
        <v>47</v>
      </c>
      <c r="B44" s="181"/>
      <c r="C44" s="181"/>
      <c r="D44" s="181"/>
      <c r="E44" s="181"/>
      <c r="F44" s="187" t="s">
        <v>200</v>
      </c>
      <c r="G44" s="187"/>
      <c r="H44" s="187"/>
      <c r="I44" s="187"/>
      <c r="J44" s="187"/>
    </row>
    <row r="45" spans="1:10" x14ac:dyDescent="0.3">
      <c r="A45" s="202" t="s">
        <v>48</v>
      </c>
      <c r="B45" s="202"/>
      <c r="C45" s="202"/>
      <c r="D45" s="202"/>
      <c r="E45" s="202"/>
      <c r="F45" s="202"/>
      <c r="G45" s="202"/>
      <c r="H45" s="202"/>
      <c r="I45" s="202"/>
      <c r="J45" s="202"/>
    </row>
    <row r="46" spans="1:10" x14ac:dyDescent="0.3">
      <c r="A46" s="184" t="s">
        <v>49</v>
      </c>
      <c r="B46" s="184"/>
      <c r="C46" s="184" t="s">
        <v>214</v>
      </c>
      <c r="D46" s="184"/>
      <c r="E46" s="184"/>
      <c r="F46" s="184"/>
      <c r="G46" s="64" t="s">
        <v>50</v>
      </c>
      <c r="H46" s="183">
        <v>44636</v>
      </c>
      <c r="I46" s="184"/>
      <c r="J46" s="184"/>
    </row>
    <row r="47" spans="1:10" ht="31.5" customHeight="1" x14ac:dyDescent="0.3">
      <c r="A47" s="184" t="s">
        <v>51</v>
      </c>
      <c r="B47" s="184"/>
      <c r="C47" s="184" t="str">
        <f>C46</f>
        <v>ANP/NRV/BP/21-22/1411/9271/147</v>
      </c>
      <c r="D47" s="184"/>
      <c r="E47" s="184"/>
      <c r="F47" s="184"/>
      <c r="G47" s="64" t="s">
        <v>50</v>
      </c>
      <c r="H47" s="183">
        <f>H46</f>
        <v>44636</v>
      </c>
      <c r="I47" s="184"/>
      <c r="J47" s="184"/>
    </row>
    <row r="48" spans="1:10" x14ac:dyDescent="0.3">
      <c r="A48" s="184" t="s">
        <v>230</v>
      </c>
      <c r="B48" s="184"/>
      <c r="C48" s="184" t="s">
        <v>205</v>
      </c>
      <c r="D48" s="181"/>
      <c r="E48" s="181"/>
      <c r="F48" s="181"/>
      <c r="G48" s="26" t="s">
        <v>50</v>
      </c>
      <c r="H48" s="240">
        <v>44636</v>
      </c>
      <c r="I48" s="181"/>
      <c r="J48" s="181"/>
    </row>
    <row r="49" spans="1:13" ht="31.5" customHeight="1" x14ac:dyDescent="0.3">
      <c r="A49" s="184"/>
      <c r="B49" s="184"/>
      <c r="C49" s="184" t="s">
        <v>231</v>
      </c>
      <c r="D49" s="184"/>
      <c r="E49" s="184"/>
      <c r="F49" s="184"/>
      <c r="G49" s="184"/>
      <c r="H49" s="184"/>
      <c r="I49" s="184"/>
      <c r="J49" s="184"/>
    </row>
    <row r="50" spans="1:13" x14ac:dyDescent="0.3">
      <c r="A50" s="71" t="s">
        <v>241</v>
      </c>
      <c r="B50" s="72"/>
      <c r="C50" s="73" t="s">
        <v>242</v>
      </c>
      <c r="D50" s="74"/>
      <c r="E50" s="74"/>
      <c r="F50" s="75"/>
      <c r="G50" s="26" t="s">
        <v>50</v>
      </c>
      <c r="H50" s="76">
        <v>42411</v>
      </c>
      <c r="I50" s="74"/>
      <c r="J50" s="75"/>
    </row>
    <row r="51" spans="1:13" ht="48.75" customHeight="1" x14ac:dyDescent="0.3">
      <c r="A51" s="211" t="s">
        <v>52</v>
      </c>
      <c r="B51" s="212"/>
      <c r="C51" s="188" t="s">
        <v>216</v>
      </c>
      <c r="D51" s="162"/>
      <c r="E51" s="162"/>
      <c r="F51" s="163" t="s">
        <v>53</v>
      </c>
      <c r="G51" s="54" t="s">
        <v>50</v>
      </c>
      <c r="H51" s="208">
        <v>44733</v>
      </c>
      <c r="I51" s="209" t="s">
        <v>32</v>
      </c>
      <c r="J51" s="210"/>
    </row>
    <row r="52" spans="1:13" ht="52.95" customHeight="1" x14ac:dyDescent="0.3">
      <c r="A52" s="213"/>
      <c r="B52" s="214"/>
      <c r="C52" s="188" t="s">
        <v>215</v>
      </c>
      <c r="D52" s="162"/>
      <c r="E52" s="162"/>
      <c r="F52" s="163" t="s">
        <v>53</v>
      </c>
      <c r="G52" s="54" t="s">
        <v>50</v>
      </c>
      <c r="H52" s="208">
        <v>45125</v>
      </c>
      <c r="I52" s="209"/>
      <c r="J52" s="210"/>
    </row>
    <row r="53" spans="1:13" ht="64.05" customHeight="1" x14ac:dyDescent="0.3">
      <c r="A53" s="215"/>
      <c r="B53" s="216"/>
      <c r="C53" s="188" t="s">
        <v>253</v>
      </c>
      <c r="D53" s="162"/>
      <c r="E53" s="162"/>
      <c r="F53" s="163" t="s">
        <v>53</v>
      </c>
      <c r="G53" s="54" t="s">
        <v>50</v>
      </c>
      <c r="H53" s="208">
        <v>45817</v>
      </c>
      <c r="I53" s="209"/>
      <c r="J53" s="210"/>
    </row>
    <row r="54" spans="1:13" ht="15.75" customHeight="1" x14ac:dyDescent="0.3">
      <c r="A54" s="181" t="s">
        <v>54</v>
      </c>
      <c r="B54" s="181"/>
      <c r="C54" s="181"/>
      <c r="D54" s="240">
        <v>43665</v>
      </c>
      <c r="E54" s="181"/>
      <c r="F54" s="124" t="s">
        <v>55</v>
      </c>
      <c r="G54" s="241"/>
      <c r="H54" s="179">
        <v>46751</v>
      </c>
      <c r="I54" s="91"/>
      <c r="J54" s="180"/>
    </row>
    <row r="55" spans="1:13" x14ac:dyDescent="0.3">
      <c r="A55" s="225" t="s">
        <v>56</v>
      </c>
      <c r="B55" s="226"/>
      <c r="C55" s="226"/>
      <c r="D55" s="226"/>
      <c r="E55" s="226"/>
      <c r="F55" s="226"/>
      <c r="G55" s="226"/>
      <c r="H55" s="226"/>
      <c r="I55" s="226"/>
      <c r="J55" s="227"/>
    </row>
    <row r="56" spans="1:13" x14ac:dyDescent="0.3">
      <c r="A56" s="124" t="s">
        <v>57</v>
      </c>
      <c r="B56" s="74"/>
      <c r="C56" s="75"/>
      <c r="D56" s="228">
        <f>F43</f>
        <v>18538.71</v>
      </c>
      <c r="E56" s="229"/>
      <c r="F56" s="230" t="s">
        <v>58</v>
      </c>
      <c r="G56" s="231"/>
      <c r="H56" s="232" t="s">
        <v>240</v>
      </c>
      <c r="I56" s="233"/>
      <c r="J56" s="234"/>
    </row>
    <row r="57" spans="1:13" ht="33.75" customHeight="1" x14ac:dyDescent="0.3">
      <c r="A57" s="90" t="s">
        <v>59</v>
      </c>
      <c r="B57" s="91"/>
      <c r="C57" s="87" t="s">
        <v>245</v>
      </c>
      <c r="D57" s="88"/>
      <c r="E57" s="88"/>
      <c r="F57" s="88"/>
      <c r="G57" s="88"/>
      <c r="H57" s="88"/>
      <c r="I57" s="88"/>
      <c r="J57" s="89"/>
    </row>
    <row r="58" spans="1:13" ht="30.75" customHeight="1" thickBot="1" x14ac:dyDescent="0.35">
      <c r="A58" s="90" t="s">
        <v>203</v>
      </c>
      <c r="B58" s="91"/>
      <c r="C58" s="87" t="s">
        <v>245</v>
      </c>
      <c r="D58" s="88"/>
      <c r="E58" s="88"/>
      <c r="F58" s="88"/>
      <c r="G58" s="88"/>
      <c r="H58" s="88"/>
      <c r="I58" s="88"/>
      <c r="J58" s="89"/>
    </row>
    <row r="59" spans="1:13" x14ac:dyDescent="0.3">
      <c r="A59" s="124" t="s">
        <v>60</v>
      </c>
      <c r="B59" s="74"/>
      <c r="C59" s="74"/>
      <c r="D59" s="73" t="s">
        <v>61</v>
      </c>
      <c r="E59" s="125"/>
      <c r="F59" s="125"/>
      <c r="G59" s="125"/>
      <c r="H59" s="125"/>
      <c r="I59" s="125"/>
      <c r="J59" s="126"/>
      <c r="K59" s="20" t="str">
        <f>(IF(C65=0,"Work not yet Started.",IF(D65=50%,"Excavation work in process",IF(D65=100%,"Excavation work completed, ","0")))&amp;(IF(C66=0%,"",IF(D66=25%,"Footing work is process",IF(D66=50%,"Footing work Completed",IF(D66=75%,"Plinth work is process",IF(D66=100%,"Plinth work completed","0"))))))&amp;(IF(C67&gt;0,", RCC upto "&amp;C67&amp;" Slab completed",""))&amp;(IF(C68&gt;0,", Brickwork upto "&amp;C68&amp;" Floor completed"," "))&amp;(IF(C69&gt;0,", Internal Plaster upto "&amp;C69&amp;" Floor completed"," "))&amp;(IF(C70&gt;0,", External Plaster upto "&amp;C70&amp;" Floor completed"," "))&amp;(IF(C71&gt;0,", Flooring upto "&amp;C71&amp;" Floor completed"," "))&amp;(IF(C72&gt;0,", Painting upto "&amp;C72&amp;" Floor completed"," "))&amp;(IF(C73&gt;0,", Finishing upto "&amp;C73&amp;" Floor completed"," ")))</f>
        <v xml:space="preserve">Excavation work completed, Plinth work completed, RCC upto 2 Slab completed      </v>
      </c>
      <c r="L59" s="20"/>
      <c r="M59" s="27"/>
    </row>
    <row r="60" spans="1:13" ht="16.5" customHeight="1" thickBot="1" x14ac:dyDescent="0.35">
      <c r="A60" s="90" t="s">
        <v>150</v>
      </c>
      <c r="B60" s="91"/>
      <c r="C60" s="91"/>
      <c r="D60" s="91"/>
      <c r="E60" s="91"/>
      <c r="F60" s="91"/>
      <c r="G60" s="91"/>
      <c r="H60" s="91"/>
      <c r="I60" s="91"/>
      <c r="J60" s="180"/>
      <c r="K60" s="21" t="s">
        <v>174</v>
      </c>
      <c r="L60" s="21"/>
      <c r="M60" s="28"/>
    </row>
    <row r="61" spans="1:13" ht="15" customHeight="1" x14ac:dyDescent="0.3">
      <c r="A61" s="237" t="s">
        <v>207</v>
      </c>
      <c r="B61" s="238"/>
      <c r="C61" s="238"/>
      <c r="D61" s="238"/>
      <c r="E61" s="238"/>
      <c r="F61" s="238"/>
      <c r="G61" s="238"/>
      <c r="H61" s="238"/>
      <c r="I61" s="238"/>
      <c r="J61" s="239"/>
      <c r="K61" s="21" t="s">
        <v>176</v>
      </c>
      <c r="L61" s="21"/>
      <c r="M61" s="28"/>
    </row>
    <row r="62" spans="1:13" x14ac:dyDescent="0.3">
      <c r="A62" s="106" t="s">
        <v>116</v>
      </c>
      <c r="B62" s="100"/>
      <c r="C62" s="45">
        <v>1</v>
      </c>
      <c r="D62" s="100" t="s">
        <v>115</v>
      </c>
      <c r="E62" s="100"/>
      <c r="F62" s="100">
        <v>0</v>
      </c>
      <c r="G62" s="100"/>
      <c r="H62" s="45" t="s">
        <v>173</v>
      </c>
      <c r="I62" s="100">
        <v>12</v>
      </c>
      <c r="J62" s="101"/>
      <c r="K62" s="21" t="s">
        <v>181</v>
      </c>
      <c r="M62" s="29"/>
    </row>
    <row r="63" spans="1:13" x14ac:dyDescent="0.3">
      <c r="A63" s="94" t="s">
        <v>175</v>
      </c>
      <c r="B63" s="95"/>
      <c r="C63" s="96" t="str">
        <f>K59</f>
        <v xml:space="preserve">Excavation work completed, Plinth work completed, RCC upto 2 Slab completed      </v>
      </c>
      <c r="D63" s="96"/>
      <c r="E63" s="96"/>
      <c r="F63" s="96"/>
      <c r="G63" s="96"/>
      <c r="H63" s="96"/>
      <c r="I63" s="96"/>
      <c r="J63" s="97"/>
      <c r="K63" s="21"/>
      <c r="M63" s="29"/>
    </row>
    <row r="64" spans="1:13" x14ac:dyDescent="0.3">
      <c r="A64" s="177" t="s">
        <v>62</v>
      </c>
      <c r="B64" s="92"/>
      <c r="C64" s="44" t="s">
        <v>177</v>
      </c>
      <c r="D64" s="92" t="s">
        <v>178</v>
      </c>
      <c r="E64" s="92"/>
      <c r="F64" s="92" t="s">
        <v>179</v>
      </c>
      <c r="G64" s="92"/>
      <c r="H64" s="92" t="s">
        <v>180</v>
      </c>
      <c r="I64" s="92"/>
      <c r="J64" s="178"/>
      <c r="M64" s="29"/>
    </row>
    <row r="65" spans="1:119" x14ac:dyDescent="0.3">
      <c r="A65" s="92" t="s">
        <v>182</v>
      </c>
      <c r="B65" s="92"/>
      <c r="C65" s="30">
        <f>M66</f>
        <v>12</v>
      </c>
      <c r="D65" s="93">
        <f>((100/I62)*C65)/100</f>
        <v>1</v>
      </c>
      <c r="E65" s="93"/>
      <c r="F65" s="93">
        <f>(IF(C63=K61,"100%",IF(C63=K62,"100%",(((C66/I62*10)+(40/(C62+F62+I62)*C67)+(7.5/(I62)*C68)+(7.5/(I62)*C69)+(10/I62*C70)+(10/I62*C71)+(5/I62*C72)+(5/I62*C73)+(5/I62*C74))/100))))</f>
        <v>0.16153846153846152</v>
      </c>
      <c r="G65" s="93"/>
      <c r="H65" s="93">
        <f>((((C65/I62)*20)+((C66/I62)*25)+(30/(I62+F62+C62)*C67)+(5/I62*C68)+(5/I62*C69)+(5/I62*C70)+(5/I62*C71)+(0/I62*C72)+(0/I62*C73)+(5/I62*C74))/100)</f>
        <v>0.49615384615384611</v>
      </c>
      <c r="I65" s="93"/>
      <c r="J65" s="93"/>
      <c r="K65" s="22" t="s">
        <v>120</v>
      </c>
      <c r="L65" s="32"/>
      <c r="M65" s="33">
        <f>I62*50%</f>
        <v>6</v>
      </c>
    </row>
    <row r="66" spans="1:119" x14ac:dyDescent="0.3">
      <c r="A66" s="92" t="s">
        <v>63</v>
      </c>
      <c r="B66" s="92"/>
      <c r="C66" s="30">
        <f>M71</f>
        <v>12</v>
      </c>
      <c r="D66" s="93">
        <f>((100/I62)*C66)/100</f>
        <v>1</v>
      </c>
      <c r="E66" s="93"/>
      <c r="F66" s="93"/>
      <c r="G66" s="93"/>
      <c r="H66" s="93"/>
      <c r="I66" s="93"/>
      <c r="J66" s="93"/>
      <c r="K66" s="22" t="s">
        <v>121</v>
      </c>
      <c r="L66" s="32"/>
      <c r="M66" s="33">
        <f>I62</f>
        <v>12</v>
      </c>
    </row>
    <row r="67" spans="1:119" ht="15" customHeight="1" x14ac:dyDescent="0.3">
      <c r="A67" s="92" t="s">
        <v>192</v>
      </c>
      <c r="B67" s="92"/>
      <c r="C67" s="31">
        <v>2</v>
      </c>
      <c r="D67" s="93">
        <f>((100/(C62+F62+I62))*C67)/100</f>
        <v>0.15384615384615385</v>
      </c>
      <c r="E67" s="93"/>
      <c r="F67" s="93"/>
      <c r="G67" s="93"/>
      <c r="H67" s="93"/>
      <c r="I67" s="93"/>
      <c r="J67" s="93"/>
      <c r="K67" s="22"/>
      <c r="L67" s="32"/>
      <c r="M67" s="33"/>
    </row>
    <row r="68" spans="1:119" x14ac:dyDescent="0.3">
      <c r="A68" s="92" t="s">
        <v>183</v>
      </c>
      <c r="B68" s="92" t="s">
        <v>184</v>
      </c>
      <c r="C68" s="30">
        <v>0</v>
      </c>
      <c r="D68" s="93">
        <f>((100/I62)*C68)/100</f>
        <v>0</v>
      </c>
      <c r="E68" s="93"/>
      <c r="F68" s="93"/>
      <c r="G68" s="93"/>
      <c r="H68" s="93"/>
      <c r="I68" s="93"/>
      <c r="J68" s="93"/>
      <c r="K68" s="22" t="s">
        <v>122</v>
      </c>
      <c r="L68" s="32"/>
      <c r="M68" s="33">
        <f>I62*25%</f>
        <v>3</v>
      </c>
    </row>
    <row r="69" spans="1:119" x14ac:dyDescent="0.3">
      <c r="A69" s="92" t="s">
        <v>185</v>
      </c>
      <c r="B69" s="92" t="s">
        <v>184</v>
      </c>
      <c r="C69" s="30">
        <v>0</v>
      </c>
      <c r="D69" s="93">
        <f>((100/I62)*C69)/100</f>
        <v>0</v>
      </c>
      <c r="E69" s="93"/>
      <c r="F69" s="93"/>
      <c r="G69" s="93"/>
      <c r="H69" s="93"/>
      <c r="I69" s="93"/>
      <c r="J69" s="93"/>
      <c r="K69" s="22" t="s">
        <v>123</v>
      </c>
      <c r="L69" s="32"/>
      <c r="M69" s="33">
        <f>I62*50%</f>
        <v>6</v>
      </c>
    </row>
    <row r="70" spans="1:119" x14ac:dyDescent="0.3">
      <c r="A70" s="100" t="s">
        <v>186</v>
      </c>
      <c r="B70" s="100" t="s">
        <v>187</v>
      </c>
      <c r="C70" s="30">
        <v>0</v>
      </c>
      <c r="D70" s="93">
        <f>((100/(I62))*C70)/100</f>
        <v>0</v>
      </c>
      <c r="E70" s="93"/>
      <c r="F70" s="93"/>
      <c r="G70" s="93"/>
      <c r="H70" s="93"/>
      <c r="I70" s="93"/>
      <c r="J70" s="93"/>
      <c r="K70" s="22" t="s">
        <v>124</v>
      </c>
      <c r="L70" s="32"/>
      <c r="M70" s="33">
        <f>I62*75%</f>
        <v>9</v>
      </c>
    </row>
    <row r="71" spans="1:119" ht="15" customHeight="1" x14ac:dyDescent="0.3">
      <c r="A71" s="92" t="s">
        <v>188</v>
      </c>
      <c r="B71" s="92" t="s">
        <v>188</v>
      </c>
      <c r="C71" s="30">
        <v>0</v>
      </c>
      <c r="D71" s="93">
        <f>((100/I62)*C71)/100</f>
        <v>0</v>
      </c>
      <c r="E71" s="93"/>
      <c r="F71" s="93"/>
      <c r="G71" s="93"/>
      <c r="H71" s="93"/>
      <c r="I71" s="93"/>
      <c r="J71" s="93"/>
      <c r="K71" s="22" t="s">
        <v>125</v>
      </c>
      <c r="L71" s="32"/>
      <c r="M71" s="33">
        <f>I62</f>
        <v>12</v>
      </c>
    </row>
    <row r="72" spans="1:119" s="47" customFormat="1" ht="16.2" thickBot="1" x14ac:dyDescent="0.35">
      <c r="A72" s="92" t="s">
        <v>189</v>
      </c>
      <c r="B72" s="92"/>
      <c r="C72" s="30">
        <v>0</v>
      </c>
      <c r="D72" s="93">
        <f>((100/I62)*C72)/100</f>
        <v>0</v>
      </c>
      <c r="E72" s="93"/>
      <c r="F72" s="93"/>
      <c r="G72" s="93"/>
      <c r="H72" s="93"/>
      <c r="I72" s="93"/>
      <c r="J72" s="93"/>
      <c r="K72"/>
      <c r="L72"/>
      <c r="M72"/>
      <c r="N72" s="25"/>
      <c r="O72" s="25"/>
      <c r="P72" s="25"/>
      <c r="Q72" s="25"/>
      <c r="R72" s="25"/>
      <c r="S72" s="25"/>
      <c r="T72" s="25"/>
      <c r="U72" s="25"/>
      <c r="V72" s="25"/>
      <c r="W72" s="25"/>
      <c r="X72" s="25"/>
      <c r="Y72" s="25"/>
      <c r="Z72" s="25"/>
      <c r="AA72" s="25"/>
      <c r="AB72" s="25"/>
      <c r="AC72" s="25"/>
      <c r="AD72" s="25"/>
      <c r="AE72" s="25"/>
      <c r="AF72" s="25"/>
      <c r="AG72" s="25"/>
      <c r="AH72" s="25"/>
      <c r="AI72" s="25"/>
      <c r="AJ72" s="25"/>
      <c r="AK72" s="25"/>
      <c r="AL72" s="25"/>
      <c r="AM72" s="25"/>
      <c r="AN72" s="25"/>
      <c r="AO72" s="25"/>
      <c r="AP72" s="25"/>
      <c r="AQ72" s="25"/>
      <c r="AR72" s="25"/>
      <c r="AS72" s="25"/>
      <c r="AT72" s="25"/>
      <c r="AU72" s="25"/>
      <c r="AV72" s="25"/>
      <c r="AW72" s="25"/>
      <c r="AX72" s="25"/>
      <c r="AY72" s="25"/>
      <c r="AZ72" s="25"/>
      <c r="BA72" s="25"/>
      <c r="BB72" s="25"/>
      <c r="BC72" s="25"/>
      <c r="BD72" s="25"/>
      <c r="BE72" s="25"/>
      <c r="BF72" s="25"/>
      <c r="BG72" s="25"/>
      <c r="BH72" s="25"/>
      <c r="BI72" s="25"/>
      <c r="BJ72" s="25"/>
      <c r="BK72" s="25"/>
      <c r="BL72" s="25"/>
      <c r="BM72" s="25"/>
      <c r="BN72" s="25"/>
      <c r="BO72" s="25"/>
      <c r="BP72" s="25"/>
      <c r="BQ72" s="25"/>
      <c r="BR72" s="25"/>
      <c r="BS72" s="25"/>
      <c r="BT72" s="25"/>
      <c r="BU72" s="25"/>
      <c r="BV72" s="25"/>
      <c r="BW72" s="25"/>
      <c r="BX72" s="25"/>
      <c r="BY72" s="25"/>
      <c r="BZ72" s="25"/>
      <c r="CA72" s="25"/>
      <c r="CB72" s="25"/>
      <c r="CC72" s="25"/>
      <c r="CD72" s="25"/>
      <c r="CE72" s="25"/>
      <c r="CF72" s="25"/>
      <c r="CG72" s="25"/>
      <c r="CH72" s="25"/>
      <c r="CI72" s="25"/>
      <c r="CJ72" s="25"/>
      <c r="CK72" s="25"/>
      <c r="CL72" s="25"/>
      <c r="CM72" s="25"/>
      <c r="CN72" s="25"/>
      <c r="CO72" s="25"/>
      <c r="CP72" s="25"/>
      <c r="CQ72" s="25"/>
      <c r="CR72" s="25"/>
      <c r="CS72" s="25"/>
      <c r="CT72" s="25"/>
      <c r="CU72" s="25"/>
      <c r="CV72" s="25"/>
      <c r="CW72" s="25"/>
      <c r="CX72" s="25"/>
      <c r="CY72" s="25"/>
      <c r="CZ72" s="25"/>
      <c r="DA72" s="25"/>
      <c r="DB72" s="25"/>
      <c r="DC72" s="25"/>
      <c r="DD72" s="25"/>
      <c r="DE72" s="25"/>
      <c r="DF72" s="25"/>
      <c r="DG72" s="25"/>
      <c r="DH72" s="25"/>
      <c r="DI72" s="25"/>
      <c r="DJ72" s="25"/>
      <c r="DK72" s="25"/>
      <c r="DL72" s="25"/>
      <c r="DM72" s="25"/>
      <c r="DN72" s="25"/>
      <c r="DO72" s="25"/>
    </row>
    <row r="73" spans="1:119" s="47" customFormat="1" ht="15" customHeight="1" x14ac:dyDescent="0.3">
      <c r="A73" s="92" t="s">
        <v>190</v>
      </c>
      <c r="B73" s="92" t="s">
        <v>190</v>
      </c>
      <c r="C73" s="30">
        <v>0</v>
      </c>
      <c r="D73" s="93">
        <f>((100/(I62))*C73)/100</f>
        <v>0</v>
      </c>
      <c r="E73" s="93"/>
      <c r="F73" s="93"/>
      <c r="G73" s="93"/>
      <c r="H73" s="93"/>
      <c r="I73" s="93"/>
      <c r="J73" s="93"/>
      <c r="K73" s="20" t="str">
        <f>(IF(C81=0,"Work not yet Started.",IF(D81=50%,"Excavation work in process",IF(D81=100%,"Excavation work completed, ","0")))&amp;(IF(C82=0%,"",IF(D82=25%,"Footing work is process",IF(D82=50%,"Footing work Completed",IF(D82=75%,"Plinth work is process",IF(D82=100%,"Plinth work completed","0"))))))&amp;(IF(C83&gt;0,", RCC upto "&amp;C83&amp;" Slab completed",""))&amp;(IF(C84&gt;0,", Brickwork upto "&amp;C84&amp;" Floor completed"," "))&amp;(IF(C85&gt;0,", Internal Plaster upto "&amp;C85&amp;" Floor completed"," "))&amp;(IF(C86&gt;0,", External Plaster upto "&amp;C86&amp;" Floor completed"," "))&amp;(IF(C87&gt;0,", Flooring upto "&amp;C87&amp;" Floor completed"," "))&amp;(IF(C88&gt;0,", Painting upto "&amp;C88&amp;" Floor completed"," "))&amp;(IF(C89&gt;0,", Finishing upto "&amp;C89&amp;" Floor completed"," ")))</f>
        <v>Excavation work completed, Plinth work completed, RCC upto 13 Slab completed, Brickwork upto 12 Floor completed, Internal Plaster upto 12 Floor completed, External Plaster upto 12 Floor completed, Flooring upto 12 Floor completed, Painting upto 12 Floor completed, Finishing upto 12 Floor completed</v>
      </c>
      <c r="L73" s="21"/>
      <c r="M73" s="21"/>
      <c r="N73" s="25"/>
      <c r="O73" s="25"/>
      <c r="P73" s="25"/>
      <c r="Q73" s="25"/>
      <c r="R73" s="25"/>
      <c r="S73" s="25"/>
      <c r="T73" s="25"/>
      <c r="U73" s="25"/>
      <c r="V73" s="25"/>
      <c r="W73" s="25"/>
      <c r="X73" s="25"/>
      <c r="Y73" s="25"/>
      <c r="Z73" s="25"/>
      <c r="AA73" s="25"/>
      <c r="AB73" s="25"/>
      <c r="AC73" s="25"/>
      <c r="AD73" s="25"/>
      <c r="AE73" s="25"/>
      <c r="AF73" s="25"/>
      <c r="AG73" s="25"/>
      <c r="AH73" s="25"/>
      <c r="AI73" s="25"/>
      <c r="AJ73" s="25"/>
      <c r="AK73" s="25"/>
      <c r="AL73" s="25"/>
      <c r="AM73" s="25"/>
      <c r="AN73" s="25"/>
      <c r="AO73" s="25"/>
      <c r="AP73" s="25"/>
      <c r="AQ73" s="25"/>
      <c r="AR73" s="25"/>
      <c r="AS73" s="25"/>
      <c r="AT73" s="25"/>
      <c r="AU73" s="25"/>
      <c r="AV73" s="25"/>
      <c r="AW73" s="25"/>
      <c r="AX73" s="25"/>
      <c r="AY73" s="25"/>
      <c r="AZ73" s="25"/>
      <c r="BA73" s="25"/>
      <c r="BB73" s="25"/>
      <c r="BC73" s="25"/>
      <c r="BD73" s="25"/>
      <c r="BE73" s="25"/>
      <c r="BF73" s="25"/>
      <c r="BG73" s="25"/>
      <c r="BH73" s="25"/>
      <c r="BI73" s="25"/>
      <c r="BJ73" s="25"/>
      <c r="BK73" s="25"/>
      <c r="BL73" s="25"/>
      <c r="BM73" s="25"/>
      <c r="BN73" s="25"/>
      <c r="BO73" s="25"/>
      <c r="BP73" s="25"/>
      <c r="BQ73" s="25"/>
      <c r="BR73" s="25"/>
      <c r="BS73" s="25"/>
      <c r="BT73" s="25"/>
      <c r="BU73" s="25"/>
      <c r="BV73" s="25"/>
      <c r="BW73" s="25"/>
      <c r="BX73" s="25"/>
      <c r="BY73" s="25"/>
      <c r="BZ73" s="25"/>
      <c r="CA73" s="25"/>
      <c r="CB73" s="25"/>
      <c r="CC73" s="25"/>
      <c r="CD73" s="25"/>
      <c r="CE73" s="25"/>
      <c r="CF73" s="25"/>
      <c r="CG73" s="25"/>
      <c r="CH73" s="25"/>
      <c r="CI73" s="25"/>
      <c r="CJ73" s="25"/>
      <c r="CK73" s="25"/>
      <c r="CL73" s="25"/>
      <c r="CM73" s="25"/>
      <c r="CN73" s="25"/>
      <c r="CO73" s="25"/>
      <c r="CP73" s="25"/>
      <c r="CQ73" s="25"/>
      <c r="CR73" s="25"/>
      <c r="CS73" s="25"/>
      <c r="CT73" s="25"/>
      <c r="CU73" s="25"/>
      <c r="CV73" s="25"/>
      <c r="CW73" s="25"/>
      <c r="CX73" s="25"/>
      <c r="CY73" s="25"/>
      <c r="CZ73" s="25"/>
      <c r="DA73" s="25"/>
      <c r="DB73" s="25"/>
      <c r="DC73" s="25"/>
      <c r="DD73" s="25"/>
      <c r="DE73" s="25"/>
      <c r="DF73" s="25"/>
      <c r="DG73" s="25"/>
      <c r="DH73" s="25"/>
      <c r="DI73" s="25"/>
      <c r="DJ73" s="25"/>
      <c r="DK73" s="25"/>
      <c r="DL73" s="25"/>
      <c r="DM73" s="25"/>
      <c r="DN73" s="25"/>
      <c r="DO73" s="25"/>
    </row>
    <row r="74" spans="1:119" ht="16.5" customHeight="1" x14ac:dyDescent="0.3">
      <c r="A74" s="92" t="s">
        <v>191</v>
      </c>
      <c r="B74" s="92"/>
      <c r="C74" s="30">
        <v>0</v>
      </c>
      <c r="D74" s="93">
        <f>((100/(I62))*C74)/100</f>
        <v>0</v>
      </c>
      <c r="E74" s="93"/>
      <c r="F74" s="93"/>
      <c r="G74" s="93"/>
      <c r="H74" s="93"/>
      <c r="I74" s="93"/>
      <c r="J74" s="93"/>
      <c r="K74" s="21" t="s">
        <v>174</v>
      </c>
      <c r="L74" s="21"/>
      <c r="M74" s="28"/>
    </row>
    <row r="75" spans="1:119" x14ac:dyDescent="0.3">
      <c r="A75" s="96" t="s">
        <v>206</v>
      </c>
      <c r="B75" s="96"/>
      <c r="C75" s="96"/>
      <c r="D75" s="96"/>
      <c r="E75" s="96"/>
      <c r="F75" s="96"/>
      <c r="G75" s="96"/>
      <c r="H75" s="96"/>
      <c r="I75" s="96"/>
      <c r="J75" s="96"/>
      <c r="K75" s="21" t="s">
        <v>176</v>
      </c>
      <c r="L75" s="21"/>
      <c r="M75" s="28"/>
    </row>
    <row r="76" spans="1:119" x14ac:dyDescent="0.3">
      <c r="A76" s="100" t="s">
        <v>116</v>
      </c>
      <c r="B76" s="100"/>
      <c r="C76" s="45">
        <v>1</v>
      </c>
      <c r="D76" s="100" t="s">
        <v>115</v>
      </c>
      <c r="E76" s="100"/>
      <c r="F76" s="100">
        <v>0</v>
      </c>
      <c r="G76" s="100"/>
      <c r="H76" s="45" t="s">
        <v>173</v>
      </c>
      <c r="I76" s="100">
        <v>12</v>
      </c>
      <c r="J76" s="100"/>
      <c r="K76" s="21" t="s">
        <v>181</v>
      </c>
      <c r="M76" s="29"/>
    </row>
    <row r="77" spans="1:119" x14ac:dyDescent="0.3">
      <c r="A77" s="119" t="s">
        <v>175</v>
      </c>
      <c r="B77" s="119"/>
      <c r="C77" s="96" t="str">
        <f>K76</f>
        <v>All work Completed. OC Received.</v>
      </c>
      <c r="D77" s="96"/>
      <c r="E77" s="96"/>
      <c r="F77" s="96"/>
      <c r="G77" s="96"/>
      <c r="H77" s="96"/>
      <c r="I77" s="96"/>
      <c r="J77" s="96"/>
      <c r="K77" s="21"/>
      <c r="M77" s="29"/>
    </row>
    <row r="78" spans="1:119" x14ac:dyDescent="0.3">
      <c r="A78" s="116" t="s">
        <v>179</v>
      </c>
      <c r="B78" s="116"/>
      <c r="C78" s="117">
        <v>1</v>
      </c>
      <c r="D78" s="118"/>
      <c r="E78" s="118"/>
      <c r="F78" s="118" t="s">
        <v>180</v>
      </c>
      <c r="G78" s="118"/>
      <c r="H78" s="117">
        <v>1</v>
      </c>
      <c r="I78" s="118"/>
      <c r="J78" s="118"/>
      <c r="K78" s="21" t="s">
        <v>181</v>
      </c>
      <c r="M78" s="29"/>
    </row>
    <row r="79" spans="1:119" x14ac:dyDescent="0.3">
      <c r="A79" s="116"/>
      <c r="B79" s="116"/>
      <c r="C79" s="118"/>
      <c r="D79" s="118"/>
      <c r="E79" s="118"/>
      <c r="F79" s="118"/>
      <c r="G79" s="118"/>
      <c r="H79" s="118"/>
      <c r="I79" s="118"/>
      <c r="J79" s="118"/>
      <c r="K79" s="21"/>
      <c r="M79" s="29"/>
    </row>
    <row r="80" spans="1:119" hidden="1" x14ac:dyDescent="0.3">
      <c r="A80" s="92" t="s">
        <v>62</v>
      </c>
      <c r="B80" s="92"/>
      <c r="C80" s="44" t="s">
        <v>177</v>
      </c>
      <c r="D80" s="92" t="s">
        <v>178</v>
      </c>
      <c r="E80" s="92"/>
      <c r="F80" s="92" t="s">
        <v>179</v>
      </c>
      <c r="G80" s="92"/>
      <c r="H80" s="92" t="s">
        <v>180</v>
      </c>
      <c r="I80" s="92"/>
      <c r="J80" s="92"/>
      <c r="M80" s="29"/>
    </row>
    <row r="81" spans="1:13" hidden="1" x14ac:dyDescent="0.3">
      <c r="A81" s="92" t="s">
        <v>182</v>
      </c>
      <c r="B81" s="92"/>
      <c r="C81" s="30">
        <f>M82</f>
        <v>12</v>
      </c>
      <c r="D81" s="93">
        <f>((100/I76)*C81)/100</f>
        <v>1</v>
      </c>
      <c r="E81" s="93"/>
      <c r="F81" s="93" t="str">
        <f>(IF(C77=K75,"100%",IF(C77=K76,"100%",(((C82/I76*10)+(40/(C76+F76+I76)*C83)+(7.5/(I76)*C84)+(7.5/(I76)*C85)+(10/I76*C86)+(10/I76*C87)+(5/I76*C88)+(5/I76*C89)+(5/I76*C90))/100))))</f>
        <v>100%</v>
      </c>
      <c r="G81" s="93"/>
      <c r="H81" s="93">
        <f>((((C81/I76)*20)+((C82/I76)*25)+(30/(I76+F76+C76)*C83)+(5/I76*C84)+(5/I76*C85)+(5/I76*C86)+(5/I76*C87)+(0/I76*C88)+(0/I76*C89)+(5/I76*C90))/100)</f>
        <v>1</v>
      </c>
      <c r="I81" s="93"/>
      <c r="J81" s="93"/>
      <c r="K81" s="22" t="s">
        <v>120</v>
      </c>
      <c r="L81" s="32"/>
      <c r="M81" s="33">
        <f>I76*50%</f>
        <v>6</v>
      </c>
    </row>
    <row r="82" spans="1:13" hidden="1" x14ac:dyDescent="0.3">
      <c r="A82" s="92" t="s">
        <v>63</v>
      </c>
      <c r="B82" s="92"/>
      <c r="C82" s="30">
        <f>M87</f>
        <v>12</v>
      </c>
      <c r="D82" s="93">
        <f>((100/I76)*C82)/100</f>
        <v>1</v>
      </c>
      <c r="E82" s="93"/>
      <c r="F82" s="93"/>
      <c r="G82" s="93"/>
      <c r="H82" s="93"/>
      <c r="I82" s="93"/>
      <c r="J82" s="93"/>
      <c r="K82" s="22" t="s">
        <v>121</v>
      </c>
      <c r="L82" s="32"/>
      <c r="M82" s="33">
        <f>I76</f>
        <v>12</v>
      </c>
    </row>
    <row r="83" spans="1:13" ht="15" hidden="1" customHeight="1" x14ac:dyDescent="0.3">
      <c r="A83" s="92" t="s">
        <v>64</v>
      </c>
      <c r="B83" s="92"/>
      <c r="C83" s="31">
        <v>13</v>
      </c>
      <c r="D83" s="93">
        <f>((100/(C76+F76+I76))*C83)/100</f>
        <v>1</v>
      </c>
      <c r="E83" s="93"/>
      <c r="F83" s="93"/>
      <c r="G83" s="93"/>
      <c r="H83" s="93"/>
      <c r="I83" s="93"/>
      <c r="J83" s="93"/>
      <c r="K83" s="22"/>
      <c r="L83" s="32"/>
      <c r="M83" s="33"/>
    </row>
    <row r="84" spans="1:13" hidden="1" x14ac:dyDescent="0.3">
      <c r="A84" s="92" t="s">
        <v>183</v>
      </c>
      <c r="B84" s="92" t="s">
        <v>184</v>
      </c>
      <c r="C84" s="30">
        <v>12</v>
      </c>
      <c r="D84" s="93">
        <f>((100/I76)*C84)/100</f>
        <v>1</v>
      </c>
      <c r="E84" s="93"/>
      <c r="F84" s="93"/>
      <c r="G84" s="93"/>
      <c r="H84" s="93"/>
      <c r="I84" s="93"/>
      <c r="J84" s="93"/>
      <c r="K84" s="22" t="s">
        <v>122</v>
      </c>
      <c r="L84" s="32"/>
      <c r="M84" s="33">
        <f>I76*25%</f>
        <v>3</v>
      </c>
    </row>
    <row r="85" spans="1:13" hidden="1" x14ac:dyDescent="0.3">
      <c r="A85" s="92" t="s">
        <v>185</v>
      </c>
      <c r="B85" s="92" t="s">
        <v>184</v>
      </c>
      <c r="C85" s="30">
        <v>12</v>
      </c>
      <c r="D85" s="93">
        <f>((100/I76)*C85)/100</f>
        <v>1</v>
      </c>
      <c r="E85" s="93"/>
      <c r="F85" s="93"/>
      <c r="G85" s="93"/>
      <c r="H85" s="93"/>
      <c r="I85" s="93"/>
      <c r="J85" s="93"/>
      <c r="K85" s="22" t="s">
        <v>123</v>
      </c>
      <c r="L85" s="32"/>
      <c r="M85" s="33">
        <f>I76*50%</f>
        <v>6</v>
      </c>
    </row>
    <row r="86" spans="1:13" hidden="1" x14ac:dyDescent="0.3">
      <c r="A86" s="100" t="s">
        <v>186</v>
      </c>
      <c r="B86" s="100" t="s">
        <v>187</v>
      </c>
      <c r="C86" s="30">
        <v>12</v>
      </c>
      <c r="D86" s="93">
        <f>((100/(I76))*C86)/100</f>
        <v>1</v>
      </c>
      <c r="E86" s="93"/>
      <c r="F86" s="93"/>
      <c r="G86" s="93"/>
      <c r="H86" s="93"/>
      <c r="I86" s="93"/>
      <c r="J86" s="93"/>
      <c r="K86" s="22" t="s">
        <v>124</v>
      </c>
      <c r="L86" s="32"/>
      <c r="M86" s="33">
        <f>I76*75%</f>
        <v>9</v>
      </c>
    </row>
    <row r="87" spans="1:13" ht="15" hidden="1" customHeight="1" x14ac:dyDescent="0.3">
      <c r="A87" s="92" t="s">
        <v>188</v>
      </c>
      <c r="B87" s="92" t="s">
        <v>188</v>
      </c>
      <c r="C87" s="30">
        <v>12</v>
      </c>
      <c r="D87" s="93">
        <f>((100/I76)*C87)/100</f>
        <v>1</v>
      </c>
      <c r="E87" s="93"/>
      <c r="F87" s="93"/>
      <c r="G87" s="93"/>
      <c r="H87" s="93"/>
      <c r="I87" s="93"/>
      <c r="J87" s="93"/>
      <c r="K87" s="22" t="s">
        <v>125</v>
      </c>
      <c r="L87" s="32"/>
      <c r="M87" s="33">
        <f>I76</f>
        <v>12</v>
      </c>
    </row>
    <row r="88" spans="1:13" ht="16.2" hidden="1" thickBot="1" x14ac:dyDescent="0.35">
      <c r="A88" s="92" t="s">
        <v>189</v>
      </c>
      <c r="B88" s="92"/>
      <c r="C88" s="30">
        <v>12</v>
      </c>
      <c r="D88" s="93">
        <f>((100/I76)*C88)/100</f>
        <v>1</v>
      </c>
      <c r="E88" s="93"/>
      <c r="F88" s="93"/>
      <c r="G88" s="93"/>
      <c r="H88" s="93"/>
      <c r="I88" s="93"/>
      <c r="J88" s="93"/>
      <c r="K88" s="34"/>
      <c r="L88" s="34"/>
      <c r="M88" s="35"/>
    </row>
    <row r="89" spans="1:13" ht="15" hidden="1" customHeight="1" x14ac:dyDescent="0.3">
      <c r="A89" s="92" t="s">
        <v>190</v>
      </c>
      <c r="B89" s="92" t="s">
        <v>190</v>
      </c>
      <c r="C89" s="30">
        <v>12</v>
      </c>
      <c r="D89" s="93">
        <f>((100/(I76))*C89)/100</f>
        <v>1</v>
      </c>
      <c r="E89" s="93"/>
      <c r="F89" s="93"/>
      <c r="G89" s="93"/>
      <c r="H89" s="93"/>
      <c r="I89" s="93"/>
      <c r="J89" s="93"/>
      <c r="K89" s="20" t="str">
        <f>(IF(C97=0,"Work not yet Started.",IF(D97=50%,"Excavation work in process",IF(D97=100%,"Excavation work completed, ","0")))&amp;(IF(C98=0%,"",IF(D98=25%,"Footing work is process",IF(D98=50%,"Footing work Completed",IF(D98=75%,"Plinth work is process",IF(D98=100%,"Plinth work completed","0"))))))&amp;(IF(C99&gt;0,", RCC upto "&amp;C99&amp;" Slab completed",""))&amp;(IF(C100&gt;0,", Brickwork upto "&amp;C100&amp;" Floor completed"," "))&amp;(IF(C101&gt;0,", Internal Plaster upto "&amp;C101&amp;" Floor completed"," "))&amp;(IF(C102&gt;0,", External Plaster upto "&amp;C102&amp;" Floor completed"," "))&amp;(IF(C103&gt;0,", Flooring upto "&amp;C103&amp;" Floor completed"," "))&amp;(IF(C104&gt;0,", Painting upto "&amp;C104&amp;" Floor completed"," "))&amp;(IF(C105&gt;0,", Finishing upto "&amp;C105&amp;" Floor completed"," ")))</f>
        <v>Excavation work completed, Plinth work completed, RCC upto 8 Slab completed, Brickwork upto 7 Floor completed, Internal Plaster upto 7 Floor completed, External Plaster upto 7 Floor completed, Flooring upto 7 Floor completed, Painting upto 7 Floor completed, Finishing upto 7 Floor completed</v>
      </c>
      <c r="L89" s="20"/>
      <c r="M89" s="27"/>
    </row>
    <row r="90" spans="1:13" ht="16.5" hidden="1" customHeight="1" thickBot="1" x14ac:dyDescent="0.35">
      <c r="A90" s="92" t="s">
        <v>191</v>
      </c>
      <c r="B90" s="92"/>
      <c r="C90" s="30">
        <v>12</v>
      </c>
      <c r="D90" s="93">
        <f>((100/(I76))*C90)/100</f>
        <v>1</v>
      </c>
      <c r="E90" s="93"/>
      <c r="F90" s="93"/>
      <c r="G90" s="93"/>
      <c r="H90" s="93"/>
      <c r="I90" s="93"/>
      <c r="J90" s="93"/>
      <c r="K90" s="21" t="s">
        <v>174</v>
      </c>
      <c r="L90" s="21"/>
      <c r="M90" s="28"/>
    </row>
    <row r="91" spans="1:13" hidden="1" x14ac:dyDescent="0.3">
      <c r="A91" s="96" t="s">
        <v>193</v>
      </c>
      <c r="B91" s="96"/>
      <c r="C91" s="96"/>
      <c r="D91" s="96"/>
      <c r="E91" s="96"/>
      <c r="F91" s="96"/>
      <c r="G91" s="96"/>
      <c r="H91" s="96"/>
      <c r="I91" s="96"/>
      <c r="J91" s="96"/>
      <c r="K91" s="21" t="s">
        <v>176</v>
      </c>
      <c r="L91" s="21"/>
      <c r="M91" s="28"/>
    </row>
    <row r="92" spans="1:13" hidden="1" x14ac:dyDescent="0.3">
      <c r="A92" s="100" t="s">
        <v>116</v>
      </c>
      <c r="B92" s="100"/>
      <c r="C92" s="45">
        <v>1</v>
      </c>
      <c r="D92" s="100" t="s">
        <v>115</v>
      </c>
      <c r="E92" s="100"/>
      <c r="F92" s="100">
        <v>0</v>
      </c>
      <c r="G92" s="100"/>
      <c r="H92" s="45" t="s">
        <v>173</v>
      </c>
      <c r="I92" s="100">
        <v>7</v>
      </c>
      <c r="J92" s="100"/>
      <c r="K92" s="21"/>
      <c r="L92" s="21"/>
      <c r="M92" s="28"/>
    </row>
    <row r="93" spans="1:13" hidden="1" x14ac:dyDescent="0.3">
      <c r="A93" s="95" t="s">
        <v>175</v>
      </c>
      <c r="B93" s="95"/>
      <c r="C93" s="96" t="str">
        <f>K91</f>
        <v>All work Completed. Provide OC.</v>
      </c>
      <c r="D93" s="96"/>
      <c r="E93" s="96"/>
      <c r="F93" s="96"/>
      <c r="G93" s="96"/>
      <c r="H93" s="96"/>
      <c r="I93" s="96"/>
      <c r="J93" s="96"/>
      <c r="K93" s="21"/>
      <c r="L93" s="21"/>
      <c r="M93" s="28"/>
    </row>
    <row r="94" spans="1:13" hidden="1" x14ac:dyDescent="0.3">
      <c r="A94" s="116" t="s">
        <v>179</v>
      </c>
      <c r="B94" s="116"/>
      <c r="C94" s="117">
        <v>1</v>
      </c>
      <c r="D94" s="118"/>
      <c r="E94" s="118"/>
      <c r="F94" s="118" t="s">
        <v>180</v>
      </c>
      <c r="G94" s="118"/>
      <c r="H94" s="117">
        <v>1</v>
      </c>
      <c r="I94" s="118"/>
      <c r="J94" s="118"/>
      <c r="K94" s="21" t="s">
        <v>181</v>
      </c>
      <c r="M94" s="29"/>
    </row>
    <row r="95" spans="1:13" hidden="1" x14ac:dyDescent="0.3">
      <c r="A95" s="116"/>
      <c r="B95" s="116"/>
      <c r="C95" s="118"/>
      <c r="D95" s="118"/>
      <c r="E95" s="118"/>
      <c r="F95" s="118"/>
      <c r="G95" s="118"/>
      <c r="H95" s="118"/>
      <c r="I95" s="118"/>
      <c r="J95" s="118"/>
      <c r="K95" s="21"/>
      <c r="M95" s="29"/>
    </row>
    <row r="96" spans="1:13" hidden="1" x14ac:dyDescent="0.3">
      <c r="A96" s="92" t="s">
        <v>62</v>
      </c>
      <c r="B96" s="92"/>
      <c r="C96" s="44" t="s">
        <v>177</v>
      </c>
      <c r="D96" s="92" t="s">
        <v>178</v>
      </c>
      <c r="E96" s="92"/>
      <c r="F96" s="92" t="s">
        <v>179</v>
      </c>
      <c r="G96" s="92"/>
      <c r="H96" s="92" t="s">
        <v>180</v>
      </c>
      <c r="I96" s="92"/>
      <c r="J96" s="92"/>
      <c r="M96" s="29"/>
    </row>
    <row r="97" spans="1:13" hidden="1" x14ac:dyDescent="0.3">
      <c r="A97" s="92" t="s">
        <v>182</v>
      </c>
      <c r="B97" s="92"/>
      <c r="C97" s="30">
        <f>M98</f>
        <v>7</v>
      </c>
      <c r="D97" s="93">
        <f>((100/I92)*C97)/100</f>
        <v>1</v>
      </c>
      <c r="E97" s="93"/>
      <c r="F97" s="93" t="str">
        <f>(IF(C93=K91,"100%",IF(C93=K94,"100%",(((C98/I92*10)+(40/(C92+F92+I92)*C99)+(7.5/(I92)*C100)+(7.5/(I92)*C101)+(10/I92*C102)+(10/I92*C103)+(5/I92*C104)+(5/I92*C105)+(5/I92*C106))/100))))</f>
        <v>100%</v>
      </c>
      <c r="G97" s="93"/>
      <c r="H97" s="93">
        <f>((((C97/I92)*20)+((C98/I92)*25)+(30/(I92+F92+C92)*C99)+(5/I92*C100)+(5/I92*C101)+(5/I92*C102)+(5/I92*C103)+(0/I92*C104)+(0/I92*C105)+(5/I92*C106))/100)</f>
        <v>1</v>
      </c>
      <c r="I97" s="93"/>
      <c r="J97" s="93"/>
      <c r="K97" s="22" t="s">
        <v>120</v>
      </c>
      <c r="L97" s="32"/>
      <c r="M97" s="33">
        <f>I92*50%</f>
        <v>3.5</v>
      </c>
    </row>
    <row r="98" spans="1:13" hidden="1" x14ac:dyDescent="0.3">
      <c r="A98" s="92" t="s">
        <v>63</v>
      </c>
      <c r="B98" s="92"/>
      <c r="C98" s="30">
        <f>M103</f>
        <v>7</v>
      </c>
      <c r="D98" s="93">
        <f>((100/I92)*C98)/100</f>
        <v>1</v>
      </c>
      <c r="E98" s="93"/>
      <c r="F98" s="93"/>
      <c r="G98" s="93"/>
      <c r="H98" s="93"/>
      <c r="I98" s="93"/>
      <c r="J98" s="93"/>
      <c r="K98" s="22" t="s">
        <v>121</v>
      </c>
      <c r="L98" s="32"/>
      <c r="M98" s="33">
        <f>I92</f>
        <v>7</v>
      </c>
    </row>
    <row r="99" spans="1:13" ht="15" hidden="1" customHeight="1" x14ac:dyDescent="0.3">
      <c r="A99" s="92" t="s">
        <v>192</v>
      </c>
      <c r="B99" s="92"/>
      <c r="C99" s="31">
        <v>8</v>
      </c>
      <c r="D99" s="93">
        <f>((100/(C92+F92+I92))*C99)/100</f>
        <v>1</v>
      </c>
      <c r="E99" s="93"/>
      <c r="F99" s="93"/>
      <c r="G99" s="93"/>
      <c r="H99" s="93"/>
      <c r="I99" s="93"/>
      <c r="J99" s="93"/>
      <c r="K99" s="22"/>
      <c r="L99" s="32"/>
      <c r="M99" s="33"/>
    </row>
    <row r="100" spans="1:13" hidden="1" x14ac:dyDescent="0.3">
      <c r="A100" s="92" t="s">
        <v>183</v>
      </c>
      <c r="B100" s="92" t="s">
        <v>184</v>
      </c>
      <c r="C100" s="30">
        <v>7</v>
      </c>
      <c r="D100" s="93">
        <f>((100/I92)*C100)/100</f>
        <v>1</v>
      </c>
      <c r="E100" s="93"/>
      <c r="F100" s="93"/>
      <c r="G100" s="93"/>
      <c r="H100" s="93"/>
      <c r="I100" s="93"/>
      <c r="J100" s="93"/>
      <c r="K100" s="22" t="s">
        <v>122</v>
      </c>
      <c r="L100" s="32"/>
      <c r="M100" s="33">
        <f>I92*25%</f>
        <v>1.75</v>
      </c>
    </row>
    <row r="101" spans="1:13" hidden="1" x14ac:dyDescent="0.3">
      <c r="A101" s="92" t="s">
        <v>185</v>
      </c>
      <c r="B101" s="92" t="s">
        <v>184</v>
      </c>
      <c r="C101" s="30">
        <v>7</v>
      </c>
      <c r="D101" s="93">
        <f>((100/I92)*C101)/100</f>
        <v>1</v>
      </c>
      <c r="E101" s="93"/>
      <c r="F101" s="93"/>
      <c r="G101" s="93"/>
      <c r="H101" s="93"/>
      <c r="I101" s="93"/>
      <c r="J101" s="93"/>
      <c r="K101" s="22" t="s">
        <v>123</v>
      </c>
      <c r="L101" s="32"/>
      <c r="M101" s="33">
        <f>I92*50%</f>
        <v>3.5</v>
      </c>
    </row>
    <row r="102" spans="1:13" hidden="1" x14ac:dyDescent="0.3">
      <c r="A102" s="100" t="s">
        <v>186</v>
      </c>
      <c r="B102" s="100" t="s">
        <v>187</v>
      </c>
      <c r="C102" s="30">
        <v>7</v>
      </c>
      <c r="D102" s="93">
        <f>((100/(I92))*C102)/100</f>
        <v>1</v>
      </c>
      <c r="E102" s="93"/>
      <c r="F102" s="93"/>
      <c r="G102" s="93"/>
      <c r="H102" s="93"/>
      <c r="I102" s="93"/>
      <c r="J102" s="93"/>
      <c r="K102" s="22" t="s">
        <v>124</v>
      </c>
      <c r="L102" s="32"/>
      <c r="M102" s="33">
        <f>I92*75%</f>
        <v>5.25</v>
      </c>
    </row>
    <row r="103" spans="1:13" ht="15" hidden="1" customHeight="1" x14ac:dyDescent="0.3">
      <c r="A103" s="92" t="s">
        <v>188</v>
      </c>
      <c r="B103" s="92" t="s">
        <v>188</v>
      </c>
      <c r="C103" s="30">
        <v>7</v>
      </c>
      <c r="D103" s="93">
        <f>((100/I92)*C103)/100</f>
        <v>1</v>
      </c>
      <c r="E103" s="93"/>
      <c r="F103" s="93"/>
      <c r="G103" s="93"/>
      <c r="H103" s="93"/>
      <c r="I103" s="93"/>
      <c r="J103" s="93"/>
      <c r="K103" s="22" t="s">
        <v>125</v>
      </c>
      <c r="L103" s="32"/>
      <c r="M103" s="33">
        <f>I92</f>
        <v>7</v>
      </c>
    </row>
    <row r="104" spans="1:13" s="47" customFormat="1" hidden="1" x14ac:dyDescent="0.3">
      <c r="A104" s="92" t="s">
        <v>189</v>
      </c>
      <c r="B104" s="92"/>
      <c r="C104" s="30">
        <v>7</v>
      </c>
      <c r="D104" s="93">
        <f>((100/I92)*C104)/100</f>
        <v>1</v>
      </c>
      <c r="E104" s="93"/>
      <c r="F104" s="93"/>
      <c r="G104" s="93"/>
      <c r="H104" s="93"/>
      <c r="I104" s="93"/>
      <c r="J104" s="93"/>
      <c r="K104" s="51"/>
      <c r="L104" s="5"/>
      <c r="M104" s="5"/>
    </row>
    <row r="105" spans="1:13" ht="15" hidden="1" customHeight="1" x14ac:dyDescent="0.3">
      <c r="A105" s="92" t="s">
        <v>190</v>
      </c>
      <c r="B105" s="92" t="s">
        <v>190</v>
      </c>
      <c r="C105" s="30">
        <v>7</v>
      </c>
      <c r="D105" s="93">
        <f>((100/(I92))*C105)/100</f>
        <v>1</v>
      </c>
      <c r="E105" s="93"/>
      <c r="F105" s="93"/>
      <c r="G105" s="93"/>
      <c r="H105" s="93"/>
      <c r="I105" s="93"/>
      <c r="J105" s="93"/>
      <c r="K105" s="21" t="str">
        <f>(IF(C113=0,"Work not yet Started.",IF(D113=50%,"Excavation work in process",IF(D113=100%,"Excavation work completed, ","0")))&amp;(IF(C114=0%,"",IF(D114=25%,"Footing work is process",IF(D114=50%,"Footing work Completed",IF(D114=75%,"Plinth work is process",IF(D114=100%,"Plinth work completed","0"))))))&amp;(IF(C115&gt;0,", RCC upto "&amp;C115&amp;" Slab completed",""))&amp;(IF(C116&gt;0,", Brickwork upto "&amp;C116&amp;" Floor completed"," "))&amp;(IF(C117&gt;0,", Internal Plaster upto "&amp;C117&amp;" Floor completed"," "))&amp;(IF(C118&gt;0,", External Plaster upto "&amp;C118&amp;" Floor completed"," "))&amp;(IF(C119&gt;0,", Flooring upto "&amp;C119&amp;" Floor completed"," "))&amp;(IF(C120&gt;0,", Painting upto "&amp;C120&amp;" Floor completed"," "))&amp;(IF(C121&gt;0,", Finishing upto "&amp;C121&amp;" Floor completed"," ")))</f>
        <v>Excavation work completed, Plinth work completed, RCC upto 8 Slab completed, Brickwork upto 7 Floor completed, Internal Plaster upto 7 Floor completed, External Plaster upto 7 Floor completed, Flooring upto 7 Floor completed, Painting upto 7 Floor completed, Finishing upto 7 Floor completed</v>
      </c>
      <c r="L105" s="21"/>
      <c r="M105" s="28"/>
    </row>
    <row r="106" spans="1:13" ht="16.5" hidden="1" customHeight="1" thickBot="1" x14ac:dyDescent="0.35">
      <c r="A106" s="92" t="s">
        <v>191</v>
      </c>
      <c r="B106" s="92"/>
      <c r="C106" s="30">
        <v>7</v>
      </c>
      <c r="D106" s="93">
        <f>((100/(I92))*C106)/100</f>
        <v>1</v>
      </c>
      <c r="E106" s="93"/>
      <c r="F106" s="93"/>
      <c r="G106" s="93"/>
      <c r="H106" s="93"/>
      <c r="I106" s="93"/>
      <c r="J106" s="93"/>
      <c r="K106" s="21" t="s">
        <v>174</v>
      </c>
      <c r="L106" s="21"/>
      <c r="M106" s="28"/>
    </row>
    <row r="107" spans="1:13" x14ac:dyDescent="0.3">
      <c r="A107" s="96" t="s">
        <v>204</v>
      </c>
      <c r="B107" s="96"/>
      <c r="C107" s="96"/>
      <c r="D107" s="96"/>
      <c r="E107" s="96"/>
      <c r="F107" s="96"/>
      <c r="G107" s="96"/>
      <c r="H107" s="96"/>
      <c r="I107" s="96"/>
      <c r="J107" s="96"/>
      <c r="K107" s="21" t="s">
        <v>176</v>
      </c>
      <c r="L107" s="21"/>
      <c r="M107" s="28"/>
    </row>
    <row r="108" spans="1:13" s="39" customFormat="1" x14ac:dyDescent="0.3">
      <c r="A108" s="106" t="s">
        <v>116</v>
      </c>
      <c r="B108" s="100"/>
      <c r="C108" s="45">
        <v>1</v>
      </c>
      <c r="D108" s="100" t="s">
        <v>115</v>
      </c>
      <c r="E108" s="100"/>
      <c r="F108" s="100">
        <v>0</v>
      </c>
      <c r="G108" s="100"/>
      <c r="H108" s="45" t="s">
        <v>173</v>
      </c>
      <c r="I108" s="100">
        <v>7</v>
      </c>
      <c r="J108" s="101"/>
      <c r="K108" s="48"/>
      <c r="L108" s="48"/>
      <c r="M108" s="49"/>
    </row>
    <row r="109" spans="1:13" s="39" customFormat="1" x14ac:dyDescent="0.3">
      <c r="A109" s="94" t="s">
        <v>175</v>
      </c>
      <c r="B109" s="95"/>
      <c r="C109" s="96" t="s">
        <v>181</v>
      </c>
      <c r="D109" s="96"/>
      <c r="E109" s="96"/>
      <c r="F109" s="96"/>
      <c r="G109" s="96"/>
      <c r="H109" s="96"/>
      <c r="I109" s="96"/>
      <c r="J109" s="97"/>
      <c r="K109" s="48"/>
      <c r="L109" s="48"/>
      <c r="M109" s="49"/>
    </row>
    <row r="110" spans="1:13" x14ac:dyDescent="0.3">
      <c r="A110" s="102" t="s">
        <v>179</v>
      </c>
      <c r="B110" s="103"/>
      <c r="C110" s="107">
        <v>1</v>
      </c>
      <c r="D110" s="108"/>
      <c r="E110" s="109"/>
      <c r="F110" s="113" t="s">
        <v>180</v>
      </c>
      <c r="G110" s="109"/>
      <c r="H110" s="107">
        <v>1</v>
      </c>
      <c r="I110" s="108"/>
      <c r="J110" s="114"/>
      <c r="K110" s="21" t="s">
        <v>181</v>
      </c>
      <c r="M110" s="29"/>
    </row>
    <row r="111" spans="1:13" ht="16.2" thickBot="1" x14ac:dyDescent="0.35">
      <c r="A111" s="104"/>
      <c r="B111" s="105"/>
      <c r="C111" s="110"/>
      <c r="D111" s="111"/>
      <c r="E111" s="112"/>
      <c r="F111" s="110"/>
      <c r="G111" s="112"/>
      <c r="H111" s="110"/>
      <c r="I111" s="111"/>
      <c r="J111" s="115"/>
      <c r="K111" s="21"/>
      <c r="M111" s="29"/>
    </row>
    <row r="112" spans="1:13" hidden="1" x14ac:dyDescent="0.3">
      <c r="A112" s="98" t="s">
        <v>62</v>
      </c>
      <c r="B112" s="98"/>
      <c r="C112" s="50" t="s">
        <v>177</v>
      </c>
      <c r="D112" s="98" t="s">
        <v>178</v>
      </c>
      <c r="E112" s="98"/>
      <c r="F112" s="98" t="s">
        <v>179</v>
      </c>
      <c r="G112" s="98"/>
      <c r="H112" s="98" t="s">
        <v>180</v>
      </c>
      <c r="I112" s="98"/>
      <c r="J112" s="98"/>
      <c r="M112" s="29"/>
    </row>
    <row r="113" spans="1:16" hidden="1" x14ac:dyDescent="0.3">
      <c r="A113" s="92" t="s">
        <v>182</v>
      </c>
      <c r="B113" s="92"/>
      <c r="C113" s="30">
        <f>M114</f>
        <v>7</v>
      </c>
      <c r="D113" s="93">
        <f>((100/I108)*C113)/100</f>
        <v>1</v>
      </c>
      <c r="E113" s="93"/>
      <c r="F113" s="93" t="str">
        <f>(IF(C109=K107,"100%",IF(C109=K110,"100%",(((C114/I108*10)+(40/(C108+F108+I108)*C115)+(7.5/(I108)*C116)+(7.5/(I108)*C117)+(10/I108*C118)+(10/I108*C119)+(5/I108*C120)+(5/I108*C121)+(5/I108*C122))/100))))</f>
        <v>100%</v>
      </c>
      <c r="G113" s="93"/>
      <c r="H113" s="93">
        <f>((((C113/I108)*20)+((C114/I108)*25)+(30/(I108+F108+C108)*C115)+(5/I108*C116)+(5/I108*C117)+(5/I108*C118)+(5/I108*C119)+(0/I108*C120)+(0/I108*C121)+(5/I108*C122))/100)</f>
        <v>1</v>
      </c>
      <c r="I113" s="93"/>
      <c r="J113" s="93"/>
      <c r="K113" s="22" t="s">
        <v>120</v>
      </c>
      <c r="L113" s="32"/>
      <c r="M113" s="33">
        <f>I108*50%</f>
        <v>3.5</v>
      </c>
    </row>
    <row r="114" spans="1:16" hidden="1" x14ac:dyDescent="0.3">
      <c r="A114" s="92" t="s">
        <v>63</v>
      </c>
      <c r="B114" s="92"/>
      <c r="C114" s="30">
        <f>M119</f>
        <v>7</v>
      </c>
      <c r="D114" s="93">
        <f>((100/I108)*C114)/100</f>
        <v>1</v>
      </c>
      <c r="E114" s="93"/>
      <c r="F114" s="93"/>
      <c r="G114" s="93"/>
      <c r="H114" s="93"/>
      <c r="I114" s="93"/>
      <c r="J114" s="93"/>
      <c r="K114" s="22" t="s">
        <v>121</v>
      </c>
      <c r="L114" s="32"/>
      <c r="M114" s="33">
        <f>I108</f>
        <v>7</v>
      </c>
    </row>
    <row r="115" spans="1:16" ht="15" hidden="1" customHeight="1" x14ac:dyDescent="0.3">
      <c r="A115" s="92" t="s">
        <v>192</v>
      </c>
      <c r="B115" s="92"/>
      <c r="C115" s="31">
        <v>8</v>
      </c>
      <c r="D115" s="93">
        <f>((100/(C108+F108+I108))*C115)/100</f>
        <v>1</v>
      </c>
      <c r="E115" s="93"/>
      <c r="F115" s="93"/>
      <c r="G115" s="93"/>
      <c r="H115" s="93"/>
      <c r="I115" s="93"/>
      <c r="J115" s="93"/>
      <c r="K115" s="22"/>
      <c r="L115" s="32"/>
      <c r="M115" s="33"/>
    </row>
    <row r="116" spans="1:16" hidden="1" x14ac:dyDescent="0.3">
      <c r="A116" s="92" t="s">
        <v>183</v>
      </c>
      <c r="B116" s="92" t="s">
        <v>184</v>
      </c>
      <c r="C116" s="30">
        <v>7</v>
      </c>
      <c r="D116" s="93">
        <f>((100/I108)*C116)/100</f>
        <v>1</v>
      </c>
      <c r="E116" s="93"/>
      <c r="F116" s="93"/>
      <c r="G116" s="93"/>
      <c r="H116" s="93"/>
      <c r="I116" s="93"/>
      <c r="J116" s="93"/>
      <c r="K116" s="22" t="s">
        <v>122</v>
      </c>
      <c r="L116" s="32"/>
      <c r="M116" s="33">
        <f>I108*25%</f>
        <v>1.75</v>
      </c>
    </row>
    <row r="117" spans="1:16" hidden="1" x14ac:dyDescent="0.3">
      <c r="A117" s="92" t="s">
        <v>185</v>
      </c>
      <c r="B117" s="92" t="s">
        <v>184</v>
      </c>
      <c r="C117" s="30">
        <v>7</v>
      </c>
      <c r="D117" s="93">
        <f>((100/I108)*C117)/100</f>
        <v>1</v>
      </c>
      <c r="E117" s="93"/>
      <c r="F117" s="93"/>
      <c r="G117" s="93"/>
      <c r="H117" s="93"/>
      <c r="I117" s="93"/>
      <c r="J117" s="93"/>
      <c r="K117" s="22" t="s">
        <v>123</v>
      </c>
      <c r="L117" s="32"/>
      <c r="M117" s="33">
        <f>I108*50%</f>
        <v>3.5</v>
      </c>
    </row>
    <row r="118" spans="1:16" hidden="1" x14ac:dyDescent="0.3">
      <c r="A118" s="100" t="s">
        <v>186</v>
      </c>
      <c r="B118" s="100" t="s">
        <v>187</v>
      </c>
      <c r="C118" s="30">
        <v>7</v>
      </c>
      <c r="D118" s="93">
        <f>((100/(I108))*C118)/100</f>
        <v>1</v>
      </c>
      <c r="E118" s="93"/>
      <c r="F118" s="93"/>
      <c r="G118" s="93"/>
      <c r="H118" s="93"/>
      <c r="I118" s="93"/>
      <c r="J118" s="93"/>
      <c r="K118" s="22" t="s">
        <v>124</v>
      </c>
      <c r="L118" s="32"/>
      <c r="M118" s="33">
        <f>I108*75%</f>
        <v>5.25</v>
      </c>
    </row>
    <row r="119" spans="1:16" ht="15" hidden="1" customHeight="1" x14ac:dyDescent="0.3">
      <c r="A119" s="92" t="s">
        <v>188</v>
      </c>
      <c r="B119" s="92" t="s">
        <v>188</v>
      </c>
      <c r="C119" s="30">
        <v>7</v>
      </c>
      <c r="D119" s="93">
        <f>((100/I108)*C119)/100</f>
        <v>1</v>
      </c>
      <c r="E119" s="93"/>
      <c r="F119" s="93"/>
      <c r="G119" s="93"/>
      <c r="H119" s="93"/>
      <c r="I119" s="93"/>
      <c r="J119" s="93"/>
      <c r="K119" s="22" t="s">
        <v>125</v>
      </c>
      <c r="L119" s="32"/>
      <c r="M119" s="33">
        <f>I108</f>
        <v>7</v>
      </c>
    </row>
    <row r="120" spans="1:16" ht="16.2" hidden="1" thickBot="1" x14ac:dyDescent="0.35">
      <c r="A120" s="92" t="s">
        <v>189</v>
      </c>
      <c r="B120" s="92"/>
      <c r="C120" s="30">
        <v>7</v>
      </c>
      <c r="D120" s="93">
        <f>((100/I108)*C120)/100</f>
        <v>1</v>
      </c>
      <c r="E120" s="93"/>
      <c r="F120" s="93"/>
      <c r="G120" s="93"/>
      <c r="H120" s="93"/>
      <c r="I120" s="93"/>
      <c r="J120" s="93"/>
      <c r="K120" s="34"/>
      <c r="L120" s="34"/>
      <c r="M120" s="35"/>
    </row>
    <row r="121" spans="1:16" hidden="1" x14ac:dyDescent="0.3">
      <c r="A121" s="92" t="s">
        <v>190</v>
      </c>
      <c r="B121" s="92" t="s">
        <v>190</v>
      </c>
      <c r="C121" s="30">
        <v>7</v>
      </c>
      <c r="D121" s="93">
        <f>((100/(I108))*C121)/100</f>
        <v>1</v>
      </c>
      <c r="E121" s="93"/>
      <c r="F121" s="93"/>
      <c r="G121" s="93"/>
      <c r="H121" s="93"/>
      <c r="I121" s="93"/>
      <c r="J121" s="93"/>
    </row>
    <row r="122" spans="1:16" hidden="1" x14ac:dyDescent="0.3">
      <c r="A122" s="92" t="s">
        <v>191</v>
      </c>
      <c r="B122" s="92"/>
      <c r="C122" s="30">
        <v>7</v>
      </c>
      <c r="D122" s="93">
        <f>((100/(I108))*C122)/100</f>
        <v>1</v>
      </c>
      <c r="E122" s="93"/>
      <c r="F122" s="93"/>
      <c r="G122" s="93"/>
      <c r="H122" s="93"/>
      <c r="I122" s="93"/>
      <c r="J122" s="93"/>
    </row>
    <row r="123" spans="1:16" ht="15" hidden="1" customHeight="1" x14ac:dyDescent="0.3">
      <c r="A123" s="174" t="s">
        <v>151</v>
      </c>
      <c r="B123" s="175"/>
      <c r="C123" s="175"/>
      <c r="D123" s="175"/>
      <c r="E123" s="175"/>
      <c r="F123" s="175"/>
      <c r="G123" s="175"/>
      <c r="H123" s="175"/>
      <c r="I123" s="175"/>
      <c r="J123" s="176"/>
    </row>
    <row r="124" spans="1:16" x14ac:dyDescent="0.3">
      <c r="A124" s="124" t="s">
        <v>65</v>
      </c>
      <c r="B124" s="74"/>
      <c r="C124" s="74"/>
      <c r="D124" s="74"/>
      <c r="E124" s="74"/>
      <c r="F124" s="74"/>
      <c r="G124" s="74"/>
      <c r="H124" s="74"/>
      <c r="I124" s="74"/>
      <c r="J124" s="75"/>
    </row>
    <row r="125" spans="1:16" ht="36.75" customHeight="1" x14ac:dyDescent="0.3">
      <c r="A125" s="235" t="s">
        <v>119</v>
      </c>
      <c r="B125" s="236"/>
      <c r="C125" s="87" t="s">
        <v>244</v>
      </c>
      <c r="D125" s="88"/>
      <c r="E125" s="88"/>
      <c r="F125" s="88"/>
      <c r="G125" s="88"/>
      <c r="H125" s="88"/>
      <c r="I125" s="88"/>
      <c r="J125" s="89"/>
      <c r="K125" s="62" t="s">
        <v>243</v>
      </c>
    </row>
    <row r="126" spans="1:16" x14ac:dyDescent="0.3">
      <c r="A126" s="161" t="s">
        <v>66</v>
      </c>
      <c r="B126" s="162"/>
      <c r="C126" s="162"/>
      <c r="D126" s="162"/>
      <c r="E126" s="162"/>
      <c r="F126" s="162"/>
      <c r="G126" s="162"/>
      <c r="H126" s="162"/>
      <c r="I126" s="162"/>
      <c r="J126" s="163"/>
    </row>
    <row r="127" spans="1:16" x14ac:dyDescent="0.3">
      <c r="A127" s="124" t="s">
        <v>126</v>
      </c>
      <c r="B127" s="74"/>
      <c r="C127" s="74"/>
      <c r="D127" s="74"/>
      <c r="E127" s="74"/>
      <c r="F127" s="75"/>
      <c r="G127" s="124">
        <v>4700</v>
      </c>
      <c r="H127" s="74"/>
      <c r="I127" s="74"/>
      <c r="J127" s="75"/>
      <c r="L127" s="52" t="s">
        <v>197</v>
      </c>
      <c r="M127" s="53">
        <v>44763</v>
      </c>
      <c r="N127" s="52" t="s">
        <v>198</v>
      </c>
      <c r="O127" s="52" t="s">
        <v>199</v>
      </c>
      <c r="P127" s="52"/>
    </row>
    <row r="128" spans="1:16" x14ac:dyDescent="0.3">
      <c r="A128" s="124" t="s">
        <v>168</v>
      </c>
      <c r="B128" s="74"/>
      <c r="C128" s="74"/>
      <c r="D128" s="74"/>
      <c r="E128" s="74"/>
      <c r="F128" s="75"/>
      <c r="G128" s="73" t="s">
        <v>195</v>
      </c>
      <c r="H128" s="125"/>
      <c r="I128" s="125"/>
      <c r="J128" s="126"/>
      <c r="L128" s="25" t="s">
        <v>254</v>
      </c>
    </row>
    <row r="129" spans="1:15" s="36" customFormat="1" ht="14.55" customHeight="1" x14ac:dyDescent="0.3">
      <c r="A129" s="124" t="s">
        <v>169</v>
      </c>
      <c r="B129" s="74"/>
      <c r="C129" s="74"/>
      <c r="D129" s="74"/>
      <c r="E129" s="74"/>
      <c r="F129" s="75"/>
      <c r="G129" s="73" t="s">
        <v>196</v>
      </c>
      <c r="H129" s="125"/>
      <c r="I129" s="125"/>
      <c r="J129" s="126"/>
    </row>
    <row r="130" spans="1:15" s="37" customFormat="1" x14ac:dyDescent="0.3">
      <c r="A130" s="124" t="s">
        <v>67</v>
      </c>
      <c r="B130" s="74"/>
      <c r="C130" s="74"/>
      <c r="D130" s="74"/>
      <c r="E130" s="74"/>
      <c r="F130" s="75"/>
      <c r="G130" s="73" t="s">
        <v>195</v>
      </c>
      <c r="H130" s="125"/>
      <c r="I130" s="125"/>
      <c r="J130" s="126"/>
    </row>
    <row r="131" spans="1:15" s="37" customFormat="1" x14ac:dyDescent="0.3">
      <c r="A131" s="161" t="s">
        <v>68</v>
      </c>
      <c r="B131" s="162"/>
      <c r="C131" s="162"/>
      <c r="D131" s="162"/>
      <c r="E131" s="162"/>
      <c r="F131" s="163"/>
      <c r="G131" s="124">
        <f>G127*0.8</f>
        <v>3760</v>
      </c>
      <c r="H131" s="74"/>
      <c r="I131" s="74"/>
      <c r="J131" s="75"/>
    </row>
    <row r="132" spans="1:15" s="37" customFormat="1" x14ac:dyDescent="0.3">
      <c r="A132" s="137" t="s">
        <v>114</v>
      </c>
      <c r="B132" s="138"/>
      <c r="C132" s="138"/>
      <c r="D132" s="138"/>
      <c r="E132" s="138"/>
      <c r="F132" s="138"/>
      <c r="G132" s="138"/>
      <c r="H132" s="138"/>
      <c r="I132" s="138"/>
      <c r="J132" s="170"/>
    </row>
    <row r="133" spans="1:15" s="37" customFormat="1" x14ac:dyDescent="0.3">
      <c r="A133" s="142" t="s">
        <v>69</v>
      </c>
      <c r="B133" s="144"/>
      <c r="C133" s="38" t="s">
        <v>154</v>
      </c>
      <c r="D133" s="171" t="s">
        <v>70</v>
      </c>
      <c r="E133" s="172"/>
      <c r="F133" s="173"/>
      <c r="G133" s="142" t="s">
        <v>71</v>
      </c>
      <c r="H133" s="143"/>
      <c r="I133" s="143"/>
      <c r="J133" s="144"/>
    </row>
    <row r="134" spans="1:15" s="37" customFormat="1" x14ac:dyDescent="0.3">
      <c r="A134" s="148" t="s">
        <v>142</v>
      </c>
      <c r="B134" s="149"/>
      <c r="C134" s="61">
        <f>COUNT(D146:E155)*11+COUNT(D157:E159,D161:E166)</f>
        <v>119</v>
      </c>
      <c r="D134" s="164">
        <f>SUM(D146:E155)*11+SUM(D157:E159,D161:E166)</f>
        <v>54400.933079999995</v>
      </c>
      <c r="E134" s="165"/>
      <c r="F134" s="166"/>
      <c r="G134" s="167">
        <f>SUM(G146:G155)*11+SUM(G157:G159,G161:G166)</f>
        <v>81601.399619999997</v>
      </c>
      <c r="H134" s="168"/>
      <c r="I134" s="168"/>
      <c r="J134" s="169"/>
      <c r="L134" s="37">
        <f>7*10</f>
        <v>70</v>
      </c>
    </row>
    <row r="135" spans="1:15" s="37" customFormat="1" x14ac:dyDescent="0.3">
      <c r="A135" s="148" t="s">
        <v>144</v>
      </c>
      <c r="B135" s="149"/>
      <c r="C135" s="61">
        <f>COUNT(D170:E177)*11+COUNT(D188:E190,D192:E195)</f>
        <v>95</v>
      </c>
      <c r="D135" s="164">
        <f>SUM(D170:E177)*11+SUM(D188:E190,D192:E195)</f>
        <v>44468.452079999995</v>
      </c>
      <c r="E135" s="165"/>
      <c r="F135" s="166"/>
      <c r="G135" s="167">
        <f>SUM(G170:G177)*11+SUM(G188:G190,G192:G195)</f>
        <v>66702.678119999982</v>
      </c>
      <c r="H135" s="168"/>
      <c r="I135" s="168"/>
      <c r="J135" s="169"/>
    </row>
    <row r="136" spans="1:15" s="37" customFormat="1" x14ac:dyDescent="0.3">
      <c r="A136" s="148" t="s">
        <v>146</v>
      </c>
      <c r="B136" s="149"/>
      <c r="C136" s="61">
        <f>COUNT(D198:E199,D201:E203)+COUNT(D205:E214)*4+COUNT(D216:E225)*3</f>
        <v>75</v>
      </c>
      <c r="D136" s="164">
        <f>SUM(D198:E199,D201:E203)+SUM(D205:E214)*4+SUM(D216:E225)*3</f>
        <v>30022.518239999998</v>
      </c>
      <c r="E136" s="165"/>
      <c r="F136" s="166"/>
      <c r="G136" s="167">
        <f>SUM(G198:G199,G201:G203)+SUM(G205:G214)*4+SUM(G216:G225)*3</f>
        <v>48249.091799999995</v>
      </c>
      <c r="H136" s="168"/>
      <c r="I136" s="168"/>
      <c r="J136" s="169"/>
    </row>
    <row r="137" spans="1:15" s="36" customFormat="1" x14ac:dyDescent="0.3">
      <c r="A137" s="148" t="s">
        <v>148</v>
      </c>
      <c r="B137" s="149"/>
      <c r="C137" s="61">
        <f>COUNT(D228:E231,D233)+COUNT(D235:E244)*4+COUNT(D246:E255)*3</f>
        <v>75</v>
      </c>
      <c r="D137" s="164">
        <f>SUM(D228:E231,D233)+SUM(D235:E244)*4+SUM(D246:E255)*3</f>
        <v>30207.389940000001</v>
      </c>
      <c r="E137" s="165"/>
      <c r="F137" s="166"/>
      <c r="G137" s="167">
        <f>SUM(G228:G231,G233)+SUM(G235:G244)*4+SUM(G246:G255)*3</f>
        <v>48028.456709999999</v>
      </c>
      <c r="H137" s="168"/>
      <c r="I137" s="168"/>
      <c r="J137" s="169"/>
    </row>
    <row r="138" spans="1:15" x14ac:dyDescent="0.3">
      <c r="A138" s="137" t="s">
        <v>73</v>
      </c>
      <c r="B138" s="138"/>
      <c r="C138" s="38">
        <f>SUM(C134:C137)</f>
        <v>364</v>
      </c>
      <c r="D138" s="139">
        <f>SUM(D134:D137)</f>
        <v>159099.29333999997</v>
      </c>
      <c r="E138" s="140"/>
      <c r="F138" s="141"/>
      <c r="G138" s="142">
        <f>SUM(G134:G137)</f>
        <v>244581.62624999997</v>
      </c>
      <c r="H138" s="143"/>
      <c r="I138" s="143"/>
      <c r="J138" s="144"/>
    </row>
    <row r="139" spans="1:15" x14ac:dyDescent="0.3">
      <c r="A139" s="145" t="s">
        <v>74</v>
      </c>
      <c r="B139" s="146"/>
      <c r="C139" s="146"/>
      <c r="D139" s="146"/>
      <c r="E139" s="146"/>
      <c r="F139" s="146"/>
      <c r="G139" s="146"/>
      <c r="H139" s="146"/>
      <c r="I139" s="146"/>
      <c r="J139" s="147"/>
    </row>
    <row r="140" spans="1:15" x14ac:dyDescent="0.3">
      <c r="A140" s="145" t="s">
        <v>75</v>
      </c>
      <c r="B140" s="146"/>
      <c r="C140" s="146"/>
      <c r="D140" s="146"/>
      <c r="E140" s="146"/>
      <c r="F140" s="146"/>
      <c r="G140" s="146"/>
      <c r="H140" s="146"/>
      <c r="I140" s="146"/>
      <c r="J140" s="147"/>
    </row>
    <row r="141" spans="1:15" s="39" customFormat="1" ht="46.8" x14ac:dyDescent="0.3">
      <c r="A141" s="150" t="s">
        <v>219</v>
      </c>
      <c r="B141" s="151"/>
      <c r="C141" s="154" t="s">
        <v>76</v>
      </c>
      <c r="D141" s="150" t="s">
        <v>77</v>
      </c>
      <c r="E141" s="151"/>
      <c r="F141" s="155" t="s">
        <v>78</v>
      </c>
      <c r="G141" s="59" t="s">
        <v>218</v>
      </c>
      <c r="H141" s="157" t="s">
        <v>79</v>
      </c>
      <c r="I141" s="151" t="s">
        <v>80</v>
      </c>
      <c r="J141" s="159"/>
    </row>
    <row r="142" spans="1:15" s="39" customFormat="1" x14ac:dyDescent="0.3">
      <c r="A142" s="152"/>
      <c r="B142" s="153"/>
      <c r="C142" s="154"/>
      <c r="D142" s="152"/>
      <c r="E142" s="153"/>
      <c r="F142" s="156"/>
      <c r="G142" s="60">
        <v>0.5</v>
      </c>
      <c r="H142" s="158"/>
      <c r="I142" s="153"/>
      <c r="J142" s="160"/>
    </row>
    <row r="143" spans="1:15" s="39" customFormat="1" x14ac:dyDescent="0.3">
      <c r="A143" s="99" t="s">
        <v>142</v>
      </c>
      <c r="B143" s="99"/>
      <c r="C143" s="99"/>
      <c r="D143" s="99"/>
      <c r="E143" s="99"/>
      <c r="F143" s="99"/>
      <c r="G143" s="99"/>
      <c r="H143" s="99"/>
      <c r="I143" s="99"/>
      <c r="J143" s="99"/>
      <c r="N143" s="67">
        <v>10.763999999999999</v>
      </c>
      <c r="O143" s="68"/>
    </row>
    <row r="144" spans="1:15" s="39" customFormat="1" ht="15.75" customHeight="1" x14ac:dyDescent="0.3">
      <c r="A144" s="136" t="s">
        <v>220</v>
      </c>
      <c r="B144" s="136"/>
      <c r="C144" s="136"/>
      <c r="D144" s="136"/>
      <c r="E144" s="136"/>
      <c r="F144" s="136"/>
      <c r="G144" s="136"/>
      <c r="H144" s="136"/>
      <c r="I144" s="136"/>
      <c r="J144" s="136"/>
      <c r="L144" s="39">
        <f>2.75*4.3+2.3*2.75+2.75*3.35+1.2*1.65+0.95*1.35+2.6*0.9+1.2*0.9</f>
        <v>34.044999999999995</v>
      </c>
      <c r="M144" s="58">
        <v>10.763999999999999</v>
      </c>
    </row>
    <row r="145" spans="1:14" s="39" customFormat="1" x14ac:dyDescent="0.3">
      <c r="A145" s="99" t="s">
        <v>221</v>
      </c>
      <c r="B145" s="99"/>
      <c r="C145" s="99"/>
      <c r="D145" s="99"/>
      <c r="E145" s="99"/>
      <c r="F145" s="99"/>
      <c r="G145" s="99"/>
      <c r="H145" s="99"/>
      <c r="I145" s="99"/>
      <c r="J145" s="99"/>
      <c r="L145" s="39">
        <f>3.3*4.05+2.1*2.75+2.75*3.35+2.75*3.2+1.2*2.1+1.2*2+2.4*0.9+1.2*1.3</f>
        <v>45.792500000000004</v>
      </c>
    </row>
    <row r="146" spans="1:14" s="39" customFormat="1" x14ac:dyDescent="0.3">
      <c r="A146" s="82">
        <v>1</v>
      </c>
      <c r="B146" s="82"/>
      <c r="C146" s="24" t="s">
        <v>143</v>
      </c>
      <c r="D146" s="83">
        <f>(35.18+0.75*(2.75*2+2.3))*10.764</f>
        <v>441.64691999999997</v>
      </c>
      <c r="E146" s="83"/>
      <c r="F146" s="24">
        <v>0</v>
      </c>
      <c r="G146" s="55">
        <f>D146*(($G$142)+1)+(IF(F146&lt;101,F146,IF(F146&lt;201,F146/2,IF(F146&lt;=301,F146/3,F146/4))))</f>
        <v>662.47037999999998</v>
      </c>
      <c r="H146" s="24" t="s">
        <v>81</v>
      </c>
      <c r="I146" s="82" t="str">
        <f>A145</f>
        <v>1st to 7th, 9th to 12th Floor For Residential</v>
      </c>
      <c r="J146" s="82"/>
    </row>
    <row r="147" spans="1:14" s="39" customFormat="1" x14ac:dyDescent="0.3">
      <c r="A147" s="82">
        <v>2</v>
      </c>
      <c r="B147" s="82"/>
      <c r="C147" s="24" t="s">
        <v>145</v>
      </c>
      <c r="D147" s="83">
        <f>(46.45+0.75*(2.7+2.75+2.1))*10.764</f>
        <v>560.93894999999998</v>
      </c>
      <c r="E147" s="83"/>
      <c r="F147" s="24">
        <v>0</v>
      </c>
      <c r="G147" s="55">
        <f t="shared" ref="G147:G152" si="0">D147*(($G$142)+1)+(IF(F147&lt;101,F147,IF(F147&lt;201,F147/2,IF(F147&lt;=301,F147/3,F147/4))))</f>
        <v>841.40842499999997</v>
      </c>
      <c r="H147" s="24" t="s">
        <v>81</v>
      </c>
      <c r="I147" s="82"/>
      <c r="J147" s="82"/>
      <c r="L147" s="69"/>
      <c r="M147" s="70"/>
    </row>
    <row r="148" spans="1:14" s="39" customFormat="1" x14ac:dyDescent="0.3">
      <c r="A148" s="82">
        <v>3</v>
      </c>
      <c r="B148" s="82"/>
      <c r="C148" s="24" t="s">
        <v>145</v>
      </c>
      <c r="D148" s="83">
        <f>(47.5+0.75*(2.75*2+2.3+1.8))*10.764</f>
        <v>588.79079999999999</v>
      </c>
      <c r="E148" s="83"/>
      <c r="F148" s="24">
        <v>0</v>
      </c>
      <c r="G148" s="55">
        <f t="shared" si="0"/>
        <v>883.18619999999999</v>
      </c>
      <c r="H148" s="24" t="s">
        <v>81</v>
      </c>
      <c r="I148" s="82"/>
      <c r="J148" s="82"/>
    </row>
    <row r="149" spans="1:14" s="39" customFormat="1" x14ac:dyDescent="0.3">
      <c r="A149" s="82">
        <v>4</v>
      </c>
      <c r="B149" s="82"/>
      <c r="C149" s="24" t="s">
        <v>143</v>
      </c>
      <c r="D149" s="83">
        <f>(35.95+0.75*(2.75*2+2.3))*10.764</f>
        <v>449.93520000000001</v>
      </c>
      <c r="E149" s="83"/>
      <c r="F149" s="24">
        <v>0</v>
      </c>
      <c r="G149" s="55">
        <f t="shared" si="0"/>
        <v>674.90280000000007</v>
      </c>
      <c r="H149" s="24" t="s">
        <v>81</v>
      </c>
      <c r="I149" s="82"/>
      <c r="J149" s="82"/>
    </row>
    <row r="150" spans="1:14" s="39" customFormat="1" x14ac:dyDescent="0.3">
      <c r="A150" s="82">
        <v>5</v>
      </c>
      <c r="B150" s="82"/>
      <c r="C150" s="24" t="s">
        <v>143</v>
      </c>
      <c r="D150" s="83">
        <f>(35.95+0.75*(2.75*2+2.3))*10.764</f>
        <v>449.93520000000001</v>
      </c>
      <c r="E150" s="83"/>
      <c r="F150" s="24">
        <v>0</v>
      </c>
      <c r="G150" s="55">
        <f t="shared" si="0"/>
        <v>674.90280000000007</v>
      </c>
      <c r="H150" s="24" t="s">
        <v>81</v>
      </c>
      <c r="I150" s="82"/>
      <c r="J150" s="82"/>
    </row>
    <row r="151" spans="1:14" s="39" customFormat="1" x14ac:dyDescent="0.3">
      <c r="A151" s="82">
        <v>6</v>
      </c>
      <c r="B151" s="82"/>
      <c r="C151" s="24" t="s">
        <v>143</v>
      </c>
      <c r="D151" s="83">
        <f>(32.11+0.75*(2+2.15+2.9))*10.764</f>
        <v>402.54669000000001</v>
      </c>
      <c r="E151" s="83"/>
      <c r="F151" s="24">
        <v>0</v>
      </c>
      <c r="G151" s="55">
        <f t="shared" si="0"/>
        <v>603.82003499999996</v>
      </c>
      <c r="H151" s="24" t="s">
        <v>81</v>
      </c>
      <c r="I151" s="82"/>
      <c r="J151" s="82"/>
      <c r="N151" s="39">
        <f>10*12</f>
        <v>120</v>
      </c>
    </row>
    <row r="152" spans="1:14" s="39" customFormat="1" x14ac:dyDescent="0.3">
      <c r="A152" s="82">
        <v>7</v>
      </c>
      <c r="B152" s="82"/>
      <c r="C152" s="24" t="s">
        <v>143</v>
      </c>
      <c r="D152" s="83">
        <f>(34.29+0.75*(1.9+2.1+2.75))*10.764</f>
        <v>423.59030999999999</v>
      </c>
      <c r="E152" s="83"/>
      <c r="F152" s="24">
        <v>0</v>
      </c>
      <c r="G152" s="55">
        <f t="shared" si="0"/>
        <v>635.38546499999995</v>
      </c>
      <c r="H152" s="24" t="s">
        <v>81</v>
      </c>
      <c r="I152" s="82"/>
      <c r="J152" s="82"/>
    </row>
    <row r="153" spans="1:14" s="39" customFormat="1" x14ac:dyDescent="0.3">
      <c r="A153" s="82">
        <v>8</v>
      </c>
      <c r="B153" s="82"/>
      <c r="C153" s="24" t="s">
        <v>143</v>
      </c>
      <c r="D153" s="83">
        <f>(32.11+0.75*(1.9+2.15+2.9))*10.764</f>
        <v>401.73938999999996</v>
      </c>
      <c r="E153" s="83"/>
      <c r="F153" s="24">
        <v>0</v>
      </c>
      <c r="G153" s="55">
        <f t="shared" ref="G153:G154" si="1">D153*(($G$142)+1)+(IF(F153&lt;101,F153,IF(F153&lt;201,F153/2,IF(F153&lt;=301,F153/3,F153/4))))</f>
        <v>602.60908499999994</v>
      </c>
      <c r="H153" s="24" t="s">
        <v>81</v>
      </c>
      <c r="I153" s="82"/>
      <c r="J153" s="82"/>
    </row>
    <row r="154" spans="1:14" s="39" customFormat="1" x14ac:dyDescent="0.3">
      <c r="A154" s="82">
        <v>9</v>
      </c>
      <c r="B154" s="82"/>
      <c r="C154" s="24" t="s">
        <v>143</v>
      </c>
      <c r="D154" s="83">
        <f>(32.11+0.75*(1.9+2.15+2.9))*10.764</f>
        <v>401.73938999999996</v>
      </c>
      <c r="E154" s="83"/>
      <c r="F154" s="24">
        <v>0</v>
      </c>
      <c r="G154" s="55">
        <f t="shared" si="1"/>
        <v>602.60908499999994</v>
      </c>
      <c r="H154" s="24" t="s">
        <v>81</v>
      </c>
      <c r="I154" s="82"/>
      <c r="J154" s="82"/>
    </row>
    <row r="155" spans="1:14" s="39" customFormat="1" x14ac:dyDescent="0.3">
      <c r="A155" s="82">
        <v>10</v>
      </c>
      <c r="B155" s="82"/>
      <c r="C155" s="24" t="s">
        <v>143</v>
      </c>
      <c r="D155" s="83">
        <f>(35.96+0.75*(2.75*2+2.3))*10.764</f>
        <v>450.04284000000001</v>
      </c>
      <c r="E155" s="83"/>
      <c r="F155" s="24">
        <v>0</v>
      </c>
      <c r="G155" s="55">
        <f>D155*(($G$142)+1)+(IF(F155&lt;101,F155,IF(F155&lt;201,F155/2,IF(F155&lt;=301,F155/3,F155/4))))</f>
        <v>675.06425999999999</v>
      </c>
      <c r="H155" s="24" t="s">
        <v>81</v>
      </c>
      <c r="I155" s="82"/>
      <c r="J155" s="82"/>
    </row>
    <row r="156" spans="1:14" s="39" customFormat="1" x14ac:dyDescent="0.3">
      <c r="A156" s="99" t="s">
        <v>232</v>
      </c>
      <c r="B156" s="99"/>
      <c r="C156" s="99"/>
      <c r="D156" s="99"/>
      <c r="E156" s="99"/>
      <c r="F156" s="99"/>
      <c r="G156" s="99"/>
      <c r="H156" s="99"/>
      <c r="I156" s="99"/>
      <c r="J156" s="99"/>
    </row>
    <row r="157" spans="1:14" s="39" customFormat="1" x14ac:dyDescent="0.3">
      <c r="A157" s="82">
        <v>1</v>
      </c>
      <c r="B157" s="82"/>
      <c r="C157" s="24" t="s">
        <v>143</v>
      </c>
      <c r="D157" s="83">
        <f>(35.18+0.75*(2.75*2+2.3))*10.764</f>
        <v>441.64691999999997</v>
      </c>
      <c r="E157" s="83"/>
      <c r="F157" s="24">
        <v>0</v>
      </c>
      <c r="G157" s="55">
        <f>D157*(($G$142)+1)+(IF(F157&lt;101,F157,IF(F157&lt;201,F157/2,IF(F157&lt;=301,F157/3,F157/4))))</f>
        <v>662.47037999999998</v>
      </c>
      <c r="H157" s="24" t="s">
        <v>81</v>
      </c>
      <c r="I157" s="82" t="str">
        <f>A156</f>
        <v>8th Floor For (Part Refuge Area)</v>
      </c>
      <c r="J157" s="82"/>
    </row>
    <row r="158" spans="1:14" s="39" customFormat="1" x14ac:dyDescent="0.3">
      <c r="A158" s="82">
        <v>2</v>
      </c>
      <c r="B158" s="82"/>
      <c r="C158" s="24" t="s">
        <v>145</v>
      </c>
      <c r="D158" s="83">
        <f>(46.45+0.75*(2.7+2.75+2.1))*10.764</f>
        <v>560.93894999999998</v>
      </c>
      <c r="E158" s="83"/>
      <c r="F158" s="24">
        <v>0</v>
      </c>
      <c r="G158" s="55">
        <f t="shared" ref="G158:G165" si="2">D158*(($G$142)+1)+(IF(F158&lt;101,F158,IF(F158&lt;201,F158/2,IF(F158&lt;=301,F158/3,F158/4))))</f>
        <v>841.40842499999997</v>
      </c>
      <c r="H158" s="24" t="s">
        <v>81</v>
      </c>
      <c r="I158" s="82"/>
      <c r="J158" s="82"/>
    </row>
    <row r="159" spans="1:14" s="39" customFormat="1" x14ac:dyDescent="0.3">
      <c r="A159" s="82">
        <v>3</v>
      </c>
      <c r="B159" s="82"/>
      <c r="C159" s="24" t="s">
        <v>145</v>
      </c>
      <c r="D159" s="83">
        <f>(47.5+0.75*(2.75*2+2.3+1.8))*10.764</f>
        <v>588.79079999999999</v>
      </c>
      <c r="E159" s="83"/>
      <c r="F159" s="24">
        <v>0</v>
      </c>
      <c r="G159" s="55">
        <f t="shared" si="2"/>
        <v>883.18619999999999</v>
      </c>
      <c r="H159" s="24" t="s">
        <v>81</v>
      </c>
      <c r="I159" s="82"/>
      <c r="J159" s="82"/>
    </row>
    <row r="160" spans="1:14" s="39" customFormat="1" x14ac:dyDescent="0.3">
      <c r="A160" s="82">
        <v>4</v>
      </c>
      <c r="B160" s="82"/>
      <c r="C160" s="82" t="s">
        <v>233</v>
      </c>
      <c r="D160" s="82"/>
      <c r="E160" s="82"/>
      <c r="F160" s="82"/>
      <c r="G160" s="82"/>
      <c r="H160" s="82"/>
      <c r="I160" s="82"/>
      <c r="J160" s="82"/>
    </row>
    <row r="161" spans="1:15" s="39" customFormat="1" x14ac:dyDescent="0.3">
      <c r="A161" s="82">
        <v>5</v>
      </c>
      <c r="B161" s="82"/>
      <c r="C161" s="24" t="s">
        <v>143</v>
      </c>
      <c r="D161" s="83">
        <f>(35.95+0.75*(2.75*2+2.3))*10.764</f>
        <v>449.93520000000001</v>
      </c>
      <c r="E161" s="83"/>
      <c r="F161" s="24">
        <v>0</v>
      </c>
      <c r="G161" s="55">
        <f t="shared" si="2"/>
        <v>674.90280000000007</v>
      </c>
      <c r="H161" s="24" t="s">
        <v>81</v>
      </c>
      <c r="I161" s="82"/>
      <c r="J161" s="82"/>
    </row>
    <row r="162" spans="1:15" s="39" customFormat="1" x14ac:dyDescent="0.3">
      <c r="A162" s="82">
        <v>6</v>
      </c>
      <c r="B162" s="82"/>
      <c r="C162" s="24" t="s">
        <v>143</v>
      </c>
      <c r="D162" s="83">
        <f>(32.11+0.75*(2+2.15+2.9))*10.764</f>
        <v>402.54669000000001</v>
      </c>
      <c r="E162" s="83"/>
      <c r="F162" s="24">
        <v>0</v>
      </c>
      <c r="G162" s="55">
        <f t="shared" si="2"/>
        <v>603.82003499999996</v>
      </c>
      <c r="H162" s="24" t="s">
        <v>81</v>
      </c>
      <c r="I162" s="82"/>
      <c r="J162" s="82"/>
    </row>
    <row r="163" spans="1:15" s="39" customFormat="1" x14ac:dyDescent="0.3">
      <c r="A163" s="82">
        <v>7</v>
      </c>
      <c r="B163" s="82"/>
      <c r="C163" s="24" t="s">
        <v>143</v>
      </c>
      <c r="D163" s="83">
        <f>(34.29+0.75*(1.9+2.1+2.75))*10.764</f>
        <v>423.59030999999999</v>
      </c>
      <c r="E163" s="83"/>
      <c r="F163" s="24">
        <v>0</v>
      </c>
      <c r="G163" s="55">
        <f t="shared" si="2"/>
        <v>635.38546499999995</v>
      </c>
      <c r="H163" s="24" t="s">
        <v>81</v>
      </c>
      <c r="I163" s="82"/>
      <c r="J163" s="82"/>
    </row>
    <row r="164" spans="1:15" s="39" customFormat="1" x14ac:dyDescent="0.3">
      <c r="A164" s="82">
        <v>8</v>
      </c>
      <c r="B164" s="82"/>
      <c r="C164" s="24" t="s">
        <v>143</v>
      </c>
      <c r="D164" s="83">
        <f>(32.11+0.75*(1.9+2.15+2.9))*10.764</f>
        <v>401.73938999999996</v>
      </c>
      <c r="E164" s="83"/>
      <c r="F164" s="24">
        <v>0</v>
      </c>
      <c r="G164" s="55">
        <f t="shared" si="2"/>
        <v>602.60908499999994</v>
      </c>
      <c r="H164" s="24" t="s">
        <v>81</v>
      </c>
      <c r="I164" s="82"/>
      <c r="J164" s="82"/>
    </row>
    <row r="165" spans="1:15" s="39" customFormat="1" ht="15.75" customHeight="1" x14ac:dyDescent="0.3">
      <c r="A165" s="82">
        <v>9</v>
      </c>
      <c r="B165" s="82"/>
      <c r="C165" s="24" t="s">
        <v>143</v>
      </c>
      <c r="D165" s="83">
        <f>(32.11+0.75*(1.9+2.15+2.9))*10.764</f>
        <v>401.73938999999996</v>
      </c>
      <c r="E165" s="83"/>
      <c r="F165" s="24">
        <v>0</v>
      </c>
      <c r="G165" s="55">
        <f t="shared" si="2"/>
        <v>602.60908499999994</v>
      </c>
      <c r="H165" s="24" t="s">
        <v>81</v>
      </c>
      <c r="I165" s="82"/>
      <c r="J165" s="82"/>
    </row>
    <row r="166" spans="1:15" s="39" customFormat="1" ht="15.75" customHeight="1" x14ac:dyDescent="0.3">
      <c r="A166" s="82">
        <v>10</v>
      </c>
      <c r="B166" s="82"/>
      <c r="C166" s="24" t="s">
        <v>143</v>
      </c>
      <c r="D166" s="83">
        <f>(35.96+0.75*(2.75*2+2.3))*10.764</f>
        <v>450.04284000000001</v>
      </c>
      <c r="E166" s="83"/>
      <c r="F166" s="24">
        <v>0</v>
      </c>
      <c r="G166" s="55">
        <f>D166*(($G$142)+1)+(IF(F166&lt;101,F166,IF(F166&lt;201,F166/2,IF(F166&lt;=301,F166/3,F166/4))))</f>
        <v>675.06425999999999</v>
      </c>
      <c r="H166" s="24" t="s">
        <v>81</v>
      </c>
      <c r="I166" s="82"/>
      <c r="J166" s="82"/>
    </row>
    <row r="167" spans="1:15" s="39" customFormat="1" x14ac:dyDescent="0.3">
      <c r="A167" s="84" t="s">
        <v>144</v>
      </c>
      <c r="B167" s="85"/>
      <c r="C167" s="85"/>
      <c r="D167" s="85"/>
      <c r="E167" s="85"/>
      <c r="F167" s="85"/>
      <c r="G167" s="85"/>
      <c r="H167" s="85"/>
      <c r="I167" s="85"/>
      <c r="J167" s="86"/>
    </row>
    <row r="168" spans="1:15" s="39" customFormat="1" x14ac:dyDescent="0.3">
      <c r="A168" s="133" t="s">
        <v>247</v>
      </c>
      <c r="B168" s="134"/>
      <c r="C168" s="134"/>
      <c r="D168" s="134"/>
      <c r="E168" s="134"/>
      <c r="F168" s="134"/>
      <c r="G168" s="134"/>
      <c r="H168" s="134"/>
      <c r="I168" s="134"/>
      <c r="J168" s="135"/>
    </row>
    <row r="169" spans="1:15" s="39" customFormat="1" x14ac:dyDescent="0.3">
      <c r="A169" s="84" t="s">
        <v>221</v>
      </c>
      <c r="B169" s="85"/>
      <c r="C169" s="85"/>
      <c r="D169" s="85"/>
      <c r="E169" s="85"/>
      <c r="F169" s="85"/>
      <c r="G169" s="85"/>
      <c r="H169" s="85"/>
      <c r="I169" s="85"/>
      <c r="J169" s="86"/>
    </row>
    <row r="170" spans="1:15" s="39" customFormat="1" x14ac:dyDescent="0.3">
      <c r="A170" s="65">
        <v>1</v>
      </c>
      <c r="B170" s="66"/>
      <c r="C170" s="24" t="s">
        <v>143</v>
      </c>
      <c r="D170" s="67">
        <f>(32.11+0.75*(1.9+2.15+2.9))*10.764</f>
        <v>401.73938999999996</v>
      </c>
      <c r="E170" s="68"/>
      <c r="F170" s="24">
        <v>0</v>
      </c>
      <c r="G170" s="55">
        <f>D170*(($G$142)+1)+(IF(F170&lt;101,F170,IF(F170&lt;201,F170/2,IF(F170&lt;=301,F170/3,F170/4))))</f>
        <v>602.60908499999994</v>
      </c>
      <c r="H170" s="24" t="s">
        <v>81</v>
      </c>
      <c r="I170" s="77" t="str">
        <f>A169</f>
        <v>1st to 7th, 9th to 12th Floor For Residential</v>
      </c>
      <c r="J170" s="78"/>
    </row>
    <row r="171" spans="1:15" s="39" customFormat="1" x14ac:dyDescent="0.3">
      <c r="A171" s="65">
        <v>2</v>
      </c>
      <c r="B171" s="66"/>
      <c r="C171" s="24" t="s">
        <v>143</v>
      </c>
      <c r="D171" s="67">
        <f>(32.11+0.75*(1.9+2.15+2.9))*10.764</f>
        <v>401.73938999999996</v>
      </c>
      <c r="E171" s="68"/>
      <c r="F171" s="24">
        <v>0</v>
      </c>
      <c r="G171" s="55">
        <f t="shared" ref="G171:G177" si="3">D171*(($G$142)+1)+(IF(F171&lt;101,F171,IF(F171&lt;201,F171/2,IF(F171&lt;=301,F171/3,F171/4))))</f>
        <v>602.60908499999994</v>
      </c>
      <c r="H171" s="24" t="s">
        <v>81</v>
      </c>
      <c r="I171" s="79"/>
      <c r="J171" s="80"/>
    </row>
    <row r="172" spans="1:15" s="39" customFormat="1" x14ac:dyDescent="0.3">
      <c r="A172" s="65">
        <v>3</v>
      </c>
      <c r="B172" s="66"/>
      <c r="C172" s="24" t="s">
        <v>143</v>
      </c>
      <c r="D172" s="67">
        <f>(35.96+0.75*(2.75*2+2.3))*10.764</f>
        <v>450.04284000000001</v>
      </c>
      <c r="E172" s="68"/>
      <c r="F172" s="24">
        <v>0</v>
      </c>
      <c r="G172" s="55">
        <f t="shared" si="3"/>
        <v>675.06425999999999</v>
      </c>
      <c r="H172" s="24" t="s">
        <v>81</v>
      </c>
      <c r="I172" s="79"/>
      <c r="J172" s="80"/>
    </row>
    <row r="173" spans="1:15" s="39" customFormat="1" x14ac:dyDescent="0.3">
      <c r="A173" s="65">
        <v>4</v>
      </c>
      <c r="B173" s="66"/>
      <c r="C173" s="24" t="s">
        <v>143</v>
      </c>
      <c r="D173" s="67">
        <f>(37.29+0.75*(2.75*2+2.3))*10.764</f>
        <v>464.35895999999997</v>
      </c>
      <c r="E173" s="68"/>
      <c r="F173" s="24">
        <v>0</v>
      </c>
      <c r="G173" s="55">
        <f t="shared" si="3"/>
        <v>696.53843999999992</v>
      </c>
      <c r="H173" s="24" t="s">
        <v>81</v>
      </c>
      <c r="I173" s="79"/>
      <c r="J173" s="80"/>
    </row>
    <row r="174" spans="1:15" s="39" customFormat="1" x14ac:dyDescent="0.3">
      <c r="A174" s="65">
        <v>5</v>
      </c>
      <c r="B174" s="66"/>
      <c r="C174" s="24" t="s">
        <v>145</v>
      </c>
      <c r="D174" s="67">
        <f>(50.83+0.75*(2.75*3))*10.764</f>
        <v>613.73636999999997</v>
      </c>
      <c r="E174" s="68"/>
      <c r="F174" s="24">
        <v>0</v>
      </c>
      <c r="G174" s="55">
        <f t="shared" si="3"/>
        <v>920.60455499999989</v>
      </c>
      <c r="H174" s="24" t="s">
        <v>81</v>
      </c>
      <c r="I174" s="79"/>
      <c r="J174" s="80"/>
      <c r="L174" s="39" t="s">
        <v>249</v>
      </c>
      <c r="N174" s="39" t="s">
        <v>250</v>
      </c>
      <c r="O174" s="63">
        <v>45362</v>
      </c>
    </row>
    <row r="175" spans="1:15" s="39" customFormat="1" x14ac:dyDescent="0.3">
      <c r="A175" s="65">
        <v>6</v>
      </c>
      <c r="B175" s="66"/>
      <c r="C175" s="24" t="s">
        <v>143</v>
      </c>
      <c r="D175" s="67">
        <f>(36.44+0.75*(2.75*3))*10.764</f>
        <v>458.84240999999997</v>
      </c>
      <c r="E175" s="68"/>
      <c r="F175" s="24">
        <v>0</v>
      </c>
      <c r="G175" s="55">
        <f t="shared" si="3"/>
        <v>688.26361499999996</v>
      </c>
      <c r="H175" s="24" t="s">
        <v>81</v>
      </c>
      <c r="I175" s="79"/>
      <c r="J175" s="80"/>
      <c r="M175" s="39">
        <f>12*8</f>
        <v>96</v>
      </c>
    </row>
    <row r="176" spans="1:15" s="39" customFormat="1" ht="15.75" customHeight="1" x14ac:dyDescent="0.3">
      <c r="A176" s="65">
        <v>7</v>
      </c>
      <c r="B176" s="66"/>
      <c r="C176" s="24" t="s">
        <v>143</v>
      </c>
      <c r="D176" s="67">
        <f>(37.86+0.75*(2.75*2+2.3))*10.764</f>
        <v>470.49444</v>
      </c>
      <c r="E176" s="68"/>
      <c r="F176" s="24">
        <v>0</v>
      </c>
      <c r="G176" s="55">
        <f t="shared" si="3"/>
        <v>705.74166000000002</v>
      </c>
      <c r="H176" s="24" t="s">
        <v>81</v>
      </c>
      <c r="I176" s="79"/>
      <c r="J176" s="80"/>
    </row>
    <row r="177" spans="1:13" s="39" customFormat="1" x14ac:dyDescent="0.3">
      <c r="A177" s="65">
        <v>8</v>
      </c>
      <c r="B177" s="66"/>
      <c r="C177" s="24" t="s">
        <v>143</v>
      </c>
      <c r="D177" s="67">
        <f>(37.86+0.75*(2.75*2+2.3))*10.764</f>
        <v>470.49444</v>
      </c>
      <c r="E177" s="68"/>
      <c r="F177" s="24">
        <v>0</v>
      </c>
      <c r="G177" s="55">
        <f t="shared" si="3"/>
        <v>705.74166000000002</v>
      </c>
      <c r="H177" s="24" t="s">
        <v>81</v>
      </c>
      <c r="I177" s="79"/>
      <c r="J177" s="80"/>
    </row>
    <row r="178" spans="1:13" s="39" customFormat="1" hidden="1" x14ac:dyDescent="0.3">
      <c r="A178" s="84" t="s">
        <v>248</v>
      </c>
      <c r="B178" s="85"/>
      <c r="C178" s="85"/>
      <c r="D178" s="85"/>
      <c r="E178" s="85"/>
      <c r="F178" s="85"/>
      <c r="G178" s="85"/>
      <c r="H178" s="85"/>
      <c r="I178" s="85"/>
      <c r="J178" s="86"/>
    </row>
    <row r="179" spans="1:13" s="39" customFormat="1" hidden="1" x14ac:dyDescent="0.3">
      <c r="A179" s="65">
        <v>1</v>
      </c>
      <c r="B179" s="66"/>
      <c r="C179" s="24" t="s">
        <v>143</v>
      </c>
      <c r="D179" s="67">
        <f>(32.11+0.75*(1.9+2.15+2.9))*10.764</f>
        <v>401.73938999999996</v>
      </c>
      <c r="E179" s="68"/>
      <c r="F179" s="24">
        <v>0</v>
      </c>
      <c r="G179" s="55">
        <f>D179*(($G$142)+1)+(IF(F179&lt;101,F179,IF(F179&lt;201,F179/2,IF(F179&lt;=301,F179/3,F179/4))))</f>
        <v>602.60908499999994</v>
      </c>
      <c r="H179" s="24" t="s">
        <v>81</v>
      </c>
      <c r="I179" s="77" t="str">
        <f>A178</f>
        <v>2nd to 7th, 9th to 12th Floor</v>
      </c>
      <c r="J179" s="78"/>
    </row>
    <row r="180" spans="1:13" s="39" customFormat="1" hidden="1" x14ac:dyDescent="0.3">
      <c r="A180" s="65">
        <v>2</v>
      </c>
      <c r="B180" s="66"/>
      <c r="C180" s="24" t="s">
        <v>143</v>
      </c>
      <c r="D180" s="67">
        <f>(32.11+0.75*(1.9+2.15+2.9))*10.764</f>
        <v>401.73938999999996</v>
      </c>
      <c r="E180" s="68"/>
      <c r="F180" s="24">
        <v>0</v>
      </c>
      <c r="G180" s="55">
        <f t="shared" ref="G180:G186" si="4">D180*(($G$142)+1)+(IF(F180&lt;101,F180,IF(F180&lt;201,F180/2,IF(F180&lt;=301,F180/3,F180/4))))</f>
        <v>602.60908499999994</v>
      </c>
      <c r="H180" s="24" t="s">
        <v>81</v>
      </c>
      <c r="I180" s="79"/>
      <c r="J180" s="80"/>
    </row>
    <row r="181" spans="1:13" s="39" customFormat="1" hidden="1" x14ac:dyDescent="0.3">
      <c r="A181" s="65">
        <v>3</v>
      </c>
      <c r="B181" s="66"/>
      <c r="C181" s="24" t="s">
        <v>143</v>
      </c>
      <c r="D181" s="67">
        <f>(35.96+0.75*(2.75*2+2.3))*10.764</f>
        <v>450.04284000000001</v>
      </c>
      <c r="E181" s="68"/>
      <c r="F181" s="24">
        <v>0</v>
      </c>
      <c r="G181" s="55">
        <f t="shared" si="4"/>
        <v>675.06425999999999</v>
      </c>
      <c r="H181" s="24" t="s">
        <v>81</v>
      </c>
      <c r="I181" s="79"/>
      <c r="J181" s="80"/>
    </row>
    <row r="182" spans="1:13" s="39" customFormat="1" hidden="1" x14ac:dyDescent="0.3">
      <c r="A182" s="65">
        <v>4</v>
      </c>
      <c r="B182" s="66"/>
      <c r="C182" s="24" t="s">
        <v>143</v>
      </c>
      <c r="D182" s="67">
        <f>(37.29+0.75*(2.75*2+2.3))*10.764</f>
        <v>464.35895999999997</v>
      </c>
      <c r="E182" s="68"/>
      <c r="F182" s="24">
        <v>0</v>
      </c>
      <c r="G182" s="55">
        <f t="shared" si="4"/>
        <v>696.53843999999992</v>
      </c>
      <c r="H182" s="24" t="s">
        <v>81</v>
      </c>
      <c r="I182" s="79"/>
      <c r="J182" s="80"/>
    </row>
    <row r="183" spans="1:13" s="39" customFormat="1" hidden="1" x14ac:dyDescent="0.3">
      <c r="A183" s="65">
        <v>5</v>
      </c>
      <c r="B183" s="66"/>
      <c r="C183" s="24" t="s">
        <v>145</v>
      </c>
      <c r="D183" s="67">
        <f>(50.83+0.75*(2.75*3))*10.764</f>
        <v>613.73636999999997</v>
      </c>
      <c r="E183" s="68"/>
      <c r="F183" s="24">
        <v>0</v>
      </c>
      <c r="G183" s="55">
        <f t="shared" si="4"/>
        <v>920.60455499999989</v>
      </c>
      <c r="H183" s="24" t="s">
        <v>81</v>
      </c>
      <c r="I183" s="79"/>
      <c r="J183" s="80"/>
      <c r="L183" s="39">
        <v>910</v>
      </c>
    </row>
    <row r="184" spans="1:13" s="39" customFormat="1" hidden="1" x14ac:dyDescent="0.3">
      <c r="A184" s="65">
        <v>6</v>
      </c>
      <c r="B184" s="66"/>
      <c r="C184" s="24" t="s">
        <v>143</v>
      </c>
      <c r="D184" s="67">
        <f>(36.44+0.75*(2.75*3))*10.764</f>
        <v>458.84240999999997</v>
      </c>
      <c r="E184" s="68"/>
      <c r="F184" s="24">
        <v>0</v>
      </c>
      <c r="G184" s="55">
        <f t="shared" si="4"/>
        <v>688.26361499999996</v>
      </c>
      <c r="H184" s="24" t="s">
        <v>81</v>
      </c>
      <c r="I184" s="79"/>
      <c r="J184" s="80"/>
      <c r="M184" s="39">
        <f>12*8</f>
        <v>96</v>
      </c>
    </row>
    <row r="185" spans="1:13" s="39" customFormat="1" ht="15.75" hidden="1" customHeight="1" x14ac:dyDescent="0.3">
      <c r="A185" s="65">
        <v>7</v>
      </c>
      <c r="B185" s="66"/>
      <c r="C185" s="24" t="s">
        <v>143</v>
      </c>
      <c r="D185" s="67">
        <f>(37.86+0.75*(2.75*2+2.3))*10.764</f>
        <v>470.49444</v>
      </c>
      <c r="E185" s="68"/>
      <c r="F185" s="24">
        <v>0</v>
      </c>
      <c r="G185" s="55">
        <f t="shared" si="4"/>
        <v>705.74166000000002</v>
      </c>
      <c r="H185" s="24" t="s">
        <v>81</v>
      </c>
      <c r="I185" s="79"/>
      <c r="J185" s="80"/>
    </row>
    <row r="186" spans="1:13" s="39" customFormat="1" hidden="1" x14ac:dyDescent="0.3">
      <c r="A186" s="65">
        <v>8</v>
      </c>
      <c r="B186" s="66"/>
      <c r="C186" s="24" t="s">
        <v>143</v>
      </c>
      <c r="D186" s="67">
        <f>(37.86+0.75*(2.75*2+2.3))*10.764</f>
        <v>470.49444</v>
      </c>
      <c r="E186" s="68"/>
      <c r="F186" s="24">
        <v>0</v>
      </c>
      <c r="G186" s="55">
        <f t="shared" si="4"/>
        <v>705.74166000000002</v>
      </c>
      <c r="H186" s="24" t="s">
        <v>81</v>
      </c>
      <c r="I186" s="79"/>
      <c r="J186" s="80"/>
    </row>
    <row r="187" spans="1:13" s="39" customFormat="1" x14ac:dyDescent="0.3">
      <c r="A187" s="84" t="s">
        <v>232</v>
      </c>
      <c r="B187" s="85"/>
      <c r="C187" s="85"/>
      <c r="D187" s="85"/>
      <c r="E187" s="85"/>
      <c r="F187" s="85"/>
      <c r="G187" s="85"/>
      <c r="H187" s="85"/>
      <c r="I187" s="85"/>
      <c r="J187" s="86"/>
    </row>
    <row r="188" spans="1:13" s="39" customFormat="1" x14ac:dyDescent="0.3">
      <c r="A188" s="65">
        <v>1</v>
      </c>
      <c r="B188" s="66"/>
      <c r="C188" s="24" t="s">
        <v>143</v>
      </c>
      <c r="D188" s="67">
        <f>(32.11+0.75*(1.9+2.15+2.9))*10.764</f>
        <v>401.73938999999996</v>
      </c>
      <c r="E188" s="68"/>
      <c r="F188" s="24">
        <v>0</v>
      </c>
      <c r="G188" s="55">
        <f>D188*(($G$142)+1)+(IF(F188&lt;101,F188,IF(F188&lt;201,F188/2,IF(F188&lt;=301,F188/3,F188/4))))</f>
        <v>602.60908499999994</v>
      </c>
      <c r="H188" s="24" t="s">
        <v>81</v>
      </c>
      <c r="I188" s="77" t="str">
        <f>A187</f>
        <v>8th Floor For (Part Refuge Area)</v>
      </c>
      <c r="J188" s="78"/>
    </row>
    <row r="189" spans="1:13" s="39" customFormat="1" x14ac:dyDescent="0.3">
      <c r="A189" s="65">
        <v>2</v>
      </c>
      <c r="B189" s="66"/>
      <c r="C189" s="24" t="s">
        <v>143</v>
      </c>
      <c r="D189" s="67">
        <f>(32.11+0.75*(1.9+2.15+2.9))*10.764</f>
        <v>401.73938999999996</v>
      </c>
      <c r="E189" s="68"/>
      <c r="F189" s="24">
        <v>0</v>
      </c>
      <c r="G189" s="55">
        <f t="shared" ref="G189:G195" si="5">D189*(($G$142)+1)+(IF(F189&lt;101,F189,IF(F189&lt;201,F189/2,IF(F189&lt;=301,F189/3,F189/4))))</f>
        <v>602.60908499999994</v>
      </c>
      <c r="H189" s="24" t="s">
        <v>81</v>
      </c>
      <c r="I189" s="79"/>
      <c r="J189" s="80"/>
    </row>
    <row r="190" spans="1:13" s="39" customFormat="1" x14ac:dyDescent="0.3">
      <c r="A190" s="65">
        <v>3</v>
      </c>
      <c r="B190" s="66"/>
      <c r="C190" s="24" t="s">
        <v>145</v>
      </c>
      <c r="D190" s="67">
        <f>(50.4+0.75*(2.75*2+2.3))*10.764</f>
        <v>605.47499999999991</v>
      </c>
      <c r="E190" s="68"/>
      <c r="F190" s="24">
        <v>0</v>
      </c>
      <c r="G190" s="55">
        <f t="shared" si="5"/>
        <v>908.21249999999986</v>
      </c>
      <c r="H190" s="24" t="s">
        <v>81</v>
      </c>
      <c r="I190" s="79"/>
      <c r="J190" s="80"/>
    </row>
    <row r="191" spans="1:13" s="39" customFormat="1" x14ac:dyDescent="0.3">
      <c r="A191" s="65">
        <v>4</v>
      </c>
      <c r="B191" s="66"/>
      <c r="C191" s="65" t="s">
        <v>233</v>
      </c>
      <c r="D191" s="81"/>
      <c r="E191" s="81"/>
      <c r="F191" s="81"/>
      <c r="G191" s="81"/>
      <c r="H191" s="66"/>
      <c r="I191" s="79"/>
      <c r="J191" s="80"/>
    </row>
    <row r="192" spans="1:13" s="39" customFormat="1" x14ac:dyDescent="0.3">
      <c r="A192" s="65">
        <v>5</v>
      </c>
      <c r="B192" s="66"/>
      <c r="C192" s="24" t="s">
        <v>145</v>
      </c>
      <c r="D192" s="67">
        <f>(50.83+0.75*(2.75*3))*10.764</f>
        <v>613.73636999999997</v>
      </c>
      <c r="E192" s="68"/>
      <c r="F192" s="24">
        <v>0</v>
      </c>
      <c r="G192" s="55">
        <f t="shared" si="5"/>
        <v>920.60455499999989</v>
      </c>
      <c r="H192" s="24" t="s">
        <v>81</v>
      </c>
      <c r="I192" s="79"/>
      <c r="J192" s="80"/>
    </row>
    <row r="193" spans="1:15" s="39" customFormat="1" x14ac:dyDescent="0.3">
      <c r="A193" s="65">
        <v>6</v>
      </c>
      <c r="B193" s="66"/>
      <c r="C193" s="24" t="s">
        <v>143</v>
      </c>
      <c r="D193" s="67">
        <f>(36.44+0.75*(2.75*3))*10.764</f>
        <v>458.84240999999997</v>
      </c>
      <c r="E193" s="68"/>
      <c r="F193" s="24">
        <v>0</v>
      </c>
      <c r="G193" s="55">
        <f t="shared" si="5"/>
        <v>688.26361499999996</v>
      </c>
      <c r="H193" s="24" t="s">
        <v>81</v>
      </c>
      <c r="I193" s="79"/>
      <c r="J193" s="80"/>
    </row>
    <row r="194" spans="1:15" s="39" customFormat="1" x14ac:dyDescent="0.3">
      <c r="A194" s="65">
        <v>7</v>
      </c>
      <c r="B194" s="66"/>
      <c r="C194" s="24" t="s">
        <v>143</v>
      </c>
      <c r="D194" s="67">
        <f>(37.86+0.75*(2.75*2+2.3))*10.764</f>
        <v>470.49444</v>
      </c>
      <c r="E194" s="68"/>
      <c r="F194" s="24">
        <v>0</v>
      </c>
      <c r="G194" s="55">
        <f t="shared" si="5"/>
        <v>705.74166000000002</v>
      </c>
      <c r="H194" s="24" t="s">
        <v>81</v>
      </c>
      <c r="I194" s="79"/>
      <c r="J194" s="80"/>
    </row>
    <row r="195" spans="1:15" s="39" customFormat="1" x14ac:dyDescent="0.3">
      <c r="A195" s="65">
        <v>8</v>
      </c>
      <c r="B195" s="66"/>
      <c r="C195" s="24" t="s">
        <v>143</v>
      </c>
      <c r="D195" s="67">
        <f>(37.86+0.75*(2.75*2+2.3))*10.764</f>
        <v>470.49444</v>
      </c>
      <c r="E195" s="68"/>
      <c r="F195" s="24">
        <v>0</v>
      </c>
      <c r="G195" s="55">
        <f t="shared" si="5"/>
        <v>705.74166000000002</v>
      </c>
      <c r="H195" s="24" t="s">
        <v>81</v>
      </c>
      <c r="I195" s="79"/>
      <c r="J195" s="80"/>
    </row>
    <row r="196" spans="1:15" s="39" customFormat="1" ht="15.75" customHeight="1" x14ac:dyDescent="0.3">
      <c r="A196" s="99" t="s">
        <v>146</v>
      </c>
      <c r="B196" s="99"/>
      <c r="C196" s="99"/>
      <c r="D196" s="99"/>
      <c r="E196" s="99"/>
      <c r="F196" s="99"/>
      <c r="G196" s="99"/>
      <c r="H196" s="99"/>
      <c r="I196" s="99"/>
      <c r="J196" s="99"/>
      <c r="L196" s="39">
        <f>2.75*4.75+2.2*2.15+2.75*3.4+1.25*1.5+0.9*1.22+2.4*0.9+1.2*1.1</f>
        <v>33.595499999999994</v>
      </c>
    </row>
    <row r="197" spans="1:15" s="39" customFormat="1" x14ac:dyDescent="0.3">
      <c r="A197" s="99" t="s">
        <v>234</v>
      </c>
      <c r="B197" s="99"/>
      <c r="C197" s="99"/>
      <c r="D197" s="99"/>
      <c r="E197" s="99"/>
      <c r="F197" s="99"/>
      <c r="G197" s="99"/>
      <c r="H197" s="99"/>
      <c r="I197" s="99"/>
      <c r="J197" s="99"/>
    </row>
    <row r="198" spans="1:15" s="39" customFormat="1" x14ac:dyDescent="0.3">
      <c r="A198" s="82">
        <v>1</v>
      </c>
      <c r="B198" s="82"/>
      <c r="C198" s="24" t="s">
        <v>143</v>
      </c>
      <c r="D198" s="83">
        <f>(34.77)*10.764</f>
        <v>374.26427999999999</v>
      </c>
      <c r="E198" s="83"/>
      <c r="F198" s="24">
        <v>0</v>
      </c>
      <c r="G198" s="55">
        <f>D198*(($G$142)+1)+(IF(F198&lt;101,F198,IF(F198&lt;201,F198/2,IF(F198&lt;=301,F198/3,F198/4))))</f>
        <v>561.39642000000003</v>
      </c>
      <c r="H198" s="24" t="s">
        <v>81</v>
      </c>
      <c r="I198" s="82" t="str">
        <f>A197</f>
        <v>Ground Floor For Residential &amp; (Part Society Room, Entrance Lobby, Meter Space &amp; Parking Area)</v>
      </c>
      <c r="J198" s="82"/>
      <c r="L198" s="39" t="e">
        <f>1784000/#REF!</f>
        <v>#REF!</v>
      </c>
    </row>
    <row r="199" spans="1:15" s="39" customFormat="1" x14ac:dyDescent="0.3">
      <c r="A199" s="82">
        <v>2</v>
      </c>
      <c r="B199" s="82"/>
      <c r="C199" s="24" t="s">
        <v>143</v>
      </c>
      <c r="D199" s="83">
        <f>(34.77)*10.764</f>
        <v>374.26427999999999</v>
      </c>
      <c r="E199" s="83"/>
      <c r="F199" s="24">
        <v>0</v>
      </c>
      <c r="G199" s="55">
        <f>D199*(($G$142)+1)+(IF(F199&lt;101,F199,IF(F199&lt;201,F199/2,IF(F199&lt;=301,F199/3,F199/4))))</f>
        <v>561.39642000000003</v>
      </c>
      <c r="H199" s="24" t="s">
        <v>81</v>
      </c>
      <c r="I199" s="82"/>
      <c r="J199" s="82"/>
    </row>
    <row r="200" spans="1:15" s="39" customFormat="1" x14ac:dyDescent="0.3">
      <c r="A200" s="82" t="s">
        <v>236</v>
      </c>
      <c r="B200" s="82"/>
      <c r="C200" s="82" t="s">
        <v>235</v>
      </c>
      <c r="D200" s="82"/>
      <c r="E200" s="82"/>
      <c r="F200" s="82"/>
      <c r="G200" s="82"/>
      <c r="H200" s="82"/>
      <c r="I200" s="82"/>
      <c r="J200" s="82"/>
    </row>
    <row r="201" spans="1:15" s="39" customFormat="1" x14ac:dyDescent="0.3">
      <c r="A201" s="82">
        <v>7</v>
      </c>
      <c r="B201" s="82"/>
      <c r="C201" s="24" t="s">
        <v>147</v>
      </c>
      <c r="D201" s="83">
        <f>(24)*10.764</f>
        <v>258.33600000000001</v>
      </c>
      <c r="E201" s="83"/>
      <c r="F201" s="24">
        <v>0</v>
      </c>
      <c r="G201" s="55">
        <f t="shared" ref="G201:G202" si="6">D201*(($G$142)+1)+(IF(F201&lt;101,F201,IF(F201&lt;201,F201/2,IF(F201&lt;=301,F201/3,F201/4))))</f>
        <v>387.50400000000002</v>
      </c>
      <c r="H201" s="24" t="s">
        <v>81</v>
      </c>
      <c r="I201" s="82"/>
      <c r="J201" s="82"/>
    </row>
    <row r="202" spans="1:15" s="39" customFormat="1" ht="15.75" customHeight="1" x14ac:dyDescent="0.3">
      <c r="A202" s="82">
        <v>8</v>
      </c>
      <c r="B202" s="82"/>
      <c r="C202" s="24" t="s">
        <v>143</v>
      </c>
      <c r="D202" s="83">
        <f>(34.75)*10.764</f>
        <v>374.04899999999998</v>
      </c>
      <c r="E202" s="83"/>
      <c r="F202" s="24">
        <v>0</v>
      </c>
      <c r="G202" s="55">
        <f t="shared" si="6"/>
        <v>561.07349999999997</v>
      </c>
      <c r="H202" s="24" t="s">
        <v>81</v>
      </c>
      <c r="I202" s="82"/>
      <c r="J202" s="82"/>
    </row>
    <row r="203" spans="1:15" s="39" customFormat="1" x14ac:dyDescent="0.3">
      <c r="A203" s="82">
        <v>9</v>
      </c>
      <c r="B203" s="82"/>
      <c r="C203" s="24" t="s">
        <v>143</v>
      </c>
      <c r="D203" s="83">
        <f>(34.77)*10.764</f>
        <v>374.26427999999999</v>
      </c>
      <c r="E203" s="83"/>
      <c r="F203" s="24">
        <v>0</v>
      </c>
      <c r="G203" s="55">
        <f t="shared" ref="G203" si="7">D203*(($G$142)+1)+(IF(F203&lt;101,F203,IF(F203&lt;201,F203/2,IF(F203&lt;=301,F203/3,F203/4))))</f>
        <v>561.39642000000003</v>
      </c>
      <c r="H203" s="24" t="s">
        <v>81</v>
      </c>
      <c r="I203" s="82"/>
      <c r="J203" s="82"/>
      <c r="M203" s="57">
        <f>2.75*1.8</f>
        <v>4.95</v>
      </c>
    </row>
    <row r="204" spans="1:15" s="39" customFormat="1" x14ac:dyDescent="0.3">
      <c r="A204" s="99" t="s">
        <v>239</v>
      </c>
      <c r="B204" s="99"/>
      <c r="C204" s="99"/>
      <c r="D204" s="99"/>
      <c r="E204" s="99"/>
      <c r="F204" s="99"/>
      <c r="G204" s="99"/>
      <c r="H204" s="99"/>
      <c r="I204" s="99"/>
      <c r="J204" s="99"/>
    </row>
    <row r="205" spans="1:15" s="39" customFormat="1" x14ac:dyDescent="0.3">
      <c r="A205" s="82">
        <v>1</v>
      </c>
      <c r="B205" s="82"/>
      <c r="C205" s="24" t="s">
        <v>143</v>
      </c>
      <c r="D205" s="83">
        <f t="shared" ref="D205:D210" si="8">(34.77+0.75*(2.25+2.75))*10.764</f>
        <v>414.62927999999999</v>
      </c>
      <c r="E205" s="83"/>
      <c r="F205" s="58">
        <f t="shared" ref="F205:F214" si="9">(2.75*1.8)*10.764</f>
        <v>53.281799999999997</v>
      </c>
      <c r="G205" s="55">
        <f>D205*(($G$142)+1)+(IF(F205&lt;101,F205,IF(F205&lt;201,F205/2,IF(F205&lt;=301,F205/3,F205/4))))</f>
        <v>675.22571999999991</v>
      </c>
      <c r="H205" s="24" t="s">
        <v>81</v>
      </c>
      <c r="I205" s="82" t="str">
        <f>A204</f>
        <v>1st, 3rd, 5th &amp; 7th Floor For Residential</v>
      </c>
      <c r="J205" s="82"/>
      <c r="L205" s="39">
        <f>2.75*1.8</f>
        <v>4.95</v>
      </c>
    </row>
    <row r="206" spans="1:15" s="39" customFormat="1" x14ac:dyDescent="0.3">
      <c r="A206" s="82">
        <v>2</v>
      </c>
      <c r="B206" s="82"/>
      <c r="C206" s="24" t="s">
        <v>143</v>
      </c>
      <c r="D206" s="83">
        <f t="shared" si="8"/>
        <v>414.62927999999999</v>
      </c>
      <c r="E206" s="83"/>
      <c r="F206" s="58">
        <f t="shared" si="9"/>
        <v>53.281799999999997</v>
      </c>
      <c r="G206" s="55">
        <f t="shared" ref="G206:G214" si="10">D206*(($G$142)+1)+(IF(F206&lt;101,F206,IF(F206&lt;201,F206/2,IF(F206&lt;=301,F206/3,F206/4))))</f>
        <v>675.22571999999991</v>
      </c>
      <c r="H206" s="24" t="s">
        <v>81</v>
      </c>
      <c r="I206" s="82"/>
      <c r="J206" s="82"/>
      <c r="O206" s="39">
        <f>7*10+5</f>
        <v>75</v>
      </c>
    </row>
    <row r="207" spans="1:15" s="39" customFormat="1" x14ac:dyDescent="0.3">
      <c r="A207" s="82">
        <v>3</v>
      </c>
      <c r="B207" s="82"/>
      <c r="C207" s="24" t="s">
        <v>143</v>
      </c>
      <c r="D207" s="83">
        <f t="shared" si="8"/>
        <v>414.62927999999999</v>
      </c>
      <c r="E207" s="83"/>
      <c r="F207" s="58">
        <f t="shared" si="9"/>
        <v>53.281799999999997</v>
      </c>
      <c r="G207" s="55">
        <f t="shared" si="10"/>
        <v>675.22571999999991</v>
      </c>
      <c r="H207" s="24" t="s">
        <v>81</v>
      </c>
      <c r="I207" s="82"/>
      <c r="J207" s="82"/>
    </row>
    <row r="208" spans="1:15" s="39" customFormat="1" x14ac:dyDescent="0.3">
      <c r="A208" s="82">
        <v>4</v>
      </c>
      <c r="B208" s="82"/>
      <c r="C208" s="24" t="s">
        <v>143</v>
      </c>
      <c r="D208" s="83">
        <f t="shared" si="8"/>
        <v>414.62927999999999</v>
      </c>
      <c r="E208" s="83"/>
      <c r="F208" s="58">
        <f t="shared" si="9"/>
        <v>53.281799999999997</v>
      </c>
      <c r="G208" s="55">
        <f t="shared" si="10"/>
        <v>675.22571999999991</v>
      </c>
      <c r="H208" s="24" t="s">
        <v>81</v>
      </c>
      <c r="I208" s="82"/>
      <c r="J208" s="82"/>
      <c r="L208" s="39">
        <f>1820000/G212</f>
        <v>3898.7087615821242</v>
      </c>
    </row>
    <row r="209" spans="1:10" s="39" customFormat="1" x14ac:dyDescent="0.3">
      <c r="A209" s="82">
        <v>5</v>
      </c>
      <c r="B209" s="82"/>
      <c r="C209" s="24" t="s">
        <v>143</v>
      </c>
      <c r="D209" s="83">
        <f t="shared" si="8"/>
        <v>414.62927999999999</v>
      </c>
      <c r="E209" s="83"/>
      <c r="F209" s="58">
        <f t="shared" si="9"/>
        <v>53.281799999999997</v>
      </c>
      <c r="G209" s="55">
        <f t="shared" si="10"/>
        <v>675.22571999999991</v>
      </c>
      <c r="H209" s="24" t="s">
        <v>81</v>
      </c>
      <c r="I209" s="82"/>
      <c r="J209" s="82"/>
    </row>
    <row r="210" spans="1:10" s="39" customFormat="1" x14ac:dyDescent="0.3">
      <c r="A210" s="82">
        <v>6</v>
      </c>
      <c r="B210" s="82"/>
      <c r="C210" s="24" t="s">
        <v>143</v>
      </c>
      <c r="D210" s="83">
        <f t="shared" si="8"/>
        <v>414.62927999999999</v>
      </c>
      <c r="E210" s="83"/>
      <c r="F210" s="58">
        <f t="shared" si="9"/>
        <v>53.281799999999997</v>
      </c>
      <c r="G210" s="55">
        <f t="shared" si="10"/>
        <v>675.22571999999991</v>
      </c>
      <c r="H210" s="24" t="s">
        <v>81</v>
      </c>
      <c r="I210" s="82"/>
      <c r="J210" s="82"/>
    </row>
    <row r="211" spans="1:10" s="39" customFormat="1" x14ac:dyDescent="0.3">
      <c r="A211" s="82">
        <v>7</v>
      </c>
      <c r="B211" s="82"/>
      <c r="C211" s="24" t="s">
        <v>143</v>
      </c>
      <c r="D211" s="83">
        <f>(34.81+0.75*(2.25+2.75))*10.764</f>
        <v>415.05984000000001</v>
      </c>
      <c r="E211" s="83"/>
      <c r="F211" s="58">
        <f t="shared" si="9"/>
        <v>53.281799999999997</v>
      </c>
      <c r="G211" s="55">
        <f t="shared" si="10"/>
        <v>675.87156000000004</v>
      </c>
      <c r="H211" s="24" t="s">
        <v>81</v>
      </c>
      <c r="I211" s="82"/>
      <c r="J211" s="82"/>
    </row>
    <row r="212" spans="1:10" s="39" customFormat="1" x14ac:dyDescent="0.3">
      <c r="A212" s="82">
        <v>8</v>
      </c>
      <c r="B212" s="82"/>
      <c r="C212" s="24" t="s">
        <v>147</v>
      </c>
      <c r="D212" s="83">
        <f>(24+0.75*(2.15))*10.764</f>
        <v>275.69295</v>
      </c>
      <c r="E212" s="83"/>
      <c r="F212" s="58">
        <f t="shared" si="9"/>
        <v>53.281799999999997</v>
      </c>
      <c r="G212" s="55">
        <f t="shared" si="10"/>
        <v>466.82122499999997</v>
      </c>
      <c r="H212" s="24" t="s">
        <v>81</v>
      </c>
      <c r="I212" s="82"/>
      <c r="J212" s="82"/>
    </row>
    <row r="213" spans="1:10" s="39" customFormat="1" x14ac:dyDescent="0.3">
      <c r="A213" s="82">
        <v>9</v>
      </c>
      <c r="B213" s="82"/>
      <c r="C213" s="24" t="s">
        <v>143</v>
      </c>
      <c r="D213" s="83">
        <f>(34.75+0.75*(2.75+2.25))*10.764</f>
        <v>414.41399999999999</v>
      </c>
      <c r="E213" s="83"/>
      <c r="F213" s="58">
        <f t="shared" si="9"/>
        <v>53.281799999999997</v>
      </c>
      <c r="G213" s="55">
        <f t="shared" si="10"/>
        <v>674.90279999999996</v>
      </c>
      <c r="H213" s="24" t="s">
        <v>81</v>
      </c>
      <c r="I213" s="82"/>
      <c r="J213" s="82"/>
    </row>
    <row r="214" spans="1:10" s="39" customFormat="1" x14ac:dyDescent="0.3">
      <c r="A214" s="82">
        <v>10</v>
      </c>
      <c r="B214" s="82"/>
      <c r="C214" s="24" t="s">
        <v>143</v>
      </c>
      <c r="D214" s="83">
        <f>(34.77+0.75*(2.75+2.25))*10.764</f>
        <v>414.62927999999999</v>
      </c>
      <c r="E214" s="83"/>
      <c r="F214" s="58">
        <f t="shared" si="9"/>
        <v>53.281799999999997</v>
      </c>
      <c r="G214" s="55">
        <f t="shared" si="10"/>
        <v>675.22571999999991</v>
      </c>
      <c r="H214" s="24" t="s">
        <v>81</v>
      </c>
      <c r="I214" s="82"/>
      <c r="J214" s="82"/>
    </row>
    <row r="215" spans="1:10" s="39" customFormat="1" x14ac:dyDescent="0.3">
      <c r="A215" s="99" t="s">
        <v>238</v>
      </c>
      <c r="B215" s="99"/>
      <c r="C215" s="99"/>
      <c r="D215" s="99"/>
      <c r="E215" s="99"/>
      <c r="F215" s="99"/>
      <c r="G215" s="99"/>
      <c r="H215" s="99"/>
      <c r="I215" s="99"/>
      <c r="J215" s="99"/>
    </row>
    <row r="216" spans="1:10" s="39" customFormat="1" x14ac:dyDescent="0.3">
      <c r="A216" s="82">
        <v>1</v>
      </c>
      <c r="B216" s="82"/>
      <c r="C216" s="24" t="s">
        <v>143</v>
      </c>
      <c r="D216" s="83">
        <f>(34.77+0.75*(2.25+2.75*2))*10.764</f>
        <v>436.83003000000002</v>
      </c>
      <c r="E216" s="83"/>
      <c r="F216" s="58">
        <v>0</v>
      </c>
      <c r="G216" s="55">
        <f>D216*(($G$142)+1)+(IF(F216&lt;101,F216,IF(F216&lt;201,F216/2,IF(F216&lt;=301,F216/3,F216/4))))</f>
        <v>655.245045</v>
      </c>
      <c r="H216" s="24" t="s">
        <v>81</v>
      </c>
      <c r="I216" s="82" t="str">
        <f>A215</f>
        <v>2nd, 4th &amp; 6th Floor</v>
      </c>
      <c r="J216" s="82"/>
    </row>
    <row r="217" spans="1:10" s="39" customFormat="1" x14ac:dyDescent="0.3">
      <c r="A217" s="82">
        <v>2</v>
      </c>
      <c r="B217" s="82"/>
      <c r="C217" s="24" t="s">
        <v>143</v>
      </c>
      <c r="D217" s="83">
        <f>(34.77+0.75*(2.25+2.75))*10.764</f>
        <v>414.62927999999999</v>
      </c>
      <c r="E217" s="83"/>
      <c r="F217" s="58">
        <f t="shared" ref="F217:F222" si="11">(2.75*1.8)*10.764</f>
        <v>53.281799999999997</v>
      </c>
      <c r="G217" s="55">
        <f t="shared" ref="G217:G225" si="12">D217*(($G$142)+1)+(IF(F217&lt;101,F217,IF(F217&lt;201,F217/2,IF(F217&lt;=301,F217/3,F217/4))))</f>
        <v>675.22571999999991</v>
      </c>
      <c r="H217" s="24" t="s">
        <v>81</v>
      </c>
      <c r="I217" s="82"/>
      <c r="J217" s="82"/>
    </row>
    <row r="218" spans="1:10" s="39" customFormat="1" x14ac:dyDescent="0.3">
      <c r="A218" s="82">
        <v>3</v>
      </c>
      <c r="B218" s="82"/>
      <c r="C218" s="24" t="s">
        <v>143</v>
      </c>
      <c r="D218" s="83">
        <f>(34.77+0.75*(2.25+2.75))*10.764</f>
        <v>414.62927999999999</v>
      </c>
      <c r="E218" s="83"/>
      <c r="F218" s="58">
        <f t="shared" si="11"/>
        <v>53.281799999999997</v>
      </c>
      <c r="G218" s="55">
        <f t="shared" si="12"/>
        <v>675.22571999999991</v>
      </c>
      <c r="H218" s="24" t="s">
        <v>81</v>
      </c>
      <c r="I218" s="82"/>
      <c r="J218" s="82"/>
    </row>
    <row r="219" spans="1:10" s="39" customFormat="1" x14ac:dyDescent="0.3">
      <c r="A219" s="82">
        <v>4</v>
      </c>
      <c r="B219" s="82"/>
      <c r="C219" s="24" t="s">
        <v>143</v>
      </c>
      <c r="D219" s="83">
        <f>(34.77+0.75*(2.25+2.75))*10.764</f>
        <v>414.62927999999999</v>
      </c>
      <c r="E219" s="83"/>
      <c r="F219" s="58">
        <f t="shared" si="11"/>
        <v>53.281799999999997</v>
      </c>
      <c r="G219" s="55">
        <f t="shared" si="12"/>
        <v>675.22571999999991</v>
      </c>
      <c r="H219" s="24" t="s">
        <v>81</v>
      </c>
      <c r="I219" s="82"/>
      <c r="J219" s="82"/>
    </row>
    <row r="220" spans="1:10" s="39" customFormat="1" x14ac:dyDescent="0.3">
      <c r="A220" s="82">
        <v>5</v>
      </c>
      <c r="B220" s="82"/>
      <c r="C220" s="24" t="s">
        <v>143</v>
      </c>
      <c r="D220" s="83">
        <f>(34.77+0.75*(2.25+2.75))*10.764</f>
        <v>414.62927999999999</v>
      </c>
      <c r="E220" s="83"/>
      <c r="F220" s="58">
        <f t="shared" si="11"/>
        <v>53.281799999999997</v>
      </c>
      <c r="G220" s="55">
        <f t="shared" si="12"/>
        <v>675.22571999999991</v>
      </c>
      <c r="H220" s="24" t="s">
        <v>81</v>
      </c>
      <c r="I220" s="82"/>
      <c r="J220" s="82"/>
    </row>
    <row r="221" spans="1:10" s="39" customFormat="1" x14ac:dyDescent="0.3">
      <c r="A221" s="82">
        <v>6</v>
      </c>
      <c r="B221" s="82"/>
      <c r="C221" s="24" t="s">
        <v>143</v>
      </c>
      <c r="D221" s="83">
        <f>(34.77+0.75*(2.25+2.75))*10.764</f>
        <v>414.62927999999999</v>
      </c>
      <c r="E221" s="83"/>
      <c r="F221" s="58">
        <f t="shared" si="11"/>
        <v>53.281799999999997</v>
      </c>
      <c r="G221" s="55">
        <f t="shared" si="12"/>
        <v>675.22571999999991</v>
      </c>
      <c r="H221" s="24" t="s">
        <v>81</v>
      </c>
      <c r="I221" s="82"/>
      <c r="J221" s="82"/>
    </row>
    <row r="222" spans="1:10" s="39" customFormat="1" x14ac:dyDescent="0.3">
      <c r="A222" s="82">
        <v>7</v>
      </c>
      <c r="B222" s="82"/>
      <c r="C222" s="24" t="s">
        <v>143</v>
      </c>
      <c r="D222" s="83">
        <f>(34.81+0.75*(2.25+2.75))*10.764</f>
        <v>415.05984000000001</v>
      </c>
      <c r="E222" s="83"/>
      <c r="F222" s="58">
        <f t="shared" si="11"/>
        <v>53.281799999999997</v>
      </c>
      <c r="G222" s="55">
        <f t="shared" si="12"/>
        <v>675.87156000000004</v>
      </c>
      <c r="H222" s="24" t="s">
        <v>81</v>
      </c>
      <c r="I222" s="82"/>
      <c r="J222" s="82"/>
    </row>
    <row r="223" spans="1:10" s="39" customFormat="1" x14ac:dyDescent="0.3">
      <c r="A223" s="82">
        <v>8</v>
      </c>
      <c r="B223" s="82"/>
      <c r="C223" s="24" t="s">
        <v>147</v>
      </c>
      <c r="D223" s="83">
        <f>(24+0.75*(2.75))*10.764</f>
        <v>280.53674999999998</v>
      </c>
      <c r="E223" s="83"/>
      <c r="F223" s="58">
        <f>(2.15*1.8)*10.764</f>
        <v>41.656680000000001</v>
      </c>
      <c r="G223" s="55">
        <f t="shared" si="12"/>
        <v>462.46180499999997</v>
      </c>
      <c r="H223" s="24" t="s">
        <v>81</v>
      </c>
      <c r="I223" s="82"/>
      <c r="J223" s="82"/>
    </row>
    <row r="224" spans="1:10" s="39" customFormat="1" x14ac:dyDescent="0.3">
      <c r="A224" s="82">
        <v>9</v>
      </c>
      <c r="B224" s="82"/>
      <c r="C224" s="24" t="s">
        <v>143</v>
      </c>
      <c r="D224" s="83">
        <f>(34.75+0.75*(2.75*2+2.25))*10.764</f>
        <v>436.61474999999996</v>
      </c>
      <c r="E224" s="83"/>
      <c r="F224" s="58">
        <v>0</v>
      </c>
      <c r="G224" s="55">
        <f t="shared" si="12"/>
        <v>654.92212499999994</v>
      </c>
      <c r="H224" s="24" t="s">
        <v>81</v>
      </c>
      <c r="I224" s="82"/>
      <c r="J224" s="82"/>
    </row>
    <row r="225" spans="1:42" s="39" customFormat="1" x14ac:dyDescent="0.3">
      <c r="A225" s="82">
        <v>10</v>
      </c>
      <c r="B225" s="82"/>
      <c r="C225" s="24" t="s">
        <v>143</v>
      </c>
      <c r="D225" s="83">
        <f>(34.77+0.75*(2.75*2+2.25))*10.764</f>
        <v>436.83003000000002</v>
      </c>
      <c r="E225" s="83"/>
      <c r="F225" s="58">
        <v>0</v>
      </c>
      <c r="G225" s="55">
        <f t="shared" si="12"/>
        <v>655.245045</v>
      </c>
      <c r="H225" s="24" t="s">
        <v>81</v>
      </c>
      <c r="I225" s="82"/>
      <c r="J225" s="82"/>
    </row>
    <row r="226" spans="1:42" s="39" customFormat="1" ht="15.75" customHeight="1" x14ac:dyDescent="0.3">
      <c r="A226" s="84" t="s">
        <v>148</v>
      </c>
      <c r="B226" s="85"/>
      <c r="C226" s="85"/>
      <c r="D226" s="85"/>
      <c r="E226" s="85"/>
      <c r="F226" s="85"/>
      <c r="G226" s="85"/>
      <c r="H226" s="85"/>
      <c r="I226" s="85"/>
      <c r="J226" s="86"/>
    </row>
    <row r="227" spans="1:42" s="39" customFormat="1" x14ac:dyDescent="0.3">
      <c r="A227" s="84" t="s">
        <v>234</v>
      </c>
      <c r="B227" s="85"/>
      <c r="C227" s="85"/>
      <c r="D227" s="85"/>
      <c r="E227" s="85"/>
      <c r="F227" s="85"/>
      <c r="G227" s="85"/>
      <c r="H227" s="85"/>
      <c r="I227" s="85"/>
      <c r="J227" s="86"/>
    </row>
    <row r="228" spans="1:42" s="39" customFormat="1" x14ac:dyDescent="0.3">
      <c r="A228" s="65">
        <v>1</v>
      </c>
      <c r="B228" s="66"/>
      <c r="C228" s="24" t="s">
        <v>143</v>
      </c>
      <c r="D228" s="67">
        <f>(34.05)*10.764</f>
        <v>366.51419999999996</v>
      </c>
      <c r="E228" s="68"/>
      <c r="F228" s="24">
        <v>0</v>
      </c>
      <c r="G228" s="55">
        <f>D228*(($G$142)+1)+(IF(F228&lt;101,F228,IF(F228&lt;201,F228/2,IF(F228&lt;=301,F228/3,F228/4))))</f>
        <v>549.77129999999988</v>
      </c>
      <c r="H228" s="24" t="s">
        <v>81</v>
      </c>
      <c r="I228" s="77" t="str">
        <f>A227</f>
        <v>Ground Floor For Residential &amp; (Part Society Room, Entrance Lobby, Meter Space &amp; Parking Area)</v>
      </c>
      <c r="J228" s="132"/>
    </row>
    <row r="229" spans="1:42" s="39" customFormat="1" x14ac:dyDescent="0.3">
      <c r="A229" s="65">
        <v>2</v>
      </c>
      <c r="B229" s="66"/>
      <c r="C229" s="24" t="s">
        <v>143</v>
      </c>
      <c r="D229" s="67">
        <f>(34.05)*10.764</f>
        <v>366.51419999999996</v>
      </c>
      <c r="E229" s="68"/>
      <c r="F229" s="24">
        <v>0</v>
      </c>
      <c r="G229" s="55">
        <f t="shared" ref="G229:G233" si="13">D229*(($G$142)+1)+(IF(F229&lt;101,F229,IF(F229&lt;201,F229/2,IF(F229&lt;=301,F229/3,F229/4))))</f>
        <v>549.77129999999988</v>
      </c>
      <c r="H229" s="24" t="s">
        <v>81</v>
      </c>
      <c r="I229" s="79"/>
      <c r="J229" s="120"/>
    </row>
    <row r="230" spans="1:42" s="39" customFormat="1" x14ac:dyDescent="0.3">
      <c r="A230" s="65">
        <v>3</v>
      </c>
      <c r="B230" s="66"/>
      <c r="C230" s="24" t="s">
        <v>143</v>
      </c>
      <c r="D230" s="67">
        <f>(34.05)*10.764</f>
        <v>366.51419999999996</v>
      </c>
      <c r="E230" s="68"/>
      <c r="F230" s="24">
        <v>0</v>
      </c>
      <c r="G230" s="55">
        <f t="shared" si="13"/>
        <v>549.77129999999988</v>
      </c>
      <c r="H230" s="24" t="s">
        <v>81</v>
      </c>
      <c r="I230" s="79"/>
      <c r="J230" s="120"/>
    </row>
    <row r="231" spans="1:42" s="46" customFormat="1" x14ac:dyDescent="0.3">
      <c r="A231" s="65">
        <v>4</v>
      </c>
      <c r="B231" s="66"/>
      <c r="C231" s="24" t="s">
        <v>143</v>
      </c>
      <c r="D231" s="67">
        <f>(34.05)*10.764</f>
        <v>366.51419999999996</v>
      </c>
      <c r="E231" s="68"/>
      <c r="F231" s="24">
        <v>0</v>
      </c>
      <c r="G231" s="55">
        <f t="shared" si="13"/>
        <v>549.77129999999988</v>
      </c>
      <c r="H231" s="24" t="s">
        <v>81</v>
      </c>
      <c r="I231" s="79"/>
      <c r="J231" s="120"/>
      <c r="K231" s="39"/>
      <c r="L231" s="39"/>
      <c r="M231" s="39"/>
      <c r="N231" s="39"/>
      <c r="O231" s="39"/>
      <c r="P231" s="39"/>
      <c r="Q231" s="39"/>
      <c r="R231" s="39"/>
      <c r="S231" s="39"/>
      <c r="T231" s="39"/>
      <c r="U231" s="39"/>
      <c r="V231" s="39"/>
      <c r="W231" s="39"/>
      <c r="X231" s="39"/>
      <c r="Y231" s="39"/>
      <c r="Z231" s="39"/>
      <c r="AA231" s="39"/>
      <c r="AB231" s="39"/>
      <c r="AC231" s="39"/>
      <c r="AD231" s="39"/>
      <c r="AE231" s="39"/>
      <c r="AF231" s="39"/>
      <c r="AG231" s="39"/>
      <c r="AH231" s="39"/>
      <c r="AI231" s="39"/>
      <c r="AJ231" s="39"/>
      <c r="AK231" s="39"/>
      <c r="AL231" s="39"/>
      <c r="AM231" s="39"/>
      <c r="AN231" s="39"/>
      <c r="AO231" s="39"/>
      <c r="AP231" s="56"/>
    </row>
    <row r="232" spans="1:42" s="39" customFormat="1" ht="15.75" customHeight="1" x14ac:dyDescent="0.3">
      <c r="A232" s="65" t="s">
        <v>236</v>
      </c>
      <c r="B232" s="66"/>
      <c r="C232" s="65" t="s">
        <v>237</v>
      </c>
      <c r="D232" s="81"/>
      <c r="E232" s="81"/>
      <c r="F232" s="81"/>
      <c r="G232" s="81"/>
      <c r="H232" s="66"/>
      <c r="I232" s="79"/>
      <c r="J232" s="120"/>
    </row>
    <row r="233" spans="1:42" s="39" customFormat="1" ht="15.75" customHeight="1" x14ac:dyDescent="0.3">
      <c r="A233" s="65">
        <v>8</v>
      </c>
      <c r="B233" s="66"/>
      <c r="C233" s="24" t="s">
        <v>143</v>
      </c>
      <c r="D233" s="67">
        <f>(34.77)*10.764</f>
        <v>374.26427999999999</v>
      </c>
      <c r="E233" s="68"/>
      <c r="F233" s="24">
        <v>0</v>
      </c>
      <c r="G233" s="55">
        <f t="shared" si="13"/>
        <v>561.39642000000003</v>
      </c>
      <c r="H233" s="24" t="s">
        <v>81</v>
      </c>
      <c r="I233" s="79"/>
      <c r="J233" s="120"/>
    </row>
    <row r="234" spans="1:42" s="39" customFormat="1" x14ac:dyDescent="0.3">
      <c r="A234" s="84" t="s">
        <v>239</v>
      </c>
      <c r="B234" s="85"/>
      <c r="C234" s="85"/>
      <c r="D234" s="85"/>
      <c r="E234" s="85"/>
      <c r="F234" s="85"/>
      <c r="G234" s="85"/>
      <c r="H234" s="85"/>
      <c r="I234" s="85"/>
      <c r="J234" s="86"/>
    </row>
    <row r="235" spans="1:42" s="39" customFormat="1" x14ac:dyDescent="0.3">
      <c r="A235" s="82">
        <v>1</v>
      </c>
      <c r="B235" s="82"/>
      <c r="C235" s="24" t="s">
        <v>143</v>
      </c>
      <c r="D235" s="83">
        <f>(34.05+0.75*(2.75+2.25))*10.764</f>
        <v>406.87919999999997</v>
      </c>
      <c r="E235" s="83"/>
      <c r="F235" s="58">
        <f>(2.75*1.8)*10.764</f>
        <v>53.281799999999997</v>
      </c>
      <c r="G235" s="55">
        <f>D235*(($G$142)+1)+(IF(F235&lt;101,F235,IF(F235&lt;201,F235/2,IF(F235&lt;=301,F235/3,F235/4))))</f>
        <v>663.60059999999999</v>
      </c>
      <c r="H235" s="24" t="s">
        <v>81</v>
      </c>
      <c r="I235" s="82" t="str">
        <f>A234</f>
        <v>1st, 3rd, 5th &amp; 7th Floor For Residential</v>
      </c>
      <c r="J235" s="82"/>
    </row>
    <row r="236" spans="1:42" s="39" customFormat="1" x14ac:dyDescent="0.3">
      <c r="A236" s="82">
        <v>2</v>
      </c>
      <c r="B236" s="82"/>
      <c r="C236" s="24" t="s">
        <v>143</v>
      </c>
      <c r="D236" s="83">
        <f>(34.05+0.75*(2.75+2.25))*10.764</f>
        <v>406.87919999999997</v>
      </c>
      <c r="E236" s="83"/>
      <c r="F236" s="58">
        <f>(2.75*1.8)*10.764</f>
        <v>53.281799999999997</v>
      </c>
      <c r="G236" s="55">
        <f t="shared" ref="G236:G244" si="14">D236*(($G$142)+1)+(IF(F236&lt;101,F236,IF(F236&lt;201,F236/2,IF(F236&lt;=301,F236/3,F236/4))))</f>
        <v>663.60059999999999</v>
      </c>
      <c r="H236" s="24" t="s">
        <v>81</v>
      </c>
      <c r="I236" s="82"/>
      <c r="J236" s="82"/>
    </row>
    <row r="237" spans="1:42" s="39" customFormat="1" x14ac:dyDescent="0.3">
      <c r="A237" s="82">
        <v>3</v>
      </c>
      <c r="B237" s="82"/>
      <c r="C237" s="24" t="s">
        <v>143</v>
      </c>
      <c r="D237" s="83">
        <f>(34.05+0.75*(2.75+2.25))*10.764</f>
        <v>406.87919999999997</v>
      </c>
      <c r="E237" s="83"/>
      <c r="F237" s="58">
        <f>(2.75*1.8)*10.764</f>
        <v>53.281799999999997</v>
      </c>
      <c r="G237" s="55">
        <f t="shared" si="14"/>
        <v>663.60059999999999</v>
      </c>
      <c r="H237" s="24" t="s">
        <v>81</v>
      </c>
      <c r="I237" s="82"/>
      <c r="J237" s="82"/>
    </row>
    <row r="238" spans="1:42" s="39" customFormat="1" x14ac:dyDescent="0.3">
      <c r="A238" s="82">
        <v>4</v>
      </c>
      <c r="B238" s="82"/>
      <c r="C238" s="24" t="s">
        <v>143</v>
      </c>
      <c r="D238" s="83">
        <f>(34.05+0.75*(2.75+2.25))*10.764</f>
        <v>406.87919999999997</v>
      </c>
      <c r="E238" s="83"/>
      <c r="F238" s="58">
        <f>(2.75*1.8)*10.764</f>
        <v>53.281799999999997</v>
      </c>
      <c r="G238" s="55">
        <f t="shared" si="14"/>
        <v>663.60059999999999</v>
      </c>
      <c r="H238" s="24" t="s">
        <v>81</v>
      </c>
      <c r="I238" s="82"/>
      <c r="J238" s="82"/>
    </row>
    <row r="239" spans="1:42" s="39" customFormat="1" x14ac:dyDescent="0.3">
      <c r="A239" s="82">
        <v>5</v>
      </c>
      <c r="B239" s="82"/>
      <c r="C239" s="24" t="s">
        <v>147</v>
      </c>
      <c r="D239" s="83">
        <f>(24.57+0.75*(3.35+2.75))*10.764</f>
        <v>313.71677999999997</v>
      </c>
      <c r="E239" s="83"/>
      <c r="F239" s="58">
        <v>0</v>
      </c>
      <c r="G239" s="55">
        <f t="shared" si="14"/>
        <v>470.57516999999996</v>
      </c>
      <c r="H239" s="24" t="s">
        <v>81</v>
      </c>
      <c r="I239" s="82"/>
      <c r="J239" s="82"/>
    </row>
    <row r="240" spans="1:42" s="39" customFormat="1" ht="15.75" customHeight="1" x14ac:dyDescent="0.3">
      <c r="A240" s="82">
        <v>6</v>
      </c>
      <c r="B240" s="82"/>
      <c r="C240" s="24" t="s">
        <v>143</v>
      </c>
      <c r="D240" s="83">
        <f>(34.77+0.75*(2.75+2.25))*10.764</f>
        <v>414.62927999999999</v>
      </c>
      <c r="E240" s="83"/>
      <c r="F240" s="58">
        <f>(2.75*1.8)*10.764</f>
        <v>53.281799999999997</v>
      </c>
      <c r="G240" s="55">
        <f t="shared" si="14"/>
        <v>675.22571999999991</v>
      </c>
      <c r="H240" s="24" t="s">
        <v>81</v>
      </c>
      <c r="I240" s="82"/>
      <c r="J240" s="82"/>
    </row>
    <row r="241" spans="1:10" s="39" customFormat="1" x14ac:dyDescent="0.3">
      <c r="A241" s="82">
        <v>7</v>
      </c>
      <c r="B241" s="82"/>
      <c r="C241" s="24" t="s">
        <v>143</v>
      </c>
      <c r="D241" s="83">
        <f>(34.77+0.75*(2.75+2.25))*10.764</f>
        <v>414.62927999999999</v>
      </c>
      <c r="E241" s="83"/>
      <c r="F241" s="58">
        <f>(2.75*1.8)*10.764</f>
        <v>53.281799999999997</v>
      </c>
      <c r="G241" s="55">
        <f t="shared" si="14"/>
        <v>675.22571999999991</v>
      </c>
      <c r="H241" s="24" t="s">
        <v>81</v>
      </c>
      <c r="I241" s="82"/>
      <c r="J241" s="82"/>
    </row>
    <row r="242" spans="1:10" s="39" customFormat="1" x14ac:dyDescent="0.3">
      <c r="A242" s="82">
        <v>8</v>
      </c>
      <c r="B242" s="82"/>
      <c r="C242" s="24" t="s">
        <v>143</v>
      </c>
      <c r="D242" s="83">
        <f>(34.77+0.75*(2.75+2.25))*10.764</f>
        <v>414.62927999999999</v>
      </c>
      <c r="E242" s="83"/>
      <c r="F242" s="58">
        <f>(2.75*1.8)*10.764</f>
        <v>53.281799999999997</v>
      </c>
      <c r="G242" s="55">
        <f t="shared" si="14"/>
        <v>675.22571999999991</v>
      </c>
      <c r="H242" s="24" t="s">
        <v>81</v>
      </c>
      <c r="I242" s="82"/>
      <c r="J242" s="82"/>
    </row>
    <row r="243" spans="1:10" s="39" customFormat="1" ht="15.75" customHeight="1" x14ac:dyDescent="0.3">
      <c r="A243" s="82">
        <v>9</v>
      </c>
      <c r="B243" s="82"/>
      <c r="C243" s="24" t="s">
        <v>143</v>
      </c>
      <c r="D243" s="83">
        <f>(34.77+0.75*(2.75+2.25))*10.764</f>
        <v>414.62927999999999</v>
      </c>
      <c r="E243" s="83"/>
      <c r="F243" s="58">
        <f>(2.75*1.8)*10.764</f>
        <v>53.281799999999997</v>
      </c>
      <c r="G243" s="55">
        <f t="shared" si="14"/>
        <v>675.22571999999991</v>
      </c>
      <c r="H243" s="24" t="s">
        <v>81</v>
      </c>
      <c r="I243" s="82"/>
      <c r="J243" s="82"/>
    </row>
    <row r="244" spans="1:10" s="39" customFormat="1" x14ac:dyDescent="0.3">
      <c r="A244" s="82">
        <v>10</v>
      </c>
      <c r="B244" s="82"/>
      <c r="C244" s="24" t="s">
        <v>143</v>
      </c>
      <c r="D244" s="83">
        <f>(34.77+0.75*(2.75+2.25))*10.764</f>
        <v>414.62927999999999</v>
      </c>
      <c r="E244" s="83"/>
      <c r="F244" s="58">
        <f>(2.75*1.8)*10.764</f>
        <v>53.281799999999997</v>
      </c>
      <c r="G244" s="55">
        <f t="shared" si="14"/>
        <v>675.22571999999991</v>
      </c>
      <c r="H244" s="24" t="s">
        <v>81</v>
      </c>
      <c r="I244" s="82"/>
      <c r="J244" s="82"/>
    </row>
    <row r="245" spans="1:10" s="39" customFormat="1" x14ac:dyDescent="0.3">
      <c r="A245" s="99" t="s">
        <v>238</v>
      </c>
      <c r="B245" s="99"/>
      <c r="C245" s="99"/>
      <c r="D245" s="99"/>
      <c r="E245" s="99"/>
      <c r="F245" s="99"/>
      <c r="G245" s="99"/>
      <c r="H245" s="99"/>
      <c r="I245" s="99"/>
      <c r="J245" s="99"/>
    </row>
    <row r="246" spans="1:10" s="39" customFormat="1" x14ac:dyDescent="0.3">
      <c r="A246" s="82">
        <v>1</v>
      </c>
      <c r="B246" s="82"/>
      <c r="C246" s="24" t="s">
        <v>143</v>
      </c>
      <c r="D246" s="83">
        <f>(34.05+0.75*(2.75*2+2.25))*10.764</f>
        <v>429.07994999999994</v>
      </c>
      <c r="E246" s="83"/>
      <c r="F246" s="58">
        <v>0</v>
      </c>
      <c r="G246" s="55">
        <f>D246*(($G$142)+1)+(IF(F246&lt;101,F246,IF(F246&lt;201,F246/2,IF(F246&lt;=301,F246/3,F246/4))))</f>
        <v>643.61992499999997</v>
      </c>
      <c r="H246" s="24" t="s">
        <v>81</v>
      </c>
      <c r="I246" s="82" t="str">
        <f>A245</f>
        <v>2nd, 4th &amp; 6th Floor</v>
      </c>
      <c r="J246" s="82"/>
    </row>
    <row r="247" spans="1:10" s="39" customFormat="1" x14ac:dyDescent="0.3">
      <c r="A247" s="82">
        <v>2</v>
      </c>
      <c r="B247" s="82"/>
      <c r="C247" s="24" t="s">
        <v>143</v>
      </c>
      <c r="D247" s="83">
        <f>(34.05+0.75*(2.75*2+2.25))*10.764</f>
        <v>429.07994999999994</v>
      </c>
      <c r="E247" s="83"/>
      <c r="F247" s="58">
        <v>0</v>
      </c>
      <c r="G247" s="55">
        <f t="shared" ref="G247:G255" si="15">D247*(($G$142)+1)+(IF(F247&lt;101,F247,IF(F247&lt;201,F247/2,IF(F247&lt;=301,F247/3,F247/4))))</f>
        <v>643.61992499999997</v>
      </c>
      <c r="H247" s="24" t="s">
        <v>81</v>
      </c>
      <c r="I247" s="82"/>
      <c r="J247" s="82"/>
    </row>
    <row r="248" spans="1:10" s="39" customFormat="1" x14ac:dyDescent="0.3">
      <c r="A248" s="82">
        <v>3</v>
      </c>
      <c r="B248" s="82"/>
      <c r="C248" s="24" t="s">
        <v>143</v>
      </c>
      <c r="D248" s="83">
        <f>(34.05+0.75*(2.75*2+2.25))*10.764</f>
        <v>429.07994999999994</v>
      </c>
      <c r="E248" s="83"/>
      <c r="F248" s="58">
        <v>0</v>
      </c>
      <c r="G248" s="55">
        <f t="shared" si="15"/>
        <v>643.61992499999997</v>
      </c>
      <c r="H248" s="24" t="s">
        <v>81</v>
      </c>
      <c r="I248" s="82"/>
      <c r="J248" s="82"/>
    </row>
    <row r="249" spans="1:10" s="39" customFormat="1" x14ac:dyDescent="0.3">
      <c r="A249" s="82">
        <v>4</v>
      </c>
      <c r="B249" s="82"/>
      <c r="C249" s="24" t="s">
        <v>143</v>
      </c>
      <c r="D249" s="83">
        <f>(34.05+0.75*(2.75*2+2.25))*10.764</f>
        <v>429.07994999999994</v>
      </c>
      <c r="E249" s="83"/>
      <c r="F249" s="58">
        <v>0</v>
      </c>
      <c r="G249" s="55">
        <f t="shared" si="15"/>
        <v>643.61992499999997</v>
      </c>
      <c r="H249" s="24" t="s">
        <v>81</v>
      </c>
      <c r="I249" s="82"/>
      <c r="J249" s="82"/>
    </row>
    <row r="250" spans="1:10" s="39" customFormat="1" x14ac:dyDescent="0.3">
      <c r="A250" s="82">
        <v>5</v>
      </c>
      <c r="B250" s="82"/>
      <c r="C250" s="24" t="s">
        <v>147</v>
      </c>
      <c r="D250" s="83">
        <f>(24.57+0.75*(3.35+2.75))*10.764</f>
        <v>313.71677999999997</v>
      </c>
      <c r="E250" s="83"/>
      <c r="F250" s="58">
        <v>0</v>
      </c>
      <c r="G250" s="55">
        <f t="shared" si="15"/>
        <v>470.57516999999996</v>
      </c>
      <c r="H250" s="24" t="s">
        <v>81</v>
      </c>
      <c r="I250" s="82"/>
      <c r="J250" s="82"/>
    </row>
    <row r="251" spans="1:10" s="39" customFormat="1" x14ac:dyDescent="0.3">
      <c r="A251" s="82">
        <v>6</v>
      </c>
      <c r="B251" s="82"/>
      <c r="C251" s="24" t="s">
        <v>143</v>
      </c>
      <c r="D251" s="83">
        <f>(34.77+0.75*(2.75+2.25))*10.764</f>
        <v>414.62927999999999</v>
      </c>
      <c r="E251" s="83"/>
      <c r="F251" s="58">
        <f>(2.75*1.8)*10.764</f>
        <v>53.281799999999997</v>
      </c>
      <c r="G251" s="55">
        <f t="shared" si="15"/>
        <v>675.22571999999991</v>
      </c>
      <c r="H251" s="24" t="s">
        <v>81</v>
      </c>
      <c r="I251" s="82"/>
      <c r="J251" s="82"/>
    </row>
    <row r="252" spans="1:10" s="37" customFormat="1" x14ac:dyDescent="0.3">
      <c r="A252" s="82">
        <v>7</v>
      </c>
      <c r="B252" s="82"/>
      <c r="C252" s="24" t="s">
        <v>143</v>
      </c>
      <c r="D252" s="83">
        <f>(34.77+0.75*(2.75+2.25))*10.764</f>
        <v>414.62927999999999</v>
      </c>
      <c r="E252" s="83"/>
      <c r="F252" s="58">
        <f>(2.75*1.8)*10.764</f>
        <v>53.281799999999997</v>
      </c>
      <c r="G252" s="55">
        <f t="shared" si="15"/>
        <v>675.22571999999991</v>
      </c>
      <c r="H252" s="24" t="s">
        <v>81</v>
      </c>
      <c r="I252" s="82"/>
      <c r="J252" s="82"/>
    </row>
    <row r="253" spans="1:10" s="40" customFormat="1" x14ac:dyDescent="0.3">
      <c r="A253" s="82">
        <v>8</v>
      </c>
      <c r="B253" s="82"/>
      <c r="C253" s="24" t="s">
        <v>143</v>
      </c>
      <c r="D253" s="83">
        <f>(34.77+0.75*(2.75+2.25))*10.764</f>
        <v>414.62927999999999</v>
      </c>
      <c r="E253" s="83"/>
      <c r="F253" s="58">
        <f>(2.75*1.8)*10.764</f>
        <v>53.281799999999997</v>
      </c>
      <c r="G253" s="55">
        <f t="shared" si="15"/>
        <v>675.22571999999991</v>
      </c>
      <c r="H253" s="24" t="s">
        <v>81</v>
      </c>
      <c r="I253" s="82"/>
      <c r="J253" s="82"/>
    </row>
    <row r="254" spans="1:10" x14ac:dyDescent="0.3">
      <c r="A254" s="82">
        <v>9</v>
      </c>
      <c r="B254" s="82"/>
      <c r="C254" s="24" t="s">
        <v>143</v>
      </c>
      <c r="D254" s="83">
        <f>(34.77+0.75*(2.75+2.25))*10.764</f>
        <v>414.62927999999999</v>
      </c>
      <c r="E254" s="83"/>
      <c r="F254" s="58">
        <f>(2.75*1.8)*10.764</f>
        <v>53.281799999999997</v>
      </c>
      <c r="G254" s="55">
        <f t="shared" si="15"/>
        <v>675.22571999999991</v>
      </c>
      <c r="H254" s="24" t="s">
        <v>81</v>
      </c>
      <c r="I254" s="82"/>
      <c r="J254" s="82"/>
    </row>
    <row r="255" spans="1:10" x14ac:dyDescent="0.3">
      <c r="A255" s="82">
        <v>10</v>
      </c>
      <c r="B255" s="82"/>
      <c r="C255" s="24" t="s">
        <v>143</v>
      </c>
      <c r="D255" s="83">
        <f>(34.77+0.75*(2.75+2.25))*10.764</f>
        <v>414.62927999999999</v>
      </c>
      <c r="E255" s="83"/>
      <c r="F255" s="58">
        <f>(2.75*1.8)*10.764</f>
        <v>53.281799999999997</v>
      </c>
      <c r="G255" s="55">
        <f t="shared" si="15"/>
        <v>675.22571999999991</v>
      </c>
      <c r="H255" s="24" t="s">
        <v>81</v>
      </c>
      <c r="I255" s="82"/>
      <c r="J255" s="82"/>
    </row>
    <row r="256" spans="1:10" ht="15.75" customHeight="1" x14ac:dyDescent="0.3">
      <c r="A256" s="127" t="s">
        <v>91</v>
      </c>
      <c r="B256" s="127"/>
      <c r="C256" s="127"/>
      <c r="D256" s="127"/>
      <c r="E256" s="127"/>
      <c r="F256" s="127"/>
      <c r="G256" s="127"/>
      <c r="H256" s="127"/>
      <c r="I256" s="127"/>
      <c r="J256" s="127"/>
    </row>
    <row r="257" spans="1:10" ht="213.45" customHeight="1" x14ac:dyDescent="0.3">
      <c r="A257" s="128" t="s">
        <v>255</v>
      </c>
      <c r="B257" s="128"/>
      <c r="C257" s="128"/>
      <c r="D257" s="128"/>
      <c r="E257" s="128"/>
      <c r="F257" s="128"/>
      <c r="G257" s="128"/>
      <c r="H257" s="128"/>
      <c r="I257" s="128"/>
      <c r="J257" s="128"/>
    </row>
    <row r="258" spans="1:10" x14ac:dyDescent="0.3">
      <c r="A258" s="121" t="s">
        <v>82</v>
      </c>
      <c r="B258" s="122"/>
      <c r="C258" s="122"/>
      <c r="D258" s="122"/>
      <c r="E258" s="122"/>
      <c r="F258" s="122"/>
      <c r="G258" s="122"/>
      <c r="H258" s="122"/>
      <c r="I258" s="122"/>
      <c r="J258" s="123"/>
    </row>
    <row r="259" spans="1:10" x14ac:dyDescent="0.3">
      <c r="A259" s="124" t="s">
        <v>83</v>
      </c>
      <c r="B259" s="74"/>
      <c r="C259" s="74"/>
      <c r="D259" s="74"/>
      <c r="E259" s="74"/>
      <c r="F259" s="74"/>
      <c r="G259" s="74"/>
      <c r="H259" s="74"/>
      <c r="I259" s="74"/>
      <c r="J259" s="75"/>
    </row>
    <row r="260" spans="1:10" ht="29.1" hidden="1" customHeight="1" x14ac:dyDescent="0.3">
      <c r="A260" s="121" t="s">
        <v>84</v>
      </c>
      <c r="B260" s="122"/>
      <c r="C260" s="122"/>
      <c r="D260" s="122"/>
      <c r="E260" s="122"/>
      <c r="F260" s="122"/>
      <c r="G260" s="122"/>
      <c r="H260" s="122"/>
      <c r="I260" s="122"/>
      <c r="J260" s="123"/>
    </row>
    <row r="261" spans="1:10" x14ac:dyDescent="0.3">
      <c r="A261" s="124" t="s">
        <v>85</v>
      </c>
      <c r="B261" s="74"/>
      <c r="C261" s="74"/>
      <c r="D261" s="74"/>
      <c r="E261" s="74"/>
      <c r="F261" s="74"/>
      <c r="G261" s="74"/>
      <c r="H261" s="74"/>
      <c r="I261" s="74"/>
      <c r="J261" s="75"/>
    </row>
    <row r="262" spans="1:10" x14ac:dyDescent="0.3">
      <c r="A262" s="124" t="s">
        <v>86</v>
      </c>
      <c r="B262" s="74"/>
      <c r="C262" s="74"/>
      <c r="D262" s="74"/>
      <c r="E262" s="74"/>
      <c r="F262" s="74"/>
      <c r="G262" s="74"/>
      <c r="H262" s="74"/>
      <c r="I262" s="74"/>
      <c r="J262" s="75"/>
    </row>
    <row r="263" spans="1:10" x14ac:dyDescent="0.3">
      <c r="A263" s="124" t="s">
        <v>87</v>
      </c>
      <c r="B263" s="74"/>
      <c r="C263" s="74"/>
      <c r="D263" s="74"/>
      <c r="E263" s="74"/>
      <c r="F263" s="74"/>
      <c r="G263" s="74"/>
      <c r="H263" s="74"/>
      <c r="I263" s="74"/>
      <c r="J263" s="75"/>
    </row>
    <row r="264" spans="1:10" x14ac:dyDescent="0.3">
      <c r="A264" s="73" t="s">
        <v>88</v>
      </c>
      <c r="B264" s="125"/>
      <c r="C264" s="125"/>
      <c r="D264" s="125"/>
      <c r="E264" s="125"/>
      <c r="F264" s="125"/>
      <c r="G264" s="125"/>
      <c r="H264" s="125"/>
      <c r="I264" s="125"/>
      <c r="J264" s="126"/>
    </row>
    <row r="265" spans="1:10" x14ac:dyDescent="0.3">
      <c r="A265" s="130" t="s">
        <v>128</v>
      </c>
      <c r="B265" s="130"/>
      <c r="C265" s="131" t="s">
        <v>257</v>
      </c>
      <c r="D265" s="131"/>
      <c r="E265" s="130" t="s">
        <v>129</v>
      </c>
      <c r="F265" s="130"/>
      <c r="G265" s="130"/>
      <c r="H265" s="130" t="s">
        <v>256</v>
      </c>
      <c r="I265" s="130"/>
      <c r="J265" s="130"/>
    </row>
    <row r="266" spans="1:10" s="39" customFormat="1" x14ac:dyDescent="0.3">
      <c r="A266" s="129" t="s">
        <v>130</v>
      </c>
      <c r="B266" s="129"/>
      <c r="C266" s="129"/>
      <c r="D266" s="129"/>
      <c r="E266" s="129"/>
      <c r="F266" s="129"/>
      <c r="G266" s="129"/>
      <c r="H266" s="129"/>
      <c r="I266" s="129"/>
      <c r="J266" s="129"/>
    </row>
    <row r="267" spans="1:10" s="39" customFormat="1" x14ac:dyDescent="0.3">
      <c r="A267" s="129"/>
      <c r="B267" s="129"/>
      <c r="C267" s="129"/>
      <c r="D267" s="129"/>
      <c r="E267" s="129"/>
      <c r="F267" s="129"/>
      <c r="G267" s="129"/>
      <c r="H267" s="129"/>
      <c r="I267" s="129"/>
      <c r="J267" s="129"/>
    </row>
    <row r="268" spans="1:10" s="39" customFormat="1" x14ac:dyDescent="0.3">
      <c r="A268" s="129"/>
      <c r="B268" s="129"/>
      <c r="C268" s="129"/>
      <c r="D268" s="129"/>
      <c r="E268" s="129"/>
      <c r="F268" s="129"/>
      <c r="G268" s="129"/>
      <c r="H268" s="129"/>
      <c r="I268" s="129"/>
      <c r="J268" s="129"/>
    </row>
    <row r="269" spans="1:10" s="39" customFormat="1" x14ac:dyDescent="0.3">
      <c r="A269" s="41" t="s">
        <v>89</v>
      </c>
      <c r="B269" s="42"/>
      <c r="C269" s="42"/>
      <c r="D269" s="41" t="str">
        <f>F8</f>
        <v>Khatri Sparsh</v>
      </c>
      <c r="E269" s="25"/>
      <c r="F269" s="25"/>
      <c r="G269" s="42"/>
      <c r="H269" s="42"/>
      <c r="I269" s="42"/>
      <c r="J269" s="42"/>
    </row>
    <row r="270" spans="1:10" s="39" customFormat="1" x14ac:dyDescent="0.3">
      <c r="A270" s="120"/>
      <c r="B270" s="120"/>
      <c r="C270" s="23"/>
      <c r="D270" s="120"/>
      <c r="E270" s="120"/>
      <c r="F270" s="23"/>
      <c r="G270" s="23"/>
      <c r="H270" s="23"/>
      <c r="I270" s="120"/>
      <c r="J270" s="120"/>
    </row>
    <row r="271" spans="1:10" s="39" customFormat="1" x14ac:dyDescent="0.3">
      <c r="A271" s="120"/>
      <c r="B271" s="120"/>
      <c r="C271" s="23"/>
      <c r="D271" s="120"/>
      <c r="E271" s="120"/>
      <c r="F271" s="23"/>
      <c r="G271" s="23"/>
      <c r="H271" s="23"/>
      <c r="I271" s="120"/>
      <c r="J271" s="120"/>
    </row>
    <row r="272" spans="1:10" ht="15" customHeight="1" x14ac:dyDescent="0.3">
      <c r="A272" s="120"/>
      <c r="B272" s="120"/>
      <c r="C272" s="23"/>
      <c r="D272" s="120"/>
      <c r="E272" s="120"/>
      <c r="F272" s="23"/>
      <c r="G272" s="23"/>
      <c r="H272" s="23"/>
      <c r="I272" s="120"/>
      <c r="J272" s="120"/>
    </row>
    <row r="273" spans="1:14" ht="15" customHeight="1" x14ac:dyDescent="0.3">
      <c r="A273" s="120"/>
      <c r="B273" s="120"/>
      <c r="C273" s="23"/>
      <c r="D273" s="120"/>
      <c r="E273" s="120"/>
      <c r="F273" s="23"/>
      <c r="G273" s="23"/>
      <c r="H273" s="23"/>
      <c r="I273" s="120"/>
      <c r="J273" s="120"/>
    </row>
    <row r="274" spans="1:14" x14ac:dyDescent="0.3">
      <c r="A274" s="120"/>
      <c r="B274" s="120"/>
      <c r="C274" s="23"/>
      <c r="D274" s="120"/>
      <c r="E274" s="120"/>
      <c r="F274" s="23"/>
      <c r="G274" s="23"/>
      <c r="H274" s="23"/>
      <c r="I274" s="120"/>
      <c r="J274" s="120"/>
      <c r="N274"/>
    </row>
    <row r="275" spans="1:14" x14ac:dyDescent="0.3">
      <c r="A275" s="120"/>
      <c r="B275" s="120"/>
      <c r="C275" s="23"/>
      <c r="D275" s="120"/>
      <c r="E275" s="120"/>
      <c r="F275" s="23"/>
      <c r="G275" s="23"/>
      <c r="H275" s="23"/>
      <c r="I275" s="120"/>
      <c r="J275" s="120"/>
    </row>
    <row r="276" spans="1:14" ht="15" customHeight="1" x14ac:dyDescent="0.3">
      <c r="A276" s="41"/>
      <c r="B276" s="42"/>
      <c r="C276" s="42"/>
      <c r="D276" s="42"/>
      <c r="E276" s="42"/>
      <c r="F276" s="42"/>
      <c r="G276" s="42"/>
      <c r="H276" s="42"/>
      <c r="I276" s="42"/>
      <c r="J276" s="42"/>
    </row>
    <row r="277" spans="1:14" x14ac:dyDescent="0.3">
      <c r="A277" s="41"/>
      <c r="B277" s="42"/>
      <c r="C277" s="42"/>
      <c r="D277" s="42"/>
      <c r="E277" s="42"/>
      <c r="F277" s="42"/>
      <c r="G277" s="42"/>
      <c r="H277" s="42"/>
      <c r="I277" s="42"/>
      <c r="J277" s="42"/>
    </row>
    <row r="278" spans="1:14" x14ac:dyDescent="0.3">
      <c r="A278" s="42"/>
      <c r="B278" s="42"/>
      <c r="C278" s="42"/>
      <c r="D278" s="42"/>
      <c r="E278" s="42"/>
      <c r="F278" s="42"/>
      <c r="G278" s="42"/>
      <c r="H278" s="42"/>
      <c r="I278" s="42"/>
      <c r="J278" s="42"/>
    </row>
    <row r="279" spans="1:14" x14ac:dyDescent="0.3">
      <c r="A279" s="42"/>
      <c r="B279" s="42"/>
      <c r="C279" s="42"/>
      <c r="D279" s="42"/>
      <c r="E279" s="42"/>
      <c r="F279" s="42"/>
      <c r="G279" s="42"/>
      <c r="H279" s="42"/>
      <c r="I279" s="42"/>
      <c r="J279" s="42"/>
    </row>
    <row r="314" spans="1:1" x14ac:dyDescent="0.3">
      <c r="A314" s="43" t="s">
        <v>217</v>
      </c>
    </row>
    <row r="353" spans="1:1" x14ac:dyDescent="0.3">
      <c r="A353" s="43" t="s">
        <v>90</v>
      </c>
    </row>
  </sheetData>
  <mergeCells count="573">
    <mergeCell ref="A78:B79"/>
    <mergeCell ref="C78:E79"/>
    <mergeCell ref="F78:G79"/>
    <mergeCell ref="H78:J79"/>
    <mergeCell ref="K10:O10"/>
    <mergeCell ref="A54:C54"/>
    <mergeCell ref="D54:E54"/>
    <mergeCell ref="H52:J52"/>
    <mergeCell ref="A60:J60"/>
    <mergeCell ref="F54:G54"/>
    <mergeCell ref="C51:F51"/>
    <mergeCell ref="A45:J45"/>
    <mergeCell ref="H48:J48"/>
    <mergeCell ref="A36:E36"/>
    <mergeCell ref="F36:J36"/>
    <mergeCell ref="A31:J31"/>
    <mergeCell ref="A30:B30"/>
    <mergeCell ref="C30:D30"/>
    <mergeCell ref="E30:F30"/>
    <mergeCell ref="G30:H30"/>
    <mergeCell ref="I30:J30"/>
    <mergeCell ref="A32:J32"/>
    <mergeCell ref="A33:B33"/>
    <mergeCell ref="A35:J35"/>
    <mergeCell ref="A129:F129"/>
    <mergeCell ref="G129:J129"/>
    <mergeCell ref="A128:F128"/>
    <mergeCell ref="G128:J128"/>
    <mergeCell ref="A55:J55"/>
    <mergeCell ref="A56:C56"/>
    <mergeCell ref="D56:E56"/>
    <mergeCell ref="F56:G56"/>
    <mergeCell ref="H56:J56"/>
    <mergeCell ref="A57:B57"/>
    <mergeCell ref="A59:C59"/>
    <mergeCell ref="D59:J59"/>
    <mergeCell ref="A126:J126"/>
    <mergeCell ref="A127:F127"/>
    <mergeCell ref="G127:J127"/>
    <mergeCell ref="A124:J124"/>
    <mergeCell ref="A125:B125"/>
    <mergeCell ref="C125:J125"/>
    <mergeCell ref="A61:J61"/>
    <mergeCell ref="A75:J75"/>
    <mergeCell ref="A76:B76"/>
    <mergeCell ref="D76:E76"/>
    <mergeCell ref="A65:B65"/>
    <mergeCell ref="D65:E65"/>
    <mergeCell ref="A37:E37"/>
    <mergeCell ref="H51:J51"/>
    <mergeCell ref="C53:F53"/>
    <mergeCell ref="H53:J53"/>
    <mergeCell ref="A51:B53"/>
    <mergeCell ref="A17:B17"/>
    <mergeCell ref="C17:E17"/>
    <mergeCell ref="F17:G17"/>
    <mergeCell ref="H17:J17"/>
    <mergeCell ref="A28:B28"/>
    <mergeCell ref="C28:D28"/>
    <mergeCell ref="E28:F28"/>
    <mergeCell ref="G28:H28"/>
    <mergeCell ref="I28:J28"/>
    <mergeCell ref="A29:B29"/>
    <mergeCell ref="C29:D29"/>
    <mergeCell ref="E29:F29"/>
    <mergeCell ref="G29:H29"/>
    <mergeCell ref="I29:J29"/>
    <mergeCell ref="A40:E40"/>
    <mergeCell ref="F40:J40"/>
    <mergeCell ref="F37:J37"/>
    <mergeCell ref="A34:B34"/>
    <mergeCell ref="C34:J34"/>
    <mergeCell ref="C33:J33"/>
    <mergeCell ref="A38:J38"/>
    <mergeCell ref="A1:J1"/>
    <mergeCell ref="A2:J2"/>
    <mergeCell ref="A3:E3"/>
    <mergeCell ref="F3:J3"/>
    <mergeCell ref="A4:E4"/>
    <mergeCell ref="A8:E8"/>
    <mergeCell ref="F8:J8"/>
    <mergeCell ref="A9:E9"/>
    <mergeCell ref="F9:J9"/>
    <mergeCell ref="F4:J4"/>
    <mergeCell ref="A11:E11"/>
    <mergeCell ref="F11:J11"/>
    <mergeCell ref="A5:E5"/>
    <mergeCell ref="F5:J5"/>
    <mergeCell ref="A6:E6"/>
    <mergeCell ref="F6:J6"/>
    <mergeCell ref="A7:E7"/>
    <mergeCell ref="F7:J7"/>
    <mergeCell ref="A15:B15"/>
    <mergeCell ref="A12:E12"/>
    <mergeCell ref="F12:J12"/>
    <mergeCell ref="A13:E13"/>
    <mergeCell ref="F13:J13"/>
    <mergeCell ref="A14:B14"/>
    <mergeCell ref="C14:J14"/>
    <mergeCell ref="C15:J15"/>
    <mergeCell ref="A10:E10"/>
    <mergeCell ref="F10:J10"/>
    <mergeCell ref="A16:B16"/>
    <mergeCell ref="C16:E16"/>
    <mergeCell ref="F16:G16"/>
    <mergeCell ref="H16:J16"/>
    <mergeCell ref="A25:E25"/>
    <mergeCell ref="A26:E26"/>
    <mergeCell ref="F26:J26"/>
    <mergeCell ref="F25:J25"/>
    <mergeCell ref="A27:E27"/>
    <mergeCell ref="F27:J27"/>
    <mergeCell ref="A24:E24"/>
    <mergeCell ref="F24:J24"/>
    <mergeCell ref="A18:B18"/>
    <mergeCell ref="C18:E18"/>
    <mergeCell ref="F18:G18"/>
    <mergeCell ref="H18:J18"/>
    <mergeCell ref="A19:B19"/>
    <mergeCell ref="C19:E19"/>
    <mergeCell ref="F19:G19"/>
    <mergeCell ref="H19:J19"/>
    <mergeCell ref="A20:E21"/>
    <mergeCell ref="F20:J21"/>
    <mergeCell ref="A22:E23"/>
    <mergeCell ref="F22:J23"/>
    <mergeCell ref="H54:J54"/>
    <mergeCell ref="A39:E39"/>
    <mergeCell ref="F39:J39"/>
    <mergeCell ref="H46:J46"/>
    <mergeCell ref="H47:J47"/>
    <mergeCell ref="A47:B47"/>
    <mergeCell ref="C47:F47"/>
    <mergeCell ref="C48:F48"/>
    <mergeCell ref="A46:B46"/>
    <mergeCell ref="C46:F46"/>
    <mergeCell ref="A41:E41"/>
    <mergeCell ref="F41:J41"/>
    <mergeCell ref="A42:E42"/>
    <mergeCell ref="F42:J42"/>
    <mergeCell ref="A43:E43"/>
    <mergeCell ref="F43:J43"/>
    <mergeCell ref="A44:E44"/>
    <mergeCell ref="F44:J44"/>
    <mergeCell ref="C49:J49"/>
    <mergeCell ref="A48:B49"/>
    <mergeCell ref="C52:F52"/>
    <mergeCell ref="A136:B136"/>
    <mergeCell ref="D136:F136"/>
    <mergeCell ref="G136:J136"/>
    <mergeCell ref="F64:G64"/>
    <mergeCell ref="A123:J123"/>
    <mergeCell ref="D71:E71"/>
    <mergeCell ref="A70:B70"/>
    <mergeCell ref="D70:E70"/>
    <mergeCell ref="A62:B62"/>
    <mergeCell ref="D62:E62"/>
    <mergeCell ref="F62:G62"/>
    <mergeCell ref="I62:J62"/>
    <mergeCell ref="A63:B63"/>
    <mergeCell ref="C63:J63"/>
    <mergeCell ref="A64:B64"/>
    <mergeCell ref="D64:E64"/>
    <mergeCell ref="H64:J64"/>
    <mergeCell ref="A71:B71"/>
    <mergeCell ref="A72:B72"/>
    <mergeCell ref="D72:E72"/>
    <mergeCell ref="A73:B73"/>
    <mergeCell ref="D73:E73"/>
    <mergeCell ref="A74:B74"/>
    <mergeCell ref="D74:E74"/>
    <mergeCell ref="A137:B137"/>
    <mergeCell ref="A143:J143"/>
    <mergeCell ref="A141:B142"/>
    <mergeCell ref="C141:C142"/>
    <mergeCell ref="D141:E142"/>
    <mergeCell ref="F141:F142"/>
    <mergeCell ref="H141:H142"/>
    <mergeCell ref="I141:J142"/>
    <mergeCell ref="A130:F130"/>
    <mergeCell ref="G130:J130"/>
    <mergeCell ref="A131:F131"/>
    <mergeCell ref="G131:J131"/>
    <mergeCell ref="A135:B135"/>
    <mergeCell ref="D135:F135"/>
    <mergeCell ref="G135:J135"/>
    <mergeCell ref="D137:F137"/>
    <mergeCell ref="G137:J137"/>
    <mergeCell ref="A132:J132"/>
    <mergeCell ref="A134:B134"/>
    <mergeCell ref="A133:B133"/>
    <mergeCell ref="D133:F133"/>
    <mergeCell ref="G133:J133"/>
    <mergeCell ref="D134:F134"/>
    <mergeCell ref="G134:J134"/>
    <mergeCell ref="A144:J144"/>
    <mergeCell ref="A145:J145"/>
    <mergeCell ref="A138:B138"/>
    <mergeCell ref="D138:F138"/>
    <mergeCell ref="G138:J138"/>
    <mergeCell ref="A139:J139"/>
    <mergeCell ref="A140:J140"/>
    <mergeCell ref="A146:B146"/>
    <mergeCell ref="D146:E146"/>
    <mergeCell ref="A151:B151"/>
    <mergeCell ref="D151:E151"/>
    <mergeCell ref="A150:B150"/>
    <mergeCell ref="D150:E150"/>
    <mergeCell ref="A148:B148"/>
    <mergeCell ref="D148:E148"/>
    <mergeCell ref="A149:B149"/>
    <mergeCell ref="D149:E149"/>
    <mergeCell ref="A147:B147"/>
    <mergeCell ref="D147:E147"/>
    <mergeCell ref="D188:E188"/>
    <mergeCell ref="A189:B189"/>
    <mergeCell ref="D189:E189"/>
    <mergeCell ref="D174:E174"/>
    <mergeCell ref="A171:B171"/>
    <mergeCell ref="D171:E171"/>
    <mergeCell ref="A172:B172"/>
    <mergeCell ref="D172:E172"/>
    <mergeCell ref="A152:B152"/>
    <mergeCell ref="D152:E152"/>
    <mergeCell ref="A170:B170"/>
    <mergeCell ref="D170:E170"/>
    <mergeCell ref="A167:J167"/>
    <mergeCell ref="A168:J168"/>
    <mergeCell ref="A169:J169"/>
    <mergeCell ref="A165:B165"/>
    <mergeCell ref="D165:E165"/>
    <mergeCell ref="A153:B153"/>
    <mergeCell ref="D153:E153"/>
    <mergeCell ref="A154:B154"/>
    <mergeCell ref="D154:E154"/>
    <mergeCell ref="A155:B155"/>
    <mergeCell ref="D155:E155"/>
    <mergeCell ref="I146:J155"/>
    <mergeCell ref="A196:J196"/>
    <mergeCell ref="A197:J197"/>
    <mergeCell ref="A194:B194"/>
    <mergeCell ref="D194:E194"/>
    <mergeCell ref="A195:B195"/>
    <mergeCell ref="D195:E195"/>
    <mergeCell ref="A173:B173"/>
    <mergeCell ref="D173:E173"/>
    <mergeCell ref="A174:B174"/>
    <mergeCell ref="A187:J187"/>
    <mergeCell ref="A177:B177"/>
    <mergeCell ref="D177:E177"/>
    <mergeCell ref="A175:B175"/>
    <mergeCell ref="D175:E175"/>
    <mergeCell ref="A176:B176"/>
    <mergeCell ref="D176:E176"/>
    <mergeCell ref="A192:B192"/>
    <mergeCell ref="D192:E192"/>
    <mergeCell ref="A193:B193"/>
    <mergeCell ref="D193:E193"/>
    <mergeCell ref="A190:B190"/>
    <mergeCell ref="D190:E190"/>
    <mergeCell ref="A191:B191"/>
    <mergeCell ref="A188:B188"/>
    <mergeCell ref="A201:B201"/>
    <mergeCell ref="D201:E201"/>
    <mergeCell ref="A202:B202"/>
    <mergeCell ref="D202:E202"/>
    <mergeCell ref="A209:B209"/>
    <mergeCell ref="A199:B199"/>
    <mergeCell ref="D199:E199"/>
    <mergeCell ref="A200:B200"/>
    <mergeCell ref="A198:B198"/>
    <mergeCell ref="D198:E198"/>
    <mergeCell ref="A204:J204"/>
    <mergeCell ref="A207:B207"/>
    <mergeCell ref="D207:E207"/>
    <mergeCell ref="A208:B208"/>
    <mergeCell ref="D208:E208"/>
    <mergeCell ref="A205:B205"/>
    <mergeCell ref="D205:E205"/>
    <mergeCell ref="A206:B206"/>
    <mergeCell ref="D206:E206"/>
    <mergeCell ref="I205:J214"/>
    <mergeCell ref="D209:E209"/>
    <mergeCell ref="A210:B210"/>
    <mergeCell ref="D210:E210"/>
    <mergeCell ref="D211:E211"/>
    <mergeCell ref="A212:B212"/>
    <mergeCell ref="D212:E212"/>
    <mergeCell ref="A216:B216"/>
    <mergeCell ref="D216:E216"/>
    <mergeCell ref="A214:B214"/>
    <mergeCell ref="D214:E214"/>
    <mergeCell ref="A217:B217"/>
    <mergeCell ref="D217:E217"/>
    <mergeCell ref="A247:B247"/>
    <mergeCell ref="D247:E247"/>
    <mergeCell ref="D242:E242"/>
    <mergeCell ref="A243:B243"/>
    <mergeCell ref="A213:B213"/>
    <mergeCell ref="D213:E213"/>
    <mergeCell ref="A215:J215"/>
    <mergeCell ref="I228:J233"/>
    <mergeCell ref="C232:H232"/>
    <mergeCell ref="D229:E229"/>
    <mergeCell ref="A225:B225"/>
    <mergeCell ref="I216:J225"/>
    <mergeCell ref="D220:E220"/>
    <mergeCell ref="A218:B218"/>
    <mergeCell ref="D218:E218"/>
    <mergeCell ref="D225:E225"/>
    <mergeCell ref="D222:E222"/>
    <mergeCell ref="A241:B241"/>
    <mergeCell ref="A238:B238"/>
    <mergeCell ref="D241:E241"/>
    <mergeCell ref="A221:B221"/>
    <mergeCell ref="D221:E221"/>
    <mergeCell ref="A222:B222"/>
    <mergeCell ref="A219:B219"/>
    <mergeCell ref="D219:E219"/>
    <mergeCell ref="A220:B220"/>
    <mergeCell ref="A226:J226"/>
    <mergeCell ref="A227:J227"/>
    <mergeCell ref="A223:B223"/>
    <mergeCell ref="D223:E223"/>
    <mergeCell ref="A224:B224"/>
    <mergeCell ref="D224:E224"/>
    <mergeCell ref="I270:J270"/>
    <mergeCell ref="D270:E270"/>
    <mergeCell ref="A270:B270"/>
    <mergeCell ref="A260:J260"/>
    <mergeCell ref="A261:J261"/>
    <mergeCell ref="A262:J262"/>
    <mergeCell ref="A263:J263"/>
    <mergeCell ref="A264:J264"/>
    <mergeCell ref="A253:B253"/>
    <mergeCell ref="D253:E253"/>
    <mergeCell ref="A254:B254"/>
    <mergeCell ref="D254:E254"/>
    <mergeCell ref="A256:J256"/>
    <mergeCell ref="A257:J257"/>
    <mergeCell ref="A258:J258"/>
    <mergeCell ref="A259:J259"/>
    <mergeCell ref="A266:J268"/>
    <mergeCell ref="A265:B265"/>
    <mergeCell ref="E265:G265"/>
    <mergeCell ref="C265:D265"/>
    <mergeCell ref="H265:J265"/>
    <mergeCell ref="I275:J275"/>
    <mergeCell ref="A272:B272"/>
    <mergeCell ref="D272:E272"/>
    <mergeCell ref="D273:E273"/>
    <mergeCell ref="I273:J273"/>
    <mergeCell ref="A271:B271"/>
    <mergeCell ref="D271:E271"/>
    <mergeCell ref="I271:J271"/>
    <mergeCell ref="A274:B274"/>
    <mergeCell ref="D274:E274"/>
    <mergeCell ref="I274:J274"/>
    <mergeCell ref="A275:B275"/>
    <mergeCell ref="D275:E275"/>
    <mergeCell ref="I272:J272"/>
    <mergeCell ref="A273:B273"/>
    <mergeCell ref="D249:E249"/>
    <mergeCell ref="A250:B250"/>
    <mergeCell ref="A242:B242"/>
    <mergeCell ref="A255:B255"/>
    <mergeCell ref="D255:E255"/>
    <mergeCell ref="A244:B244"/>
    <mergeCell ref="D244:E244"/>
    <mergeCell ref="D243:E243"/>
    <mergeCell ref="A246:B246"/>
    <mergeCell ref="D246:E246"/>
    <mergeCell ref="A245:J245"/>
    <mergeCell ref="A249:B249"/>
    <mergeCell ref="D248:E248"/>
    <mergeCell ref="I246:J255"/>
    <mergeCell ref="A251:B251"/>
    <mergeCell ref="D251:E251"/>
    <mergeCell ref="A252:B252"/>
    <mergeCell ref="D252:E252"/>
    <mergeCell ref="D250:E250"/>
    <mergeCell ref="I235:J244"/>
    <mergeCell ref="A248:B248"/>
    <mergeCell ref="F65:G74"/>
    <mergeCell ref="H65:J74"/>
    <mergeCell ref="A66:B66"/>
    <mergeCell ref="D66:E66"/>
    <mergeCell ref="A67:B67"/>
    <mergeCell ref="D67:E67"/>
    <mergeCell ref="A68:B68"/>
    <mergeCell ref="D68:E68"/>
    <mergeCell ref="A69:B69"/>
    <mergeCell ref="F76:G76"/>
    <mergeCell ref="I76:J76"/>
    <mergeCell ref="A77:B77"/>
    <mergeCell ref="C77:J77"/>
    <mergeCell ref="A80:B80"/>
    <mergeCell ref="D69:E69"/>
    <mergeCell ref="A86:B86"/>
    <mergeCell ref="D80:E80"/>
    <mergeCell ref="F80:G80"/>
    <mergeCell ref="H80:J80"/>
    <mergeCell ref="A81:B81"/>
    <mergeCell ref="D81:E81"/>
    <mergeCell ref="F81:G90"/>
    <mergeCell ref="H81:J90"/>
    <mergeCell ref="A82:B82"/>
    <mergeCell ref="D82:E82"/>
    <mergeCell ref="A83:B83"/>
    <mergeCell ref="D83:E83"/>
    <mergeCell ref="A84:B84"/>
    <mergeCell ref="D84:E84"/>
    <mergeCell ref="A85:B85"/>
    <mergeCell ref="D85:E85"/>
    <mergeCell ref="D86:E86"/>
    <mergeCell ref="A87:B87"/>
    <mergeCell ref="D87:E87"/>
    <mergeCell ref="D105:E105"/>
    <mergeCell ref="A88:B88"/>
    <mergeCell ref="D88:E88"/>
    <mergeCell ref="A89:B89"/>
    <mergeCell ref="D89:E89"/>
    <mergeCell ref="A90:B90"/>
    <mergeCell ref="D90:E90"/>
    <mergeCell ref="A91:J91"/>
    <mergeCell ref="A92:B92"/>
    <mergeCell ref="D92:E92"/>
    <mergeCell ref="F92:G92"/>
    <mergeCell ref="I92:J92"/>
    <mergeCell ref="A94:B95"/>
    <mergeCell ref="C94:E95"/>
    <mergeCell ref="F94:G95"/>
    <mergeCell ref="H94:J95"/>
    <mergeCell ref="F110:G111"/>
    <mergeCell ref="H110:J111"/>
    <mergeCell ref="A93:B93"/>
    <mergeCell ref="C93:J93"/>
    <mergeCell ref="H97:J106"/>
    <mergeCell ref="A98:B98"/>
    <mergeCell ref="D98:E98"/>
    <mergeCell ref="A99:B99"/>
    <mergeCell ref="D99:E99"/>
    <mergeCell ref="A100:B100"/>
    <mergeCell ref="D100:E100"/>
    <mergeCell ref="A101:B101"/>
    <mergeCell ref="D101:E101"/>
    <mergeCell ref="A102:B102"/>
    <mergeCell ref="D102:E102"/>
    <mergeCell ref="A103:B103"/>
    <mergeCell ref="D103:E103"/>
    <mergeCell ref="A104:B104"/>
    <mergeCell ref="D104:E104"/>
    <mergeCell ref="A105:B105"/>
    <mergeCell ref="D106:E106"/>
    <mergeCell ref="I170:J177"/>
    <mergeCell ref="A233:B233"/>
    <mergeCell ref="D233:E233"/>
    <mergeCell ref="A230:B230"/>
    <mergeCell ref="D230:E230"/>
    <mergeCell ref="A231:B231"/>
    <mergeCell ref="D231:E231"/>
    <mergeCell ref="A240:B240"/>
    <mergeCell ref="D235:E235"/>
    <mergeCell ref="A234:J234"/>
    <mergeCell ref="A228:B228"/>
    <mergeCell ref="D228:E228"/>
    <mergeCell ref="A229:B229"/>
    <mergeCell ref="A235:B235"/>
    <mergeCell ref="A232:B232"/>
    <mergeCell ref="D238:E238"/>
    <mergeCell ref="D240:E240"/>
    <mergeCell ref="A237:B237"/>
    <mergeCell ref="D237:E237"/>
    <mergeCell ref="A239:B239"/>
    <mergeCell ref="D239:E239"/>
    <mergeCell ref="A236:B236"/>
    <mergeCell ref="D236:E236"/>
    <mergeCell ref="A211:B211"/>
    <mergeCell ref="A121:B121"/>
    <mergeCell ref="D121:E121"/>
    <mergeCell ref="A96:B96"/>
    <mergeCell ref="D96:E96"/>
    <mergeCell ref="F96:G96"/>
    <mergeCell ref="H96:J96"/>
    <mergeCell ref="A97:B97"/>
    <mergeCell ref="D97:E97"/>
    <mergeCell ref="F97:G106"/>
    <mergeCell ref="A113:B113"/>
    <mergeCell ref="D113:E113"/>
    <mergeCell ref="F113:G122"/>
    <mergeCell ref="H113:J122"/>
    <mergeCell ref="D112:E112"/>
    <mergeCell ref="F112:G112"/>
    <mergeCell ref="A110:B111"/>
    <mergeCell ref="D118:E118"/>
    <mergeCell ref="A119:B119"/>
    <mergeCell ref="D119:E119"/>
    <mergeCell ref="A120:B120"/>
    <mergeCell ref="D120:E120"/>
    <mergeCell ref="A107:J107"/>
    <mergeCell ref="A108:B108"/>
    <mergeCell ref="C110:E111"/>
    <mergeCell ref="C57:J57"/>
    <mergeCell ref="A58:B58"/>
    <mergeCell ref="C58:J58"/>
    <mergeCell ref="A122:B122"/>
    <mergeCell ref="D122:E122"/>
    <mergeCell ref="A116:B116"/>
    <mergeCell ref="D116:E116"/>
    <mergeCell ref="C160:H160"/>
    <mergeCell ref="A114:B114"/>
    <mergeCell ref="D114:E114"/>
    <mergeCell ref="A115:B115"/>
    <mergeCell ref="D115:E115"/>
    <mergeCell ref="A109:B109"/>
    <mergeCell ref="C109:J109"/>
    <mergeCell ref="A112:B112"/>
    <mergeCell ref="A106:B106"/>
    <mergeCell ref="A156:J156"/>
    <mergeCell ref="D108:E108"/>
    <mergeCell ref="F108:G108"/>
    <mergeCell ref="I108:J108"/>
    <mergeCell ref="H112:J112"/>
    <mergeCell ref="A117:B117"/>
    <mergeCell ref="D117:E117"/>
    <mergeCell ref="A118:B118"/>
    <mergeCell ref="D161:E161"/>
    <mergeCell ref="A162:B162"/>
    <mergeCell ref="D162:E162"/>
    <mergeCell ref="A163:B163"/>
    <mergeCell ref="D163:E163"/>
    <mergeCell ref="A164:B164"/>
    <mergeCell ref="D164:E164"/>
    <mergeCell ref="A166:B166"/>
    <mergeCell ref="D166:E166"/>
    <mergeCell ref="L147:M147"/>
    <mergeCell ref="N143:O143"/>
    <mergeCell ref="A50:B50"/>
    <mergeCell ref="C50:F50"/>
    <mergeCell ref="H50:J50"/>
    <mergeCell ref="I188:J195"/>
    <mergeCell ref="C191:H191"/>
    <mergeCell ref="A203:B203"/>
    <mergeCell ref="D203:E203"/>
    <mergeCell ref="I198:J203"/>
    <mergeCell ref="C200:H200"/>
    <mergeCell ref="A157:B157"/>
    <mergeCell ref="D157:E157"/>
    <mergeCell ref="I157:J166"/>
    <mergeCell ref="A158:B158"/>
    <mergeCell ref="D158:E158"/>
    <mergeCell ref="A159:B159"/>
    <mergeCell ref="D159:E159"/>
    <mergeCell ref="A160:B160"/>
    <mergeCell ref="A161:B161"/>
    <mergeCell ref="A178:J178"/>
    <mergeCell ref="A179:B179"/>
    <mergeCell ref="D179:E179"/>
    <mergeCell ref="I179:J186"/>
    <mergeCell ref="A185:B185"/>
    <mergeCell ref="D185:E185"/>
    <mergeCell ref="A186:B186"/>
    <mergeCell ref="D186:E186"/>
    <mergeCell ref="A180:B180"/>
    <mergeCell ref="D180:E180"/>
    <mergeCell ref="A181:B181"/>
    <mergeCell ref="D181:E181"/>
    <mergeCell ref="A182:B182"/>
    <mergeCell ref="D182:E182"/>
    <mergeCell ref="A183:B183"/>
    <mergeCell ref="D183:E183"/>
    <mergeCell ref="A184:B184"/>
    <mergeCell ref="D184:E184"/>
  </mergeCells>
  <dataValidations disablePrompts="1" count="1">
    <dataValidation type="list" allowBlank="1" showInputMessage="1" showErrorMessage="1" sqref="G142" xr:uid="{00000000-0002-0000-0000-000000000000}">
      <formula1>".45,.50,.55,.60"</formula1>
    </dataValidation>
  </dataValidations>
  <hyperlinks>
    <hyperlink ref="C34" r:id="rId1" xr:uid="{00000000-0004-0000-0000-000000000000}"/>
    <hyperlink ref="K125" r:id="rId2" xr:uid="{00000000-0004-0000-0000-000001000000}"/>
  </hyperlinks>
  <pageMargins left="0.35433070866141736" right="0.39370078740157483" top="0.9055118110236221" bottom="0.78740157480314965" header="0.19685039370078741" footer="0.19685039370078741"/>
  <pageSetup paperSize="2" scale="91" fitToHeight="0" orientation="portrait" r:id="rId3"/>
  <headerFooter>
    <oddHeader>&amp;C&amp;G</oddHeader>
    <oddFooter>&amp;L&amp;"Times New Roman,Bold"&amp;12Ref No: &amp;F&amp;C&amp;G&amp;R&amp;"Times New Roman,Bold"&amp;12&amp;P</oddFooter>
  </headerFooter>
  <rowBreaks count="4" manualBreakCount="4">
    <brk id="74" max="16383" man="1"/>
    <brk id="268" max="9" man="1"/>
    <brk id="313" max="9" man="1"/>
    <brk id="352" max="9" man="1"/>
  </rowBreaks>
  <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C51"/>
  <sheetViews>
    <sheetView topLeftCell="A40" workbookViewId="0">
      <selection activeCell="B59" sqref="B59"/>
    </sheetView>
  </sheetViews>
  <sheetFormatPr defaultColWidth="9.21875" defaultRowHeight="13.8" x14ac:dyDescent="0.25"/>
  <cols>
    <col min="1" max="1" width="10.21875" style="6" customWidth="1"/>
    <col min="2" max="2" width="14" style="6" customWidth="1"/>
    <col min="3" max="3" width="12.21875" style="6" customWidth="1"/>
    <col min="4" max="16384" width="9.21875" style="6"/>
  </cols>
  <sheetData>
    <row r="1" spans="1:3" x14ac:dyDescent="0.25">
      <c r="A1" s="7" t="s">
        <v>131</v>
      </c>
      <c r="B1" s="7" t="s">
        <v>133</v>
      </c>
      <c r="C1" s="7" t="s">
        <v>76</v>
      </c>
    </row>
    <row r="3" spans="1:3" x14ac:dyDescent="0.25">
      <c r="A3" s="6" t="s">
        <v>152</v>
      </c>
      <c r="B3" s="6" t="s">
        <v>155</v>
      </c>
      <c r="C3" s="6" t="s">
        <v>156</v>
      </c>
    </row>
    <row r="5" spans="1:3" x14ac:dyDescent="0.25">
      <c r="C5" s="6" t="s">
        <v>157</v>
      </c>
    </row>
    <row r="7" spans="1:3" x14ac:dyDescent="0.25">
      <c r="A7" s="6" t="s">
        <v>170</v>
      </c>
      <c r="B7" s="6" t="s">
        <v>171</v>
      </c>
      <c r="C7" s="6" t="s">
        <v>172</v>
      </c>
    </row>
    <row r="27" spans="1:3" x14ac:dyDescent="0.25">
      <c r="A27" s="19">
        <v>44375</v>
      </c>
      <c r="B27" s="6" t="s">
        <v>171</v>
      </c>
      <c r="C27" s="6" t="s">
        <v>172</v>
      </c>
    </row>
    <row r="39" spans="1:3" x14ac:dyDescent="0.25">
      <c r="A39" s="19">
        <v>44495</v>
      </c>
      <c r="B39" s="6" t="s">
        <v>171</v>
      </c>
      <c r="C39" s="6" t="s">
        <v>194</v>
      </c>
    </row>
    <row r="51" spans="2:2" x14ac:dyDescent="0.25">
      <c r="B51" s="6" t="s">
        <v>251</v>
      </c>
    </row>
  </sheetData>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2:L36"/>
  <sheetViews>
    <sheetView topLeftCell="A19" workbookViewId="0">
      <selection activeCell="C27" sqref="C27"/>
    </sheetView>
  </sheetViews>
  <sheetFormatPr defaultRowHeight="14.4" x14ac:dyDescent="0.3"/>
  <cols>
    <col min="2" max="2" width="12.21875" customWidth="1"/>
  </cols>
  <sheetData>
    <row r="2" spans="1:12" x14ac:dyDescent="0.3">
      <c r="B2" s="1" t="s">
        <v>92</v>
      </c>
      <c r="C2" s="248"/>
      <c r="D2" s="248"/>
    </row>
    <row r="3" spans="1:12" x14ac:dyDescent="0.3">
      <c r="D3" s="2"/>
      <c r="E3" s="2"/>
      <c r="F3" s="2"/>
      <c r="G3" s="2"/>
      <c r="H3" s="2"/>
      <c r="I3" s="2"/>
    </row>
    <row r="4" spans="1:12" x14ac:dyDescent="0.3">
      <c r="A4" s="1" t="s">
        <v>93</v>
      </c>
      <c r="B4" s="3" t="s">
        <v>94</v>
      </c>
      <c r="C4" s="249" t="s">
        <v>95</v>
      </c>
      <c r="D4" s="249"/>
      <c r="E4" s="249"/>
      <c r="F4" s="4"/>
      <c r="G4" s="249" t="s">
        <v>96</v>
      </c>
      <c r="H4" s="249"/>
      <c r="I4" s="249"/>
      <c r="J4" s="249" t="s">
        <v>97</v>
      </c>
      <c r="K4" s="249"/>
      <c r="L4" s="249"/>
    </row>
    <row r="5" spans="1:12" x14ac:dyDescent="0.3">
      <c r="A5" s="1">
        <v>1</v>
      </c>
      <c r="B5" s="3"/>
      <c r="C5" s="3" t="s">
        <v>98</v>
      </c>
      <c r="D5" s="3" t="s">
        <v>99</v>
      </c>
      <c r="E5" s="3" t="s">
        <v>72</v>
      </c>
      <c r="F5" s="3"/>
      <c r="G5" s="3" t="s">
        <v>98</v>
      </c>
      <c r="H5" s="3" t="s">
        <v>99</v>
      </c>
      <c r="I5" s="3" t="s">
        <v>72</v>
      </c>
      <c r="J5" s="3" t="s">
        <v>98</v>
      </c>
      <c r="K5" s="3" t="s">
        <v>99</v>
      </c>
      <c r="L5" s="3" t="s">
        <v>72</v>
      </c>
    </row>
    <row r="6" spans="1:12" x14ac:dyDescent="0.3">
      <c r="B6" s="5" t="s">
        <v>100</v>
      </c>
      <c r="C6" s="5">
        <v>2.75</v>
      </c>
      <c r="D6" s="5">
        <v>4.75</v>
      </c>
      <c r="E6" s="5">
        <f>C6*D6</f>
        <v>13.0625</v>
      </c>
      <c r="F6" s="5" t="s">
        <v>101</v>
      </c>
      <c r="G6" s="5"/>
      <c r="H6" s="5"/>
      <c r="I6" s="5">
        <f>G6*H6</f>
        <v>0</v>
      </c>
      <c r="J6" s="5"/>
      <c r="K6" s="5"/>
      <c r="L6" s="5">
        <f>J6*K6</f>
        <v>0</v>
      </c>
    </row>
    <row r="7" spans="1:12" x14ac:dyDescent="0.3">
      <c r="B7" s="5"/>
      <c r="C7" s="5"/>
      <c r="D7" s="5"/>
      <c r="E7" s="5">
        <f t="shared" ref="E7:E33" si="0">C7*D7</f>
        <v>0</v>
      </c>
      <c r="F7" s="5" t="s">
        <v>102</v>
      </c>
      <c r="G7" s="5"/>
      <c r="H7" s="5"/>
      <c r="I7" s="5">
        <f t="shared" ref="I7:I29" si="1">G7*H7</f>
        <v>0</v>
      </c>
      <c r="J7" s="5"/>
      <c r="K7" s="5"/>
      <c r="L7" s="5">
        <f t="shared" ref="L7:L29" si="2">J7*K7</f>
        <v>0</v>
      </c>
    </row>
    <row r="8" spans="1:12" x14ac:dyDescent="0.3">
      <c r="B8" s="5"/>
      <c r="C8" s="5"/>
      <c r="D8" s="5"/>
      <c r="E8" s="5">
        <f t="shared" si="0"/>
        <v>0</v>
      </c>
      <c r="F8" s="5"/>
      <c r="G8" s="5"/>
      <c r="H8" s="5"/>
      <c r="I8" s="5">
        <f t="shared" si="1"/>
        <v>0</v>
      </c>
      <c r="J8" s="5"/>
      <c r="K8" s="5"/>
      <c r="L8" s="5">
        <f t="shared" si="2"/>
        <v>0</v>
      </c>
    </row>
    <row r="9" spans="1:12" x14ac:dyDescent="0.3">
      <c r="B9" s="5" t="s">
        <v>103</v>
      </c>
      <c r="C9" s="5">
        <v>2.25</v>
      </c>
      <c r="D9" s="5">
        <v>1.9</v>
      </c>
      <c r="E9" s="5">
        <f t="shared" si="0"/>
        <v>4.2749999999999995</v>
      </c>
      <c r="F9" s="5" t="s">
        <v>101</v>
      </c>
      <c r="G9" s="5"/>
      <c r="H9" s="5"/>
      <c r="I9" s="5">
        <f t="shared" si="1"/>
        <v>0</v>
      </c>
      <c r="J9" s="5"/>
      <c r="K9" s="5"/>
      <c r="L9" s="5">
        <f t="shared" si="2"/>
        <v>0</v>
      </c>
    </row>
    <row r="10" spans="1:12" x14ac:dyDescent="0.3">
      <c r="B10" s="5"/>
      <c r="C10" s="5"/>
      <c r="D10" s="5"/>
      <c r="E10" s="5">
        <f t="shared" si="0"/>
        <v>0</v>
      </c>
      <c r="F10" s="5" t="s">
        <v>102</v>
      </c>
      <c r="G10" s="5"/>
      <c r="H10" s="5"/>
      <c r="I10" s="5">
        <f t="shared" si="1"/>
        <v>0</v>
      </c>
      <c r="J10" s="5"/>
      <c r="K10" s="5"/>
      <c r="L10" s="5">
        <f t="shared" si="2"/>
        <v>0</v>
      </c>
    </row>
    <row r="11" spans="1:12" x14ac:dyDescent="0.3">
      <c r="B11" s="5"/>
      <c r="C11" s="5"/>
      <c r="D11" s="5"/>
      <c r="E11" s="5">
        <f t="shared" si="0"/>
        <v>0</v>
      </c>
      <c r="F11" s="5"/>
      <c r="G11" s="5"/>
      <c r="H11" s="5"/>
      <c r="I11" s="5">
        <f t="shared" si="1"/>
        <v>0</v>
      </c>
      <c r="J11" s="5"/>
      <c r="K11" s="5"/>
      <c r="L11" s="5">
        <f t="shared" si="2"/>
        <v>0</v>
      </c>
    </row>
    <row r="12" spans="1:12" x14ac:dyDescent="0.3">
      <c r="B12" s="5"/>
      <c r="C12" s="5"/>
      <c r="D12" s="5"/>
      <c r="E12" s="5">
        <f t="shared" si="0"/>
        <v>0</v>
      </c>
      <c r="F12" s="5"/>
      <c r="G12" s="5"/>
      <c r="H12" s="5"/>
      <c r="I12" s="5">
        <f t="shared" si="1"/>
        <v>0</v>
      </c>
      <c r="J12" s="5"/>
      <c r="K12" s="5"/>
      <c r="L12" s="5">
        <f t="shared" si="2"/>
        <v>0</v>
      </c>
    </row>
    <row r="13" spans="1:12" x14ac:dyDescent="0.3">
      <c r="B13" s="5" t="s">
        <v>104</v>
      </c>
      <c r="C13" s="5">
        <v>2.75</v>
      </c>
      <c r="D13" s="5">
        <v>1.7</v>
      </c>
      <c r="E13" s="5">
        <f t="shared" si="0"/>
        <v>4.6749999999999998</v>
      </c>
      <c r="F13" s="5" t="s">
        <v>101</v>
      </c>
      <c r="G13" s="5"/>
      <c r="H13" s="5"/>
      <c r="I13" s="5">
        <f t="shared" si="1"/>
        <v>0</v>
      </c>
      <c r="J13" s="5"/>
      <c r="K13" s="5"/>
      <c r="L13" s="5">
        <f t="shared" si="2"/>
        <v>0</v>
      </c>
    </row>
    <row r="14" spans="1:12" x14ac:dyDescent="0.3">
      <c r="B14" s="5"/>
      <c r="C14" s="5"/>
      <c r="D14" s="5"/>
      <c r="E14" s="5">
        <f t="shared" si="0"/>
        <v>0</v>
      </c>
      <c r="F14" s="5" t="s">
        <v>102</v>
      </c>
      <c r="G14" s="5"/>
      <c r="H14" s="5"/>
      <c r="I14" s="5">
        <f t="shared" si="1"/>
        <v>0</v>
      </c>
      <c r="J14" s="5"/>
      <c r="K14" s="5"/>
      <c r="L14" s="5">
        <f t="shared" si="2"/>
        <v>0</v>
      </c>
    </row>
    <row r="15" spans="1:12" x14ac:dyDescent="0.3">
      <c r="B15" s="5"/>
      <c r="C15" s="5"/>
      <c r="D15" s="5"/>
      <c r="E15" s="5">
        <f t="shared" si="0"/>
        <v>0</v>
      </c>
      <c r="F15" s="5"/>
      <c r="G15" s="5"/>
      <c r="H15" s="5"/>
      <c r="I15" s="5">
        <f t="shared" si="1"/>
        <v>0</v>
      </c>
      <c r="J15" s="5"/>
      <c r="K15" s="5"/>
      <c r="L15" s="5">
        <f t="shared" si="2"/>
        <v>0</v>
      </c>
    </row>
    <row r="16" spans="1:12" x14ac:dyDescent="0.3">
      <c r="B16" s="5"/>
      <c r="C16" s="5"/>
      <c r="D16" s="5"/>
      <c r="E16" s="5">
        <f t="shared" si="0"/>
        <v>0</v>
      </c>
      <c r="F16" s="5"/>
      <c r="G16" s="5"/>
      <c r="H16" s="5"/>
      <c r="I16" s="5">
        <f t="shared" si="1"/>
        <v>0</v>
      </c>
      <c r="J16" s="5"/>
      <c r="K16" s="5"/>
      <c r="L16" s="5">
        <f t="shared" si="2"/>
        <v>0</v>
      </c>
    </row>
    <row r="17" spans="2:12" x14ac:dyDescent="0.3">
      <c r="B17" s="5" t="s">
        <v>105</v>
      </c>
      <c r="C17" s="5"/>
      <c r="D17" s="5"/>
      <c r="E17" s="5">
        <f t="shared" si="0"/>
        <v>0</v>
      </c>
      <c r="F17" s="5" t="s">
        <v>101</v>
      </c>
      <c r="G17" s="5"/>
      <c r="H17" s="5"/>
      <c r="I17" s="5">
        <f t="shared" si="1"/>
        <v>0</v>
      </c>
      <c r="J17" s="5"/>
      <c r="K17" s="5"/>
      <c r="L17" s="5">
        <f t="shared" si="2"/>
        <v>0</v>
      </c>
    </row>
    <row r="18" spans="2:12" x14ac:dyDescent="0.3">
      <c r="B18" s="5"/>
      <c r="C18" s="5"/>
      <c r="D18" s="5"/>
      <c r="E18" s="5">
        <f t="shared" si="0"/>
        <v>0</v>
      </c>
      <c r="F18" s="5" t="s">
        <v>102</v>
      </c>
      <c r="G18" s="5"/>
      <c r="H18" s="5"/>
      <c r="I18" s="5">
        <f t="shared" si="1"/>
        <v>0</v>
      </c>
      <c r="J18" s="5"/>
      <c r="K18" s="5"/>
      <c r="L18" s="5">
        <f t="shared" si="2"/>
        <v>0</v>
      </c>
    </row>
    <row r="19" spans="2:12" x14ac:dyDescent="0.3">
      <c r="B19" s="5"/>
      <c r="C19" s="5"/>
      <c r="D19" s="5"/>
      <c r="E19" s="5">
        <f t="shared" si="0"/>
        <v>0</v>
      </c>
      <c r="F19" s="5"/>
      <c r="G19" s="5"/>
      <c r="H19" s="5"/>
      <c r="I19" s="5">
        <f t="shared" si="1"/>
        <v>0</v>
      </c>
      <c r="J19" s="5"/>
      <c r="K19" s="5"/>
      <c r="L19" s="5">
        <f t="shared" si="2"/>
        <v>0</v>
      </c>
    </row>
    <row r="20" spans="2:12" x14ac:dyDescent="0.3">
      <c r="B20" s="5" t="s">
        <v>105</v>
      </c>
      <c r="C20" s="5"/>
      <c r="D20" s="5"/>
      <c r="E20" s="5">
        <f t="shared" si="0"/>
        <v>0</v>
      </c>
      <c r="F20" s="5" t="s">
        <v>101</v>
      </c>
      <c r="G20" s="5"/>
      <c r="H20" s="5"/>
      <c r="I20" s="5">
        <f t="shared" si="1"/>
        <v>0</v>
      </c>
      <c r="J20" s="5"/>
      <c r="K20" s="5"/>
      <c r="L20" s="5">
        <f t="shared" si="2"/>
        <v>0</v>
      </c>
    </row>
    <row r="21" spans="2:12" x14ac:dyDescent="0.3">
      <c r="B21" s="5"/>
      <c r="C21" s="5"/>
      <c r="D21" s="5"/>
      <c r="E21" s="5">
        <f t="shared" si="0"/>
        <v>0</v>
      </c>
      <c r="F21" s="5" t="s">
        <v>102</v>
      </c>
      <c r="G21" s="5"/>
      <c r="H21" s="5"/>
      <c r="I21" s="5">
        <f t="shared" si="1"/>
        <v>0</v>
      </c>
      <c r="J21" s="5"/>
      <c r="K21" s="5"/>
      <c r="L21" s="5">
        <f t="shared" si="2"/>
        <v>0</v>
      </c>
    </row>
    <row r="22" spans="2:12" x14ac:dyDescent="0.3">
      <c r="B22" s="5"/>
      <c r="C22" s="5"/>
      <c r="D22" s="5"/>
      <c r="E22" s="5">
        <f t="shared" si="0"/>
        <v>0</v>
      </c>
      <c r="F22" s="5"/>
      <c r="G22" s="5"/>
      <c r="H22" s="5"/>
      <c r="I22" s="5">
        <f t="shared" si="1"/>
        <v>0</v>
      </c>
      <c r="J22" s="5"/>
      <c r="K22" s="5"/>
      <c r="L22" s="5">
        <f t="shared" si="2"/>
        <v>0</v>
      </c>
    </row>
    <row r="23" spans="2:12" x14ac:dyDescent="0.3">
      <c r="B23" s="5" t="s">
        <v>106</v>
      </c>
      <c r="C23" s="5">
        <v>1.25</v>
      </c>
      <c r="D23" s="5">
        <v>1.5</v>
      </c>
      <c r="E23" s="5">
        <f t="shared" si="0"/>
        <v>1.875</v>
      </c>
      <c r="F23" s="5" t="s">
        <v>107</v>
      </c>
      <c r="G23" s="5"/>
      <c r="H23" s="5"/>
      <c r="I23" s="5">
        <f t="shared" si="1"/>
        <v>0</v>
      </c>
      <c r="J23" s="5"/>
      <c r="K23" s="5"/>
      <c r="L23" s="5">
        <f t="shared" si="2"/>
        <v>0</v>
      </c>
    </row>
    <row r="24" spans="2:12" x14ac:dyDescent="0.3">
      <c r="B24" s="5" t="s">
        <v>108</v>
      </c>
      <c r="C24" s="5">
        <v>0.9</v>
      </c>
      <c r="D24" s="5">
        <v>1.25</v>
      </c>
      <c r="E24" s="5">
        <f t="shared" si="0"/>
        <v>1.125</v>
      </c>
      <c r="F24" s="5" t="s">
        <v>107</v>
      </c>
      <c r="G24" s="5"/>
      <c r="H24" s="5"/>
      <c r="I24" s="5">
        <f t="shared" si="1"/>
        <v>0</v>
      </c>
      <c r="J24" s="5"/>
      <c r="K24" s="5"/>
      <c r="L24" s="5">
        <f t="shared" si="2"/>
        <v>0</v>
      </c>
    </row>
    <row r="25" spans="2:12" x14ac:dyDescent="0.3">
      <c r="B25" s="5" t="s">
        <v>109</v>
      </c>
      <c r="C25" s="5"/>
      <c r="D25" s="5"/>
      <c r="E25" s="5">
        <f t="shared" si="0"/>
        <v>0</v>
      </c>
      <c r="F25" s="5" t="s">
        <v>107</v>
      </c>
      <c r="G25" s="5"/>
      <c r="H25" s="5"/>
      <c r="I25" s="5">
        <f t="shared" si="1"/>
        <v>0</v>
      </c>
      <c r="J25" s="5"/>
      <c r="K25" s="5"/>
      <c r="L25" s="5">
        <f t="shared" si="2"/>
        <v>0</v>
      </c>
    </row>
    <row r="26" spans="2:12" x14ac:dyDescent="0.3">
      <c r="B26" s="5"/>
      <c r="C26" s="5"/>
      <c r="D26" s="5"/>
      <c r="E26" s="5">
        <f t="shared" si="0"/>
        <v>0</v>
      </c>
      <c r="F26" s="5"/>
      <c r="G26" s="5"/>
      <c r="H26" s="5"/>
      <c r="I26" s="5">
        <f t="shared" si="1"/>
        <v>0</v>
      </c>
      <c r="J26" s="5"/>
      <c r="K26" s="5"/>
      <c r="L26" s="5">
        <f t="shared" si="2"/>
        <v>0</v>
      </c>
    </row>
    <row r="27" spans="2:12" x14ac:dyDescent="0.3">
      <c r="B27" s="5" t="s">
        <v>110</v>
      </c>
      <c r="C27" s="5">
        <v>0.8</v>
      </c>
      <c r="D27" s="5">
        <v>1.25</v>
      </c>
      <c r="E27" s="5">
        <f t="shared" si="0"/>
        <v>1</v>
      </c>
      <c r="F27" s="5"/>
      <c r="G27" s="5"/>
      <c r="H27" s="5"/>
      <c r="I27" s="5">
        <f t="shared" si="1"/>
        <v>0</v>
      </c>
      <c r="J27" s="5"/>
      <c r="K27" s="5"/>
      <c r="L27" s="5">
        <f t="shared" si="2"/>
        <v>0</v>
      </c>
    </row>
    <row r="28" spans="2:12" x14ac:dyDescent="0.3">
      <c r="B28" s="5" t="s">
        <v>111</v>
      </c>
      <c r="C28" s="5"/>
      <c r="D28" s="5"/>
      <c r="E28" s="5">
        <f t="shared" si="0"/>
        <v>0</v>
      </c>
      <c r="F28" s="5"/>
      <c r="G28" s="5"/>
      <c r="H28" s="5"/>
      <c r="I28" s="5">
        <f t="shared" si="1"/>
        <v>0</v>
      </c>
      <c r="J28" s="5"/>
      <c r="K28" s="5"/>
      <c r="L28" s="5">
        <f t="shared" si="2"/>
        <v>0</v>
      </c>
    </row>
    <row r="29" spans="2:12" x14ac:dyDescent="0.3">
      <c r="B29" s="5" t="s">
        <v>112</v>
      </c>
      <c r="C29" s="5"/>
      <c r="D29" s="5"/>
      <c r="E29" s="5">
        <f t="shared" si="0"/>
        <v>0</v>
      </c>
      <c r="F29" s="5"/>
      <c r="G29" s="5"/>
      <c r="H29" s="5"/>
      <c r="I29" s="5">
        <f t="shared" si="1"/>
        <v>0</v>
      </c>
      <c r="J29" s="5"/>
      <c r="K29" s="5"/>
      <c r="L29" s="5">
        <f t="shared" si="2"/>
        <v>0</v>
      </c>
    </row>
    <row r="30" spans="2:12" x14ac:dyDescent="0.3">
      <c r="B30" s="5" t="s">
        <v>113</v>
      </c>
      <c r="C30" s="5"/>
      <c r="D30" s="5"/>
      <c r="E30" s="5">
        <f t="shared" si="0"/>
        <v>0</v>
      </c>
      <c r="F30" s="5"/>
      <c r="G30" s="5"/>
      <c r="H30" s="5"/>
      <c r="I30" s="5">
        <f>G30*H30</f>
        <v>0</v>
      </c>
      <c r="J30" s="5"/>
      <c r="K30" s="5"/>
      <c r="L30" s="5">
        <f>J30*K30</f>
        <v>0</v>
      </c>
    </row>
    <row r="31" spans="2:12" x14ac:dyDescent="0.3">
      <c r="B31" s="5"/>
      <c r="C31" s="5"/>
      <c r="D31" s="5"/>
      <c r="E31" s="5">
        <f t="shared" si="0"/>
        <v>0</v>
      </c>
      <c r="F31" s="5"/>
      <c r="G31" s="5"/>
      <c r="H31" s="5"/>
      <c r="I31" s="5">
        <f>G31*H31</f>
        <v>0</v>
      </c>
      <c r="J31" s="5"/>
      <c r="K31" s="5"/>
      <c r="L31" s="5">
        <f>J31*K31</f>
        <v>0</v>
      </c>
    </row>
    <row r="32" spans="2:12" x14ac:dyDescent="0.3">
      <c r="B32" s="5"/>
      <c r="C32" s="5"/>
      <c r="D32" s="5"/>
      <c r="E32" s="5">
        <f t="shared" si="0"/>
        <v>0</v>
      </c>
      <c r="F32" s="5"/>
      <c r="G32" s="5"/>
      <c r="H32" s="5"/>
      <c r="I32" s="5">
        <f>G32*H32</f>
        <v>0</v>
      </c>
      <c r="J32" s="5"/>
      <c r="K32" s="5"/>
      <c r="L32" s="5">
        <f>J32*K32</f>
        <v>0</v>
      </c>
    </row>
    <row r="33" spans="2:12" x14ac:dyDescent="0.3">
      <c r="B33" s="5"/>
      <c r="C33" s="5"/>
      <c r="D33" s="5"/>
      <c r="E33" s="5">
        <f t="shared" si="0"/>
        <v>0</v>
      </c>
      <c r="F33" s="5"/>
      <c r="G33" s="5"/>
      <c r="H33" s="5"/>
      <c r="I33" s="5">
        <f>G33*H33</f>
        <v>0</v>
      </c>
      <c r="J33" s="5"/>
      <c r="K33" s="5"/>
      <c r="L33" s="5">
        <f>J33*K33</f>
        <v>0</v>
      </c>
    </row>
    <row r="34" spans="2:12" x14ac:dyDescent="0.3">
      <c r="B34" s="5" t="s">
        <v>73</v>
      </c>
      <c r="C34" s="5"/>
      <c r="D34" s="5">
        <f>E34*10.764</f>
        <v>279.99854999999997</v>
      </c>
      <c r="E34" s="5">
        <f>SUM(E6:E33)</f>
        <v>26.012499999999999</v>
      </c>
      <c r="F34" s="5"/>
      <c r="G34" s="5"/>
      <c r="H34" s="5">
        <f>I34*10.764</f>
        <v>0</v>
      </c>
      <c r="I34" s="5">
        <f>SUM(I6:I33)</f>
        <v>0</v>
      </c>
      <c r="J34" s="5"/>
      <c r="K34" s="5">
        <f>L34*10.764</f>
        <v>0</v>
      </c>
      <c r="L34" s="5">
        <f>SUM(L6:L33)</f>
        <v>0</v>
      </c>
    </row>
    <row r="36" spans="2:12" x14ac:dyDescent="0.3">
      <c r="D36">
        <f>D34+H34</f>
        <v>279.99854999999997</v>
      </c>
      <c r="E36">
        <f>E34+I34</f>
        <v>26.012499999999999</v>
      </c>
    </row>
  </sheetData>
  <mergeCells count="4">
    <mergeCell ref="C2:D2"/>
    <mergeCell ref="C4:E4"/>
    <mergeCell ref="G4:I4"/>
    <mergeCell ref="J4:L4"/>
  </mergeCell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I15"/>
  <sheetViews>
    <sheetView topLeftCell="A4" workbookViewId="0">
      <selection activeCell="C12" sqref="C12"/>
    </sheetView>
  </sheetViews>
  <sheetFormatPr defaultRowHeight="14.4" x14ac:dyDescent="0.3"/>
  <cols>
    <col min="2" max="2" width="26.5546875" customWidth="1"/>
    <col min="3" max="3" width="48.21875" customWidth="1"/>
    <col min="8" max="8" width="26.77734375" customWidth="1"/>
  </cols>
  <sheetData>
    <row r="1" spans="1:9" x14ac:dyDescent="0.3">
      <c r="A1" s="8"/>
      <c r="B1" s="8"/>
      <c r="C1" s="8"/>
      <c r="D1" s="8"/>
      <c r="E1" s="8"/>
      <c r="F1" s="8"/>
      <c r="G1" s="8"/>
      <c r="H1" s="8"/>
    </row>
    <row r="2" spans="1:9" x14ac:dyDescent="0.3">
      <c r="A2" s="9"/>
      <c r="B2" s="9"/>
      <c r="C2" s="9"/>
      <c r="D2" s="9"/>
      <c r="E2" s="9"/>
      <c r="F2" s="9"/>
      <c r="G2" s="9"/>
      <c r="H2" s="9"/>
    </row>
    <row r="3" spans="1:9" x14ac:dyDescent="0.3">
      <c r="A3" s="9"/>
      <c r="B3" s="250" t="s">
        <v>158</v>
      </c>
      <c r="C3" s="250"/>
      <c r="D3" s="250"/>
      <c r="E3" s="250"/>
      <c r="F3" s="250"/>
      <c r="G3" s="250"/>
      <c r="H3" s="250"/>
    </row>
    <row r="4" spans="1:9" ht="28.8" x14ac:dyDescent="0.3">
      <c r="A4" s="9"/>
      <c r="B4" s="10" t="s">
        <v>159</v>
      </c>
      <c r="C4" s="10" t="s">
        <v>160</v>
      </c>
      <c r="D4" s="10" t="s">
        <v>93</v>
      </c>
      <c r="E4" s="10" t="s">
        <v>161</v>
      </c>
      <c r="F4" s="10" t="s">
        <v>162</v>
      </c>
      <c r="G4" s="10" t="s">
        <v>163</v>
      </c>
      <c r="H4" s="10" t="s">
        <v>164</v>
      </c>
    </row>
    <row r="5" spans="1:9" x14ac:dyDescent="0.3">
      <c r="A5" s="9"/>
      <c r="B5" s="12" t="s">
        <v>167</v>
      </c>
      <c r="C5" s="13" t="s">
        <v>135</v>
      </c>
      <c r="D5" s="12" t="s">
        <v>147</v>
      </c>
      <c r="E5" s="12">
        <v>227</v>
      </c>
      <c r="F5" s="14">
        <f>E5*1.5</f>
        <v>340.5</v>
      </c>
      <c r="G5" s="14">
        <f>H5/F5</f>
        <v>3556.5345080763582</v>
      </c>
      <c r="H5" s="15">
        <v>1211000</v>
      </c>
    </row>
    <row r="6" spans="1:9" x14ac:dyDescent="0.3">
      <c r="A6" s="9"/>
      <c r="B6" s="12" t="s">
        <v>167</v>
      </c>
      <c r="C6" s="13" t="s">
        <v>135</v>
      </c>
      <c r="D6" s="12" t="s">
        <v>147</v>
      </c>
      <c r="E6" s="12">
        <v>241</v>
      </c>
      <c r="F6" s="14">
        <f t="shared" ref="F6:F10" si="0">E6*1.5</f>
        <v>361.5</v>
      </c>
      <c r="G6" s="14">
        <f t="shared" ref="G6:G10" si="1">H6/F6</f>
        <v>3554.6334716459196</v>
      </c>
      <c r="H6" s="15">
        <v>1285000</v>
      </c>
    </row>
    <row r="7" spans="1:9" x14ac:dyDescent="0.3">
      <c r="A7" s="9"/>
      <c r="B7" s="12" t="s">
        <v>167</v>
      </c>
      <c r="C7" s="13" t="s">
        <v>135</v>
      </c>
      <c r="D7" s="12" t="s">
        <v>147</v>
      </c>
      <c r="E7" s="12">
        <v>254</v>
      </c>
      <c r="F7" s="14">
        <f t="shared" si="0"/>
        <v>381</v>
      </c>
      <c r="G7" s="14">
        <f t="shared" si="1"/>
        <v>3556.4304461942256</v>
      </c>
      <c r="H7" s="15">
        <v>1355000</v>
      </c>
    </row>
    <row r="8" spans="1:9" x14ac:dyDescent="0.3">
      <c r="A8" s="9"/>
      <c r="B8" s="12" t="s">
        <v>167</v>
      </c>
      <c r="C8" s="13" t="s">
        <v>135</v>
      </c>
      <c r="D8" s="12" t="s">
        <v>143</v>
      </c>
      <c r="E8" s="12">
        <v>288</v>
      </c>
      <c r="F8" s="14">
        <f t="shared" si="0"/>
        <v>432</v>
      </c>
      <c r="G8" s="14">
        <f t="shared" si="1"/>
        <v>3555.5555555555557</v>
      </c>
      <c r="H8" s="15">
        <v>1536000</v>
      </c>
    </row>
    <row r="9" spans="1:9" x14ac:dyDescent="0.3">
      <c r="A9" s="9"/>
      <c r="B9" s="12" t="s">
        <v>167</v>
      </c>
      <c r="C9" s="13" t="s">
        <v>135</v>
      </c>
      <c r="D9" s="12" t="s">
        <v>143</v>
      </c>
      <c r="E9" s="12">
        <v>292</v>
      </c>
      <c r="F9" s="14">
        <f t="shared" si="0"/>
        <v>438</v>
      </c>
      <c r="G9" s="14">
        <f t="shared" si="1"/>
        <v>3554.794520547945</v>
      </c>
      <c r="H9" s="15">
        <v>1557000</v>
      </c>
    </row>
    <row r="10" spans="1:9" x14ac:dyDescent="0.3">
      <c r="A10" s="9"/>
      <c r="B10" s="12" t="s">
        <v>167</v>
      </c>
      <c r="C10" s="13" t="s">
        <v>135</v>
      </c>
      <c r="D10" s="12" t="s">
        <v>143</v>
      </c>
      <c r="E10" s="12">
        <v>297</v>
      </c>
      <c r="F10" s="14">
        <f t="shared" si="0"/>
        <v>445.5</v>
      </c>
      <c r="G10" s="14">
        <f t="shared" si="1"/>
        <v>3555.5555555555557</v>
      </c>
      <c r="H10" s="15">
        <v>1584000</v>
      </c>
    </row>
    <row r="11" spans="1:9" x14ac:dyDescent="0.3">
      <c r="A11" s="9"/>
      <c r="B11" s="16" t="s">
        <v>165</v>
      </c>
      <c r="C11" s="12"/>
      <c r="D11" s="12"/>
      <c r="E11" s="12"/>
      <c r="F11" s="12"/>
      <c r="G11" s="17">
        <f>AVERAGE(G5:G10)</f>
        <v>3555.5840095959265</v>
      </c>
      <c r="H11" s="12"/>
    </row>
    <row r="12" spans="1:9" x14ac:dyDescent="0.3">
      <c r="A12" s="8"/>
      <c r="B12" s="16" t="s">
        <v>166</v>
      </c>
      <c r="C12" s="12"/>
      <c r="D12" s="12"/>
      <c r="E12" s="12"/>
      <c r="F12" s="18"/>
      <c r="G12" s="16">
        <v>3600</v>
      </c>
      <c r="H12" s="16"/>
      <c r="I12" s="11"/>
    </row>
    <row r="13" spans="1:9" x14ac:dyDescent="0.3">
      <c r="B13" s="8"/>
      <c r="C13" s="8"/>
      <c r="D13" s="8"/>
      <c r="E13" s="8"/>
    </row>
    <row r="14" spans="1:9" x14ac:dyDescent="0.3">
      <c r="B14" s="8"/>
      <c r="C14" s="8"/>
      <c r="D14" s="8"/>
      <c r="E14" s="8"/>
    </row>
    <row r="15" spans="1:9" x14ac:dyDescent="0.3">
      <c r="B15" s="8"/>
      <c r="C15" s="8"/>
      <c r="D15" s="8"/>
      <c r="E15" s="8"/>
    </row>
  </sheetData>
  <mergeCells count="1">
    <mergeCell ref="B3:H3"/>
  </mergeCell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1</vt:i4>
      </vt:variant>
    </vt:vector>
  </HeadingPairs>
  <TitlesOfParts>
    <vt:vector size="5" baseType="lpstr">
      <vt:lpstr>Report (2)</vt:lpstr>
      <vt:lpstr>Note</vt:lpstr>
      <vt:lpstr>Flat detail</vt:lpstr>
      <vt:lpstr>VALUATION</vt:lpstr>
      <vt:lpstr>'Report (2)'!Print_Area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USER</cp:lastModifiedBy>
  <cp:lastPrinted>2025-09-10T12:15:21Z</cp:lastPrinted>
  <dcterms:created xsi:type="dcterms:W3CDTF">2019-07-16T09:29:46Z</dcterms:created>
  <dcterms:modified xsi:type="dcterms:W3CDTF">2025-09-10T12:19:22Z</dcterms:modified>
</cp:coreProperties>
</file>