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F8144B02-5941-4E44-8927-11279EF957A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" i="1" l="1"/>
  <c r="D140" i="1" l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J116" i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G130" i="1"/>
  <c r="F130" i="1"/>
  <c r="C100" i="1" l="1"/>
  <c r="E100" i="1"/>
  <c r="F121" i="1"/>
  <c r="F125" i="1"/>
  <c r="J117" i="1"/>
  <c r="J118" i="1"/>
  <c r="F128" i="1"/>
  <c r="F127" i="1"/>
  <c r="F126" i="1"/>
  <c r="F124" i="1"/>
  <c r="F123" i="1"/>
  <c r="F122" i="1"/>
  <c r="F120" i="1"/>
  <c r="F119" i="1"/>
  <c r="F118" i="1"/>
  <c r="I118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G117" i="1"/>
  <c r="F117" i="1"/>
  <c r="G100" i="1" l="1"/>
  <c r="J119" i="1"/>
  <c r="C14" i="1"/>
  <c r="E29" i="1" l="1"/>
  <c r="F144" i="1" l="1"/>
  <c r="F145" i="1"/>
  <c r="F146" i="1"/>
  <c r="F143" i="1"/>
  <c r="A144" i="1"/>
  <c r="A145" i="1" s="1"/>
  <c r="A146" i="1" s="1"/>
  <c r="G143" i="1"/>
  <c r="F92" i="1" l="1"/>
  <c r="F109" i="1" l="1"/>
  <c r="F110" i="1"/>
  <c r="F111" i="1"/>
  <c r="F108" i="1"/>
  <c r="B173" i="1" l="1"/>
  <c r="A154" i="1"/>
  <c r="A166" i="1"/>
  <c r="A160" i="1"/>
  <c r="F170" i="1" l="1"/>
  <c r="F169" i="1"/>
  <c r="F168" i="1"/>
  <c r="F167" i="1"/>
  <c r="F166" i="1"/>
  <c r="F164" i="1"/>
  <c r="F163" i="1"/>
  <c r="F162" i="1"/>
  <c r="F161" i="1"/>
  <c r="F160" i="1"/>
  <c r="F158" i="1"/>
  <c r="F157" i="1"/>
  <c r="F156" i="1"/>
  <c r="F155" i="1"/>
  <c r="F154" i="1"/>
  <c r="F152" i="1"/>
  <c r="F151" i="1"/>
  <c r="F149" i="1"/>
  <c r="F148" i="1"/>
  <c r="F150" i="1"/>
  <c r="A161" i="1"/>
  <c r="A155" i="1"/>
  <c r="A167" i="1"/>
  <c r="B174" i="1" l="1"/>
  <c r="A162" i="1"/>
  <c r="A168" i="1"/>
  <c r="A15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6" i="1"/>
  <c r="G166" i="1"/>
  <c r="G160" i="1"/>
  <c r="G154" i="1"/>
  <c r="G148" i="1"/>
  <c r="A148" i="1"/>
  <c r="A149" i="1" s="1"/>
  <c r="A150" i="1" s="1"/>
  <c r="A151" i="1" s="1"/>
  <c r="A152" i="1" s="1"/>
  <c r="A109" i="1"/>
  <c r="A110" i="1" s="1"/>
  <c r="A111" i="1" s="1"/>
  <c r="G108" i="1"/>
  <c r="J76" i="1"/>
  <c r="J75" i="1"/>
  <c r="J74" i="1"/>
  <c r="J73" i="1"/>
  <c r="C65" i="1"/>
  <c r="D54" i="1"/>
  <c r="G49" i="1"/>
  <c r="G50" i="1" s="1"/>
  <c r="C49" i="1"/>
  <c r="C50" i="1" s="1"/>
  <c r="E42" i="1"/>
  <c r="E43" i="1" s="1"/>
  <c r="E26" i="1"/>
  <c r="E24" i="1"/>
  <c r="E7" i="1"/>
  <c r="E3" i="1"/>
  <c r="H66" i="1"/>
  <c r="A157" i="1"/>
  <c r="A169" i="1"/>
  <c r="A163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A164" i="1"/>
  <c r="A170" i="1"/>
  <c r="A158" i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<sst xmlns="http://schemas.openxmlformats.org/spreadsheetml/2006/main" count="267" uniqueCount="221">
  <si>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</si>
  <si>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</si>
  <si>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</si>
  <si>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</si>
  <si>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</si>
  <si>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</si>
  <si>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</si>
  <si>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</si>
  <si>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</si>
  <si>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</si>
  <si>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</si>
  <si>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</si>
  <si>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</si>
  <si>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</si>
  <si>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</si>
  <si>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</si>
  <si>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</si>
  <si>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</si>
  <si>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</si>
  <si>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</si>
  <si>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</si>
  <si>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</si>
  <si>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</si>
  <si>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</si>
  <si>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</si>
  <si>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</si>
  <si>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</si>
  <si>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</si>
  <si>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</si>
  <si>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</si>
  <si>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</si>
  <si>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</si>
  <si>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</si>
  <si>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</si>
  <si>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</si>
  <si>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</si>
  <si>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</si>
  <si>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</si>
  <si>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</si>
  <si>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</si>
  <si>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</si>
  <si>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</si>
  <si>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</si>
  <si>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</si>
  <si>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</si>
  <si>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</si>
  <si>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</si>
  <si>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</si>
  <si>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</si>
  <si>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</si>
  <si>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</si>
  <si>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</si>
  <si>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</si>
  <si>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</si>
  <si>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</si>
  <si>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</si>
  <si>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</si>
  <si>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</si>
  <si>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</si>
  <si>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</si>
  <si>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</si>
  <si>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</si>
  <si>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</si>
  <si>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</si>
  <si>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</si>
  <si>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</si>
  <si>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</si>
  <si>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</si>
  <si>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</si>
  <si>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</si>
  <si>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</si>
  <si>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</si>
  <si>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</si>
  <si>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</si>
  <si>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</si>
  <si>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</si>
  <si>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</si>
  <si>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</si>
  <si>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</si>
  <si>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</si>
  <si>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</si>
  <si>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</si>
  <si>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</si>
  <si>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</si>
  <si>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</si>
  <si>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</si>
  <si>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</si>
  <si>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</si>
  <si>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</si>
  <si>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</si>
  <si>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</si>
  <si>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</si>
  <si>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</si>
  <si>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</si>
  <si>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</si>
  <si>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</si>
  <si>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</si>
  <si>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</si>
  <si>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</si>
  <si>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</si>
  <si>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</si>
  <si>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</si>
  <si>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</si>
  <si>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</si>
  <si>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</si>
  <si>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</si>
  <si>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</si>
  <si>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</si>
  <si>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</si>
  <si>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</si>
  <si>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</si>
  <si>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</si>
  <si>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</si>
  <si>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</si>
  <si>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</si>
  <si>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</si>
  <si>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</si>
  <si>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</si>
  <si>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</si>
  <si>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</si>
  <si>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</si>
  <si>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</si>
  <si>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</si>
  <si>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</si>
  <si>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</si>
  <si>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</si>
  <si>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</si>
  <si>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</si>
  <si>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</si>
  <si>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</si>
  <si>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</si>
  <si>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</si>
  <si>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</si>
  <si>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</si>
  <si>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</si>
  <si>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</si>
  <si>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</si>
  <si>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</si>
  <si>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</si>
  <si>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</si>
  <si>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</si>
  <si>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</si>
  <si>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</si>
  <si>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</si>
  <si>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</si>
  <si>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</si>
  <si>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</si>
  <si>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</si>
  <si>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</si>
  <si>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</si>
  <si>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</si>
  <si>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</si>
  <si>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</si>
  <si>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</si>
  <si>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</si>
  <si>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</si>
  <si>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</si>
  <si>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</si>
  <si>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</si>
  <si>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</si>
  <si>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</si>
  <si>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</si>
  <si>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</si>
  <si>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</si>
  <si>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</si>
  <si>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</si>
  <si>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</si>
  <si>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</si>
  <si>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</si>
  <si>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</si>
  <si>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</si>
  <si>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</si>
  <si>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</si>
  <si>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</si>
  <si>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</si>
  <si>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</si>
  <si>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</si>
  <si>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</si>
  <si>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</si>
  <si>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</si>
  <si>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</si>
  <si>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Aarsh Construction</t>
  </si>
  <si>
    <t>Cascade Avenue Bellagio</t>
  </si>
  <si>
    <t xml:space="preserve">01 Building </t>
  </si>
  <si>
    <t>P51700033736</t>
  </si>
  <si>
    <t>Thane Municipal Corporation</t>
  </si>
  <si>
    <t>VP/S06/0316/18/TMC/TD-DP/TPS/3968/22</t>
  </si>
  <si>
    <t>Building = G + 1st to 13th Floor</t>
  </si>
  <si>
    <t xml:space="preserve">As per RERA - 31/12/2026
</t>
  </si>
  <si>
    <t>Ground Floor For Part Parking, Fitness Room, Creche Room &amp; Drivers Room</t>
  </si>
  <si>
    <t>1st to 7th, 9th to 11th &amp; 13th Floor For Residential</t>
  </si>
  <si>
    <t>8th &amp; 12th Floor (Part Refuge Area)</t>
  </si>
  <si>
    <t>Refuge Area</t>
  </si>
  <si>
    <t>Flats</t>
  </si>
  <si>
    <t>We considered Gross carpet area = Net carpet + Chajja Area</t>
  </si>
  <si>
    <t>Flats - 154</t>
  </si>
  <si>
    <t>https://goo.gl/maps/rPJZrWwQSv8jz6c77</t>
  </si>
  <si>
    <t>Open Plot</t>
  </si>
  <si>
    <t>Ace Enclave</t>
  </si>
  <si>
    <t>Internal Road</t>
  </si>
  <si>
    <t>53/6, 54/7, 70/6(Pt)</t>
  </si>
  <si>
    <t>CTS No</t>
  </si>
  <si>
    <t>Mogharpada</t>
  </si>
  <si>
    <t>Thane</t>
  </si>
  <si>
    <t>13.8KM from Thane Railway Station</t>
  </si>
  <si>
    <t>Heart Shape Lake</t>
  </si>
  <si>
    <t>Owale</t>
  </si>
  <si>
    <t>Approved Plans, CC, Sale Plans</t>
  </si>
  <si>
    <t>Childrens play area, Garden, Jogging Track, Gazebo, Deck Area</t>
  </si>
  <si>
    <t>Thane West (Kasarvadavali)</t>
  </si>
  <si>
    <t>The project is close to the Cremation Ground.</t>
  </si>
  <si>
    <t>Latitude, Longitude</t>
  </si>
  <si>
    <t>19.276227, 72.96664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</si>
  <si>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</si>
  <si>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Ajay Songare</t>
  </si>
  <si>
    <t>Building = G + 1st to 21st Floor</t>
  </si>
  <si>
    <t>Proposed Structure Has Been Revised To G + 21 With Ref To Building Picture On Builder Website.</t>
  </si>
  <si>
    <t>Construction work goes beyond approved no. of floor. Please provide revised approved plans &amp; CC.</t>
  </si>
  <si>
    <t>Mr.Dinesh 9833419822</t>
  </si>
  <si>
    <t>Construction work is in process at the time of visit. Internal visit was not allowed.(Very Slow speed)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</si>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</sst>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665916</xdr:colOff>
      <xdr:row>260</xdr:row>
      <xdr:rowOff>35859</xdr:rowOff>
    </xdr:from>
    <xdr:to>
      <xdr:col>7</xdr:col>
      <xdr:colOff>251298</xdr:colOff>
      <xdr:row>275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5916" y="42974559"/>
          <a:ext cx="5560732" cy="30057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403416</xdr:colOff>
      <xdr:row>236</xdr:row>
      <xdr:rowOff>0</xdr:rowOff>
    </xdr:from>
    <xdr:to>
      <xdr:col>7</xdr:col>
      <xdr:colOff>513798</xdr:colOff>
      <xdr:row>259</xdr:row>
      <xdr:rowOff>40764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6" y="39467118"/>
          <a:ext cx="6240000" cy="4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347387</xdr:colOff>
      <xdr:row>278</xdr:row>
      <xdr:rowOff>0</xdr:rowOff>
    </xdr:from>
    <xdr:to>
      <xdr:col>7</xdr:col>
      <xdr:colOff>567424</xdr:colOff>
      <xdr:row>297</xdr:row>
      <xdr:rowOff>127587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387" y="48342176"/>
          <a:ext cx="6349655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347386</xdr:colOff>
      <xdr:row>298</xdr:row>
      <xdr:rowOff>78441</xdr:rowOff>
    </xdr:from>
    <xdr:to>
      <xdr:col>7</xdr:col>
      <xdr:colOff>567423</xdr:colOff>
      <xdr:row>317</xdr:row>
      <xdr:rowOff>121921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386" y="51543921"/>
          <a:ext cx="6064577" cy="38077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369794</xdr:colOff>
      <xdr:row>307</xdr:row>
      <xdr:rowOff>134471</xdr:rowOff>
    </xdr:from>
    <xdr:to>
      <xdr:col>7</xdr:col>
      <xdr:colOff>168088</xdr:colOff>
      <xdr:row>313</xdr:row>
      <xdr:rowOff>78441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78088" y="54718324"/>
          <a:ext cx="2319618" cy="115420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10</xdr:col>
      <xdr:colOff>241300</xdr:colOff>
      <xdr:row>65</xdr:row>
      <xdr:rowOff>107950</xdr:rowOff>
    </xdr:from>
    <xdr:to>
      <xdr:col>13</xdr:col>
      <xdr:colOff>822600</xdr:colOff>
      <xdr:row>79</xdr:row>
      <xdr:rowOff>116902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05900" y="14827250"/>
          <a:ext cx="2880000" cy="29617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883920</xdr:colOff>
      <xdr:row>197</xdr:row>
      <xdr:rowOff>9524</xdr:rowOff>
    </xdr:from>
    <xdr:to>
      <xdr:col>16</xdr:col>
      <xdr:colOff>133322</xdr:colOff>
      <xdr:row>233</xdr:row>
      <xdr:rowOff>45450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581900" y="31472504"/>
          <a:ext cx="5833082" cy="7160626"/>
          <a:chOff x="428625" y="31451549"/>
          <a:chExt cx="5684492" cy="7227301"/>
        </a:xfrm>
      </xdr:grpSpPr>
      <xdr:pic>
        <xdr:nvPicPr>
          <xdr:cNvPr id="22" name="Picture 21" descr="https://vsjcllp.vsjadon.com/upload/insp-236359-1525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05075" y="365188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6359-843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625" y="31451549"/>
            <a:ext cx="3732291" cy="49815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6359-849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48150" y="31451549"/>
            <a:ext cx="1855442" cy="24574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6359-851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57675" y="34004249"/>
            <a:ext cx="1855442" cy="24193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396240</xdr:colOff>
      <xdr:row>197</xdr:row>
      <xdr:rowOff>15240</xdr:rowOff>
    </xdr:from>
    <xdr:to>
      <xdr:col>7</xdr:col>
      <xdr:colOff>437553</xdr:colOff>
      <xdr:row>230</xdr:row>
      <xdr:rowOff>28260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6324316-9D22-621E-646E-00FFB0F86383}"/>
            </a:ext>
          </a:extLst>
        </xdr:cNvPr>
        <xdr:cNvGrpSpPr/>
      </xdr:nvGrpSpPr>
      <xdr:grpSpPr>
        <a:xfrm>
          <a:off x="396240" y="31478220"/>
          <a:ext cx="5885853" cy="6543360"/>
          <a:chOff x="549000" y="381000"/>
          <a:chExt cx="5885853" cy="654336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4E08402-DD2A-0B6C-37D6-BE4CFC8939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9000" y="381000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39DBB20-B518-D4CE-D8B4-1C24BC50C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0969" y="440436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16B35B77-22EE-6642-65A7-ECEC36FA8A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4853" y="381000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E7B81537-C379-A5B5-B7CA-15C9DC3B9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4853" y="440436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100348</xdr:colOff>
      <xdr:row>52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PJZrWwQSv8jz6c7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77"/>
  <sheetViews>
    <sheetView tabSelected="1" view="pageBreakPreview" zoomScaleNormal="100" zoomScaleSheetLayoutView="100" zoomScalePageLayoutView="85" workbookViewId="0">
      <selection activeCell="K6" sqref="K6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41" t="s">
        <v>213</v>
      </c>
      <c r="B1" s="141"/>
      <c r="C1" s="141"/>
      <c r="D1" s="141"/>
      <c r="E1" s="141"/>
      <c r="F1" s="141"/>
      <c r="G1" s="141"/>
      <c r="H1" s="141"/>
    </row>
    <row r="2" spans="1:8" ht="16.5" customHeight="1" x14ac:dyDescent="0.3">
      <c r="A2" s="137" t="s">
        <v>0</v>
      </c>
      <c r="B2" s="137"/>
      <c r="C2" s="137"/>
      <c r="D2" s="137"/>
      <c r="E2" s="137"/>
      <c r="F2" s="137"/>
      <c r="G2" s="137"/>
      <c r="H2" s="137"/>
    </row>
    <row r="3" spans="1:8" x14ac:dyDescent="0.3">
      <c r="A3" s="107" t="s">
        <v>1</v>
      </c>
      <c r="B3" s="107"/>
      <c r="C3" s="107"/>
      <c r="D3" s="107"/>
      <c r="E3" s="107" t="str">
        <f ca="1">TEXT(TODAY(),"DD/MM/YYYY")</f>
        <v>10/09/2025</v>
      </c>
      <c r="F3" s="107"/>
      <c r="G3" s="107"/>
      <c r="H3" s="107"/>
    </row>
    <row r="4" spans="1:8" ht="15" customHeight="1" x14ac:dyDescent="0.3">
      <c r="A4" s="107" t="s">
        <v>2</v>
      </c>
      <c r="B4" s="107"/>
      <c r="C4" s="107"/>
      <c r="D4" s="107"/>
      <c r="E4" s="107" t="s">
        <v>180</v>
      </c>
      <c r="F4" s="107"/>
      <c r="G4" s="107"/>
      <c r="H4" s="107"/>
    </row>
    <row r="5" spans="1:8" x14ac:dyDescent="0.3">
      <c r="A5" s="107" t="s">
        <v>3</v>
      </c>
      <c r="B5" s="107"/>
      <c r="C5" s="107"/>
      <c r="D5" s="107"/>
      <c r="E5" s="143">
        <v>45909</v>
      </c>
      <c r="F5" s="107"/>
      <c r="G5" s="107"/>
      <c r="H5" s="107"/>
    </row>
    <row r="6" spans="1:8" ht="16.5" customHeight="1" x14ac:dyDescent="0.3">
      <c r="A6" s="107" t="s">
        <v>4</v>
      </c>
      <c r="B6" s="107"/>
      <c r="C6" s="107"/>
      <c r="D6" s="107"/>
      <c r="E6" s="107" t="s">
        <v>181</v>
      </c>
      <c r="F6" s="107"/>
      <c r="G6" s="107"/>
      <c r="H6" s="107"/>
    </row>
    <row r="7" spans="1:8" ht="15" customHeight="1" x14ac:dyDescent="0.3">
      <c r="A7" s="107" t="s">
        <v>5</v>
      </c>
      <c r="B7" s="107"/>
      <c r="C7" s="107"/>
      <c r="D7" s="107"/>
      <c r="E7" s="107" t="str">
        <f>E6</f>
        <v>Aarsh Construction</v>
      </c>
      <c r="F7" s="107"/>
      <c r="G7" s="107"/>
      <c r="H7" s="107"/>
    </row>
    <row r="8" spans="1:8" x14ac:dyDescent="0.3">
      <c r="A8" s="107" t="s">
        <v>6</v>
      </c>
      <c r="B8" s="107"/>
      <c r="C8" s="107"/>
      <c r="D8" s="107"/>
      <c r="E8" s="142" t="s">
        <v>182</v>
      </c>
      <c r="F8" s="142"/>
      <c r="G8" s="142"/>
      <c r="H8" s="142"/>
    </row>
    <row r="9" spans="1:8" x14ac:dyDescent="0.3">
      <c r="A9" s="107" t="s">
        <v>177</v>
      </c>
      <c r="B9" s="107"/>
      <c r="C9" s="107"/>
      <c r="D9" s="107"/>
      <c r="E9" s="107" t="s">
        <v>218</v>
      </c>
      <c r="F9" s="107"/>
      <c r="G9" s="107"/>
      <c r="H9" s="107"/>
    </row>
    <row r="10" spans="1:8" hidden="1" x14ac:dyDescent="0.3">
      <c r="A10" s="107" t="s">
        <v>178</v>
      </c>
      <c r="B10" s="107"/>
      <c r="C10" s="107"/>
      <c r="D10" s="107"/>
      <c r="E10" s="107"/>
      <c r="F10" s="107"/>
      <c r="G10" s="107"/>
      <c r="H10" s="107"/>
    </row>
    <row r="11" spans="1:8" x14ac:dyDescent="0.3">
      <c r="A11" s="107" t="s">
        <v>7</v>
      </c>
      <c r="B11" s="107"/>
      <c r="C11" s="107"/>
      <c r="D11" s="107"/>
      <c r="E11" s="107" t="s">
        <v>183</v>
      </c>
      <c r="F11" s="107"/>
      <c r="G11" s="107"/>
      <c r="H11" s="107"/>
    </row>
    <row r="12" spans="1:8" x14ac:dyDescent="0.3">
      <c r="A12" s="72" t="s">
        <v>8</v>
      </c>
      <c r="B12" s="72"/>
      <c r="C12" s="72"/>
      <c r="D12" s="72"/>
      <c r="E12" s="106" t="s">
        <v>207</v>
      </c>
      <c r="F12" s="106"/>
      <c r="G12" s="106"/>
      <c r="H12" s="106"/>
    </row>
    <row r="13" spans="1:8" x14ac:dyDescent="0.3">
      <c r="A13" s="72" t="s">
        <v>9</v>
      </c>
      <c r="B13" s="72"/>
      <c r="C13" s="72"/>
      <c r="D13" s="72"/>
      <c r="E13" s="106" t="s">
        <v>184</v>
      </c>
      <c r="F13" s="107"/>
      <c r="G13" s="107"/>
      <c r="H13" s="107"/>
    </row>
    <row r="14" spans="1:8" ht="48" customHeight="1" x14ac:dyDescent="0.3">
      <c r="A14" s="112" t="s">
        <v>10</v>
      </c>
      <c r="B14" s="112"/>
      <c r="C14" s="11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Cascade Avenue Bellagio, CTS No.53/6, 54/7, 70/6(Pt), near Heart Shape Lake, Internal Road, Owale, Mogharpada, Thane West (Kasarvadavali), Thane, Thane - 400615.</v>
      </c>
      <c r="D14" s="112"/>
      <c r="E14" s="112"/>
      <c r="F14" s="112"/>
      <c r="G14" s="112"/>
      <c r="H14" s="112"/>
    </row>
    <row r="15" spans="1:8" x14ac:dyDescent="0.3">
      <c r="A15" s="106" t="s">
        <v>201</v>
      </c>
      <c r="B15" s="106"/>
      <c r="C15" s="106" t="s">
        <v>200</v>
      </c>
      <c r="D15" s="106"/>
      <c r="E15" s="106"/>
      <c r="F15" s="106"/>
      <c r="G15" s="106"/>
      <c r="H15" s="106"/>
    </row>
    <row r="16" spans="1:8" ht="15.75" customHeight="1" x14ac:dyDescent="0.3">
      <c r="A16" s="106" t="s">
        <v>176</v>
      </c>
      <c r="B16" s="106"/>
      <c r="C16" s="106" t="s">
        <v>206</v>
      </c>
      <c r="D16" s="106"/>
      <c r="E16" s="106"/>
      <c r="F16" s="106"/>
      <c r="G16" s="106"/>
      <c r="H16" s="106"/>
    </row>
    <row r="17" spans="1:8" ht="15.75" customHeight="1" x14ac:dyDescent="0.3">
      <c r="A17" s="112" t="s">
        <v>11</v>
      </c>
      <c r="B17" s="112"/>
      <c r="C17" s="107" t="s">
        <v>199</v>
      </c>
      <c r="D17" s="107"/>
      <c r="E17" s="112" t="s">
        <v>75</v>
      </c>
      <c r="F17" s="112"/>
      <c r="G17" s="106" t="s">
        <v>202</v>
      </c>
      <c r="H17" s="106"/>
    </row>
    <row r="18" spans="1:8" x14ac:dyDescent="0.3">
      <c r="A18" s="72" t="s">
        <v>13</v>
      </c>
      <c r="B18" s="72"/>
      <c r="C18" s="144" t="s">
        <v>209</v>
      </c>
      <c r="D18" s="144"/>
      <c r="E18" s="112" t="s">
        <v>12</v>
      </c>
      <c r="F18" s="112"/>
      <c r="G18" s="144" t="s">
        <v>203</v>
      </c>
      <c r="H18" s="144"/>
    </row>
    <row r="19" spans="1:8" x14ac:dyDescent="0.3">
      <c r="A19" s="72" t="s">
        <v>76</v>
      </c>
      <c r="B19" s="72"/>
      <c r="C19" s="106" t="s">
        <v>203</v>
      </c>
      <c r="D19" s="106"/>
      <c r="E19" s="112" t="s">
        <v>14</v>
      </c>
      <c r="F19" s="112"/>
      <c r="G19" s="106">
        <v>400615</v>
      </c>
      <c r="H19" s="106"/>
    </row>
    <row r="20" spans="1:8" ht="32.25" customHeight="1" x14ac:dyDescent="0.3">
      <c r="A20" s="72" t="s">
        <v>130</v>
      </c>
      <c r="B20" s="72"/>
      <c r="C20" s="106" t="s">
        <v>205</v>
      </c>
      <c r="D20" s="106"/>
      <c r="E20" s="112" t="s">
        <v>15</v>
      </c>
      <c r="F20" s="112"/>
      <c r="G20" s="106" t="s">
        <v>204</v>
      </c>
      <c r="H20" s="106"/>
    </row>
    <row r="21" spans="1:8" ht="15" customHeight="1" x14ac:dyDescent="0.3">
      <c r="A21" s="112" t="s">
        <v>79</v>
      </c>
      <c r="B21" s="112"/>
      <c r="C21" s="112"/>
      <c r="D21" s="112"/>
      <c r="E21" s="107" t="s">
        <v>16</v>
      </c>
      <c r="F21" s="107"/>
      <c r="G21" s="107"/>
      <c r="H21" s="107"/>
    </row>
    <row r="22" spans="1:8" ht="18.75" customHeight="1" x14ac:dyDescent="0.3">
      <c r="A22" s="112"/>
      <c r="B22" s="112"/>
      <c r="C22" s="112"/>
      <c r="D22" s="112"/>
      <c r="E22" s="107"/>
      <c r="F22" s="107"/>
      <c r="G22" s="107"/>
      <c r="H22" s="107"/>
    </row>
    <row r="23" spans="1:8" ht="15" customHeight="1" x14ac:dyDescent="0.3">
      <c r="A23" s="112" t="s">
        <v>17</v>
      </c>
      <c r="B23" s="112"/>
      <c r="C23" s="112"/>
      <c r="D23" s="112"/>
      <c r="E23" s="106" t="s">
        <v>18</v>
      </c>
      <c r="F23" s="106"/>
      <c r="G23" s="106"/>
      <c r="H23" s="106"/>
    </row>
    <row r="24" spans="1:8" ht="15" customHeight="1" x14ac:dyDescent="0.3">
      <c r="A24" s="72" t="s">
        <v>19</v>
      </c>
      <c r="B24" s="72"/>
      <c r="C24" s="72"/>
      <c r="D24" s="72"/>
      <c r="E24" s="106" t="str">
        <f>IF(AND(G18="Mumbai"),"Upper Class","Middle Class")</f>
        <v>Middle Class</v>
      </c>
      <c r="F24" s="106"/>
      <c r="G24" s="106"/>
      <c r="H24" s="106"/>
    </row>
    <row r="25" spans="1:8" x14ac:dyDescent="0.3">
      <c r="A25" s="72" t="s">
        <v>20</v>
      </c>
      <c r="B25" s="72"/>
      <c r="C25" s="72"/>
      <c r="D25" s="72"/>
      <c r="E25" s="106" t="s">
        <v>21</v>
      </c>
      <c r="F25" s="106"/>
      <c r="G25" s="106"/>
      <c r="H25" s="106"/>
    </row>
    <row r="26" spans="1:8" ht="15.75" customHeight="1" x14ac:dyDescent="0.3">
      <c r="A26" s="72" t="s">
        <v>22</v>
      </c>
      <c r="B26" s="72"/>
      <c r="C26" s="72"/>
      <c r="D26" s="72"/>
      <c r="E26" s="106" t="str">
        <f>IF(AND(G18="Mumbai"),"Developed","Developing")</f>
        <v>Developing</v>
      </c>
      <c r="F26" s="106"/>
      <c r="G26" s="106"/>
      <c r="H26" s="106"/>
    </row>
    <row r="27" spans="1:8" x14ac:dyDescent="0.3">
      <c r="A27" s="72" t="s">
        <v>23</v>
      </c>
      <c r="B27" s="72"/>
      <c r="C27" s="72"/>
      <c r="D27" s="72"/>
      <c r="E27" s="106" t="s">
        <v>24</v>
      </c>
      <c r="F27" s="106"/>
      <c r="G27" s="106"/>
      <c r="H27" s="106"/>
    </row>
    <row r="28" spans="1:8" ht="15.75" customHeight="1" x14ac:dyDescent="0.3">
      <c r="A28" s="72" t="s">
        <v>84</v>
      </c>
      <c r="B28" s="72"/>
      <c r="C28" s="72"/>
      <c r="D28" s="72"/>
      <c r="E28" s="106" t="s">
        <v>85</v>
      </c>
      <c r="F28" s="106"/>
      <c r="G28" s="106"/>
      <c r="H28" s="106"/>
    </row>
    <row r="29" spans="1:8" ht="15" customHeight="1" x14ac:dyDescent="0.3">
      <c r="A29" s="72" t="s">
        <v>33</v>
      </c>
      <c r="B29" s="72"/>
      <c r="C29" s="72"/>
      <c r="D29" s="72"/>
      <c r="E29" s="10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06"/>
      <c r="G29" s="106"/>
      <c r="H29" s="106"/>
    </row>
    <row r="30" spans="1:8" ht="15.75" customHeight="1" x14ac:dyDescent="0.3">
      <c r="A30" s="72" t="s">
        <v>96</v>
      </c>
      <c r="B30" s="72"/>
      <c r="C30" s="72"/>
      <c r="D30" s="72"/>
      <c r="E30" s="106" t="s">
        <v>34</v>
      </c>
      <c r="F30" s="106"/>
      <c r="G30" s="106"/>
      <c r="H30" s="106"/>
    </row>
    <row r="31" spans="1:8" s="22" customFormat="1" x14ac:dyDescent="0.3">
      <c r="A31" s="148" t="s">
        <v>97</v>
      </c>
      <c r="B31" s="148"/>
      <c r="C31" s="147" t="s">
        <v>29</v>
      </c>
      <c r="D31" s="147"/>
      <c r="E31" s="147"/>
      <c r="F31" s="147" t="s">
        <v>31</v>
      </c>
      <c r="G31" s="147"/>
      <c r="H31" s="147"/>
    </row>
    <row r="32" spans="1:8" s="22" customFormat="1" x14ac:dyDescent="0.3">
      <c r="A32" s="145" t="s">
        <v>25</v>
      </c>
      <c r="B32" s="145" t="s">
        <v>30</v>
      </c>
      <c r="C32" s="146" t="s">
        <v>30</v>
      </c>
      <c r="D32" s="146"/>
      <c r="E32" s="146"/>
      <c r="F32" s="146" t="s">
        <v>197</v>
      </c>
      <c r="G32" s="146"/>
      <c r="H32" s="146"/>
    </row>
    <row r="33" spans="1:8" x14ac:dyDescent="0.3">
      <c r="A33" s="145" t="s">
        <v>26</v>
      </c>
      <c r="B33" s="145" t="s">
        <v>30</v>
      </c>
      <c r="C33" s="146" t="s">
        <v>30</v>
      </c>
      <c r="D33" s="146"/>
      <c r="E33" s="146"/>
      <c r="F33" s="146" t="s">
        <v>199</v>
      </c>
      <c r="G33" s="146"/>
      <c r="H33" s="146"/>
    </row>
    <row r="34" spans="1:8" s="22" customFormat="1" x14ac:dyDescent="0.3">
      <c r="A34" s="145" t="s">
        <v>28</v>
      </c>
      <c r="B34" s="145" t="s">
        <v>30</v>
      </c>
      <c r="C34" s="146" t="s">
        <v>30</v>
      </c>
      <c r="D34" s="146"/>
      <c r="E34" s="146"/>
      <c r="F34" s="146" t="s">
        <v>197</v>
      </c>
      <c r="G34" s="146"/>
      <c r="H34" s="146"/>
    </row>
    <row r="35" spans="1:8" x14ac:dyDescent="0.3">
      <c r="A35" s="145" t="s">
        <v>27</v>
      </c>
      <c r="B35" s="145" t="s">
        <v>30</v>
      </c>
      <c r="C35" s="146" t="s">
        <v>30</v>
      </c>
      <c r="D35" s="146"/>
      <c r="E35" s="146"/>
      <c r="F35" s="146" t="s">
        <v>198</v>
      </c>
      <c r="G35" s="146"/>
      <c r="H35" s="146"/>
    </row>
    <row r="36" spans="1:8" x14ac:dyDescent="0.3">
      <c r="A36" s="72" t="s">
        <v>32</v>
      </c>
      <c r="B36" s="72"/>
      <c r="C36" s="72"/>
      <c r="D36" s="72"/>
      <c r="E36" s="72"/>
      <c r="F36" s="72"/>
      <c r="G36" s="72"/>
      <c r="H36" s="72"/>
    </row>
    <row r="37" spans="1:8" ht="15.75" customHeight="1" x14ac:dyDescent="0.3">
      <c r="A37" s="137" t="s">
        <v>211</v>
      </c>
      <c r="B37" s="137"/>
      <c r="C37" s="160" t="s">
        <v>212</v>
      </c>
      <c r="D37" s="161"/>
      <c r="E37" s="161"/>
      <c r="F37" s="161"/>
      <c r="G37" s="161"/>
      <c r="H37" s="162"/>
    </row>
    <row r="38" spans="1:8" x14ac:dyDescent="0.3">
      <c r="A38" s="137" t="s">
        <v>175</v>
      </c>
      <c r="B38" s="137"/>
      <c r="C38" s="150" t="s">
        <v>196</v>
      </c>
      <c r="D38" s="106"/>
      <c r="E38" s="106"/>
      <c r="F38" s="106"/>
      <c r="G38" s="106"/>
      <c r="H38" s="106"/>
    </row>
    <row r="39" spans="1:8" x14ac:dyDescent="0.3">
      <c r="A39" s="135" t="s">
        <v>35</v>
      </c>
      <c r="B39" s="135"/>
      <c r="C39" s="135"/>
      <c r="D39" s="135"/>
      <c r="E39" s="135"/>
      <c r="F39" s="135"/>
      <c r="G39" s="135"/>
      <c r="H39" s="135"/>
    </row>
    <row r="40" spans="1:8" x14ac:dyDescent="0.3">
      <c r="A40" s="72" t="s">
        <v>36</v>
      </c>
      <c r="B40" s="72"/>
      <c r="C40" s="72"/>
      <c r="D40" s="72"/>
      <c r="E40" s="149">
        <v>3460</v>
      </c>
      <c r="F40" s="149"/>
      <c r="G40" s="149"/>
      <c r="H40" s="149"/>
    </row>
    <row r="41" spans="1:8" x14ac:dyDescent="0.3">
      <c r="A41" s="72" t="s">
        <v>37</v>
      </c>
      <c r="B41" s="72"/>
      <c r="C41" s="72"/>
      <c r="D41" s="72"/>
      <c r="E41" s="163">
        <v>1.1000000000000001</v>
      </c>
      <c r="F41" s="163"/>
      <c r="G41" s="163"/>
      <c r="H41" s="163"/>
    </row>
    <row r="42" spans="1:8" x14ac:dyDescent="0.3">
      <c r="A42" s="72" t="s">
        <v>38</v>
      </c>
      <c r="B42" s="72"/>
      <c r="C42" s="72"/>
      <c r="D42" s="72"/>
      <c r="E42" s="163">
        <f>E44/E40-E41</f>
        <v>1.4357225433526013</v>
      </c>
      <c r="F42" s="163"/>
      <c r="G42" s="163"/>
      <c r="H42" s="163"/>
    </row>
    <row r="43" spans="1:8" x14ac:dyDescent="0.3">
      <c r="A43" s="72" t="s">
        <v>39</v>
      </c>
      <c r="B43" s="72"/>
      <c r="C43" s="72"/>
      <c r="D43" s="72"/>
      <c r="E43" s="163">
        <f>E41+E42</f>
        <v>2.5357225433526014</v>
      </c>
      <c r="F43" s="163"/>
      <c r="G43" s="163"/>
      <c r="H43" s="163"/>
    </row>
    <row r="44" spans="1:8" x14ac:dyDescent="0.3">
      <c r="A44" s="72" t="s">
        <v>95</v>
      </c>
      <c r="B44" s="72"/>
      <c r="C44" s="72"/>
      <c r="D44" s="72"/>
      <c r="E44" s="165">
        <v>8773.6</v>
      </c>
      <c r="F44" s="165"/>
      <c r="G44" s="165"/>
      <c r="H44" s="165"/>
    </row>
    <row r="45" spans="1:8" x14ac:dyDescent="0.3">
      <c r="A45" s="107" t="s">
        <v>40</v>
      </c>
      <c r="B45" s="107"/>
      <c r="C45" s="107"/>
      <c r="D45" s="107"/>
      <c r="E45" s="107" t="s">
        <v>129</v>
      </c>
      <c r="F45" s="107"/>
      <c r="G45" s="107"/>
      <c r="H45" s="107"/>
    </row>
    <row r="46" spans="1:8" x14ac:dyDescent="0.3">
      <c r="A46" s="142" t="s">
        <v>41</v>
      </c>
      <c r="B46" s="142"/>
      <c r="C46" s="142"/>
      <c r="D46" s="142"/>
      <c r="E46" s="142"/>
      <c r="F46" s="142"/>
      <c r="G46" s="142"/>
      <c r="H46" s="142"/>
    </row>
    <row r="47" spans="1:8" ht="33.75" customHeight="1" x14ac:dyDescent="0.3">
      <c r="A47" s="96" t="s">
        <v>162</v>
      </c>
      <c r="B47" s="97"/>
      <c r="C47" s="115" t="s">
        <v>185</v>
      </c>
      <c r="D47" s="116"/>
      <c r="E47" s="116"/>
      <c r="F47" s="116"/>
      <c r="G47" s="116"/>
      <c r="H47" s="117"/>
    </row>
    <row r="48" spans="1:8" ht="32.25" customHeight="1" x14ac:dyDescent="0.3">
      <c r="A48" s="96" t="s">
        <v>42</v>
      </c>
      <c r="B48" s="97"/>
      <c r="C48" s="96" t="s">
        <v>186</v>
      </c>
      <c r="D48" s="98"/>
      <c r="E48" s="97"/>
      <c r="F48" s="54" t="s">
        <v>43</v>
      </c>
      <c r="G48" s="158">
        <v>44607</v>
      </c>
      <c r="H48" s="97"/>
    </row>
    <row r="49" spans="1:14" ht="32.25" customHeight="1" x14ac:dyDescent="0.3">
      <c r="A49" s="101" t="s">
        <v>44</v>
      </c>
      <c r="B49" s="103"/>
      <c r="C49" s="101" t="str">
        <f>C48</f>
        <v>VP/S06/0316/18/TMC/TD-DP/TPS/3968/22</v>
      </c>
      <c r="D49" s="102"/>
      <c r="E49" s="103"/>
      <c r="F49" s="18" t="s">
        <v>43</v>
      </c>
      <c r="G49" s="99">
        <f>G48</f>
        <v>44607</v>
      </c>
      <c r="H49" s="100"/>
    </row>
    <row r="50" spans="1:14" s="23" customFormat="1" ht="32.25" customHeight="1" x14ac:dyDescent="0.3">
      <c r="A50" s="154" t="s">
        <v>166</v>
      </c>
      <c r="B50" s="155"/>
      <c r="C50" s="101" t="str">
        <f>C49</f>
        <v>VP/S06/0316/18/TMC/TD-DP/TPS/3968/22</v>
      </c>
      <c r="D50" s="102"/>
      <c r="E50" s="103"/>
      <c r="F50" s="18" t="s">
        <v>43</v>
      </c>
      <c r="G50" s="99">
        <f>G49</f>
        <v>44607</v>
      </c>
      <c r="H50" s="100"/>
    </row>
    <row r="51" spans="1:14" s="23" customFormat="1" ht="15.75" customHeight="1" x14ac:dyDescent="0.3">
      <c r="A51" s="156"/>
      <c r="B51" s="157"/>
      <c r="C51" s="101" t="s">
        <v>187</v>
      </c>
      <c r="D51" s="102"/>
      <c r="E51" s="102"/>
      <c r="F51" s="102"/>
      <c r="G51" s="102"/>
      <c r="H51" s="103"/>
    </row>
    <row r="52" spans="1:14" x14ac:dyDescent="0.3">
      <c r="A52" s="108" t="s">
        <v>45</v>
      </c>
      <c r="B52" s="109"/>
      <c r="C52" s="108" t="s">
        <v>109</v>
      </c>
      <c r="D52" s="110"/>
      <c r="E52" s="109"/>
      <c r="F52" s="46" t="s">
        <v>43</v>
      </c>
      <c r="G52" s="113" t="s">
        <v>30</v>
      </c>
      <c r="H52" s="114"/>
    </row>
    <row r="53" spans="1:14" x14ac:dyDescent="0.3">
      <c r="A53" s="111" t="s">
        <v>47</v>
      </c>
      <c r="B53" s="111"/>
      <c r="C53" s="111"/>
      <c r="D53" s="111"/>
      <c r="E53" s="111"/>
      <c r="F53" s="111"/>
      <c r="G53" s="111"/>
      <c r="H53" s="111"/>
    </row>
    <row r="54" spans="1:14" x14ac:dyDescent="0.3">
      <c r="A54" s="112" t="s">
        <v>94</v>
      </c>
      <c r="B54" s="112"/>
      <c r="C54" s="112"/>
      <c r="D54" s="72">
        <f>E44</f>
        <v>8773.6</v>
      </c>
      <c r="E54" s="72"/>
      <c r="F54" s="72"/>
      <c r="G54" s="72"/>
      <c r="H54" s="72"/>
    </row>
    <row r="55" spans="1:14" x14ac:dyDescent="0.3">
      <c r="A55" s="106" t="s">
        <v>48</v>
      </c>
      <c r="B55" s="107"/>
      <c r="C55" s="107"/>
      <c r="D55" s="107" t="s">
        <v>195</v>
      </c>
      <c r="E55" s="107"/>
      <c r="F55" s="107"/>
      <c r="G55" s="107"/>
      <c r="H55" s="107"/>
      <c r="I55" s="24"/>
    </row>
    <row r="56" spans="1:14" x14ac:dyDescent="0.3">
      <c r="A56" s="104" t="s">
        <v>49</v>
      </c>
      <c r="B56" s="105"/>
      <c r="C56" s="153"/>
      <c r="D56" s="151" t="s">
        <v>187</v>
      </c>
      <c r="E56" s="152"/>
      <c r="F56" s="152"/>
      <c r="G56" s="152"/>
      <c r="H56" s="152"/>
    </row>
    <row r="57" spans="1:14" ht="15.75" customHeight="1" x14ac:dyDescent="0.3">
      <c r="A57" s="104" t="s">
        <v>92</v>
      </c>
      <c r="B57" s="105"/>
      <c r="C57" s="105"/>
      <c r="D57" s="106" t="s">
        <v>215</v>
      </c>
      <c r="E57" s="107"/>
      <c r="F57" s="107"/>
      <c r="G57" s="107"/>
      <c r="H57" s="107"/>
    </row>
    <row r="58" spans="1:14" ht="15.75" customHeight="1" x14ac:dyDescent="0.3">
      <c r="A58" s="72" t="s">
        <v>46</v>
      </c>
      <c r="B58" s="72"/>
      <c r="C58" s="72"/>
      <c r="D58" s="159" t="s">
        <v>188</v>
      </c>
      <c r="E58" s="159"/>
      <c r="F58" s="159"/>
      <c r="G58" s="159"/>
      <c r="H58" s="159"/>
      <c r="J58" s="25"/>
      <c r="K58" s="24"/>
      <c r="N58" s="24"/>
    </row>
    <row r="59" spans="1:14" ht="15.75" customHeight="1" x14ac:dyDescent="0.3">
      <c r="A59" s="72" t="s">
        <v>90</v>
      </c>
      <c r="B59" s="72"/>
      <c r="C59" s="72"/>
      <c r="D59" s="164" t="str">
        <f>(IF(G52="NA","60 Years After Completion",IF(G52&lt;&gt;"NA",""&amp;60-ROUNDDOWN((E3-G52)/360,0)&amp;" Years"," ")))</f>
        <v>60 Years After Completion</v>
      </c>
      <c r="E59" s="164"/>
      <c r="F59" s="164"/>
      <c r="G59" s="164"/>
      <c r="H59" s="164"/>
      <c r="N59" s="24"/>
    </row>
    <row r="60" spans="1:14" ht="15.75" customHeight="1" x14ac:dyDescent="0.3">
      <c r="A60" s="72" t="s">
        <v>91</v>
      </c>
      <c r="B60" s="72"/>
      <c r="C60" s="72"/>
      <c r="D60" s="112" t="s">
        <v>24</v>
      </c>
      <c r="E60" s="112"/>
      <c r="F60" s="112"/>
      <c r="G60" s="112"/>
      <c r="H60" s="112"/>
      <c r="J60" s="26"/>
      <c r="K60" s="26"/>
    </row>
    <row r="61" spans="1:14" ht="15" customHeight="1" x14ac:dyDescent="0.3">
      <c r="A61" s="72" t="s">
        <v>77</v>
      </c>
      <c r="B61" s="72"/>
      <c r="C61" s="72"/>
      <c r="D61" s="106" t="s">
        <v>208</v>
      </c>
      <c r="E61" s="106"/>
      <c r="F61" s="106"/>
      <c r="G61" s="106"/>
      <c r="H61" s="106"/>
    </row>
    <row r="62" spans="1:14" x14ac:dyDescent="0.3">
      <c r="A62" s="112" t="s">
        <v>158</v>
      </c>
      <c r="B62" s="112"/>
      <c r="C62" s="112"/>
      <c r="D62" s="112" t="s">
        <v>30</v>
      </c>
      <c r="E62" s="112"/>
      <c r="F62" s="112"/>
      <c r="G62" s="112"/>
      <c r="H62" s="112"/>
      <c r="I62" s="27"/>
      <c r="J62" s="27"/>
      <c r="K62" s="27"/>
      <c r="L62" s="27"/>
      <c r="M62" s="27"/>
      <c r="N62" s="27"/>
    </row>
    <row r="63" spans="1:14" ht="15.75" customHeight="1" x14ac:dyDescent="0.3">
      <c r="A63" s="175" t="s">
        <v>89</v>
      </c>
      <c r="B63" s="175"/>
      <c r="C63" s="175"/>
      <c r="D63" s="151" t="str">
        <f ca="1">(IF(G69&gt;95%,"Nothing",IF(G69&gt;0%,"Cement, Aggregate, Steel, etc",IF(G69=0%,"Work not yet Started"))))</f>
        <v>Cement, Aggregate, Steel, etc</v>
      </c>
      <c r="E63" s="151"/>
      <c r="F63" s="151"/>
      <c r="G63" s="151"/>
      <c r="H63" s="151"/>
      <c r="J63" s="26"/>
    </row>
    <row r="64" spans="1:14" ht="33.75" customHeight="1" thickBot="1" x14ac:dyDescent="0.35">
      <c r="A64" s="119" t="s">
        <v>122</v>
      </c>
      <c r="B64" s="119"/>
      <c r="C64" s="119"/>
      <c r="D64" s="151" t="str">
        <f ca="1">(IF(D63="Nothing","Yes",IF(D63="Cement, Aggregate, Steel, etc","Under Construction",IF(D63="Work not yet Started","Work not yet Started"))))</f>
        <v>Under Construction</v>
      </c>
      <c r="E64" s="151"/>
      <c r="F64" s="151" t="str">
        <f ca="1">(IF(D63="Nothing","Yes",IF(D63="Cement, Aggregate, Steel, etc","Under Construction",IF(D63="Work not yet Started","Work not yet Started"))))</f>
        <v>Under Construction</v>
      </c>
      <c r="G64" s="151"/>
      <c r="H64" s="151"/>
    </row>
    <row r="65" spans="1:10" ht="15.75" customHeight="1" x14ac:dyDescent="0.3">
      <c r="A65" s="168" t="s">
        <v>148</v>
      </c>
      <c r="B65" s="169"/>
      <c r="C65" s="170" t="str">
        <f>D57</f>
        <v>Building = G + 1st to 21st Floor</v>
      </c>
      <c r="D65" s="171"/>
      <c r="E65" s="171"/>
      <c r="F65" s="171"/>
      <c r="G65" s="171"/>
      <c r="H65" s="172"/>
      <c r="I65" s="48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17 Floor, External Plaster upto 15 Floor Completed</v>
      </c>
      <c r="J65" s="49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17 Floor, External Plaster upto 15 Floor</v>
      </c>
    </row>
    <row r="66" spans="1:10" x14ac:dyDescent="0.3">
      <c r="A66" s="16" t="s">
        <v>150</v>
      </c>
      <c r="B66" s="53">
        <v>0</v>
      </c>
      <c r="C66" s="53" t="s">
        <v>74</v>
      </c>
      <c r="D66" s="53">
        <v>1</v>
      </c>
      <c r="E66" s="53" t="s">
        <v>73</v>
      </c>
      <c r="F66" s="53">
        <v>0</v>
      </c>
      <c r="G66" s="53" t="s">
        <v>83</v>
      </c>
      <c r="H66" s="17">
        <f ca="1">--TRIM(RIGHT(SUBSTITUTE(LEFT(C65,_xlfn.AGGREGATE(16,6,FIND({0,1,2,3,4,5,6,7,8,9},C65,ROW(INDIRECT("1:"&amp;LEN(C65)))),1))," ",REPT(" ",LEN(C65))),LEN(C65)))</f>
        <v>21</v>
      </c>
      <c r="I66" s="50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51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0.9" customHeight="1" x14ac:dyDescent="0.3">
      <c r="A67" s="167" t="s">
        <v>93</v>
      </c>
      <c r="B67" s="142"/>
      <c r="C67" s="173" t="str">
        <f ca="1">I65</f>
        <v>Excavation, Plinth, RCC Slab, Brickwork Completed, Internal Plaster upto 17 Floor, External Plaster upto 15 Floor Completed</v>
      </c>
      <c r="D67" s="173"/>
      <c r="E67" s="173"/>
      <c r="F67" s="173"/>
      <c r="G67" s="173"/>
      <c r="H67" s="174"/>
      <c r="I67" s="50" t="str">
        <f ca="1">IF(I66&lt;&gt;""," Completed","")</f>
        <v xml:space="preserve"> Completed</v>
      </c>
      <c r="J67" s="51" t="str">
        <f ca="1">IF(J65&lt;&gt;"","Completed","")</f>
        <v>Completed</v>
      </c>
    </row>
    <row r="68" spans="1:10" ht="15.75" customHeight="1" x14ac:dyDescent="0.3">
      <c r="A68" s="166" t="s">
        <v>50</v>
      </c>
      <c r="B68" s="118"/>
      <c r="C68" s="55" t="s">
        <v>147</v>
      </c>
      <c r="D68" s="55" t="s">
        <v>86</v>
      </c>
      <c r="E68" s="118" t="s">
        <v>88</v>
      </c>
      <c r="F68" s="118"/>
      <c r="G68" s="118" t="s">
        <v>87</v>
      </c>
      <c r="H68" s="132"/>
      <c r="I68" s="14" t="s">
        <v>149</v>
      </c>
      <c r="J68" s="28">
        <f ca="1">H66*25%</f>
        <v>5.25</v>
      </c>
    </row>
    <row r="69" spans="1:10" x14ac:dyDescent="0.3">
      <c r="A69" s="62" t="s">
        <v>136</v>
      </c>
      <c r="B69" s="63"/>
      <c r="C69" s="55">
        <f ca="1">J70</f>
        <v>21</v>
      </c>
      <c r="D69" s="19">
        <f ca="1">((100/H66)*C69)/100</f>
        <v>1</v>
      </c>
      <c r="E69" s="123">
        <f ca="1">(((C70/H66*10)+(40/(D66+F66+H66)*C71)+(7.5/(H66)*C72)+(7.5/(H66)*C73)+(10/H66*C74)+(10/H66*C75)+(5/H66*C76)+(5/H66*C77)+(5/H66*C78))/100)</f>
        <v>0.70714285714285707</v>
      </c>
      <c r="F69" s="124"/>
      <c r="G69" s="123">
        <f ca="1">((((C69/H66)*20)+((C70/H66)*25)+(30/(H66+F66+D66)*C71)+(5/H66*C72)+(5/H66*C73)+(5/H66*C74)+(5/H66*C75)+(0/H66*C76)+(0/H66*C77)+(5/H66*C78))/100)</f>
        <v>0.87619047619047619</v>
      </c>
      <c r="H69" s="129"/>
      <c r="I69" s="14" t="s">
        <v>104</v>
      </c>
      <c r="J69" s="29">
        <f ca="1">H66*50%</f>
        <v>10.5</v>
      </c>
    </row>
    <row r="70" spans="1:10" x14ac:dyDescent="0.3">
      <c r="A70" s="62" t="s">
        <v>51</v>
      </c>
      <c r="B70" s="63"/>
      <c r="C70" s="55">
        <f ca="1">J78</f>
        <v>21</v>
      </c>
      <c r="D70" s="19">
        <f ca="1">((100/H66)*C70)/100</f>
        <v>1</v>
      </c>
      <c r="E70" s="125"/>
      <c r="F70" s="126"/>
      <c r="G70" s="125"/>
      <c r="H70" s="130"/>
      <c r="I70" s="14" t="s">
        <v>105</v>
      </c>
      <c r="J70" s="29">
        <f ca="1">H66</f>
        <v>21</v>
      </c>
    </row>
    <row r="71" spans="1:10" ht="15.75" customHeight="1" x14ac:dyDescent="0.3">
      <c r="A71" s="62" t="s">
        <v>137</v>
      </c>
      <c r="B71" s="63"/>
      <c r="C71" s="44">
        <v>22</v>
      </c>
      <c r="D71" s="19">
        <f ca="1">((100/(D66+F66+H66))*C71)/100</f>
        <v>1.0000000000000002</v>
      </c>
      <c r="E71" s="125"/>
      <c r="F71" s="126"/>
      <c r="G71" s="125"/>
      <c r="H71" s="130"/>
      <c r="I71" s="14" t="s">
        <v>106</v>
      </c>
      <c r="J71" s="30">
        <f ca="1">(IF(B66&gt;1,(H66/(B66+2)),H66/4))</f>
        <v>5.25</v>
      </c>
    </row>
    <row r="72" spans="1:10" ht="15.75" customHeight="1" x14ac:dyDescent="0.3">
      <c r="A72" s="62" t="s">
        <v>144</v>
      </c>
      <c r="B72" s="63" t="s">
        <v>138</v>
      </c>
      <c r="C72" s="44">
        <v>21</v>
      </c>
      <c r="D72" s="19">
        <f ca="1">((100/H66)*C72)/100</f>
        <v>1</v>
      </c>
      <c r="E72" s="125"/>
      <c r="F72" s="126"/>
      <c r="G72" s="125"/>
      <c r="H72" s="130"/>
      <c r="I72" s="14" t="s">
        <v>107</v>
      </c>
      <c r="J72" s="30">
        <f ca="1">(IF(B66&gt;1,(H66/(B66+2)+J71),H66/4+J71))</f>
        <v>10.5</v>
      </c>
    </row>
    <row r="73" spans="1:10" ht="15.75" customHeight="1" x14ac:dyDescent="0.3">
      <c r="A73" s="62" t="s">
        <v>145</v>
      </c>
      <c r="B73" s="63" t="s">
        <v>138</v>
      </c>
      <c r="C73" s="44">
        <v>17</v>
      </c>
      <c r="D73" s="19">
        <f ca="1">((100/H66)*C73)/100</f>
        <v>0.80952380952380953</v>
      </c>
      <c r="E73" s="125"/>
      <c r="F73" s="126"/>
      <c r="G73" s="125"/>
      <c r="H73" s="130"/>
      <c r="I73" s="14" t="s">
        <v>156</v>
      </c>
      <c r="J73" s="30">
        <f>(IF(B66&gt;1,(H66/(B66+2)+J72),0))</f>
        <v>0</v>
      </c>
    </row>
    <row r="74" spans="1:10" ht="15" customHeight="1" x14ac:dyDescent="0.3">
      <c r="A74" s="62" t="s">
        <v>143</v>
      </c>
      <c r="B74" s="63" t="s">
        <v>140</v>
      </c>
      <c r="C74" s="44">
        <v>15</v>
      </c>
      <c r="D74" s="19">
        <f ca="1">((100/(H66))*C74)/100</f>
        <v>0.7142857142857143</v>
      </c>
      <c r="E74" s="125"/>
      <c r="F74" s="126"/>
      <c r="G74" s="125"/>
      <c r="H74" s="130"/>
      <c r="I74" s="14" t="s">
        <v>151</v>
      </c>
      <c r="J74" s="30">
        <f>(IF(B66&gt;2,(H66/(B66+2)+J73),0))</f>
        <v>0</v>
      </c>
    </row>
    <row r="75" spans="1:10" ht="15.75" customHeight="1" x14ac:dyDescent="0.3">
      <c r="A75" s="62" t="s">
        <v>139</v>
      </c>
      <c r="B75" s="63" t="s">
        <v>139</v>
      </c>
      <c r="C75" s="44">
        <v>0</v>
      </c>
      <c r="D75" s="19">
        <f ca="1">((100/H66)*C75)/100</f>
        <v>0</v>
      </c>
      <c r="E75" s="125"/>
      <c r="F75" s="126"/>
      <c r="G75" s="125"/>
      <c r="H75" s="130"/>
      <c r="I75" s="14" t="s">
        <v>152</v>
      </c>
      <c r="J75" s="31">
        <f>(IF(B66&gt;3,(H66/(B66+2)+J74),0))</f>
        <v>0</v>
      </c>
    </row>
    <row r="76" spans="1:10" ht="15.75" customHeight="1" x14ac:dyDescent="0.3">
      <c r="A76" s="62" t="s">
        <v>146</v>
      </c>
      <c r="B76" s="63"/>
      <c r="C76" s="44">
        <v>0</v>
      </c>
      <c r="D76" s="19">
        <f ca="1">((100/H66)*C76)/100</f>
        <v>0</v>
      </c>
      <c r="E76" s="125"/>
      <c r="F76" s="126"/>
      <c r="G76" s="125"/>
      <c r="H76" s="130"/>
      <c r="I76" s="14" t="s">
        <v>153</v>
      </c>
      <c r="J76" s="30">
        <f>(IF(B66&gt;4,(H66/(B66+2)+J75),0))</f>
        <v>0</v>
      </c>
    </row>
    <row r="77" spans="1:10" ht="15.75" customHeight="1" x14ac:dyDescent="0.3">
      <c r="A77" s="62" t="s">
        <v>141</v>
      </c>
      <c r="B77" s="63" t="s">
        <v>141</v>
      </c>
      <c r="C77" s="44">
        <v>0</v>
      </c>
      <c r="D77" s="19">
        <f ca="1">((100/(H66))*C77)/100</f>
        <v>0</v>
      </c>
      <c r="E77" s="125"/>
      <c r="F77" s="126"/>
      <c r="G77" s="125"/>
      <c r="H77" s="130"/>
      <c r="I77" s="14" t="s">
        <v>157</v>
      </c>
      <c r="J77" s="30">
        <f ca="1">(IF(B66=1,(H66/(B66+3)+J72),IF(B66=0,(H66/4+J72),IF(B66&gt;1,0))))</f>
        <v>15.75</v>
      </c>
    </row>
    <row r="78" spans="1:10" ht="16.2" thickBot="1" x14ac:dyDescent="0.35">
      <c r="A78" s="60" t="s">
        <v>142</v>
      </c>
      <c r="B78" s="61"/>
      <c r="C78" s="45">
        <v>0</v>
      </c>
      <c r="D78" s="20">
        <f ca="1">((100/(H66))*C78)/100</f>
        <v>0</v>
      </c>
      <c r="E78" s="127"/>
      <c r="F78" s="128"/>
      <c r="G78" s="127"/>
      <c r="H78" s="131"/>
      <c r="I78" s="15" t="s">
        <v>108</v>
      </c>
      <c r="J78" s="32">
        <f ca="1">(IF(B66&gt;1.5,(H66/(B66+2)+J72+MAX(0,J73-J72)+MAX(0,J74-J73)+MAX(0,J75-J74)+MAX(0,J76-J75)+MAX(0,J77-J76)),IF(B66=1,(H66/(B66+3)+J77),IF(B66=0,H66/4+J77))))</f>
        <v>21</v>
      </c>
    </row>
    <row r="79" spans="1:10" x14ac:dyDescent="0.3">
      <c r="A79" s="178" t="s">
        <v>168</v>
      </c>
      <c r="B79" s="178"/>
      <c r="C79" s="178"/>
      <c r="D79" s="178"/>
      <c r="E79" s="178"/>
      <c r="F79" s="179" t="s">
        <v>173</v>
      </c>
      <c r="G79" s="179"/>
      <c r="H79" s="179"/>
    </row>
    <row r="80" spans="1:10" x14ac:dyDescent="0.3">
      <c r="A80" s="72" t="s">
        <v>171</v>
      </c>
      <c r="B80" s="72"/>
      <c r="C80" s="72"/>
      <c r="D80" s="72"/>
      <c r="E80" s="72"/>
      <c r="F80" s="64">
        <v>7000</v>
      </c>
      <c r="G80" s="64"/>
      <c r="H80" s="64"/>
    </row>
    <row r="81" spans="1:8" hidden="1" x14ac:dyDescent="0.3">
      <c r="A81" s="72" t="s">
        <v>170</v>
      </c>
      <c r="B81" s="72"/>
      <c r="C81" s="72"/>
      <c r="D81" s="72"/>
      <c r="E81" s="72"/>
      <c r="F81" s="64"/>
      <c r="G81" s="64"/>
      <c r="H81" s="64"/>
    </row>
    <row r="82" spans="1:8" hidden="1" x14ac:dyDescent="0.3">
      <c r="A82" s="72" t="s">
        <v>172</v>
      </c>
      <c r="B82" s="72"/>
      <c r="C82" s="72"/>
      <c r="D82" s="72"/>
      <c r="E82" s="72"/>
      <c r="F82" s="64"/>
      <c r="G82" s="64"/>
      <c r="H82" s="64"/>
    </row>
    <row r="83" spans="1:8" s="33" customFormat="1" hidden="1" x14ac:dyDescent="0.25">
      <c r="A83" s="72" t="s">
        <v>169</v>
      </c>
      <c r="B83" s="72"/>
      <c r="C83" s="72"/>
      <c r="D83" s="72"/>
      <c r="E83" s="72"/>
      <c r="F83" s="64"/>
      <c r="G83" s="64"/>
      <c r="H83" s="64"/>
    </row>
    <row r="84" spans="1:8" s="33" customFormat="1" hidden="1" x14ac:dyDescent="0.25">
      <c r="A84" s="72" t="s">
        <v>98</v>
      </c>
      <c r="B84" s="72"/>
      <c r="C84" s="72"/>
      <c r="D84" s="72"/>
      <c r="E84" s="72"/>
      <c r="F84" s="64"/>
      <c r="G84" s="64"/>
      <c r="H84" s="64"/>
    </row>
    <row r="85" spans="1:8" s="33" customFormat="1" hidden="1" x14ac:dyDescent="0.25">
      <c r="A85" s="72" t="s">
        <v>99</v>
      </c>
      <c r="B85" s="72"/>
      <c r="C85" s="72"/>
      <c r="D85" s="72"/>
      <c r="E85" s="72"/>
      <c r="F85" s="64"/>
      <c r="G85" s="64"/>
      <c r="H85" s="64"/>
    </row>
    <row r="86" spans="1:8" s="33" customFormat="1" hidden="1" x14ac:dyDescent="0.25">
      <c r="A86" s="72" t="s">
        <v>174</v>
      </c>
      <c r="B86" s="72"/>
      <c r="C86" s="72"/>
      <c r="D86" s="72"/>
      <c r="E86" s="72"/>
      <c r="F86" s="64"/>
      <c r="G86" s="64"/>
      <c r="H86" s="64"/>
    </row>
    <row r="87" spans="1:8" s="33" customFormat="1" hidden="1" x14ac:dyDescent="0.25">
      <c r="A87" s="72" t="s">
        <v>100</v>
      </c>
      <c r="B87" s="72"/>
      <c r="C87" s="72"/>
      <c r="D87" s="72"/>
      <c r="E87" s="72"/>
      <c r="F87" s="64"/>
      <c r="G87" s="64"/>
      <c r="H87" s="64"/>
    </row>
    <row r="88" spans="1:8" s="33" customFormat="1" hidden="1" x14ac:dyDescent="0.25">
      <c r="A88" s="72" t="s">
        <v>101</v>
      </c>
      <c r="B88" s="72"/>
      <c r="C88" s="72"/>
      <c r="D88" s="72"/>
      <c r="E88" s="72"/>
      <c r="F88" s="64"/>
      <c r="G88" s="64"/>
      <c r="H88" s="64"/>
    </row>
    <row r="89" spans="1:8" s="33" customFormat="1" hidden="1" x14ac:dyDescent="0.25">
      <c r="A89" s="72" t="s">
        <v>102</v>
      </c>
      <c r="B89" s="72"/>
      <c r="C89" s="72"/>
      <c r="D89" s="72"/>
      <c r="E89" s="72"/>
      <c r="F89" s="64"/>
      <c r="G89" s="64"/>
      <c r="H89" s="64"/>
    </row>
    <row r="90" spans="1:8" s="33" customFormat="1" hidden="1" x14ac:dyDescent="0.25">
      <c r="A90" s="72" t="s">
        <v>103</v>
      </c>
      <c r="B90" s="72"/>
      <c r="C90" s="72"/>
      <c r="D90" s="72"/>
      <c r="E90" s="72"/>
      <c r="F90" s="64"/>
      <c r="G90" s="64"/>
      <c r="H90" s="64"/>
    </row>
    <row r="91" spans="1:8" x14ac:dyDescent="0.3">
      <c r="A91" s="72" t="s">
        <v>52</v>
      </c>
      <c r="B91" s="72"/>
      <c r="C91" s="72"/>
      <c r="D91" s="72"/>
      <c r="E91" s="72"/>
      <c r="F91" s="64">
        <v>400000</v>
      </c>
      <c r="G91" s="64"/>
      <c r="H91" s="64"/>
    </row>
    <row r="92" spans="1:8" s="34" customFormat="1" x14ac:dyDescent="0.3">
      <c r="A92" s="135" t="s">
        <v>53</v>
      </c>
      <c r="B92" s="135"/>
      <c r="C92" s="135"/>
      <c r="D92" s="135"/>
      <c r="E92" s="135"/>
      <c r="F92" s="64">
        <f>F80*0.8</f>
        <v>5600</v>
      </c>
      <c r="G92" s="64"/>
      <c r="H92" s="64"/>
    </row>
    <row r="93" spans="1:8" s="35" customFormat="1" ht="15.75" hidden="1" customHeight="1" x14ac:dyDescent="0.3">
      <c r="A93" s="70" t="s">
        <v>78</v>
      </c>
      <c r="B93" s="70"/>
      <c r="C93" s="70"/>
      <c r="D93" s="70"/>
      <c r="E93" s="70"/>
      <c r="F93" s="70"/>
      <c r="G93" s="70"/>
      <c r="H93" s="70"/>
    </row>
    <row r="94" spans="1:8" s="35" customFormat="1" ht="15.75" hidden="1" customHeight="1" x14ac:dyDescent="0.3">
      <c r="A94" s="66" t="s">
        <v>54</v>
      </c>
      <c r="B94" s="66"/>
      <c r="C94" s="71" t="s">
        <v>81</v>
      </c>
      <c r="D94" s="71"/>
      <c r="E94" s="65" t="s">
        <v>55</v>
      </c>
      <c r="F94" s="65"/>
      <c r="G94" s="66" t="s">
        <v>56</v>
      </c>
      <c r="H94" s="66"/>
    </row>
    <row r="95" spans="1:8" s="35" customFormat="1" hidden="1" x14ac:dyDescent="0.3">
      <c r="A95" s="67"/>
      <c r="B95" s="67"/>
      <c r="C95" s="76"/>
      <c r="D95" s="76"/>
      <c r="E95" s="68"/>
      <c r="F95" s="68"/>
      <c r="G95" s="69"/>
      <c r="H95" s="69"/>
    </row>
    <row r="96" spans="1:8" s="35" customFormat="1" hidden="1" x14ac:dyDescent="0.3">
      <c r="A96" s="67"/>
      <c r="B96" s="67"/>
      <c r="C96" s="76"/>
      <c r="D96" s="76"/>
      <c r="E96" s="68"/>
      <c r="F96" s="68"/>
      <c r="G96" s="69"/>
      <c r="H96" s="69"/>
    </row>
    <row r="97" spans="1:14" s="35" customFormat="1" hidden="1" x14ac:dyDescent="0.3">
      <c r="A97" s="70" t="s">
        <v>161</v>
      </c>
      <c r="B97" s="70"/>
      <c r="C97" s="71"/>
      <c r="D97" s="71"/>
      <c r="E97" s="65"/>
      <c r="F97" s="65"/>
      <c r="G97" s="66"/>
      <c r="H97" s="66"/>
    </row>
    <row r="98" spans="1:14" s="35" customFormat="1" x14ac:dyDescent="0.3">
      <c r="A98" s="70" t="s">
        <v>72</v>
      </c>
      <c r="B98" s="70"/>
      <c r="C98" s="70"/>
      <c r="D98" s="70"/>
      <c r="E98" s="70"/>
      <c r="F98" s="70"/>
      <c r="G98" s="70"/>
      <c r="H98" s="70"/>
    </row>
    <row r="99" spans="1:14" s="35" customFormat="1" ht="15.75" customHeight="1" x14ac:dyDescent="0.3">
      <c r="A99" s="66" t="s">
        <v>54</v>
      </c>
      <c r="B99" s="66"/>
      <c r="C99" s="71" t="s">
        <v>81</v>
      </c>
      <c r="D99" s="71"/>
      <c r="E99" s="65" t="s">
        <v>55</v>
      </c>
      <c r="F99" s="65"/>
      <c r="G99" s="66" t="s">
        <v>56</v>
      </c>
      <c r="H99" s="66"/>
    </row>
    <row r="100" spans="1:14" s="35" customFormat="1" x14ac:dyDescent="0.3">
      <c r="A100" s="67" t="s">
        <v>193</v>
      </c>
      <c r="B100" s="67"/>
      <c r="C100" s="76">
        <f>COUNT(D117:D128)*11+COUNT(D130:D140)*2</f>
        <v>154</v>
      </c>
      <c r="D100" s="76"/>
      <c r="E100" s="95">
        <f>SUM(D117:D128)*11+SUM(D130:D140)*2</f>
        <v>73463.169779999997</v>
      </c>
      <c r="F100" s="95"/>
      <c r="G100" s="95">
        <f>SUM(F117:F128)*11+SUM(F130:F140)*2</f>
        <v>110194.75466999997</v>
      </c>
      <c r="H100" s="95"/>
    </row>
    <row r="101" spans="1:14" s="35" customFormat="1" hidden="1" x14ac:dyDescent="0.3">
      <c r="A101" s="67"/>
      <c r="B101" s="67"/>
      <c r="C101" s="76"/>
      <c r="D101" s="76"/>
      <c r="E101" s="68"/>
      <c r="F101" s="68"/>
      <c r="G101" s="69"/>
      <c r="H101" s="69"/>
    </row>
    <row r="102" spans="1:14" s="35" customFormat="1" hidden="1" x14ac:dyDescent="0.3">
      <c r="A102" s="70" t="s">
        <v>161</v>
      </c>
      <c r="B102" s="70"/>
      <c r="C102" s="71"/>
      <c r="D102" s="71"/>
      <c r="E102" s="65"/>
      <c r="F102" s="65"/>
      <c r="G102" s="66"/>
      <c r="H102" s="66"/>
    </row>
    <row r="103" spans="1:14" s="34" customFormat="1" x14ac:dyDescent="0.3">
      <c r="A103" s="137" t="s">
        <v>57</v>
      </c>
      <c r="B103" s="137"/>
      <c r="C103" s="137"/>
      <c r="D103" s="137"/>
      <c r="E103" s="137"/>
      <c r="F103" s="137"/>
      <c r="G103" s="137"/>
      <c r="H103" s="137"/>
    </row>
    <row r="104" spans="1:14" x14ac:dyDescent="0.3">
      <c r="A104" s="137" t="s">
        <v>58</v>
      </c>
      <c r="B104" s="137"/>
      <c r="C104" s="137"/>
      <c r="D104" s="137"/>
      <c r="E104" s="137"/>
      <c r="F104" s="137"/>
      <c r="G104" s="137"/>
      <c r="H104" s="137"/>
    </row>
    <row r="105" spans="1:14" ht="47.25" hidden="1" customHeight="1" x14ac:dyDescent="0.3">
      <c r="A105" s="84" t="s">
        <v>126</v>
      </c>
      <c r="B105" s="84" t="s">
        <v>125</v>
      </c>
      <c r="C105" s="84" t="s">
        <v>59</v>
      </c>
      <c r="D105" s="84" t="s">
        <v>60</v>
      </c>
      <c r="E105" s="86" t="s">
        <v>167</v>
      </c>
      <c r="F105" s="43" t="s">
        <v>159</v>
      </c>
      <c r="G105" s="88" t="s">
        <v>62</v>
      </c>
      <c r="H105" s="89"/>
    </row>
    <row r="106" spans="1:14" s="37" customFormat="1" hidden="1" x14ac:dyDescent="0.3">
      <c r="A106" s="85"/>
      <c r="B106" s="85"/>
      <c r="C106" s="85"/>
      <c r="D106" s="85"/>
      <c r="E106" s="87"/>
      <c r="F106" s="13">
        <v>0.6</v>
      </c>
      <c r="G106" s="90"/>
      <c r="H106" s="91"/>
    </row>
    <row r="107" spans="1:14" s="37" customFormat="1" hidden="1" x14ac:dyDescent="0.3">
      <c r="A107" s="92" t="s">
        <v>123</v>
      </c>
      <c r="B107" s="93"/>
      <c r="C107" s="93"/>
      <c r="D107" s="93"/>
      <c r="E107" s="93"/>
      <c r="F107" s="93"/>
      <c r="G107" s="93"/>
      <c r="H107" s="94"/>
      <c r="J107" s="36"/>
    </row>
    <row r="108" spans="1:14" s="37" customFormat="1" ht="15.75" hidden="1" customHeight="1" x14ac:dyDescent="0.3">
      <c r="A108" s="73">
        <v>1</v>
      </c>
      <c r="B108" s="74"/>
      <c r="C108" s="42"/>
      <c r="D108" s="42"/>
      <c r="E108" s="42">
        <v>0</v>
      </c>
      <c r="F108" s="42">
        <f>(D108+E108)*(($F$106)+1)</f>
        <v>0</v>
      </c>
      <c r="G108" s="77" t="str">
        <f>A107</f>
        <v>Ground Floor</v>
      </c>
      <c r="H108" s="78"/>
      <c r="I108" s="36"/>
      <c r="L108" s="176"/>
      <c r="M108" s="176"/>
      <c r="N108" s="36"/>
    </row>
    <row r="109" spans="1:14" s="37" customFormat="1" ht="15.75" hidden="1" customHeight="1" x14ac:dyDescent="0.3">
      <c r="A109" s="73">
        <f t="shared" ref="A109:A111" si="0">A108+1</f>
        <v>2</v>
      </c>
      <c r="B109" s="74"/>
      <c r="C109" s="42"/>
      <c r="D109" s="42"/>
      <c r="E109" s="42">
        <v>0</v>
      </c>
      <c r="F109" s="42">
        <f t="shared" ref="F109:F111" si="1">(D109+E109)*(($F$106)+1)</f>
        <v>0</v>
      </c>
      <c r="G109" s="79"/>
      <c r="H109" s="80"/>
      <c r="I109" s="36"/>
      <c r="L109" s="176"/>
      <c r="M109" s="176"/>
      <c r="N109" s="36"/>
    </row>
    <row r="110" spans="1:14" s="37" customFormat="1" ht="15.75" hidden="1" customHeight="1" x14ac:dyDescent="0.3">
      <c r="A110" s="73">
        <f t="shared" si="0"/>
        <v>3</v>
      </c>
      <c r="B110" s="74"/>
      <c r="C110" s="42"/>
      <c r="D110" s="42"/>
      <c r="E110" s="42">
        <v>0</v>
      </c>
      <c r="F110" s="42">
        <f t="shared" si="1"/>
        <v>0</v>
      </c>
      <c r="G110" s="79"/>
      <c r="H110" s="80"/>
      <c r="I110" s="36"/>
      <c r="L110" s="176"/>
      <c r="M110" s="176"/>
      <c r="N110" s="36"/>
    </row>
    <row r="111" spans="1:14" s="37" customFormat="1" ht="15.75" hidden="1" customHeight="1" x14ac:dyDescent="0.3">
      <c r="A111" s="73">
        <f t="shared" si="0"/>
        <v>4</v>
      </c>
      <c r="B111" s="74"/>
      <c r="C111" s="42"/>
      <c r="D111" s="42"/>
      <c r="E111" s="42">
        <v>0</v>
      </c>
      <c r="F111" s="42">
        <f t="shared" si="1"/>
        <v>0</v>
      </c>
      <c r="G111" s="81"/>
      <c r="H111" s="82"/>
      <c r="I111" s="36"/>
      <c r="L111" s="176"/>
      <c r="M111" s="176"/>
      <c r="N111" s="36"/>
    </row>
    <row r="112" spans="1:14" s="37" customFormat="1" hidden="1" x14ac:dyDescent="0.3">
      <c r="A112" s="73"/>
      <c r="B112" s="177"/>
      <c r="C112" s="177"/>
      <c r="D112" s="177"/>
      <c r="E112" s="177"/>
      <c r="F112" s="177"/>
      <c r="G112" s="177"/>
      <c r="H112" s="74"/>
      <c r="I112" s="36"/>
      <c r="N112" s="36"/>
    </row>
    <row r="113" spans="1:14" ht="47.25" customHeight="1" x14ac:dyDescent="0.3">
      <c r="A113" s="88" t="s">
        <v>127</v>
      </c>
      <c r="B113" s="88" t="s">
        <v>128</v>
      </c>
      <c r="C113" s="84" t="s">
        <v>59</v>
      </c>
      <c r="D113" s="84" t="s">
        <v>60</v>
      </c>
      <c r="E113" s="86" t="s">
        <v>61</v>
      </c>
      <c r="F113" s="43" t="s">
        <v>159</v>
      </c>
      <c r="G113" s="88" t="s">
        <v>62</v>
      </c>
      <c r="H113" s="89"/>
      <c r="I113" s="36"/>
    </row>
    <row r="114" spans="1:14" s="37" customFormat="1" x14ac:dyDescent="0.3">
      <c r="A114" s="90"/>
      <c r="B114" s="90"/>
      <c r="C114" s="85"/>
      <c r="D114" s="85"/>
      <c r="E114" s="87"/>
      <c r="F114" s="13">
        <v>0.5</v>
      </c>
      <c r="G114" s="90"/>
      <c r="H114" s="91"/>
      <c r="I114" s="36"/>
    </row>
    <row r="115" spans="1:14" s="37" customFormat="1" x14ac:dyDescent="0.3">
      <c r="A115" s="92" t="s">
        <v>189</v>
      </c>
      <c r="B115" s="93"/>
      <c r="C115" s="93"/>
      <c r="D115" s="93"/>
      <c r="E115" s="93"/>
      <c r="F115" s="93"/>
      <c r="G115" s="93"/>
      <c r="H115" s="94"/>
      <c r="J115" s="36"/>
    </row>
    <row r="116" spans="1:14" s="37" customFormat="1" x14ac:dyDescent="0.3">
      <c r="A116" s="92" t="s">
        <v>190</v>
      </c>
      <c r="B116" s="93"/>
      <c r="C116" s="93"/>
      <c r="D116" s="93"/>
      <c r="E116" s="93"/>
      <c r="F116" s="93"/>
      <c r="G116" s="93"/>
      <c r="H116" s="94"/>
      <c r="J116" s="56">
        <f>10.764</f>
        <v>10.763999999999999</v>
      </c>
    </row>
    <row r="117" spans="1:14" s="37" customFormat="1" ht="15.75" customHeight="1" x14ac:dyDescent="0.3">
      <c r="A117" s="73">
        <v>1</v>
      </c>
      <c r="B117" s="74"/>
      <c r="C117" s="52">
        <v>1</v>
      </c>
      <c r="D117" s="56">
        <f t="shared" ref="D117:D128" si="2">(38.16+0.75*(3.05+2.13+3.03))*(10.764)</f>
        <v>477.03356999999994</v>
      </c>
      <c r="E117" s="42">
        <v>0</v>
      </c>
      <c r="F117" s="42">
        <f t="shared" ref="F117:F128" si="3">D117*(($F$114)+1)+(IF(E117&lt;101,E117,IF(E117&lt;201,E117/2,IF(E117&lt;=301,E117/3,E117/4))))</f>
        <v>715.55035499999985</v>
      </c>
      <c r="G117" s="77" t="str">
        <f>A116</f>
        <v>1st to 7th, 9th to 11th &amp; 13th Floor For Residential</v>
      </c>
      <c r="H117" s="78"/>
      <c r="I117" s="36">
        <f>11000/1.5</f>
        <v>7333.333333333333</v>
      </c>
      <c r="J117" s="37">
        <f>3.05*4.45+1.2*2.1+1.2*2.13+3.03*3.68+2.13*2.53+2.13*1</f>
        <v>37.317800000000005</v>
      </c>
      <c r="L117" s="176"/>
      <c r="M117" s="176"/>
      <c r="N117" s="36"/>
    </row>
    <row r="118" spans="1:14" s="37" customFormat="1" ht="15.75" customHeight="1" x14ac:dyDescent="0.3">
      <c r="A118" s="73">
        <f t="shared" ref="A118:A128" si="4">A117+1</f>
        <v>2</v>
      </c>
      <c r="B118" s="74"/>
      <c r="C118" s="52">
        <v>1</v>
      </c>
      <c r="D118" s="56">
        <f t="shared" si="2"/>
        <v>477.03356999999994</v>
      </c>
      <c r="E118" s="42">
        <v>0</v>
      </c>
      <c r="F118" s="42">
        <f t="shared" si="3"/>
        <v>715.55035499999985</v>
      </c>
      <c r="G118" s="79"/>
      <c r="H118" s="80"/>
      <c r="I118" s="36">
        <f>5000000/F118</f>
        <v>6987.6284248367137</v>
      </c>
      <c r="J118" s="37">
        <f>0.75*(3.05+3.03+2.13)</f>
        <v>6.1575000000000006</v>
      </c>
      <c r="L118" s="176"/>
      <c r="M118" s="176"/>
      <c r="N118" s="36"/>
    </row>
    <row r="119" spans="1:14" s="37" customFormat="1" ht="15.75" customHeight="1" x14ac:dyDescent="0.3">
      <c r="A119" s="73">
        <f t="shared" si="4"/>
        <v>3</v>
      </c>
      <c r="B119" s="74"/>
      <c r="C119" s="52">
        <v>1</v>
      </c>
      <c r="D119" s="56">
        <f t="shared" si="2"/>
        <v>477.03356999999994</v>
      </c>
      <c r="E119" s="42">
        <v>0</v>
      </c>
      <c r="F119" s="42">
        <f t="shared" si="3"/>
        <v>715.55035499999985</v>
      </c>
      <c r="G119" s="79"/>
      <c r="H119" s="80"/>
      <c r="I119" s="36"/>
      <c r="J119" s="37">
        <f>J117+J118</f>
        <v>43.475300000000004</v>
      </c>
      <c r="L119" s="176"/>
      <c r="M119" s="176"/>
      <c r="N119" s="36"/>
    </row>
    <row r="120" spans="1:14" s="37" customFormat="1" ht="15.75" customHeight="1" x14ac:dyDescent="0.3">
      <c r="A120" s="73">
        <f t="shared" si="4"/>
        <v>4</v>
      </c>
      <c r="B120" s="74"/>
      <c r="C120" s="52">
        <v>1</v>
      </c>
      <c r="D120" s="56">
        <f t="shared" si="2"/>
        <v>477.03356999999994</v>
      </c>
      <c r="E120" s="42">
        <v>0</v>
      </c>
      <c r="F120" s="42">
        <f t="shared" si="3"/>
        <v>715.55035499999985</v>
      </c>
      <c r="G120" s="79"/>
      <c r="H120" s="80"/>
      <c r="I120" s="36"/>
      <c r="L120" s="176"/>
      <c r="M120" s="176"/>
      <c r="N120" s="36"/>
    </row>
    <row r="121" spans="1:14" s="37" customFormat="1" ht="15.75" customHeight="1" x14ac:dyDescent="0.3">
      <c r="A121" s="73">
        <f t="shared" si="4"/>
        <v>5</v>
      </c>
      <c r="B121" s="74"/>
      <c r="C121" s="52">
        <v>1</v>
      </c>
      <c r="D121" s="56">
        <f t="shared" si="2"/>
        <v>477.03356999999994</v>
      </c>
      <c r="E121" s="42">
        <v>0</v>
      </c>
      <c r="F121" s="42">
        <f t="shared" si="3"/>
        <v>715.55035499999985</v>
      </c>
      <c r="G121" s="79"/>
      <c r="H121" s="80"/>
      <c r="I121" s="36"/>
      <c r="L121" s="176"/>
      <c r="M121" s="176"/>
      <c r="N121" s="36"/>
    </row>
    <row r="122" spans="1:14" s="37" customFormat="1" ht="15.75" customHeight="1" x14ac:dyDescent="0.3">
      <c r="A122" s="73">
        <f t="shared" si="4"/>
        <v>6</v>
      </c>
      <c r="B122" s="74"/>
      <c r="C122" s="52">
        <v>1</v>
      </c>
      <c r="D122" s="56">
        <f t="shared" si="2"/>
        <v>477.03356999999994</v>
      </c>
      <c r="E122" s="42">
        <v>0</v>
      </c>
      <c r="F122" s="42">
        <f t="shared" si="3"/>
        <v>715.55035499999985</v>
      </c>
      <c r="G122" s="79"/>
      <c r="H122" s="80"/>
      <c r="I122" s="36"/>
      <c r="L122" s="176"/>
      <c r="M122" s="176"/>
      <c r="N122" s="36"/>
    </row>
    <row r="123" spans="1:14" s="37" customFormat="1" ht="15.75" customHeight="1" x14ac:dyDescent="0.3">
      <c r="A123" s="73">
        <f t="shared" si="4"/>
        <v>7</v>
      </c>
      <c r="B123" s="74"/>
      <c r="C123" s="52">
        <v>1</v>
      </c>
      <c r="D123" s="56">
        <f t="shared" si="2"/>
        <v>477.03356999999994</v>
      </c>
      <c r="E123" s="42">
        <v>0</v>
      </c>
      <c r="F123" s="42">
        <f t="shared" si="3"/>
        <v>715.55035499999985</v>
      </c>
      <c r="G123" s="79"/>
      <c r="H123" s="80"/>
      <c r="I123" s="36"/>
      <c r="L123" s="176"/>
      <c r="M123" s="176"/>
      <c r="N123" s="36"/>
    </row>
    <row r="124" spans="1:14" s="37" customFormat="1" ht="15.75" customHeight="1" x14ac:dyDescent="0.3">
      <c r="A124" s="73">
        <f t="shared" si="4"/>
        <v>8</v>
      </c>
      <c r="B124" s="74"/>
      <c r="C124" s="52">
        <v>1</v>
      </c>
      <c r="D124" s="56">
        <f t="shared" si="2"/>
        <v>477.03356999999994</v>
      </c>
      <c r="E124" s="42">
        <v>0</v>
      </c>
      <c r="F124" s="42">
        <f t="shared" si="3"/>
        <v>715.55035499999985</v>
      </c>
      <c r="G124" s="79"/>
      <c r="H124" s="80"/>
      <c r="I124" s="36"/>
      <c r="L124" s="176"/>
      <c r="M124" s="176"/>
      <c r="N124" s="36"/>
    </row>
    <row r="125" spans="1:14" s="37" customFormat="1" ht="15.75" customHeight="1" x14ac:dyDescent="0.3">
      <c r="A125" s="73">
        <f t="shared" si="4"/>
        <v>9</v>
      </c>
      <c r="B125" s="74"/>
      <c r="C125" s="52">
        <v>1</v>
      </c>
      <c r="D125" s="56">
        <f t="shared" si="2"/>
        <v>477.03356999999994</v>
      </c>
      <c r="E125" s="42">
        <v>0</v>
      </c>
      <c r="F125" s="42">
        <f t="shared" si="3"/>
        <v>715.55035499999985</v>
      </c>
      <c r="G125" s="79"/>
      <c r="H125" s="80"/>
      <c r="I125" s="36"/>
      <c r="L125" s="176"/>
      <c r="M125" s="176"/>
      <c r="N125" s="36"/>
    </row>
    <row r="126" spans="1:14" s="37" customFormat="1" ht="15.75" customHeight="1" x14ac:dyDescent="0.3">
      <c r="A126" s="73">
        <f t="shared" si="4"/>
        <v>10</v>
      </c>
      <c r="B126" s="74"/>
      <c r="C126" s="52">
        <v>1</v>
      </c>
      <c r="D126" s="56">
        <f t="shared" si="2"/>
        <v>477.03356999999994</v>
      </c>
      <c r="E126" s="42">
        <v>0</v>
      </c>
      <c r="F126" s="42">
        <f t="shared" si="3"/>
        <v>715.55035499999985</v>
      </c>
      <c r="G126" s="79"/>
      <c r="H126" s="80"/>
      <c r="I126" s="36"/>
      <c r="L126" s="176"/>
      <c r="M126" s="176"/>
      <c r="N126" s="36"/>
    </row>
    <row r="127" spans="1:14" s="37" customFormat="1" ht="15.75" customHeight="1" x14ac:dyDescent="0.3">
      <c r="A127" s="73">
        <f t="shared" si="4"/>
        <v>11</v>
      </c>
      <c r="B127" s="74"/>
      <c r="C127" s="52">
        <v>1</v>
      </c>
      <c r="D127" s="56">
        <f t="shared" si="2"/>
        <v>477.03356999999994</v>
      </c>
      <c r="E127" s="42">
        <v>0</v>
      </c>
      <c r="F127" s="42">
        <f t="shared" si="3"/>
        <v>715.55035499999985</v>
      </c>
      <c r="G127" s="79"/>
      <c r="H127" s="80"/>
      <c r="I127" s="36"/>
      <c r="L127" s="176"/>
      <c r="M127" s="176"/>
      <c r="N127" s="36"/>
    </row>
    <row r="128" spans="1:14" s="37" customFormat="1" ht="15.75" customHeight="1" x14ac:dyDescent="0.3">
      <c r="A128" s="73">
        <f t="shared" si="4"/>
        <v>12</v>
      </c>
      <c r="B128" s="74"/>
      <c r="C128" s="52">
        <v>1</v>
      </c>
      <c r="D128" s="56">
        <f t="shared" si="2"/>
        <v>477.03356999999994</v>
      </c>
      <c r="E128" s="42">
        <v>0</v>
      </c>
      <c r="F128" s="42">
        <f t="shared" si="3"/>
        <v>715.55035499999985</v>
      </c>
      <c r="G128" s="81"/>
      <c r="H128" s="82"/>
      <c r="I128" s="36"/>
      <c r="L128" s="176"/>
      <c r="M128" s="176"/>
      <c r="N128" s="36"/>
    </row>
    <row r="129" spans="1:14" s="37" customFormat="1" x14ac:dyDescent="0.3">
      <c r="A129" s="92" t="s">
        <v>191</v>
      </c>
      <c r="B129" s="93"/>
      <c r="C129" s="93"/>
      <c r="D129" s="93"/>
      <c r="E129" s="93"/>
      <c r="F129" s="93"/>
      <c r="G129" s="93"/>
      <c r="H129" s="94"/>
      <c r="J129" s="36"/>
    </row>
    <row r="130" spans="1:14" s="37" customFormat="1" ht="15.75" customHeight="1" x14ac:dyDescent="0.3">
      <c r="A130" s="73">
        <v>1</v>
      </c>
      <c r="B130" s="74"/>
      <c r="C130" s="52">
        <v>1</v>
      </c>
      <c r="D130" s="56">
        <f t="shared" ref="D130:D140" si="5">(38.16+0.75*(3.05+2.13+3.03))*(10.764)</f>
        <v>477.03356999999994</v>
      </c>
      <c r="E130" s="42">
        <v>0</v>
      </c>
      <c r="F130" s="42">
        <f t="shared" ref="F130:F140" si="6">D130*(($F$114)+1)+(IF(E130&lt;101,E130,IF(E130&lt;201,E130/2,IF(E130&lt;=301,E130/3,E130/4))))</f>
        <v>715.55035499999985</v>
      </c>
      <c r="G130" s="77" t="str">
        <f>A129</f>
        <v>8th &amp; 12th Floor (Part Refuge Area)</v>
      </c>
      <c r="H130" s="78"/>
      <c r="I130" s="36"/>
      <c r="L130" s="176"/>
      <c r="M130" s="176"/>
      <c r="N130" s="36"/>
    </row>
    <row r="131" spans="1:14" s="37" customFormat="1" ht="15.75" customHeight="1" x14ac:dyDescent="0.3">
      <c r="A131" s="73">
        <f t="shared" ref="A131:A141" si="7">A130+1</f>
        <v>2</v>
      </c>
      <c r="B131" s="74"/>
      <c r="C131" s="52">
        <v>1</v>
      </c>
      <c r="D131" s="56">
        <f t="shared" si="5"/>
        <v>477.03356999999994</v>
      </c>
      <c r="E131" s="42">
        <v>0</v>
      </c>
      <c r="F131" s="42">
        <f>D131*(($F$114)+1)+(IF(E131&lt;101,E131,IF(E131&lt;201,E131/2,IF(E131&lt;=301,E131/3,E131/4))))</f>
        <v>715.55035499999985</v>
      </c>
      <c r="G131" s="79"/>
      <c r="H131" s="80"/>
      <c r="I131" s="36"/>
      <c r="L131" s="176"/>
      <c r="M131" s="176"/>
      <c r="N131" s="36"/>
    </row>
    <row r="132" spans="1:14" s="37" customFormat="1" ht="15.75" customHeight="1" x14ac:dyDescent="0.3">
      <c r="A132" s="73">
        <f t="shared" si="7"/>
        <v>3</v>
      </c>
      <c r="B132" s="74"/>
      <c r="C132" s="52">
        <v>1</v>
      </c>
      <c r="D132" s="56">
        <f t="shared" si="5"/>
        <v>477.03356999999994</v>
      </c>
      <c r="E132" s="42">
        <v>0</v>
      </c>
      <c r="F132" s="42">
        <f t="shared" si="6"/>
        <v>715.55035499999985</v>
      </c>
      <c r="G132" s="79"/>
      <c r="H132" s="80"/>
      <c r="I132" s="36"/>
      <c r="L132" s="176"/>
      <c r="M132" s="176"/>
      <c r="N132" s="36"/>
    </row>
    <row r="133" spans="1:14" s="37" customFormat="1" ht="15.75" customHeight="1" x14ac:dyDescent="0.3">
      <c r="A133" s="73">
        <f t="shared" si="7"/>
        <v>4</v>
      </c>
      <c r="B133" s="74"/>
      <c r="C133" s="52">
        <v>1</v>
      </c>
      <c r="D133" s="56">
        <f t="shared" si="5"/>
        <v>477.03356999999994</v>
      </c>
      <c r="E133" s="42">
        <v>0</v>
      </c>
      <c r="F133" s="42">
        <f t="shared" si="6"/>
        <v>715.55035499999985</v>
      </c>
      <c r="G133" s="79"/>
      <c r="H133" s="80"/>
      <c r="I133" s="36"/>
      <c r="L133" s="176"/>
      <c r="M133" s="176"/>
      <c r="N133" s="36"/>
    </row>
    <row r="134" spans="1:14" s="37" customFormat="1" ht="15.75" customHeight="1" x14ac:dyDescent="0.3">
      <c r="A134" s="73">
        <f t="shared" si="7"/>
        <v>5</v>
      </c>
      <c r="B134" s="74"/>
      <c r="C134" s="52">
        <v>1</v>
      </c>
      <c r="D134" s="56">
        <f t="shared" si="5"/>
        <v>477.03356999999994</v>
      </c>
      <c r="E134" s="42">
        <v>0</v>
      </c>
      <c r="F134" s="42">
        <f t="shared" si="6"/>
        <v>715.55035499999985</v>
      </c>
      <c r="G134" s="79"/>
      <c r="H134" s="80"/>
      <c r="I134" s="36"/>
      <c r="L134" s="176"/>
      <c r="M134" s="176"/>
      <c r="N134" s="36"/>
    </row>
    <row r="135" spans="1:14" s="37" customFormat="1" ht="15.75" customHeight="1" x14ac:dyDescent="0.3">
      <c r="A135" s="73">
        <f t="shared" si="7"/>
        <v>6</v>
      </c>
      <c r="B135" s="74"/>
      <c r="C135" s="52">
        <v>1</v>
      </c>
      <c r="D135" s="56">
        <f t="shared" si="5"/>
        <v>477.03356999999994</v>
      </c>
      <c r="E135" s="42">
        <v>0</v>
      </c>
      <c r="F135" s="42">
        <f t="shared" si="6"/>
        <v>715.55035499999985</v>
      </c>
      <c r="G135" s="79"/>
      <c r="H135" s="80"/>
      <c r="I135" s="36"/>
      <c r="L135" s="176"/>
      <c r="M135" s="176"/>
      <c r="N135" s="36"/>
    </row>
    <row r="136" spans="1:14" s="37" customFormat="1" ht="15.75" customHeight="1" x14ac:dyDescent="0.3">
      <c r="A136" s="73">
        <f t="shared" si="7"/>
        <v>7</v>
      </c>
      <c r="B136" s="74"/>
      <c r="C136" s="52">
        <v>1</v>
      </c>
      <c r="D136" s="56">
        <f t="shared" si="5"/>
        <v>477.03356999999994</v>
      </c>
      <c r="E136" s="42">
        <v>0</v>
      </c>
      <c r="F136" s="42">
        <f t="shared" si="6"/>
        <v>715.55035499999985</v>
      </c>
      <c r="G136" s="79"/>
      <c r="H136" s="80"/>
      <c r="I136" s="36"/>
      <c r="L136" s="176"/>
      <c r="M136" s="176"/>
      <c r="N136" s="36"/>
    </row>
    <row r="137" spans="1:14" s="37" customFormat="1" ht="15.75" customHeight="1" x14ac:dyDescent="0.3">
      <c r="A137" s="73">
        <f t="shared" si="7"/>
        <v>8</v>
      </c>
      <c r="B137" s="74"/>
      <c r="C137" s="52">
        <v>1</v>
      </c>
      <c r="D137" s="56">
        <f t="shared" si="5"/>
        <v>477.03356999999994</v>
      </c>
      <c r="E137" s="42">
        <v>0</v>
      </c>
      <c r="F137" s="42">
        <f t="shared" si="6"/>
        <v>715.55035499999985</v>
      </c>
      <c r="G137" s="79"/>
      <c r="H137" s="80"/>
      <c r="I137" s="36"/>
      <c r="L137" s="176"/>
      <c r="M137" s="176"/>
      <c r="N137" s="36"/>
    </row>
    <row r="138" spans="1:14" s="37" customFormat="1" ht="15.75" customHeight="1" x14ac:dyDescent="0.3">
      <c r="A138" s="73">
        <f t="shared" si="7"/>
        <v>9</v>
      </c>
      <c r="B138" s="74"/>
      <c r="C138" s="52">
        <v>1</v>
      </c>
      <c r="D138" s="56">
        <f t="shared" si="5"/>
        <v>477.03356999999994</v>
      </c>
      <c r="E138" s="42">
        <v>0</v>
      </c>
      <c r="F138" s="42">
        <f t="shared" si="6"/>
        <v>715.55035499999985</v>
      </c>
      <c r="G138" s="79"/>
      <c r="H138" s="80"/>
      <c r="I138" s="36"/>
      <c r="L138" s="176"/>
      <c r="M138" s="176"/>
      <c r="N138" s="36"/>
    </row>
    <row r="139" spans="1:14" s="37" customFormat="1" ht="15.75" customHeight="1" x14ac:dyDescent="0.3">
      <c r="A139" s="73">
        <f t="shared" si="7"/>
        <v>10</v>
      </c>
      <c r="B139" s="74"/>
      <c r="C139" s="52">
        <v>1</v>
      </c>
      <c r="D139" s="56">
        <f t="shared" si="5"/>
        <v>477.03356999999994</v>
      </c>
      <c r="E139" s="42">
        <v>0</v>
      </c>
      <c r="F139" s="42">
        <f t="shared" si="6"/>
        <v>715.55035499999985</v>
      </c>
      <c r="G139" s="79"/>
      <c r="H139" s="80"/>
      <c r="I139" s="36"/>
      <c r="L139" s="176"/>
      <c r="M139" s="176"/>
      <c r="N139" s="36"/>
    </row>
    <row r="140" spans="1:14" s="37" customFormat="1" ht="15.75" customHeight="1" x14ac:dyDescent="0.3">
      <c r="A140" s="73">
        <f t="shared" si="7"/>
        <v>11</v>
      </c>
      <c r="B140" s="74"/>
      <c r="C140" s="52">
        <v>1</v>
      </c>
      <c r="D140" s="56">
        <f t="shared" si="5"/>
        <v>477.03356999999994</v>
      </c>
      <c r="E140" s="42">
        <v>0</v>
      </c>
      <c r="F140" s="42">
        <f t="shared" si="6"/>
        <v>715.55035499999985</v>
      </c>
      <c r="G140" s="79"/>
      <c r="H140" s="80"/>
      <c r="I140" s="36"/>
      <c r="L140" s="176"/>
      <c r="M140" s="176"/>
      <c r="N140" s="36"/>
    </row>
    <row r="141" spans="1:14" s="37" customFormat="1" ht="15.75" customHeight="1" x14ac:dyDescent="0.3">
      <c r="A141" s="73">
        <f t="shared" si="7"/>
        <v>12</v>
      </c>
      <c r="B141" s="74"/>
      <c r="C141" s="120" t="s">
        <v>192</v>
      </c>
      <c r="D141" s="121"/>
      <c r="E141" s="121"/>
      <c r="F141" s="122"/>
      <c r="G141" s="81"/>
      <c r="H141" s="82"/>
      <c r="I141" s="36"/>
      <c r="L141" s="176"/>
      <c r="M141" s="176"/>
      <c r="N141" s="36"/>
    </row>
    <row r="142" spans="1:14" s="37" customFormat="1" hidden="1" x14ac:dyDescent="0.3">
      <c r="A142" s="92" t="s">
        <v>123</v>
      </c>
      <c r="B142" s="93"/>
      <c r="C142" s="93"/>
      <c r="D142" s="93"/>
      <c r="E142" s="93"/>
      <c r="F142" s="93"/>
      <c r="G142" s="93"/>
      <c r="H142" s="94"/>
      <c r="J142" s="36"/>
    </row>
    <row r="143" spans="1:14" s="37" customFormat="1" ht="15.75" hidden="1" customHeight="1" x14ac:dyDescent="0.3">
      <c r="A143" s="73">
        <v>1</v>
      </c>
      <c r="B143" s="74"/>
      <c r="C143" s="52"/>
      <c r="D143" s="42"/>
      <c r="E143" s="42">
        <v>0</v>
      </c>
      <c r="F143" s="42">
        <f>D143*(($F$114)+1)+(IF(E143&lt;101,E143,IF(E143&lt;201,E143/2,IF(E143&lt;=301,E143/3,E143/4))))</f>
        <v>0</v>
      </c>
      <c r="G143" s="77" t="str">
        <f>A142</f>
        <v>Ground Floor</v>
      </c>
      <c r="H143" s="78"/>
      <c r="I143" s="36"/>
      <c r="L143" s="176"/>
      <c r="M143" s="176"/>
      <c r="N143" s="36"/>
    </row>
    <row r="144" spans="1:14" s="37" customFormat="1" ht="15.75" hidden="1" customHeight="1" x14ac:dyDescent="0.3">
      <c r="A144" s="73">
        <f t="shared" ref="A144:A146" si="8">A143+1</f>
        <v>2</v>
      </c>
      <c r="B144" s="74"/>
      <c r="C144" s="52"/>
      <c r="D144" s="42"/>
      <c r="E144" s="42">
        <v>0</v>
      </c>
      <c r="F144" s="42">
        <f>D144*(($F$114)+1)+(IF(E144&lt;101,E144,IF(E144&lt;201,E144/2,IF(E144&lt;=301,E144/3,E144/4))))</f>
        <v>0</v>
      </c>
      <c r="G144" s="79"/>
      <c r="H144" s="80"/>
      <c r="I144" s="36"/>
      <c r="L144" s="176"/>
      <c r="M144" s="176"/>
      <c r="N144" s="36"/>
    </row>
    <row r="145" spans="1:14" s="37" customFormat="1" ht="15.75" hidden="1" customHeight="1" x14ac:dyDescent="0.3">
      <c r="A145" s="73">
        <f t="shared" si="8"/>
        <v>3</v>
      </c>
      <c r="B145" s="74"/>
      <c r="C145" s="52"/>
      <c r="D145" s="42"/>
      <c r="E145" s="42">
        <v>0</v>
      </c>
      <c r="F145" s="42">
        <f>D145*(($F$114)+1)+(IF(E145&lt;101,E145,IF(E145&lt;201,E145/2,IF(E145&lt;=301,E145/3,E145/4))))</f>
        <v>0</v>
      </c>
      <c r="G145" s="79"/>
      <c r="H145" s="80"/>
      <c r="I145" s="36"/>
      <c r="L145" s="176"/>
      <c r="M145" s="176"/>
      <c r="N145" s="36"/>
    </row>
    <row r="146" spans="1:14" s="37" customFormat="1" ht="15.75" hidden="1" customHeight="1" x14ac:dyDescent="0.3">
      <c r="A146" s="73">
        <f t="shared" si="8"/>
        <v>4</v>
      </c>
      <c r="B146" s="74"/>
      <c r="C146" s="52"/>
      <c r="D146" s="42"/>
      <c r="E146" s="42">
        <v>0</v>
      </c>
      <c r="F146" s="42">
        <f>D146*(($F$114)+1)+(IF(E146&lt;101,E146,IF(E146&lt;201,E146/2,IF(E146&lt;=301,E146/3,E146/4))))</f>
        <v>0</v>
      </c>
      <c r="G146" s="81"/>
      <c r="H146" s="82"/>
      <c r="I146" s="36"/>
      <c r="L146" s="176"/>
      <c r="M146" s="176"/>
      <c r="N146" s="36"/>
    </row>
    <row r="147" spans="1:14" s="37" customFormat="1" hidden="1" x14ac:dyDescent="0.3">
      <c r="A147" s="136" t="s">
        <v>124</v>
      </c>
      <c r="B147" s="136"/>
      <c r="C147" s="136"/>
      <c r="D147" s="136"/>
      <c r="E147" s="136"/>
      <c r="F147" s="136"/>
      <c r="G147" s="136"/>
      <c r="H147" s="136"/>
      <c r="I147" s="36"/>
      <c r="L147" s="176"/>
      <c r="M147" s="176"/>
    </row>
    <row r="148" spans="1:14" s="37" customFormat="1" hidden="1" x14ac:dyDescent="0.3">
      <c r="A148" s="75">
        <f>LEFT(A147,SUM(LEN(A147)-LEN(SUBSTITUTE(A147,{"0","1","2","3","4","5","6","7","8","9"},""))))*100+1</f>
        <v>201</v>
      </c>
      <c r="B148" s="75"/>
      <c r="C148" s="52"/>
      <c r="D148" s="42"/>
      <c r="E148" s="42">
        <v>0</v>
      </c>
      <c r="F148" s="42">
        <f t="shared" ref="F148:F149" si="9">D148*(($F$114)+1)+(IF(E148&lt;101,E148,IF(E148&lt;201,E148/2,IF(E148&lt;=301,E148/3,E148/4))))</f>
        <v>0</v>
      </c>
      <c r="G148" s="77" t="str">
        <f>A147</f>
        <v>2nd Floor</v>
      </c>
      <c r="H148" s="78"/>
      <c r="I148" s="36"/>
      <c r="N148" s="36"/>
    </row>
    <row r="149" spans="1:14" s="37" customFormat="1" hidden="1" x14ac:dyDescent="0.3">
      <c r="A149" s="75">
        <f>A148+1</f>
        <v>202</v>
      </c>
      <c r="B149" s="75"/>
      <c r="C149" s="52"/>
      <c r="D149" s="42"/>
      <c r="E149" s="42">
        <v>0</v>
      </c>
      <c r="F149" s="42">
        <f t="shared" si="9"/>
        <v>0</v>
      </c>
      <c r="G149" s="79"/>
      <c r="H149" s="80"/>
      <c r="I149" s="36"/>
      <c r="N149" s="36"/>
    </row>
    <row r="150" spans="1:14" s="37" customFormat="1" hidden="1" x14ac:dyDescent="0.3">
      <c r="A150" s="75">
        <f>A149+1</f>
        <v>203</v>
      </c>
      <c r="B150" s="75"/>
      <c r="C150" s="52"/>
      <c r="D150" s="42"/>
      <c r="E150" s="42">
        <v>0</v>
      </c>
      <c r="F150" s="42">
        <f>D150*(($F$114)+1)+(IF(E150&lt;101,E150,IF(E150&lt;201,E150/2,IF(E150&lt;=301,E150/3,E150/4))))</f>
        <v>0</v>
      </c>
      <c r="G150" s="79"/>
      <c r="H150" s="80"/>
      <c r="I150" s="36"/>
      <c r="N150" s="36"/>
    </row>
    <row r="151" spans="1:14" s="37" customFormat="1" hidden="1" x14ac:dyDescent="0.3">
      <c r="A151" s="75">
        <f>A150+1</f>
        <v>204</v>
      </c>
      <c r="B151" s="75"/>
      <c r="C151" s="52"/>
      <c r="D151" s="42"/>
      <c r="E151" s="42">
        <v>0</v>
      </c>
      <c r="F151" s="42">
        <f>D151*(($F$114)+1)+(IF(E151&lt;101,E151,IF(E151&lt;201,E151/2,IF(E151&lt;=301,E151/3,E151/4))))</f>
        <v>0</v>
      </c>
      <c r="G151" s="79"/>
      <c r="H151" s="80"/>
      <c r="I151" s="36"/>
      <c r="N151" s="36"/>
    </row>
    <row r="152" spans="1:14" s="37" customFormat="1" hidden="1" x14ac:dyDescent="0.3">
      <c r="A152" s="75">
        <f>A151+1</f>
        <v>205</v>
      </c>
      <c r="B152" s="75"/>
      <c r="C152" s="52"/>
      <c r="D152" s="42"/>
      <c r="E152" s="42">
        <v>0</v>
      </c>
      <c r="F152" s="42">
        <f>D152*(($F$114)+1)+(IF(E152&lt;101,E152,IF(E152&lt;201,E152/2,IF(E152&lt;=301,E152/3,E152/4))))</f>
        <v>0</v>
      </c>
      <c r="G152" s="81"/>
      <c r="H152" s="82"/>
      <c r="I152" s="36"/>
      <c r="N152" s="36"/>
    </row>
    <row r="153" spans="1:14" s="37" customFormat="1" ht="15.75" hidden="1" customHeight="1" x14ac:dyDescent="0.3">
      <c r="A153" s="92" t="s">
        <v>160</v>
      </c>
      <c r="B153" s="93"/>
      <c r="C153" s="93"/>
      <c r="D153" s="93"/>
      <c r="E153" s="93"/>
      <c r="F153" s="93"/>
      <c r="G153" s="93"/>
      <c r="H153" s="94"/>
      <c r="I153" s="36"/>
    </row>
    <row r="154" spans="1:14" s="37" customFormat="1" ht="15.75" hidden="1" customHeight="1" x14ac:dyDescent="0.3">
      <c r="A154" s="73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10^ROW(INDIRECT("1:"&amp;LEN((LEFT(A153,SUM(LEN(A153)-LEN(SUBSTITUTE(A153,{"0","1","2"},""))))))))/10))*100+1&amp;""&amp;" ,..,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",LEN(A153))),LEN(A153)))))))/10))*100+1</f>
        <v>301 ,.., 1501</v>
      </c>
      <c r="B154" s="74"/>
      <c r="C154" s="52"/>
      <c r="D154" s="42"/>
      <c r="E154" s="42">
        <v>0</v>
      </c>
      <c r="F154" s="42">
        <f>D154*(($F$114)+1)+(IF(E154&lt;101,E154,IF(E154&lt;201,E154/2,IF(E154&lt;=301,E154/3,E154/4))))</f>
        <v>0</v>
      </c>
      <c r="G154" s="77" t="str">
        <f>A153</f>
        <v>3rd, 5th, 7th, 9th, 11th, 13th, 15th Floor</v>
      </c>
      <c r="H154" s="78"/>
      <c r="I154" s="36"/>
    </row>
    <row r="155" spans="1:14" s="37" customFormat="1" ht="15.75" hidden="1" customHeight="1" x14ac:dyDescent="0.3">
      <c r="A155" s="73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,..,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302 ,.., 1502</v>
      </c>
      <c r="B155" s="74"/>
      <c r="C155" s="52"/>
      <c r="D155" s="42"/>
      <c r="E155" s="42">
        <v>0</v>
      </c>
      <c r="F155" s="42">
        <f>D155*(($F$114)+1)+(IF(E155&lt;101,E155,IF(E155&lt;201,E155/2,IF(E155&lt;=301,E155/3,E155/4))))</f>
        <v>0</v>
      </c>
      <c r="G155" s="79"/>
      <c r="H155" s="80"/>
      <c r="I155" s="36"/>
    </row>
    <row r="156" spans="1:14" s="37" customFormat="1" ht="15.75" hidden="1" customHeight="1" x14ac:dyDescent="0.3">
      <c r="A156" s="73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,..,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303 ,.., 1503</v>
      </c>
      <c r="B156" s="74"/>
      <c r="C156" s="52"/>
      <c r="D156" s="42"/>
      <c r="E156" s="42">
        <v>0</v>
      </c>
      <c r="F156" s="42">
        <f>D156*(($F$114)+1)+(IF(E156&lt;101,E156,IF(E156&lt;201,E156/2,IF(E156&lt;=301,E156/3,E156/4))))</f>
        <v>0</v>
      </c>
      <c r="G156" s="79"/>
      <c r="H156" s="80"/>
      <c r="I156" s="36"/>
    </row>
    <row r="157" spans="1:14" s="37" customFormat="1" ht="15.75" hidden="1" customHeight="1" x14ac:dyDescent="0.3">
      <c r="A157" s="73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,..,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304 ,.., 1504</v>
      </c>
      <c r="B157" s="74"/>
      <c r="C157" s="52"/>
      <c r="D157" s="42"/>
      <c r="E157" s="42">
        <v>0</v>
      </c>
      <c r="F157" s="42">
        <f>D157*(($F$114)+1)+(IF(E157&lt;101,E157,IF(E157&lt;201,E157/2,IF(E157&lt;=301,E157/3,E157/4))))</f>
        <v>0</v>
      </c>
      <c r="G157" s="79"/>
      <c r="H157" s="80"/>
      <c r="I157" s="36"/>
    </row>
    <row r="158" spans="1:14" s="37" customFormat="1" ht="15.75" hidden="1" customHeight="1" x14ac:dyDescent="0.3">
      <c r="A158" s="73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,..,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305 ,.., 1505</v>
      </c>
      <c r="B158" s="74"/>
      <c r="C158" s="52"/>
      <c r="D158" s="42"/>
      <c r="E158" s="42">
        <v>0</v>
      </c>
      <c r="F158" s="42">
        <f>D158*(($F$114)+1)+(IF(E158&lt;101,E158,IF(E158&lt;201,E158/2,IF(E158&lt;=301,E158/3,E158/4))))</f>
        <v>0</v>
      </c>
      <c r="G158" s="81"/>
      <c r="H158" s="82"/>
      <c r="I158" s="36"/>
    </row>
    <row r="159" spans="1:14" s="37" customFormat="1" hidden="1" x14ac:dyDescent="0.3">
      <c r="A159" s="92" t="s">
        <v>154</v>
      </c>
      <c r="B159" s="93"/>
      <c r="C159" s="93"/>
      <c r="D159" s="93"/>
      <c r="E159" s="93"/>
      <c r="F159" s="93"/>
      <c r="G159" s="93"/>
      <c r="H159" s="94"/>
      <c r="I159" s="36"/>
    </row>
    <row r="160" spans="1:14" s="37" customFormat="1" ht="15.75" hidden="1" customHeight="1" x14ac:dyDescent="0.3">
      <c r="A160" s="73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10^ROW(INDIRECT("1:"&amp;LEN((LEFT(A159,SUM(LEN(A159)-LEN(SUBSTITUTE(A159,{"0","1","2"},""))))))))/10))*100+1&amp;""&amp;" to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",LEN(A159))),LEN(A159)))))))/10))*100+1</f>
        <v>201 to 501</v>
      </c>
      <c r="B160" s="74"/>
      <c r="C160" s="52"/>
      <c r="D160" s="42"/>
      <c r="E160" s="42">
        <v>0</v>
      </c>
      <c r="F160" s="42">
        <f>D160*(($F$114)+1)+(IF(E160&lt;101,E160,IF(E160&lt;201,E160/2,IF(E160&lt;=301,E160/3,E160/4))))</f>
        <v>0</v>
      </c>
      <c r="G160" s="77" t="str">
        <f>A159</f>
        <v>2nd to 5th Floor</v>
      </c>
      <c r="H160" s="78"/>
      <c r="I160" s="36"/>
    </row>
    <row r="161" spans="1:9" s="37" customFormat="1" ht="15.75" hidden="1" customHeight="1" x14ac:dyDescent="0.3">
      <c r="A161" s="73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to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202 to 502</v>
      </c>
      <c r="B161" s="74"/>
      <c r="C161" s="52"/>
      <c r="D161" s="42"/>
      <c r="E161" s="42">
        <v>0</v>
      </c>
      <c r="F161" s="42">
        <f>D161*(($F$114)+1)+(IF(E161&lt;101,E161,IF(E161&lt;201,E161/2,IF(E161&lt;=301,E161/3,E161/4))))</f>
        <v>0</v>
      </c>
      <c r="G161" s="79"/>
      <c r="H161" s="80"/>
      <c r="I161" s="36"/>
    </row>
    <row r="162" spans="1:9" s="37" customFormat="1" ht="15.75" hidden="1" customHeight="1" x14ac:dyDescent="0.3">
      <c r="A162" s="73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to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203 to 503</v>
      </c>
      <c r="B162" s="74"/>
      <c r="C162" s="52"/>
      <c r="D162" s="42"/>
      <c r="E162" s="42">
        <v>0</v>
      </c>
      <c r="F162" s="42">
        <f>D162*(($F$114)+1)+(IF(E162&lt;101,E162,IF(E162&lt;201,E162/2,IF(E162&lt;=301,E162/3,E162/4))))</f>
        <v>0</v>
      </c>
      <c r="G162" s="79"/>
      <c r="H162" s="80"/>
      <c r="I162" s="36"/>
    </row>
    <row r="163" spans="1:9" s="37" customFormat="1" ht="15.75" hidden="1" customHeight="1" x14ac:dyDescent="0.3">
      <c r="A163" s="73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to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204 to 504</v>
      </c>
      <c r="B163" s="74"/>
      <c r="C163" s="52"/>
      <c r="D163" s="42"/>
      <c r="E163" s="42">
        <v>0</v>
      </c>
      <c r="F163" s="42">
        <f>D163*(($F$114)+1)+(IF(E163&lt;101,E163,IF(E163&lt;201,E163/2,IF(E163&lt;=301,E163/3,E163/4))))</f>
        <v>0</v>
      </c>
      <c r="G163" s="79"/>
      <c r="H163" s="80"/>
      <c r="I163" s="36"/>
    </row>
    <row r="164" spans="1:9" s="37" customFormat="1" ht="15.75" hidden="1" customHeight="1" x14ac:dyDescent="0.3">
      <c r="A164" s="73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to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205 to 505</v>
      </c>
      <c r="B164" s="74"/>
      <c r="C164" s="52"/>
      <c r="D164" s="42"/>
      <c r="E164" s="42">
        <v>0</v>
      </c>
      <c r="F164" s="42">
        <f>D164*(($F$114)+1)+(IF(E164&lt;101,E164,IF(E164&lt;201,E164/2,IF(E164&lt;=301,E164/3,E164/4))))</f>
        <v>0</v>
      </c>
      <c r="G164" s="81"/>
      <c r="H164" s="82"/>
      <c r="I164" s="36"/>
    </row>
    <row r="165" spans="1:9" s="37" customFormat="1" hidden="1" x14ac:dyDescent="0.3">
      <c r="A165" s="92" t="s">
        <v>155</v>
      </c>
      <c r="B165" s="93"/>
      <c r="C165" s="93"/>
      <c r="D165" s="93"/>
      <c r="E165" s="93"/>
      <c r="F165" s="93"/>
      <c r="G165" s="93"/>
      <c r="H165" s="94"/>
      <c r="I165" s="36"/>
    </row>
    <row r="166" spans="1:9" s="37" customFormat="1" ht="15.75" hidden="1" customHeight="1" x14ac:dyDescent="0.3">
      <c r="A166" s="73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10^ROW(INDIRECT("1:"&amp;LEN((LEFT(A165,SUM(LEN(A165)-LEN(SUBSTITUTE(A165,{"0","1","2"},""))))))))/10))*100+1&amp;""&amp;" &amp;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",LEN(A165))),LEN(A165)))))))/10))*100+1</f>
        <v>201 &amp; 501</v>
      </c>
      <c r="B166" s="74"/>
      <c r="C166" s="52"/>
      <c r="D166" s="42"/>
      <c r="E166" s="42">
        <v>0</v>
      </c>
      <c r="F166" s="42">
        <f>D166*(($F$114)+1)+(IF(E166&lt;101,E166,IF(E166&lt;201,E166/2,IF(E166&lt;=301,E166/3,E166/4))))</f>
        <v>0</v>
      </c>
      <c r="G166" s="77" t="str">
        <f>A165</f>
        <v>2nd &amp; 5th Floor</v>
      </c>
      <c r="H166" s="78"/>
      <c r="I166" s="36"/>
    </row>
    <row r="167" spans="1:9" s="37" customFormat="1" ht="15.75" hidden="1" customHeight="1" x14ac:dyDescent="0.3">
      <c r="A167" s="73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&amp;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202 &amp; 502</v>
      </c>
      <c r="B167" s="74"/>
      <c r="C167" s="52"/>
      <c r="D167" s="42"/>
      <c r="E167" s="42">
        <v>0</v>
      </c>
      <c r="F167" s="42">
        <f>D167*(($F$114)+1)+(IF(E167&lt;101,E167,IF(E167&lt;201,E167/2,IF(E167&lt;=301,E167/3,E167/4))))</f>
        <v>0</v>
      </c>
      <c r="G167" s="79"/>
      <c r="H167" s="80"/>
      <c r="I167" s="36"/>
    </row>
    <row r="168" spans="1:9" s="37" customFormat="1" ht="15.75" hidden="1" customHeight="1" x14ac:dyDescent="0.3">
      <c r="A168" s="73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&amp;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203 &amp; 503</v>
      </c>
      <c r="B168" s="74"/>
      <c r="C168" s="52"/>
      <c r="D168" s="42"/>
      <c r="E168" s="42">
        <v>0</v>
      </c>
      <c r="F168" s="42">
        <f>D168*(($F$114)+1)+(IF(E168&lt;101,E168,IF(E168&lt;201,E168/2,IF(E168&lt;=301,E168/3,E168/4))))</f>
        <v>0</v>
      </c>
      <c r="G168" s="79"/>
      <c r="H168" s="80"/>
      <c r="I168" s="36"/>
    </row>
    <row r="169" spans="1:9" s="37" customFormat="1" ht="15.75" hidden="1" customHeight="1" x14ac:dyDescent="0.3">
      <c r="A169" s="73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&amp;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204 &amp; 504</v>
      </c>
      <c r="B169" s="74"/>
      <c r="C169" s="52"/>
      <c r="D169" s="42"/>
      <c r="E169" s="42">
        <v>0</v>
      </c>
      <c r="F169" s="42">
        <f>D169*(($F$114)+1)+(IF(E169&lt;101,E169,IF(E169&lt;201,E169/2,IF(E169&lt;=301,E169/3,E169/4))))</f>
        <v>0</v>
      </c>
      <c r="G169" s="79"/>
      <c r="H169" s="80"/>
      <c r="I169" s="36"/>
    </row>
    <row r="170" spans="1:9" s="37" customFormat="1" ht="15.75" hidden="1" customHeight="1" x14ac:dyDescent="0.3">
      <c r="A170" s="73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&amp;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205 &amp; 505</v>
      </c>
      <c r="B170" s="74"/>
      <c r="C170" s="52"/>
      <c r="D170" s="42"/>
      <c r="E170" s="42">
        <v>0</v>
      </c>
      <c r="F170" s="42">
        <f>D170*(($F$114)+1)+(IF(E170&lt;101,E170,IF(E170&lt;201,E170/2,IF(E170&lt;=301,E170/3,E170/4))))</f>
        <v>0</v>
      </c>
      <c r="G170" s="81"/>
      <c r="H170" s="82"/>
      <c r="I170" s="36"/>
    </row>
    <row r="171" spans="1:9" s="35" customFormat="1" x14ac:dyDescent="0.3">
      <c r="A171" s="180" t="s">
        <v>70</v>
      </c>
      <c r="B171" s="180"/>
      <c r="C171" s="180"/>
      <c r="D171" s="180"/>
      <c r="E171" s="180"/>
      <c r="F171" s="180"/>
      <c r="G171" s="180"/>
      <c r="H171" s="180"/>
    </row>
    <row r="172" spans="1:9" s="35" customFormat="1" ht="31.8" customHeight="1" x14ac:dyDescent="0.3">
      <c r="A172" s="47" t="s">
        <v>164</v>
      </c>
      <c r="B172" s="57" t="s">
        <v>219</v>
      </c>
      <c r="C172" s="58"/>
      <c r="D172" s="58"/>
      <c r="E172" s="58"/>
      <c r="F172" s="58"/>
      <c r="G172" s="58"/>
      <c r="H172" s="59"/>
    </row>
    <row r="173" spans="1:9" s="35" customFormat="1" x14ac:dyDescent="0.3">
      <c r="A173" s="47" t="s">
        <v>164</v>
      </c>
      <c r="B173" s="57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73" s="58"/>
      <c r="D173" s="58"/>
      <c r="E173" s="58"/>
      <c r="F173" s="58"/>
      <c r="G173" s="58"/>
      <c r="H173" s="59"/>
    </row>
    <row r="174" spans="1:9" s="35" customFormat="1" hidden="1" x14ac:dyDescent="0.3">
      <c r="A174" s="47" t="s">
        <v>164</v>
      </c>
      <c r="B174" s="57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4" s="58"/>
      <c r="D174" s="58"/>
      <c r="E174" s="58"/>
      <c r="F174" s="58"/>
      <c r="G174" s="58"/>
      <c r="H174" s="59"/>
    </row>
    <row r="175" spans="1:9" s="35" customFormat="1" x14ac:dyDescent="0.3">
      <c r="A175" s="47" t="s">
        <v>164</v>
      </c>
      <c r="B175" s="138" t="s">
        <v>131</v>
      </c>
      <c r="C175" s="139"/>
      <c r="D175" s="139"/>
      <c r="E175" s="139"/>
      <c r="F175" s="139"/>
      <c r="G175" s="139"/>
      <c r="H175" s="140"/>
    </row>
    <row r="176" spans="1:9" s="35" customFormat="1" x14ac:dyDescent="0.3">
      <c r="A176" s="47" t="s">
        <v>164</v>
      </c>
      <c r="B176" s="138" t="s">
        <v>194</v>
      </c>
      <c r="C176" s="139"/>
      <c r="D176" s="139"/>
      <c r="E176" s="139"/>
      <c r="F176" s="139"/>
      <c r="G176" s="139"/>
      <c r="H176" s="140"/>
    </row>
    <row r="177" spans="1:8" s="35" customFormat="1" x14ac:dyDescent="0.3">
      <c r="A177" s="47" t="s">
        <v>164</v>
      </c>
      <c r="B177" s="138" t="s">
        <v>163</v>
      </c>
      <c r="C177" s="139"/>
      <c r="D177" s="139"/>
      <c r="E177" s="139"/>
      <c r="F177" s="139"/>
      <c r="G177" s="139"/>
      <c r="H177" s="140"/>
    </row>
    <row r="178" spans="1:8" s="35" customFormat="1" x14ac:dyDescent="0.3">
      <c r="A178" s="47" t="s">
        <v>164</v>
      </c>
      <c r="B178" s="138" t="s">
        <v>132</v>
      </c>
      <c r="C178" s="139"/>
      <c r="D178" s="139"/>
      <c r="E178" s="139"/>
      <c r="F178" s="139"/>
      <c r="G178" s="139"/>
      <c r="H178" s="140"/>
    </row>
    <row r="179" spans="1:8" s="35" customFormat="1" ht="34.5" customHeight="1" x14ac:dyDescent="0.3">
      <c r="A179" s="47" t="s">
        <v>164</v>
      </c>
      <c r="B179" s="138" t="s">
        <v>165</v>
      </c>
      <c r="C179" s="139"/>
      <c r="D179" s="139"/>
      <c r="E179" s="139"/>
      <c r="F179" s="139"/>
      <c r="G179" s="139"/>
      <c r="H179" s="140"/>
    </row>
    <row r="180" spans="1:8" s="35" customFormat="1" x14ac:dyDescent="0.3">
      <c r="A180" s="47" t="s">
        <v>164</v>
      </c>
      <c r="B180" s="138" t="s">
        <v>133</v>
      </c>
      <c r="C180" s="139"/>
      <c r="D180" s="139"/>
      <c r="E180" s="139"/>
      <c r="F180" s="139"/>
      <c r="G180" s="139"/>
      <c r="H180" s="140"/>
    </row>
    <row r="181" spans="1:8" s="35" customFormat="1" x14ac:dyDescent="0.3">
      <c r="A181" s="47" t="s">
        <v>164</v>
      </c>
      <c r="B181" s="57" t="s">
        <v>210</v>
      </c>
      <c r="C181" s="58"/>
      <c r="D181" s="58"/>
      <c r="E181" s="58"/>
      <c r="F181" s="58"/>
      <c r="G181" s="58"/>
      <c r="H181" s="59"/>
    </row>
    <row r="182" spans="1:8" s="35" customFormat="1" ht="32.4" customHeight="1" x14ac:dyDescent="0.3">
      <c r="A182" s="47" t="s">
        <v>164</v>
      </c>
      <c r="B182" s="57" t="s">
        <v>216</v>
      </c>
      <c r="C182" s="58"/>
      <c r="D182" s="58"/>
      <c r="E182" s="58"/>
      <c r="F182" s="58"/>
      <c r="G182" s="58"/>
      <c r="H182" s="59"/>
    </row>
    <row r="183" spans="1:8" s="35" customFormat="1" ht="32.25" customHeight="1" x14ac:dyDescent="0.3">
      <c r="A183" s="47" t="s">
        <v>164</v>
      </c>
      <c r="B183" s="57" t="s">
        <v>217</v>
      </c>
      <c r="C183" s="58"/>
      <c r="D183" s="58"/>
      <c r="E183" s="58"/>
      <c r="F183" s="58"/>
      <c r="G183" s="58"/>
      <c r="H183" s="59"/>
    </row>
    <row r="184" spans="1:8" x14ac:dyDescent="0.3">
      <c r="A184" s="111" t="s">
        <v>63</v>
      </c>
      <c r="B184" s="111"/>
      <c r="C184" s="111"/>
      <c r="D184" s="111"/>
      <c r="E184" s="111"/>
      <c r="F184" s="111"/>
      <c r="G184" s="111"/>
      <c r="H184" s="111"/>
    </row>
    <row r="185" spans="1:8" x14ac:dyDescent="0.3">
      <c r="A185" s="72" t="s">
        <v>64</v>
      </c>
      <c r="B185" s="72"/>
      <c r="C185" s="72"/>
      <c r="D185" s="72"/>
      <c r="E185" s="72"/>
      <c r="F185" s="72"/>
      <c r="G185" s="72"/>
      <c r="H185" s="72"/>
    </row>
    <row r="186" spans="1:8" ht="15.75" customHeight="1" x14ac:dyDescent="0.3">
      <c r="A186" s="83" t="s">
        <v>65</v>
      </c>
      <c r="B186" s="83"/>
      <c r="C186" s="83"/>
      <c r="D186" s="83"/>
      <c r="E186" s="83"/>
      <c r="F186" s="83"/>
      <c r="G186" s="83"/>
      <c r="H186" s="83"/>
    </row>
    <row r="187" spans="1:8" x14ac:dyDescent="0.3">
      <c r="A187" s="72" t="s">
        <v>66</v>
      </c>
      <c r="B187" s="72"/>
      <c r="C187" s="72"/>
      <c r="D187" s="72"/>
      <c r="E187" s="72"/>
      <c r="F187" s="72"/>
      <c r="G187" s="72"/>
      <c r="H187" s="72"/>
    </row>
    <row r="188" spans="1:8" x14ac:dyDescent="0.3">
      <c r="A188" s="72" t="s">
        <v>67</v>
      </c>
      <c r="B188" s="72"/>
      <c r="C188" s="72"/>
      <c r="D188" s="72"/>
      <c r="E188" s="72"/>
      <c r="F188" s="72"/>
      <c r="G188" s="72"/>
      <c r="H188" s="72"/>
    </row>
    <row r="189" spans="1:8" x14ac:dyDescent="0.3">
      <c r="A189" s="72" t="s">
        <v>134</v>
      </c>
      <c r="B189" s="72"/>
      <c r="C189" s="72"/>
      <c r="D189" s="72"/>
      <c r="E189" s="72"/>
      <c r="F189" s="72"/>
      <c r="G189" s="72"/>
      <c r="H189" s="72"/>
    </row>
    <row r="190" spans="1:8" x14ac:dyDescent="0.3">
      <c r="A190" s="112" t="s">
        <v>135</v>
      </c>
      <c r="B190" s="112"/>
      <c r="C190" s="112"/>
      <c r="D190" s="112"/>
      <c r="E190" s="112"/>
      <c r="F190" s="112"/>
      <c r="G190" s="112"/>
      <c r="H190" s="112"/>
    </row>
    <row r="191" spans="1:8" x14ac:dyDescent="0.3">
      <c r="A191" s="134" t="s">
        <v>80</v>
      </c>
      <c r="B191" s="134"/>
      <c r="C191" s="134" t="s">
        <v>214</v>
      </c>
      <c r="D191" s="134"/>
      <c r="E191" s="134" t="s">
        <v>110</v>
      </c>
      <c r="F191" s="134"/>
      <c r="G191" s="134" t="s">
        <v>220</v>
      </c>
      <c r="H191" s="134"/>
    </row>
    <row r="192" spans="1:8" x14ac:dyDescent="0.3">
      <c r="A192" s="133" t="s">
        <v>82</v>
      </c>
      <c r="B192" s="133"/>
      <c r="C192" s="133"/>
      <c r="D192" s="133"/>
      <c r="E192" s="133"/>
      <c r="F192" s="133"/>
      <c r="G192" s="133"/>
      <c r="H192" s="133"/>
    </row>
    <row r="193" spans="1:8" x14ac:dyDescent="0.3">
      <c r="A193" s="133"/>
      <c r="B193" s="133"/>
      <c r="C193" s="133"/>
      <c r="D193" s="133"/>
      <c r="E193" s="133"/>
      <c r="F193" s="133"/>
      <c r="G193" s="133"/>
      <c r="H193" s="133"/>
    </row>
    <row r="194" spans="1:8" x14ac:dyDescent="0.3">
      <c r="A194" s="133"/>
      <c r="B194" s="133"/>
      <c r="C194" s="133"/>
      <c r="D194" s="133"/>
      <c r="E194" s="133"/>
      <c r="F194" s="133"/>
      <c r="G194" s="133"/>
      <c r="H194" s="133"/>
    </row>
    <row r="195" spans="1:8" x14ac:dyDescent="0.3">
      <c r="A195" s="133"/>
      <c r="B195" s="133"/>
      <c r="C195" s="133"/>
      <c r="D195" s="133"/>
      <c r="E195" s="133"/>
      <c r="F195" s="133"/>
      <c r="G195" s="133"/>
      <c r="H195" s="133"/>
    </row>
    <row r="196" spans="1:8" x14ac:dyDescent="0.3">
      <c r="A196" s="38" t="s">
        <v>68</v>
      </c>
      <c r="B196" s="39"/>
      <c r="C196" s="39"/>
      <c r="D196" s="38" t="str">
        <f>E8</f>
        <v>Cascade Avenue Bellagio</v>
      </c>
      <c r="F196" s="39"/>
      <c r="G196" s="39"/>
      <c r="H196" s="39"/>
    </row>
    <row r="197" spans="1:8" x14ac:dyDescent="0.3">
      <c r="A197" s="39"/>
      <c r="B197" s="39"/>
      <c r="C197" s="39"/>
      <c r="D197" s="39"/>
      <c r="E197" s="39"/>
      <c r="F197" s="39"/>
      <c r="G197" s="39"/>
      <c r="H197" s="39"/>
    </row>
    <row r="198" spans="1:8" x14ac:dyDescent="0.3">
      <c r="A198" s="39"/>
      <c r="B198" s="39"/>
      <c r="C198" s="39"/>
      <c r="D198" s="39"/>
      <c r="E198" s="39"/>
      <c r="F198" s="39"/>
      <c r="G198" s="39"/>
      <c r="H198" s="39"/>
    </row>
    <row r="199" spans="1:8" ht="15" customHeight="1" x14ac:dyDescent="0.3"/>
    <row r="235" spans="1:1" x14ac:dyDescent="0.3">
      <c r="A235" s="41" t="s">
        <v>179</v>
      </c>
    </row>
    <row r="277" spans="1:1" x14ac:dyDescent="0.3">
      <c r="A277" s="41" t="s">
        <v>69</v>
      </c>
    </row>
  </sheetData>
  <mergeCells count="360">
    <mergeCell ref="B176:H176"/>
    <mergeCell ref="A171:H171"/>
    <mergeCell ref="A163:B163"/>
    <mergeCell ref="A164:B164"/>
    <mergeCell ref="G160:H164"/>
    <mergeCell ref="A87:E87"/>
    <mergeCell ref="B175:H175"/>
    <mergeCell ref="A159:H159"/>
    <mergeCell ref="A153:H153"/>
    <mergeCell ref="A146:B146"/>
    <mergeCell ref="B182:H182"/>
    <mergeCell ref="L125:M125"/>
    <mergeCell ref="A126:B126"/>
    <mergeCell ref="L126:M126"/>
    <mergeCell ref="A127:B127"/>
    <mergeCell ref="L127:M127"/>
    <mergeCell ref="A128:B128"/>
    <mergeCell ref="L128:M128"/>
    <mergeCell ref="G117:H128"/>
    <mergeCell ref="L120:M120"/>
    <mergeCell ref="A121:B121"/>
    <mergeCell ref="L121:M121"/>
    <mergeCell ref="A122:B122"/>
    <mergeCell ref="L122:M122"/>
    <mergeCell ref="A123:B123"/>
    <mergeCell ref="L123:M123"/>
    <mergeCell ref="A124:B124"/>
    <mergeCell ref="L124:M124"/>
    <mergeCell ref="B179:H179"/>
    <mergeCell ref="G154:H158"/>
    <mergeCell ref="A158:B158"/>
    <mergeCell ref="A165:H165"/>
    <mergeCell ref="A166:B166"/>
    <mergeCell ref="A167:B167"/>
    <mergeCell ref="B177:H177"/>
    <mergeCell ref="F81:H81"/>
    <mergeCell ref="A81:E81"/>
    <mergeCell ref="D105:D106"/>
    <mergeCell ref="A83:E83"/>
    <mergeCell ref="A108:B108"/>
    <mergeCell ref="A109:B109"/>
    <mergeCell ref="A110:B110"/>
    <mergeCell ref="A111:B111"/>
    <mergeCell ref="A84:E84"/>
    <mergeCell ref="A90:E90"/>
    <mergeCell ref="G102:H102"/>
    <mergeCell ref="C96:D96"/>
    <mergeCell ref="A115:H115"/>
    <mergeCell ref="A85:E85"/>
    <mergeCell ref="F85:H85"/>
    <mergeCell ref="A86:E86"/>
    <mergeCell ref="A88:E88"/>
    <mergeCell ref="F82:H82"/>
    <mergeCell ref="A170:B170"/>
    <mergeCell ref="A169:B169"/>
    <mergeCell ref="B172:H172"/>
    <mergeCell ref="A143:B143"/>
    <mergeCell ref="G143:H146"/>
    <mergeCell ref="A79:E79"/>
    <mergeCell ref="F83:H83"/>
    <mergeCell ref="A116:H116"/>
    <mergeCell ref="F87:H87"/>
    <mergeCell ref="C94:D94"/>
    <mergeCell ref="F90:H90"/>
    <mergeCell ref="A103:H103"/>
    <mergeCell ref="C99:D99"/>
    <mergeCell ref="G99:H99"/>
    <mergeCell ref="A107:H107"/>
    <mergeCell ref="E105:E106"/>
    <mergeCell ref="G105:H106"/>
    <mergeCell ref="F79:H79"/>
    <mergeCell ref="F84:H84"/>
    <mergeCell ref="A102:B102"/>
    <mergeCell ref="E102:F102"/>
    <mergeCell ref="C105:C106"/>
    <mergeCell ref="B113:B114"/>
    <mergeCell ref="G108:H111"/>
    <mergeCell ref="L111:M111"/>
    <mergeCell ref="L110:M110"/>
    <mergeCell ref="L109:M109"/>
    <mergeCell ref="L108:M108"/>
    <mergeCell ref="A105:A106"/>
    <mergeCell ref="C113:C114"/>
    <mergeCell ref="A142:H142"/>
    <mergeCell ref="L140:M140"/>
    <mergeCell ref="L141:M141"/>
    <mergeCell ref="L135:M135"/>
    <mergeCell ref="L136:M136"/>
    <mergeCell ref="L137:M137"/>
    <mergeCell ref="L138:M138"/>
    <mergeCell ref="L139:M139"/>
    <mergeCell ref="L130:M130"/>
    <mergeCell ref="L131:M131"/>
    <mergeCell ref="L132:M132"/>
    <mergeCell ref="L133:M133"/>
    <mergeCell ref="L134:M134"/>
    <mergeCell ref="L147:M147"/>
    <mergeCell ref="A112:H112"/>
    <mergeCell ref="A113:A114"/>
    <mergeCell ref="A152:B152"/>
    <mergeCell ref="A149:B149"/>
    <mergeCell ref="A150:B150"/>
    <mergeCell ref="A117:B117"/>
    <mergeCell ref="L117:M117"/>
    <mergeCell ref="A118:B118"/>
    <mergeCell ref="L118:M118"/>
    <mergeCell ref="A119:B119"/>
    <mergeCell ref="L119:M119"/>
    <mergeCell ref="L146:M146"/>
    <mergeCell ref="L143:M143"/>
    <mergeCell ref="A144:B144"/>
    <mergeCell ref="L144:M144"/>
    <mergeCell ref="A145:B145"/>
    <mergeCell ref="L145:M145"/>
    <mergeCell ref="G148:H152"/>
    <mergeCell ref="D59:H59"/>
    <mergeCell ref="A42:D42"/>
    <mergeCell ref="E42:H42"/>
    <mergeCell ref="E43:H43"/>
    <mergeCell ref="E44:H44"/>
    <mergeCell ref="E45:H45"/>
    <mergeCell ref="A43:D4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D64:H64"/>
    <mergeCell ref="A62:C62"/>
    <mergeCell ref="D62:H62"/>
    <mergeCell ref="A63:C63"/>
    <mergeCell ref="D63:H63"/>
    <mergeCell ref="A69:B69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G48:H48"/>
    <mergeCell ref="D58:H58"/>
    <mergeCell ref="C37:H37"/>
    <mergeCell ref="E41:H41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88:H188"/>
    <mergeCell ref="A184:H184"/>
    <mergeCell ref="A185:H185"/>
    <mergeCell ref="E99:F99"/>
    <mergeCell ref="B180:H180"/>
    <mergeCell ref="B178:H178"/>
    <mergeCell ref="B174:H17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A59:C59"/>
    <mergeCell ref="A192:H195"/>
    <mergeCell ref="A191:B191"/>
    <mergeCell ref="E191:F191"/>
    <mergeCell ref="C191:D191"/>
    <mergeCell ref="G191:H191"/>
    <mergeCell ref="A93:H93"/>
    <mergeCell ref="A91:E91"/>
    <mergeCell ref="F91:H91"/>
    <mergeCell ref="A92:E92"/>
    <mergeCell ref="F92:H92"/>
    <mergeCell ref="A147:H147"/>
    <mergeCell ref="A100:B100"/>
    <mergeCell ref="A156:B156"/>
    <mergeCell ref="A95:B95"/>
    <mergeCell ref="A187:H187"/>
    <mergeCell ref="A98:H98"/>
    <mergeCell ref="B173:H173"/>
    <mergeCell ref="A155:B155"/>
    <mergeCell ref="A104:H104"/>
    <mergeCell ref="A157:B157"/>
    <mergeCell ref="A154:B154"/>
    <mergeCell ref="B105:B106"/>
    <mergeCell ref="A190:H190"/>
    <mergeCell ref="E68:F68"/>
    <mergeCell ref="A61:C61"/>
    <mergeCell ref="D61:H61"/>
    <mergeCell ref="A64:C64"/>
    <mergeCell ref="A141:B141"/>
    <mergeCell ref="C141:F141"/>
    <mergeCell ref="A136:B136"/>
    <mergeCell ref="A137:B137"/>
    <mergeCell ref="A138:B138"/>
    <mergeCell ref="A139:B139"/>
    <mergeCell ref="A72:B72"/>
    <mergeCell ref="A131:B131"/>
    <mergeCell ref="A132:B132"/>
    <mergeCell ref="A133:B133"/>
    <mergeCell ref="A134:B134"/>
    <mergeCell ref="E69:F78"/>
    <mergeCell ref="G69:H78"/>
    <mergeCell ref="A77:B77"/>
    <mergeCell ref="G68:H68"/>
    <mergeCell ref="F88:H88"/>
    <mergeCell ref="A101:B101"/>
    <mergeCell ref="C101:D101"/>
    <mergeCell ref="E101:F101"/>
    <mergeCell ref="G94:H94"/>
    <mergeCell ref="A41:D41"/>
    <mergeCell ref="A48:B48"/>
    <mergeCell ref="C48:E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A47:B47"/>
    <mergeCell ref="C47:H47"/>
    <mergeCell ref="C51:H51"/>
    <mergeCell ref="A189:H189"/>
    <mergeCell ref="A186:H186"/>
    <mergeCell ref="A148:B148"/>
    <mergeCell ref="A99:B99"/>
    <mergeCell ref="D113:D114"/>
    <mergeCell ref="E113:E114"/>
    <mergeCell ref="G113:H114"/>
    <mergeCell ref="A74:B74"/>
    <mergeCell ref="F80:H80"/>
    <mergeCell ref="G95:H95"/>
    <mergeCell ref="A129:H129"/>
    <mergeCell ref="A130:B130"/>
    <mergeCell ref="G130:H141"/>
    <mergeCell ref="A135:B135"/>
    <mergeCell ref="A140:B140"/>
    <mergeCell ref="E97:F97"/>
    <mergeCell ref="G97:H97"/>
    <mergeCell ref="G101:H101"/>
    <mergeCell ref="B181:H181"/>
    <mergeCell ref="C100:D100"/>
    <mergeCell ref="E100:F100"/>
    <mergeCell ref="G100:H100"/>
    <mergeCell ref="F86:H86"/>
    <mergeCell ref="A80:E80"/>
    <mergeCell ref="B183:H183"/>
    <mergeCell ref="A78:B78"/>
    <mergeCell ref="A76:B76"/>
    <mergeCell ref="F89:H89"/>
    <mergeCell ref="E94:F94"/>
    <mergeCell ref="A94:B94"/>
    <mergeCell ref="A96:B96"/>
    <mergeCell ref="E96:F96"/>
    <mergeCell ref="G96:H96"/>
    <mergeCell ref="A97:B97"/>
    <mergeCell ref="C97:D97"/>
    <mergeCell ref="A82:E82"/>
    <mergeCell ref="A162:B162"/>
    <mergeCell ref="A151:B151"/>
    <mergeCell ref="A160:B160"/>
    <mergeCell ref="A161:B161"/>
    <mergeCell ref="A120:B120"/>
    <mergeCell ref="A125:B125"/>
    <mergeCell ref="A89:E89"/>
    <mergeCell ref="C95:D95"/>
    <mergeCell ref="E95:F95"/>
    <mergeCell ref="C102:D102"/>
    <mergeCell ref="G166:H170"/>
    <mergeCell ref="A168:B16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5" max="16383" man="1"/>
    <brk id="234" max="16383" man="1"/>
    <brk id="27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1" t="s">
        <v>111</v>
      </c>
      <c r="C3" s="181"/>
      <c r="D3" s="181"/>
      <c r="E3" s="181"/>
      <c r="F3" s="181"/>
      <c r="G3" s="181"/>
      <c r="H3" s="181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2025-09-10T10:22:44Z</cp:lastPrinted>
  <dcterms:created xsi:type="dcterms:W3CDTF">2019-07-16T09:29:46Z</dcterms:created>
  <dcterms:modified xsi:type="dcterms:W3CDTF">2025-09-10T10:23:17Z</dcterms:modified>
</cp:coreProperties>
</file>