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A5D15960-9CCF-4545-BB42-003BBBFD96C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" l="1"/>
  <c r="K73" i="1"/>
  <c r="J64" i="1" l="1"/>
  <c r="C67" i="1" l="1"/>
  <c r="D183" i="1" l="1"/>
  <c r="D182" i="1"/>
  <c r="D181" i="1"/>
  <c r="D180" i="1"/>
  <c r="D178" i="1"/>
  <c r="D177" i="1"/>
  <c r="D176" i="1"/>
  <c r="D175" i="1"/>
  <c r="D173" i="1"/>
  <c r="D172" i="1"/>
  <c r="D171" i="1"/>
  <c r="D170" i="1"/>
  <c r="D167" i="1"/>
  <c r="D166" i="1"/>
  <c r="D165" i="1"/>
  <c r="D163" i="1"/>
  <c r="D162" i="1"/>
  <c r="D161" i="1"/>
  <c r="D160" i="1"/>
  <c r="D158" i="1"/>
  <c r="D157" i="1"/>
  <c r="D156" i="1"/>
  <c r="D155" i="1"/>
  <c r="D152" i="1"/>
  <c r="D146" i="1"/>
  <c r="D144" i="1"/>
  <c r="D142" i="1"/>
  <c r="D141" i="1"/>
  <c r="D140" i="1"/>
  <c r="D138" i="1"/>
  <c r="D137" i="1"/>
  <c r="D136" i="1"/>
  <c r="D134" i="1"/>
  <c r="D133" i="1"/>
  <c r="D130" i="1"/>
  <c r="D129" i="1"/>
  <c r="D128" i="1"/>
  <c r="D126" i="1"/>
  <c r="D125" i="1"/>
  <c r="D124" i="1"/>
  <c r="D121" i="1"/>
  <c r="I128" i="1"/>
  <c r="C112" i="1" l="1"/>
  <c r="C111" i="1"/>
  <c r="E112" i="1"/>
  <c r="E111" i="1"/>
  <c r="F137" i="1"/>
  <c r="F133" i="1"/>
  <c r="F162" i="1"/>
  <c r="F156" i="1"/>
  <c r="I155" i="1"/>
  <c r="F152" i="1"/>
  <c r="I121" i="1"/>
  <c r="J126" i="1"/>
  <c r="I126" i="1"/>
  <c r="I125" i="1"/>
  <c r="F163" i="1"/>
  <c r="F183" i="1"/>
  <c r="F182" i="1"/>
  <c r="F181" i="1"/>
  <c r="A181" i="1"/>
  <c r="A182" i="1" s="1"/>
  <c r="A183" i="1" s="1"/>
  <c r="G180" i="1"/>
  <c r="F180" i="1"/>
  <c r="F146" i="1"/>
  <c r="A145" i="1"/>
  <c r="A146" i="1" s="1"/>
  <c r="G144" i="1"/>
  <c r="F144" i="1"/>
  <c r="F142" i="1"/>
  <c r="F141" i="1"/>
  <c r="A141" i="1"/>
  <c r="A142" i="1" s="1"/>
  <c r="G140" i="1"/>
  <c r="F140" i="1"/>
  <c r="F178" i="1"/>
  <c r="F177" i="1"/>
  <c r="F176" i="1"/>
  <c r="A176" i="1"/>
  <c r="A177" i="1" s="1"/>
  <c r="A178" i="1" s="1"/>
  <c r="G175" i="1"/>
  <c r="F175" i="1"/>
  <c r="F138" i="1"/>
  <c r="A137" i="1"/>
  <c r="A138" i="1" s="1"/>
  <c r="G136" i="1"/>
  <c r="F136" i="1"/>
  <c r="A171" i="1"/>
  <c r="A172" i="1" s="1"/>
  <c r="A173" i="1" s="1"/>
  <c r="F134" i="1"/>
  <c r="A133" i="1"/>
  <c r="A134" i="1" s="1"/>
  <c r="G132" i="1"/>
  <c r="A166" i="1"/>
  <c r="A167" i="1" s="1"/>
  <c r="A168" i="1" s="1"/>
  <c r="F161" i="1"/>
  <c r="A161" i="1"/>
  <c r="A162" i="1" s="1"/>
  <c r="A163" i="1" s="1"/>
  <c r="G160" i="1"/>
  <c r="F160" i="1"/>
  <c r="A129" i="1"/>
  <c r="A130" i="1" s="1"/>
  <c r="F158" i="1"/>
  <c r="F157" i="1"/>
  <c r="A156" i="1"/>
  <c r="A157" i="1" s="1"/>
  <c r="A158" i="1" s="1"/>
  <c r="G155" i="1"/>
  <c r="F155" i="1"/>
  <c r="A151" i="1"/>
  <c r="A152" i="1" s="1"/>
  <c r="A153" i="1" s="1"/>
  <c r="G150" i="1"/>
  <c r="E113" i="1" l="1"/>
  <c r="C113" i="1"/>
  <c r="E7" i="1"/>
  <c r="D61" i="1" l="1"/>
  <c r="E30" i="1"/>
  <c r="B186" i="1"/>
  <c r="B68" i="1"/>
  <c r="E25" i="1"/>
  <c r="E27" i="1" l="1"/>
  <c r="C15" i="1"/>
  <c r="E43" i="1" l="1"/>
  <c r="E44" i="1" s="1"/>
  <c r="F121" i="1" l="1"/>
  <c r="A122" i="1"/>
  <c r="G121" i="1"/>
  <c r="F108" i="1" l="1"/>
  <c r="F173" i="1" l="1"/>
  <c r="F172" i="1"/>
  <c r="F171" i="1"/>
  <c r="F170" i="1"/>
  <c r="F167" i="1"/>
  <c r="F166" i="1"/>
  <c r="F165" i="1"/>
  <c r="G112" i="1" s="1"/>
  <c r="F130" i="1"/>
  <c r="F129" i="1"/>
  <c r="F128" i="1"/>
  <c r="F125" i="1"/>
  <c r="F124" i="1"/>
  <c r="F126" i="1"/>
  <c r="G111" i="1" l="1"/>
  <c r="G11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9" i="1"/>
  <c r="G170" i="1"/>
  <c r="G165" i="1"/>
  <c r="G128" i="1"/>
  <c r="G124" i="1"/>
  <c r="A125" i="1"/>
  <c r="A126" i="1" s="1"/>
  <c r="C81" i="1"/>
  <c r="B82" i="1" s="1"/>
  <c r="D55" i="1"/>
  <c r="G50" i="1"/>
  <c r="C50" i="1"/>
  <c r="E3" i="1"/>
  <c r="H68" i="1"/>
  <c r="D80" i="1" l="1"/>
  <c r="D78" i="1"/>
  <c r="D77" i="1"/>
  <c r="D76" i="1"/>
  <c r="D74" i="1"/>
  <c r="J67" i="1"/>
  <c r="D79" i="1"/>
  <c r="D75" i="1"/>
  <c r="J71" i="1"/>
  <c r="J72" i="1"/>
  <c r="C71" i="1" s="1"/>
  <c r="J70" i="1"/>
  <c r="J73" i="1"/>
  <c r="H82" i="1"/>
  <c r="J87" i="1" l="1"/>
  <c r="J88" i="1" s="1"/>
  <c r="J93" i="1" s="1"/>
  <c r="D91" i="1"/>
  <c r="D93" i="1"/>
  <c r="D94" i="1"/>
  <c r="D88" i="1"/>
  <c r="J85" i="1"/>
  <c r="J81" i="1"/>
  <c r="J83" i="1" s="1"/>
  <c r="D89" i="1"/>
  <c r="J86" i="1"/>
  <c r="C85" i="1" s="1"/>
  <c r="D85" i="1" s="1"/>
  <c r="D92" i="1"/>
  <c r="D90" i="1"/>
  <c r="J84" i="1"/>
  <c r="J74" i="1"/>
  <c r="J89" i="1"/>
  <c r="J90" i="1" s="1"/>
  <c r="J91" i="1" s="1"/>
  <c r="J92" i="1" s="1"/>
  <c r="J75" i="1"/>
  <c r="J76" i="1" s="1"/>
  <c r="J77" i="1" s="1"/>
  <c r="J78" i="1" s="1"/>
  <c r="D87" i="1"/>
  <c r="D73" i="1"/>
  <c r="J69" i="1"/>
  <c r="D71" i="1"/>
  <c r="J79" i="1" l="1"/>
  <c r="J94" i="1"/>
  <c r="J80" i="1" l="1"/>
  <c r="C72" i="1" s="1"/>
  <c r="J68" i="1" s="1"/>
  <c r="C86" i="1"/>
  <c r="J82" i="1" s="1"/>
  <c r="G85" i="1" l="1"/>
  <c r="G71" i="1"/>
  <c r="D65" i="1" s="1"/>
  <c r="D66" i="1" s="1"/>
  <c r="D72" i="1"/>
  <c r="I68" i="1" s="1"/>
  <c r="I69" i="1" s="1"/>
  <c r="I67" i="1" s="1"/>
  <c r="C69" i="1" s="1"/>
  <c r="E71" i="1"/>
  <c r="D86" i="1"/>
  <c r="I82" i="1" s="1"/>
  <c r="I83" i="1" s="1"/>
  <c r="E85" i="1"/>
  <c r="F66" i="1" l="1"/>
  <c r="I81" i="1"/>
  <c r="C83" i="1" s="1"/>
</calcChain>
</file>

<file path=xl/sharedStrings.xml><?xml version="1.0" encoding="utf-8"?>
<sst xmlns="http://schemas.openxmlformats.org/spreadsheetml/2006/main" count="357" uniqueCount="237">
  <si>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</si>
  <si>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</si>
  <si>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</si>
  <si>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</si>
  <si>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</si>
  <si>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</si>
  <si>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</si>
  <si>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</si>
  <si>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</si>
  <si>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</si>
  <si>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</si>
  <si>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</si>
  <si>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</si>
  <si>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</si>
  <si>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</si>
  <si>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</si>
  <si>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</si>
  <si>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</si>
  <si>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</si>
  <si>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</si>
  <si>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</si>
  <si>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</si>
  <si>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</si>
  <si>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</si>
  <si>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</si>
  <si>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</si>
  <si>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</si>
  <si>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</si>
  <si>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</si>
  <si>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</si>
  <si>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</si>
  <si>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</si>
  <si>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</si>
  <si>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</si>
  <si>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</si>
  <si>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</si>
  <si>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</si>
  <si>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</si>
  <si>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</si>
  <si>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</si>
  <si>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</si>
  <si>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</si>
  <si>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</si>
  <si>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</si>
  <si>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</si>
  <si>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</si>
  <si>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</si>
  <si>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</si>
  <si>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</si>
  <si>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</si>
  <si>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</si>
  <si>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</si>
  <si>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</si>
  <si>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</si>
  <si>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</si>
  <si>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</si>
  <si>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</si>
  <si>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</si>
  <si>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</si>
  <si>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</si>
  <si>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</si>
  <si>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</si>
  <si>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</si>
  <si>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</si>
  <si>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</si>
  <si>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</si>
  <si>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</si>
  <si>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</si>
  <si>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</si>
  <si>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</si>
  <si>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</si>
  <si>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</si>
  <si>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</si>
  <si>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</si>
  <si>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</si>
  <si>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</si>
  <si>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</si>
  <si>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</si>
  <si>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</si>
  <si>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</si>
  <si>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</si>
  <si>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</si>
  <si>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</si>
  <si>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</si>
  <si>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</si>
  <si>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</si>
  <si>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</si>
  <si>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</si>
  <si>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</si>
  <si>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</si>
  <si>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</si>
  <si>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</si>
  <si>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</si>
  <si>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</si>
  <si>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</si>
  <si>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</si>
  <si>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</si>
  <si>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</si>
  <si>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</si>
  <si>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</si>
  <si>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</si>
  <si>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</si>
  <si>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</si>
  <si>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</si>
  <si>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</si>
  <si>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</si>
  <si>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</si>
  <si>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</si>
  <si>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</si>
  <si>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</si>
  <si>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</si>
  <si>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</si>
  <si>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</si>
  <si>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</si>
  <si>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</si>
  <si>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</si>
  <si>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</si>
  <si>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</si>
  <si>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</si>
  <si>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</si>
  <si>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</si>
  <si>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</si>
  <si>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</si>
  <si>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</si>
  <si>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</si>
  <si>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</si>
  <si>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</si>
  <si>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</si>
  <si>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</si>
  <si>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</si>
  <si>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</si>
  <si>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</si>
  <si>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</si>
  <si>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</si>
  <si>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</si>
  <si>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</si>
  <si>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</si>
  <si>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</si>
  <si>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</si>
  <si>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</si>
  <si>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</si>
  <si>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</si>
  <si>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</si>
  <si>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</si>
  <si>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</si>
  <si>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</si>
  <si>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</si>
  <si>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</si>
  <si>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</si>
  <si>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</si>
  <si>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</si>
  <si>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</si>
  <si>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</si>
  <si>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</si>
  <si>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</si>
  <si>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</si>
  <si>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</si>
  <si>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</si>
  <si>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</si>
  <si>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</si>
  <si>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</si>
  <si>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</si>
  <si>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</si>
  <si>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</si>
  <si>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</si>
  <si>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</si>
  <si>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</si>
  <si>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</si>
  <si>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</si>
  <si>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</si>
  <si>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</si>
  <si>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</si>
  <si>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Axis Goregaon</t>
  </si>
  <si>
    <t>Ajmera Eden</t>
  </si>
  <si>
    <t>Shree Yogi Realcon Private Limited</t>
  </si>
  <si>
    <t>P51800049667</t>
  </si>
  <si>
    <t>CTS No</t>
  </si>
  <si>
    <t>5684 (PT), S.No.229, Redevlopement of "Shree Yogi Realcon Pvt.Ltd. (Building No.230 &amp; 231)"</t>
  </si>
  <si>
    <t>Name / No of the Existing Building</t>
  </si>
  <si>
    <t>Shree Yogi Realcon Pvt.Ltd. (Building No.230 
&amp; 231)</t>
  </si>
  <si>
    <t>Mumbai</t>
  </si>
  <si>
    <t>Kurla</t>
  </si>
  <si>
    <t>Ghatkopar</t>
  </si>
  <si>
    <t>Ghatkopar (East)</t>
  </si>
  <si>
    <t>Pant Nagar</t>
  </si>
  <si>
    <t>Shree Gurudatta Mandir Marg</t>
  </si>
  <si>
    <t>Natasha Avenue</t>
  </si>
  <si>
    <t>Atal Niwas</t>
  </si>
  <si>
    <t>Ajmera Showstopper Ghatkopar</t>
  </si>
  <si>
    <t>Anandlok CHS</t>
  </si>
  <si>
    <t>0.9 KM from Ghatkopar Railway Station</t>
  </si>
  <si>
    <t>https://goo.gl/maps/Gjbdgtwg9NLW2dYv5</t>
  </si>
  <si>
    <t>19.083767, 72.912087</t>
  </si>
  <si>
    <t xml:space="preserve">Maharashtra Housing and Area Development Authority (MHADA)
</t>
  </si>
  <si>
    <t>Mhada-1/1224/2023</t>
  </si>
  <si>
    <t>As per RERA - 30/01/2027</t>
  </si>
  <si>
    <t>Multipurpose Sports Court, Kids’ Play Area, Terrace Lounge, Leisure Lawn, Rooftop Infinity Pool, Wooden Deck, Football Snooker, Open Air Yoga &amp; Zumba Zone, Gym, Indoor Game Room, Open Air Theatre etc.</t>
  </si>
  <si>
    <t>B Wing = G + 1st to 15th Floor</t>
  </si>
  <si>
    <t>A &amp; B Wing = G + 1st to 15th Floor</t>
  </si>
  <si>
    <t>02 Wings</t>
  </si>
  <si>
    <t>Ground Floor For Entrance Lobby, Meter Room &amp; Parking</t>
  </si>
  <si>
    <t>Wing A</t>
  </si>
  <si>
    <t>Wing B</t>
  </si>
  <si>
    <t>Ground Floor For Entrance Lobby, Meter Room, Electric Panel Room &amp; Parking</t>
  </si>
  <si>
    <t>Parking tower is beside the project.</t>
  </si>
  <si>
    <t>1st Floor For Fitness Center &amp; Residential</t>
  </si>
  <si>
    <t>3BHK</t>
  </si>
  <si>
    <t>Fitness Center</t>
  </si>
  <si>
    <t>Parking</t>
  </si>
  <si>
    <t>Double Height Entrance Lobby</t>
  </si>
  <si>
    <t>2nd Floor For Residential</t>
  </si>
  <si>
    <t>3rd to 7th Floor</t>
  </si>
  <si>
    <t>8th Floor (Part Refuge Area)</t>
  </si>
  <si>
    <t>Refuge Area</t>
  </si>
  <si>
    <t>9th Floor</t>
  </si>
  <si>
    <t>10th to 14th Floor</t>
  </si>
  <si>
    <t>15th Floor</t>
  </si>
  <si>
    <t>Wing A &amp; B</t>
  </si>
  <si>
    <t>1st Floor For Fitness Center, Society Office &amp; Residential</t>
  </si>
  <si>
    <t>2BHK</t>
  </si>
  <si>
    <t>4BHK</t>
  </si>
  <si>
    <t>Swimming Pool</t>
  </si>
  <si>
    <t>We considered Gross carpet area = Net carpet + Deck Area.</t>
  </si>
  <si>
    <t>Flats - 97</t>
  </si>
  <si>
    <t>Approved Plans, CC, Cost Sheet</t>
  </si>
  <si>
    <t>As the project is redevelopement project but rehab statement or rehab flats is not mentioned approved layout plan &amp; floor plan.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</si>
  <si>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</si>
  <si>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18500 to 20000</t>
  </si>
  <si>
    <t>smith</t>
  </si>
  <si>
    <t>MH/EE/(BP)/GM/MHADA-1/1224/2024/FCC/3/Amend</t>
  </si>
  <si>
    <t>This Further C.C. Extended up to top of 15th floor of Wing A &amp; Wing B (including LMR/OHT) (i.e. Wing A Consist of Basement (pt.) + Stilt (pt.) + 1st (pt) for fitness Centre &amp; part for Residential use + 2nd to 14th + 15th (pt.)for upper floor for Residential use &amp; part for Service area + Swimming pool on terrace floor and Wing B Consist of Basement (pt.) + Stilt (pt.) + 1st (pt) for Society office &amp; fitness Centre and part for Residential use + 2nd to 15th upper floor for Residential use along with parking tower as per approved amended plans dtd. 21.04.2023.</t>
  </si>
  <si>
    <t>Construction work is in process at the time of Visit. Internal photographs was not allowed.</t>
  </si>
  <si>
    <t>We have updated revised approved CC from MHADA site on 11/06/2024, 17/09/2024 &amp; 12/03/2025.</t>
  </si>
  <si>
    <t>Rate 21300 by Sanjay Verbal  on 19/03/2025</t>
  </si>
  <si>
    <t>Recommended Rates of the Property have been revised on 03/04/2024 &amp; 19/03/2025.</t>
  </si>
  <si>
    <t>Kunal Kadam</t>
  </si>
  <si>
    <t>Nainesh Tambe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</si>
</sst>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124155</xdr:colOff>
      <xdr:row>311</xdr:row>
      <xdr:rowOff>21762</xdr:rowOff>
    </xdr:from>
    <xdr:to>
      <xdr:col>6</xdr:col>
      <xdr:colOff>653319</xdr:colOff>
      <xdr:row>327</xdr:row>
      <xdr:rowOff>75217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155" y="66246489"/>
          <a:ext cx="467686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86591</xdr:colOff>
      <xdr:row>294</xdr:row>
      <xdr:rowOff>8659</xdr:rowOff>
    </xdr:from>
    <xdr:to>
      <xdr:col>6</xdr:col>
      <xdr:colOff>690885</xdr:colOff>
      <xdr:row>310</xdr:row>
      <xdr:rowOff>62115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8591" y="62847682"/>
          <a:ext cx="4751999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225136</xdr:colOff>
      <xdr:row>252</xdr:row>
      <xdr:rowOff>8660</xdr:rowOff>
    </xdr:from>
    <xdr:to>
      <xdr:col>5</xdr:col>
      <xdr:colOff>580252</xdr:colOff>
      <xdr:row>268</xdr:row>
      <xdr:rowOff>62114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83772" y="54526296"/>
          <a:ext cx="292686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242389</xdr:colOff>
      <xdr:row>269</xdr:row>
      <xdr:rowOff>12524</xdr:rowOff>
    </xdr:from>
    <xdr:to>
      <xdr:col>5</xdr:col>
      <xdr:colOff>550639</xdr:colOff>
      <xdr:row>284</xdr:row>
      <xdr:rowOff>136008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685590" y="58031300"/>
          <a:ext cx="311087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710047</xdr:colOff>
      <xdr:row>258</xdr:row>
      <xdr:rowOff>164524</xdr:rowOff>
    </xdr:from>
    <xdr:to>
      <xdr:col>4</xdr:col>
      <xdr:colOff>103910</xdr:colOff>
      <xdr:row>260</xdr:row>
      <xdr:rowOff>60614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20882360">
          <a:off x="3117274" y="55825160"/>
          <a:ext cx="337704" cy="29440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594360</xdr:colOff>
      <xdr:row>209</xdr:row>
      <xdr:rowOff>53340</xdr:rowOff>
    </xdr:from>
    <xdr:to>
      <xdr:col>17</xdr:col>
      <xdr:colOff>320040</xdr:colOff>
      <xdr:row>248</xdr:row>
      <xdr:rowOff>15240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599B9E2-F2AC-BBFD-AD79-78332716C1F8}"/>
            </a:ext>
          </a:extLst>
        </xdr:cNvPr>
        <xdr:cNvGrpSpPr/>
      </xdr:nvGrpSpPr>
      <xdr:grpSpPr>
        <a:xfrm>
          <a:off x="8442960" y="43441620"/>
          <a:ext cx="5943600" cy="7680960"/>
          <a:chOff x="488943" y="156755"/>
          <a:chExt cx="5953282" cy="8139048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EB08C8BB-E660-6ADE-6A99-4CBC7C5AEEF2}"/>
              </a:ext>
            </a:extLst>
          </xdr:cNvPr>
          <xdr:cNvGrpSpPr/>
        </xdr:nvGrpSpPr>
        <xdr:grpSpPr>
          <a:xfrm>
            <a:off x="1262693" y="6495803"/>
            <a:ext cx="4405783" cy="1800000"/>
            <a:chOff x="2196442" y="6495803"/>
            <a:chExt cx="4405783" cy="180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EF06F999-2949-8AEC-6F61-934ED87578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02225" y="6495803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5A807631-3D02-4C33-2D9F-3ECE5BD95E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96442" y="6495803"/>
              <a:ext cx="10125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5E8537E0-9DD4-E279-57D5-7DAD7A864E72}"/>
              </a:ext>
            </a:extLst>
          </xdr:cNvPr>
          <xdr:cNvGrpSpPr/>
        </xdr:nvGrpSpPr>
        <xdr:grpSpPr>
          <a:xfrm>
            <a:off x="488943" y="4161085"/>
            <a:ext cx="5953282" cy="2160000"/>
            <a:chOff x="328943" y="4161085"/>
            <a:chExt cx="5953282" cy="2160000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A6D1D595-0817-1E05-44A2-2B7C29C41D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8943" y="4161085"/>
              <a:ext cx="288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BDF98FCB-D179-E89F-1BD9-8E644F499C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02225" y="4161085"/>
              <a:ext cx="288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67A78E1B-084A-9117-4DCF-207B1A90B9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8943" y="156755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2032815F-C456-DB89-DD33-3FC20AC2C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2225" y="156755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320040</xdr:colOff>
      <xdr:row>210</xdr:row>
      <xdr:rowOff>22860</xdr:rowOff>
    </xdr:from>
    <xdr:to>
      <xdr:col>7</xdr:col>
      <xdr:colOff>460536</xdr:colOff>
      <xdr:row>246</xdr:row>
      <xdr:rowOff>106182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B357FD8-122A-3CF8-8C6D-BF144CC67B89}"/>
            </a:ext>
          </a:extLst>
        </xdr:cNvPr>
        <xdr:cNvGrpSpPr/>
      </xdr:nvGrpSpPr>
      <xdr:grpSpPr>
        <a:xfrm>
          <a:off x="320040" y="43609260"/>
          <a:ext cx="6023136" cy="7208022"/>
          <a:chOff x="279082" y="214993"/>
          <a:chExt cx="6023136" cy="7208022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6FEFA8BE-D65F-1A54-F65E-90F0F3701D89}"/>
              </a:ext>
            </a:extLst>
          </xdr:cNvPr>
          <xdr:cNvGrpSpPr/>
        </xdr:nvGrpSpPr>
        <xdr:grpSpPr>
          <a:xfrm>
            <a:off x="279082" y="2919004"/>
            <a:ext cx="6023136" cy="2520000"/>
            <a:chOff x="279082" y="2919004"/>
            <a:chExt cx="6023136" cy="2520000"/>
          </a:xfrm>
        </xdr:grpSpPr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2256C8E2-411B-BA6E-C4BD-0B355441F7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3014" y="29190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8ABC8989-B8D4-A1DD-0BC9-42E04580DD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6946" y="29190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8EC5324C-F67B-D1A6-B40D-02206A6BAB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082" y="291900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4F5EE88C-7E47-3776-7F86-58B5C7CDC01E}"/>
              </a:ext>
            </a:extLst>
          </xdr:cNvPr>
          <xdr:cNvGrpSpPr/>
        </xdr:nvGrpSpPr>
        <xdr:grpSpPr>
          <a:xfrm>
            <a:off x="1097289" y="5623015"/>
            <a:ext cx="4386722" cy="1800000"/>
            <a:chOff x="1097289" y="5623015"/>
            <a:chExt cx="4386722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9A1682DD-F5BF-44DB-20D0-50721D8F9B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97289" y="5623015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FFFD703-6398-D3BE-BF1D-93BB413A4F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13767" y="5623015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DD1A9D42-FFDC-3F76-0BBD-54120D3398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30245" y="5623015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6B2ADE3-938D-3A9B-85E0-15B89291E9DF}"/>
              </a:ext>
            </a:extLst>
          </xdr:cNvPr>
          <xdr:cNvGrpSpPr/>
        </xdr:nvGrpSpPr>
        <xdr:grpSpPr>
          <a:xfrm>
            <a:off x="279082" y="214993"/>
            <a:ext cx="6023136" cy="2520000"/>
            <a:chOff x="279082" y="214993"/>
            <a:chExt cx="6023136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161606E7-92ED-9574-DF10-79FF8C2E3B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6946" y="21499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8920838A-8046-E6BC-9B8B-A6A0187201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3014" y="21499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B7C03642-AD68-AF11-FEDA-552FB8FB70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082" y="214993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jbdgtwg9NLW2dYv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3"/>
  <sheetViews>
    <sheetView tabSelected="1" view="pageBreakPreview" topLeftCell="A203" zoomScaleNormal="100" zoomScaleSheetLayoutView="100" workbookViewId="0">
      <selection activeCell="J206" sqref="J206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6.21875" style="21" customWidth="1"/>
    <col min="10" max="10" width="13.77734375" style="21" customWidth="1"/>
    <col min="11" max="11" width="11.21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12" ht="46.5" customHeight="1" x14ac:dyDescent="0.3">
      <c r="A1" s="127" t="s">
        <v>226</v>
      </c>
      <c r="B1" s="127"/>
      <c r="C1" s="127"/>
      <c r="D1" s="127"/>
      <c r="E1" s="127"/>
      <c r="F1" s="127"/>
      <c r="G1" s="127"/>
      <c r="H1" s="127"/>
    </row>
    <row r="2" spans="1:12" ht="16.5" customHeight="1" x14ac:dyDescent="0.3">
      <c r="A2" s="97" t="s">
        <v>0</v>
      </c>
      <c r="B2" s="97"/>
      <c r="C2" s="97"/>
      <c r="D2" s="97"/>
      <c r="E2" s="97"/>
      <c r="F2" s="97"/>
      <c r="G2" s="97"/>
      <c r="H2" s="97"/>
    </row>
    <row r="3" spans="1:12" x14ac:dyDescent="0.3">
      <c r="A3" s="83" t="s">
        <v>1</v>
      </c>
      <c r="B3" s="83"/>
      <c r="C3" s="83"/>
      <c r="D3" s="83"/>
      <c r="E3" s="83" t="str">
        <f ca="1">TEXT(TODAY(),"DD/MM/YYYY")</f>
        <v>13/09/2025</v>
      </c>
      <c r="F3" s="83"/>
      <c r="G3" s="83"/>
      <c r="H3" s="83"/>
    </row>
    <row r="4" spans="1:12" x14ac:dyDescent="0.3">
      <c r="A4" s="83" t="s">
        <v>2</v>
      </c>
      <c r="B4" s="83"/>
      <c r="C4" s="83"/>
      <c r="D4" s="83"/>
      <c r="E4" s="83" t="s">
        <v>172</v>
      </c>
      <c r="F4" s="83"/>
      <c r="G4" s="83"/>
      <c r="H4" s="83"/>
    </row>
    <row r="5" spans="1:12" x14ac:dyDescent="0.3">
      <c r="A5" s="83" t="s">
        <v>3</v>
      </c>
      <c r="B5" s="83"/>
      <c r="C5" s="83"/>
      <c r="D5" s="83"/>
      <c r="E5" s="131">
        <v>45911</v>
      </c>
      <c r="F5" s="83"/>
      <c r="G5" s="83"/>
      <c r="H5" s="83"/>
    </row>
    <row r="6" spans="1:12" ht="16.5" customHeight="1" x14ac:dyDescent="0.3">
      <c r="A6" s="83" t="s">
        <v>4</v>
      </c>
      <c r="B6" s="83"/>
      <c r="C6" s="83"/>
      <c r="D6" s="83"/>
      <c r="E6" s="83" t="s">
        <v>174</v>
      </c>
      <c r="F6" s="83"/>
      <c r="G6" s="83"/>
      <c r="H6" s="83"/>
    </row>
    <row r="7" spans="1:12" x14ac:dyDescent="0.3">
      <c r="A7" s="83" t="s">
        <v>5</v>
      </c>
      <c r="B7" s="83"/>
      <c r="C7" s="83"/>
      <c r="D7" s="83"/>
      <c r="E7" s="83" t="str">
        <f>E6</f>
        <v>Shree Yogi Realcon Private Limited</v>
      </c>
      <c r="F7" s="83"/>
      <c r="G7" s="83"/>
      <c r="H7" s="83"/>
    </row>
    <row r="8" spans="1:12" x14ac:dyDescent="0.3">
      <c r="A8" s="83" t="s">
        <v>6</v>
      </c>
      <c r="B8" s="83"/>
      <c r="C8" s="83"/>
      <c r="D8" s="83"/>
      <c r="E8" s="128" t="s">
        <v>173</v>
      </c>
      <c r="F8" s="129"/>
      <c r="G8" s="129"/>
      <c r="H8" s="130"/>
    </row>
    <row r="9" spans="1:12" x14ac:dyDescent="0.3">
      <c r="A9" s="83" t="s">
        <v>170</v>
      </c>
      <c r="B9" s="83"/>
      <c r="C9" s="83"/>
      <c r="D9" s="83"/>
      <c r="E9" s="83">
        <v>9892068384</v>
      </c>
      <c r="F9" s="83"/>
      <c r="G9" s="83"/>
      <c r="H9" s="83"/>
    </row>
    <row r="10" spans="1:12" hidden="1" x14ac:dyDescent="0.3">
      <c r="A10" s="83" t="s">
        <v>171</v>
      </c>
      <c r="B10" s="83"/>
      <c r="C10" s="83"/>
      <c r="D10" s="83"/>
      <c r="E10" s="83" t="s">
        <v>30</v>
      </c>
      <c r="F10" s="83"/>
      <c r="G10" s="83"/>
      <c r="H10" s="83"/>
      <c r="I10" s="83">
        <v>9892068385</v>
      </c>
      <c r="J10" s="83"/>
      <c r="K10" s="83"/>
      <c r="L10" s="83"/>
    </row>
    <row r="11" spans="1:12" x14ac:dyDescent="0.3">
      <c r="A11" s="83" t="s">
        <v>7</v>
      </c>
      <c r="B11" s="83"/>
      <c r="C11" s="83"/>
      <c r="D11" s="83"/>
      <c r="E11" s="82" t="s">
        <v>217</v>
      </c>
      <c r="F11" s="82"/>
      <c r="G11" s="82"/>
      <c r="H11" s="82"/>
    </row>
    <row r="12" spans="1:12" ht="32.25" customHeight="1" x14ac:dyDescent="0.3">
      <c r="A12" s="83" t="s">
        <v>178</v>
      </c>
      <c r="B12" s="83"/>
      <c r="C12" s="83"/>
      <c r="D12" s="83"/>
      <c r="E12" s="82" t="s">
        <v>179</v>
      </c>
      <c r="F12" s="82"/>
      <c r="G12" s="82"/>
      <c r="H12" s="82"/>
    </row>
    <row r="13" spans="1:12" x14ac:dyDescent="0.3">
      <c r="A13" s="57" t="s">
        <v>8</v>
      </c>
      <c r="B13" s="57"/>
      <c r="C13" s="57"/>
      <c r="D13" s="57"/>
      <c r="E13" s="82" t="s">
        <v>224</v>
      </c>
      <c r="F13" s="82"/>
      <c r="G13" s="82"/>
      <c r="H13" s="82"/>
    </row>
    <row r="14" spans="1:12" x14ac:dyDescent="0.3">
      <c r="A14" s="57" t="s">
        <v>9</v>
      </c>
      <c r="B14" s="57"/>
      <c r="C14" s="57"/>
      <c r="D14" s="57"/>
      <c r="E14" s="82" t="s">
        <v>175</v>
      </c>
      <c r="F14" s="83"/>
      <c r="G14" s="83"/>
      <c r="H14" s="83"/>
    </row>
    <row r="15" spans="1:12" ht="51.6" customHeight="1" x14ac:dyDescent="0.3">
      <c r="A15" s="88" t="s">
        <v>10</v>
      </c>
      <c r="B15" s="88"/>
      <c r="C15" s="8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Ajmera Eden, CTS No.5684 (PT), S.No.229, Redevlopement of "Shree Yogi Realcon Pvt.Ltd. (Building No.230 &amp; 231)", near Natasha Avenue, Shree Gurudatta Mandir Marg, Pant Nagar, Ghatkopar, Ghatkopar (East), Kurla, Mumbai - 400075.</v>
      </c>
      <c r="D15" s="88"/>
      <c r="E15" s="88"/>
      <c r="F15" s="88"/>
      <c r="G15" s="88"/>
      <c r="H15" s="88"/>
    </row>
    <row r="16" spans="1:12" ht="33.75" customHeight="1" x14ac:dyDescent="0.3">
      <c r="A16" s="82" t="s">
        <v>176</v>
      </c>
      <c r="B16" s="82"/>
      <c r="C16" s="82" t="s">
        <v>177</v>
      </c>
      <c r="D16" s="82"/>
      <c r="E16" s="82"/>
      <c r="F16" s="82"/>
      <c r="G16" s="82"/>
      <c r="H16" s="82"/>
    </row>
    <row r="17" spans="1:8" ht="15.75" customHeight="1" x14ac:dyDescent="0.3">
      <c r="A17" s="82" t="s">
        <v>167</v>
      </c>
      <c r="B17" s="82"/>
      <c r="C17" s="82" t="s">
        <v>184</v>
      </c>
      <c r="D17" s="82"/>
      <c r="E17" s="82"/>
      <c r="F17" s="82"/>
      <c r="G17" s="82"/>
      <c r="H17" s="82"/>
    </row>
    <row r="18" spans="1:8" x14ac:dyDescent="0.3">
      <c r="A18" s="82" t="s">
        <v>11</v>
      </c>
      <c r="B18" s="82"/>
      <c r="C18" s="82" t="s">
        <v>185</v>
      </c>
      <c r="D18" s="82"/>
      <c r="E18" s="82" t="s">
        <v>75</v>
      </c>
      <c r="F18" s="82"/>
      <c r="G18" s="82" t="s">
        <v>182</v>
      </c>
      <c r="H18" s="82"/>
    </row>
    <row r="19" spans="1:8" x14ac:dyDescent="0.3">
      <c r="A19" s="83" t="s">
        <v>13</v>
      </c>
      <c r="B19" s="83"/>
      <c r="C19" s="82" t="s">
        <v>183</v>
      </c>
      <c r="D19" s="82"/>
      <c r="E19" s="82" t="s">
        <v>12</v>
      </c>
      <c r="F19" s="82"/>
      <c r="G19" s="135" t="s">
        <v>180</v>
      </c>
      <c r="H19" s="135"/>
    </row>
    <row r="20" spans="1:8" x14ac:dyDescent="0.3">
      <c r="A20" s="83" t="s">
        <v>76</v>
      </c>
      <c r="B20" s="83"/>
      <c r="C20" s="82" t="s">
        <v>181</v>
      </c>
      <c r="D20" s="82"/>
      <c r="E20" s="82" t="s">
        <v>14</v>
      </c>
      <c r="F20" s="82"/>
      <c r="G20" s="82">
        <v>400075</v>
      </c>
      <c r="H20" s="82"/>
    </row>
    <row r="21" spans="1:8" ht="32.25" customHeight="1" x14ac:dyDescent="0.3">
      <c r="A21" s="83" t="s">
        <v>125</v>
      </c>
      <c r="B21" s="83"/>
      <c r="C21" s="82" t="s">
        <v>186</v>
      </c>
      <c r="D21" s="82"/>
      <c r="E21" s="82" t="s">
        <v>15</v>
      </c>
      <c r="F21" s="82"/>
      <c r="G21" s="82" t="s">
        <v>190</v>
      </c>
      <c r="H21" s="82"/>
    </row>
    <row r="22" spans="1:8" ht="15" customHeight="1" x14ac:dyDescent="0.3">
      <c r="A22" s="88" t="s">
        <v>78</v>
      </c>
      <c r="B22" s="88"/>
      <c r="C22" s="88"/>
      <c r="D22" s="88"/>
      <c r="E22" s="83" t="s">
        <v>16</v>
      </c>
      <c r="F22" s="83"/>
      <c r="G22" s="83"/>
      <c r="H22" s="83"/>
    </row>
    <row r="23" spans="1:8" ht="18.75" customHeight="1" x14ac:dyDescent="0.3">
      <c r="A23" s="88"/>
      <c r="B23" s="88"/>
      <c r="C23" s="88"/>
      <c r="D23" s="88"/>
      <c r="E23" s="83"/>
      <c r="F23" s="83"/>
      <c r="G23" s="83"/>
      <c r="H23" s="83"/>
    </row>
    <row r="24" spans="1:8" ht="15" customHeight="1" x14ac:dyDescent="0.3">
      <c r="A24" s="88" t="s">
        <v>17</v>
      </c>
      <c r="B24" s="88"/>
      <c r="C24" s="88"/>
      <c r="D24" s="88"/>
      <c r="E24" s="82" t="s">
        <v>18</v>
      </c>
      <c r="F24" s="82"/>
      <c r="G24" s="82"/>
      <c r="H24" s="82"/>
    </row>
    <row r="25" spans="1:8" ht="15" customHeight="1" x14ac:dyDescent="0.3">
      <c r="A25" s="57" t="s">
        <v>19</v>
      </c>
      <c r="B25" s="57"/>
      <c r="C25" s="57"/>
      <c r="D25" s="57"/>
      <c r="E25" s="82" t="str">
        <f>IF(AND(G19="Mumbai"),"Upper Class","Middle Class")</f>
        <v>Upper Class</v>
      </c>
      <c r="F25" s="82"/>
      <c r="G25" s="82"/>
      <c r="H25" s="82"/>
    </row>
    <row r="26" spans="1:8" x14ac:dyDescent="0.3">
      <c r="A26" s="57" t="s">
        <v>20</v>
      </c>
      <c r="B26" s="57"/>
      <c r="C26" s="57"/>
      <c r="D26" s="57"/>
      <c r="E26" s="82" t="s">
        <v>21</v>
      </c>
      <c r="F26" s="82"/>
      <c r="G26" s="82"/>
      <c r="H26" s="82"/>
    </row>
    <row r="27" spans="1:8" ht="15.75" customHeight="1" x14ac:dyDescent="0.3">
      <c r="A27" s="57" t="s">
        <v>22</v>
      </c>
      <c r="B27" s="57"/>
      <c r="C27" s="57"/>
      <c r="D27" s="57"/>
      <c r="E27" s="82" t="str">
        <f>IF(AND(G19="Mumbai"),"Developed","Developing")</f>
        <v>Developed</v>
      </c>
      <c r="F27" s="82"/>
      <c r="G27" s="82"/>
      <c r="H27" s="82"/>
    </row>
    <row r="28" spans="1:8" x14ac:dyDescent="0.3">
      <c r="A28" s="57" t="s">
        <v>23</v>
      </c>
      <c r="B28" s="57"/>
      <c r="C28" s="57"/>
      <c r="D28" s="57"/>
      <c r="E28" s="82" t="s">
        <v>24</v>
      </c>
      <c r="F28" s="82"/>
      <c r="G28" s="82"/>
      <c r="H28" s="82"/>
    </row>
    <row r="29" spans="1:8" ht="15.75" customHeight="1" x14ac:dyDescent="0.3">
      <c r="A29" s="57" t="s">
        <v>83</v>
      </c>
      <c r="B29" s="57"/>
      <c r="C29" s="57"/>
      <c r="D29" s="57"/>
      <c r="E29" s="82" t="s">
        <v>84</v>
      </c>
      <c r="F29" s="82"/>
      <c r="G29" s="82"/>
      <c r="H29" s="82"/>
    </row>
    <row r="30" spans="1:8" ht="15" customHeight="1" x14ac:dyDescent="0.3">
      <c r="A30" s="57" t="s">
        <v>33</v>
      </c>
      <c r="B30" s="57"/>
      <c r="C30" s="57"/>
      <c r="D30" s="57"/>
      <c r="E30" s="8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82"/>
      <c r="G30" s="82"/>
      <c r="H30" s="82"/>
    </row>
    <row r="31" spans="1:8" ht="15.75" customHeight="1" x14ac:dyDescent="0.3">
      <c r="A31" s="57" t="s">
        <v>95</v>
      </c>
      <c r="B31" s="57"/>
      <c r="C31" s="57"/>
      <c r="D31" s="57"/>
      <c r="E31" s="82" t="s">
        <v>34</v>
      </c>
      <c r="F31" s="82"/>
      <c r="G31" s="82"/>
      <c r="H31" s="82"/>
    </row>
    <row r="32" spans="1:8" s="22" customFormat="1" x14ac:dyDescent="0.3">
      <c r="A32" s="132" t="s">
        <v>96</v>
      </c>
      <c r="B32" s="132"/>
      <c r="C32" s="136" t="s">
        <v>29</v>
      </c>
      <c r="D32" s="136"/>
      <c r="E32" s="136"/>
      <c r="F32" s="136" t="s">
        <v>31</v>
      </c>
      <c r="G32" s="136"/>
      <c r="H32" s="136"/>
    </row>
    <row r="33" spans="1:8" s="22" customFormat="1" x14ac:dyDescent="0.3">
      <c r="A33" s="134" t="s">
        <v>25</v>
      </c>
      <c r="B33" s="134" t="s">
        <v>30</v>
      </c>
      <c r="C33" s="133" t="s">
        <v>30</v>
      </c>
      <c r="D33" s="133"/>
      <c r="E33" s="133"/>
      <c r="F33" s="133" t="s">
        <v>185</v>
      </c>
      <c r="G33" s="133"/>
      <c r="H33" s="133"/>
    </row>
    <row r="34" spans="1:8" x14ac:dyDescent="0.3">
      <c r="A34" s="134" t="s">
        <v>26</v>
      </c>
      <c r="B34" s="134" t="s">
        <v>30</v>
      </c>
      <c r="C34" s="133" t="s">
        <v>30</v>
      </c>
      <c r="D34" s="133"/>
      <c r="E34" s="133"/>
      <c r="F34" s="133" t="s">
        <v>189</v>
      </c>
      <c r="G34" s="133"/>
      <c r="H34" s="133"/>
    </row>
    <row r="35" spans="1:8" s="22" customFormat="1" x14ac:dyDescent="0.3">
      <c r="A35" s="134" t="s">
        <v>28</v>
      </c>
      <c r="B35" s="134" t="s">
        <v>30</v>
      </c>
      <c r="C35" s="133" t="s">
        <v>30</v>
      </c>
      <c r="D35" s="133"/>
      <c r="E35" s="133"/>
      <c r="F35" s="133" t="s">
        <v>187</v>
      </c>
      <c r="G35" s="133"/>
      <c r="H35" s="133"/>
    </row>
    <row r="36" spans="1:8" x14ac:dyDescent="0.3">
      <c r="A36" s="134" t="s">
        <v>27</v>
      </c>
      <c r="B36" s="134" t="s">
        <v>30</v>
      </c>
      <c r="C36" s="133" t="s">
        <v>30</v>
      </c>
      <c r="D36" s="133"/>
      <c r="E36" s="133"/>
      <c r="F36" s="133" t="s">
        <v>188</v>
      </c>
      <c r="G36" s="133"/>
      <c r="H36" s="133"/>
    </row>
    <row r="37" spans="1:8" x14ac:dyDescent="0.3">
      <c r="A37" s="57" t="s">
        <v>32</v>
      </c>
      <c r="B37" s="57"/>
      <c r="C37" s="57"/>
      <c r="D37" s="57"/>
      <c r="E37" s="57"/>
      <c r="F37" s="57"/>
      <c r="G37" s="57"/>
      <c r="H37" s="57"/>
    </row>
    <row r="38" spans="1:8" ht="15.75" customHeight="1" x14ac:dyDescent="0.3">
      <c r="A38" s="57" t="s">
        <v>169</v>
      </c>
      <c r="B38" s="57"/>
      <c r="C38" s="109" t="s">
        <v>192</v>
      </c>
      <c r="D38" s="109"/>
      <c r="E38" s="109"/>
      <c r="F38" s="109"/>
      <c r="G38" s="109"/>
      <c r="H38" s="109"/>
    </row>
    <row r="39" spans="1:8" x14ac:dyDescent="0.3">
      <c r="A39" s="57" t="s">
        <v>166</v>
      </c>
      <c r="B39" s="57"/>
      <c r="C39" s="161" t="s">
        <v>191</v>
      </c>
      <c r="D39" s="82"/>
      <c r="E39" s="82"/>
      <c r="F39" s="82"/>
      <c r="G39" s="82"/>
      <c r="H39" s="82"/>
    </row>
    <row r="40" spans="1:8" x14ac:dyDescent="0.3">
      <c r="A40" s="109" t="s">
        <v>35</v>
      </c>
      <c r="B40" s="109"/>
      <c r="C40" s="109"/>
      <c r="D40" s="109"/>
      <c r="E40" s="109"/>
      <c r="F40" s="109"/>
      <c r="G40" s="109"/>
      <c r="H40" s="109"/>
    </row>
    <row r="41" spans="1:8" x14ac:dyDescent="0.3">
      <c r="A41" s="57" t="s">
        <v>36</v>
      </c>
      <c r="B41" s="57"/>
      <c r="C41" s="57"/>
      <c r="D41" s="57"/>
      <c r="E41" s="137">
        <v>1700.65</v>
      </c>
      <c r="F41" s="137"/>
      <c r="G41" s="137"/>
      <c r="H41" s="137"/>
    </row>
    <row r="42" spans="1:8" x14ac:dyDescent="0.3">
      <c r="A42" s="57" t="s">
        <v>37</v>
      </c>
      <c r="B42" s="57"/>
      <c r="C42" s="57"/>
      <c r="D42" s="57"/>
      <c r="E42" s="56">
        <v>3</v>
      </c>
      <c r="F42" s="56"/>
      <c r="G42" s="56"/>
      <c r="H42" s="56"/>
    </row>
    <row r="43" spans="1:8" x14ac:dyDescent="0.3">
      <c r="A43" s="57" t="s">
        <v>38</v>
      </c>
      <c r="B43" s="57"/>
      <c r="C43" s="57"/>
      <c r="D43" s="57"/>
      <c r="E43" s="56">
        <f>E45/E41-E42</f>
        <v>2.8240378678740479</v>
      </c>
      <c r="F43" s="56"/>
      <c r="G43" s="56"/>
      <c r="H43" s="56"/>
    </row>
    <row r="44" spans="1:8" x14ac:dyDescent="0.3">
      <c r="A44" s="57" t="s">
        <v>39</v>
      </c>
      <c r="B44" s="57"/>
      <c r="C44" s="57"/>
      <c r="D44" s="57"/>
      <c r="E44" s="56">
        <f>E42+E43</f>
        <v>5.8240378678740479</v>
      </c>
      <c r="F44" s="56"/>
      <c r="G44" s="56"/>
      <c r="H44" s="56"/>
    </row>
    <row r="45" spans="1:8" x14ac:dyDescent="0.3">
      <c r="A45" s="57" t="s">
        <v>94</v>
      </c>
      <c r="B45" s="57"/>
      <c r="C45" s="57"/>
      <c r="D45" s="57"/>
      <c r="E45" s="138">
        <v>9904.65</v>
      </c>
      <c r="F45" s="138"/>
      <c r="G45" s="138"/>
      <c r="H45" s="138"/>
    </row>
    <row r="46" spans="1:8" x14ac:dyDescent="0.3">
      <c r="A46" s="83" t="s">
        <v>40</v>
      </c>
      <c r="B46" s="83"/>
      <c r="C46" s="83"/>
      <c r="D46" s="83"/>
      <c r="E46" s="83" t="s">
        <v>199</v>
      </c>
      <c r="F46" s="83"/>
      <c r="G46" s="83"/>
      <c r="H46" s="83"/>
    </row>
    <row r="47" spans="1:8" x14ac:dyDescent="0.3">
      <c r="A47" s="109" t="s">
        <v>41</v>
      </c>
      <c r="B47" s="109"/>
      <c r="C47" s="109"/>
      <c r="D47" s="109"/>
      <c r="E47" s="109"/>
      <c r="F47" s="109"/>
      <c r="G47" s="109"/>
      <c r="H47" s="109"/>
    </row>
    <row r="48" spans="1:8" ht="33.75" customHeight="1" x14ac:dyDescent="0.3">
      <c r="A48" s="77" t="s">
        <v>154</v>
      </c>
      <c r="B48" s="78"/>
      <c r="C48" s="162" t="s">
        <v>193</v>
      </c>
      <c r="D48" s="129"/>
      <c r="E48" s="129"/>
      <c r="F48" s="129"/>
      <c r="G48" s="129"/>
      <c r="H48" s="130"/>
    </row>
    <row r="49" spans="1:14" ht="15.75" customHeight="1" x14ac:dyDescent="0.3">
      <c r="A49" s="77" t="s">
        <v>42</v>
      </c>
      <c r="B49" s="78"/>
      <c r="C49" s="77" t="s">
        <v>194</v>
      </c>
      <c r="D49" s="79"/>
      <c r="E49" s="78"/>
      <c r="F49" s="18" t="s">
        <v>43</v>
      </c>
      <c r="G49" s="80">
        <v>45037</v>
      </c>
      <c r="H49" s="78"/>
    </row>
    <row r="50" spans="1:14" x14ac:dyDescent="0.3">
      <c r="A50" s="77" t="s">
        <v>44</v>
      </c>
      <c r="B50" s="78"/>
      <c r="C50" s="77" t="str">
        <f>C49</f>
        <v>Mhada-1/1224/2023</v>
      </c>
      <c r="D50" s="79"/>
      <c r="E50" s="78"/>
      <c r="F50" s="18" t="s">
        <v>43</v>
      </c>
      <c r="G50" s="80">
        <f>G49</f>
        <v>45037</v>
      </c>
      <c r="H50" s="81"/>
    </row>
    <row r="51" spans="1:14" s="23" customFormat="1" ht="31.5" customHeight="1" x14ac:dyDescent="0.3">
      <c r="A51" s="139" t="s">
        <v>158</v>
      </c>
      <c r="B51" s="140"/>
      <c r="C51" s="77" t="s">
        <v>229</v>
      </c>
      <c r="D51" s="79"/>
      <c r="E51" s="78"/>
      <c r="F51" s="18" t="s">
        <v>43</v>
      </c>
      <c r="G51" s="80">
        <v>45595</v>
      </c>
      <c r="H51" s="81"/>
    </row>
    <row r="52" spans="1:14" s="23" customFormat="1" ht="219" customHeight="1" x14ac:dyDescent="0.3">
      <c r="A52" s="141"/>
      <c r="B52" s="142"/>
      <c r="C52" s="77" t="s">
        <v>230</v>
      </c>
      <c r="D52" s="79"/>
      <c r="E52" s="78"/>
      <c r="F52" s="18" t="s">
        <v>124</v>
      </c>
      <c r="G52" s="80">
        <v>45683</v>
      </c>
      <c r="H52" s="78"/>
    </row>
    <row r="53" spans="1:14" x14ac:dyDescent="0.3">
      <c r="A53" s="84" t="s">
        <v>45</v>
      </c>
      <c r="B53" s="85"/>
      <c r="C53" s="84" t="s">
        <v>108</v>
      </c>
      <c r="D53" s="86"/>
      <c r="E53" s="85"/>
      <c r="F53" s="46" t="s">
        <v>43</v>
      </c>
      <c r="G53" s="89" t="s">
        <v>30</v>
      </c>
      <c r="H53" s="90"/>
    </row>
    <row r="54" spans="1:14" x14ac:dyDescent="0.3">
      <c r="A54" s="87" t="s">
        <v>47</v>
      </c>
      <c r="B54" s="87"/>
      <c r="C54" s="87"/>
      <c r="D54" s="87"/>
      <c r="E54" s="87"/>
      <c r="F54" s="87"/>
      <c r="G54" s="87"/>
      <c r="H54" s="87"/>
    </row>
    <row r="55" spans="1:14" x14ac:dyDescent="0.3">
      <c r="A55" s="88" t="s">
        <v>93</v>
      </c>
      <c r="B55" s="88"/>
      <c r="C55" s="88"/>
      <c r="D55" s="57">
        <f>E45</f>
        <v>9904.65</v>
      </c>
      <c r="E55" s="57"/>
      <c r="F55" s="57"/>
      <c r="G55" s="57"/>
      <c r="H55" s="57"/>
    </row>
    <row r="56" spans="1:14" x14ac:dyDescent="0.3">
      <c r="A56" s="82" t="s">
        <v>48</v>
      </c>
      <c r="B56" s="83"/>
      <c r="C56" s="83"/>
      <c r="D56" s="83" t="s">
        <v>223</v>
      </c>
      <c r="E56" s="83"/>
      <c r="F56" s="83"/>
      <c r="G56" s="83"/>
      <c r="H56" s="83"/>
      <c r="I56" s="24"/>
    </row>
    <row r="57" spans="1:14" x14ac:dyDescent="0.3">
      <c r="A57" s="82" t="s">
        <v>49</v>
      </c>
      <c r="B57" s="82"/>
      <c r="C57" s="82"/>
      <c r="D57" s="82" t="s">
        <v>198</v>
      </c>
      <c r="E57" s="83"/>
      <c r="F57" s="83"/>
      <c r="G57" s="83"/>
      <c r="H57" s="83"/>
    </row>
    <row r="58" spans="1:14" ht="15.75" customHeight="1" x14ac:dyDescent="0.3">
      <c r="A58" s="82" t="s">
        <v>91</v>
      </c>
      <c r="B58" s="82"/>
      <c r="C58" s="82"/>
      <c r="D58" s="83" t="s">
        <v>198</v>
      </c>
      <c r="E58" s="83"/>
      <c r="F58" s="83"/>
      <c r="G58" s="83"/>
      <c r="H58" s="83"/>
    </row>
    <row r="59" spans="1:14" ht="15.75" hidden="1" customHeight="1" x14ac:dyDescent="0.3">
      <c r="A59" s="82"/>
      <c r="B59" s="82"/>
      <c r="C59" s="82"/>
      <c r="D59" s="83" t="s">
        <v>197</v>
      </c>
      <c r="E59" s="83"/>
      <c r="F59" s="83"/>
      <c r="G59" s="83"/>
      <c r="H59" s="83"/>
    </row>
    <row r="60" spans="1:14" ht="15.75" customHeight="1" x14ac:dyDescent="0.3">
      <c r="A60" s="57" t="s">
        <v>46</v>
      </c>
      <c r="B60" s="57"/>
      <c r="C60" s="57"/>
      <c r="D60" s="88" t="s">
        <v>195</v>
      </c>
      <c r="E60" s="88"/>
      <c r="F60" s="88"/>
      <c r="G60" s="88"/>
      <c r="H60" s="88"/>
      <c r="J60" s="25"/>
      <c r="K60" s="24"/>
      <c r="N60" s="24"/>
    </row>
    <row r="61" spans="1:14" ht="15.75" customHeight="1" x14ac:dyDescent="0.3">
      <c r="A61" s="57" t="s">
        <v>89</v>
      </c>
      <c r="B61" s="57"/>
      <c r="C61" s="57"/>
      <c r="D61" s="156" t="str">
        <f>(IF(G53="NA","60 Years After Completion",IF(G53&lt;&gt;"NA",""&amp;60-ROUNDDOWN((E3-G53)/360,0)&amp;" Years"," ")))</f>
        <v>60 Years After Completion</v>
      </c>
      <c r="E61" s="156"/>
      <c r="F61" s="156"/>
      <c r="G61" s="156"/>
      <c r="H61" s="156"/>
      <c r="N61" s="24"/>
    </row>
    <row r="62" spans="1:14" ht="15.75" customHeight="1" x14ac:dyDescent="0.3">
      <c r="A62" s="57" t="s">
        <v>90</v>
      </c>
      <c r="B62" s="57"/>
      <c r="C62" s="57"/>
      <c r="D62" s="88" t="s">
        <v>24</v>
      </c>
      <c r="E62" s="88"/>
      <c r="F62" s="88"/>
      <c r="G62" s="88"/>
      <c r="H62" s="88"/>
      <c r="J62" s="26"/>
      <c r="K62" s="26"/>
    </row>
    <row r="63" spans="1:14" ht="63.75" customHeight="1" x14ac:dyDescent="0.3">
      <c r="A63" s="57" t="s">
        <v>77</v>
      </c>
      <c r="B63" s="57"/>
      <c r="C63" s="57"/>
      <c r="D63" s="82" t="s">
        <v>196</v>
      </c>
      <c r="E63" s="88"/>
      <c r="F63" s="88"/>
      <c r="G63" s="88"/>
      <c r="H63" s="88"/>
    </row>
    <row r="64" spans="1:14" x14ac:dyDescent="0.3">
      <c r="A64" s="88" t="s">
        <v>151</v>
      </c>
      <c r="B64" s="88"/>
      <c r="C64" s="88"/>
      <c r="D64" s="88" t="s">
        <v>30</v>
      </c>
      <c r="E64" s="88"/>
      <c r="F64" s="88"/>
      <c r="G64" s="88"/>
      <c r="H64" s="88"/>
      <c r="I64" s="27"/>
      <c r="J64" s="27">
        <f>15*0.25</f>
        <v>3.75</v>
      </c>
      <c r="K64" s="27"/>
      <c r="L64" s="27"/>
      <c r="M64" s="27"/>
      <c r="N64" s="27"/>
    </row>
    <row r="65" spans="1:11" ht="15.75" customHeight="1" x14ac:dyDescent="0.3">
      <c r="A65" s="125" t="s">
        <v>88</v>
      </c>
      <c r="B65" s="125"/>
      <c r="C65" s="125"/>
      <c r="D65" s="124" t="str">
        <f ca="1">(IF(G71&gt;95%,"Nothing",IF(G71&gt;0%,"Cement, Aggregate, Steel, etc",IF(G71=0%,"Work not yet Started"))))</f>
        <v>Cement, Aggregate, Steel, etc</v>
      </c>
      <c r="E65" s="124"/>
      <c r="F65" s="124"/>
      <c r="G65" s="124"/>
      <c r="H65" s="124"/>
      <c r="J65" s="26"/>
    </row>
    <row r="66" spans="1:11" ht="33.75" customHeight="1" thickBot="1" x14ac:dyDescent="0.35">
      <c r="A66" s="123" t="s">
        <v>121</v>
      </c>
      <c r="B66" s="123"/>
      <c r="C66" s="123"/>
      <c r="D66" s="124" t="str">
        <f ca="1">(IF(D65="Nothing","Yes",IF(D65="Cement, Aggregate, Steel, etc","Under Construction",IF(D65="Work not yet Started","Work not yet Started"))))</f>
        <v>Under Construction</v>
      </c>
      <c r="E66" s="124"/>
      <c r="F66" s="124" t="str">
        <f ca="1">(IF(D65="Nothing","Yes",IF(D65="Cement, Aggregate, Steel, etc","Under Construction",IF(D65="Work not yet Started","Work not yet Started"))))</f>
        <v>Under Construction</v>
      </c>
      <c r="G66" s="124"/>
      <c r="H66" s="124"/>
    </row>
    <row r="67" spans="1:11" ht="15.75" customHeight="1" x14ac:dyDescent="0.3">
      <c r="A67" s="71" t="s">
        <v>143</v>
      </c>
      <c r="B67" s="72"/>
      <c r="C67" s="73" t="str">
        <f>D58</f>
        <v>A &amp; B Wing = G + 1st to 15th Floor</v>
      </c>
      <c r="D67" s="74"/>
      <c r="E67" s="74"/>
      <c r="F67" s="74"/>
      <c r="G67" s="74"/>
      <c r="H67" s="75"/>
      <c r="I67" s="50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14 Floor, External Plaster upto 14 Floor, Flooring upto 12 Floor, Painting upto 11 Floor, Finishing upto 6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14 Floor, External Plaster upto 14 Floor, Flooring upto 12 Floor, Painting upto 11 Floor, Finishing upto 6 Floor</v>
      </c>
    </row>
    <row r="68" spans="1:11" x14ac:dyDescent="0.3">
      <c r="A68" s="16" t="s">
        <v>145</v>
      </c>
      <c r="B68" s="48">
        <f>IF(AND(ISNUMBER(SEARCH("1B",C67))),1,IF(AND(ISNUMBER(SEARCH("2B",C67))),2,IF(AND(ISNUMBER(SEARCH("3B",C67))),3,IF(AND(ISNUMBER(SEARCH("4B",C67))),4,IF(ISNUMBER(SEARCH("5B",C67)),5,0)))))</f>
        <v>0</v>
      </c>
      <c r="C68" s="48" t="s">
        <v>74</v>
      </c>
      <c r="D68" s="48">
        <v>1</v>
      </c>
      <c r="E68" s="48" t="s">
        <v>73</v>
      </c>
      <c r="F68" s="48">
        <v>0</v>
      </c>
      <c r="G68" s="49" t="s">
        <v>82</v>
      </c>
      <c r="H68" s="17">
        <f ca="1">--TRIM(RIGHT(SUBSTITUTE(LEFT(C67,_xlfn.AGGREGATE(16,6,FIND({0,1,2,3,4,5,6,7,8,9},C67,ROW(INDIRECT("1:"&amp;LEN(C67)))),1))," ",REPT(" ",LEN(C67))),LEN(C67)))</f>
        <v>15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1" ht="52.8" customHeight="1" x14ac:dyDescent="0.3">
      <c r="A69" s="119" t="s">
        <v>92</v>
      </c>
      <c r="B69" s="120"/>
      <c r="C69" s="121" t="str">
        <f ca="1">I67</f>
        <v>Excavation, Plinth, RCC Slab, Brickwork Completed, Internal Plaster upto 14 Floor, External Plaster upto 14 Floor, Flooring upto 12 Floor, Painting upto 11 Floor, Finishing upto 6 Floor Completed</v>
      </c>
      <c r="D69" s="121"/>
      <c r="E69" s="121"/>
      <c r="F69" s="121"/>
      <c r="G69" s="121"/>
      <c r="H69" s="122"/>
      <c r="I69" s="52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1" ht="15.75" customHeight="1" x14ac:dyDescent="0.3">
      <c r="A70" s="69" t="s">
        <v>50</v>
      </c>
      <c r="B70" s="70"/>
      <c r="C70" s="44" t="s">
        <v>142</v>
      </c>
      <c r="D70" s="44" t="s">
        <v>85</v>
      </c>
      <c r="E70" s="70" t="s">
        <v>87</v>
      </c>
      <c r="F70" s="70"/>
      <c r="G70" s="70" t="s">
        <v>86</v>
      </c>
      <c r="H70" s="126"/>
      <c r="I70" s="14" t="s">
        <v>144</v>
      </c>
      <c r="J70" s="28">
        <f ca="1">H68*25%</f>
        <v>3.75</v>
      </c>
    </row>
    <row r="71" spans="1:11" x14ac:dyDescent="0.3">
      <c r="A71" s="69" t="s">
        <v>131</v>
      </c>
      <c r="B71" s="70"/>
      <c r="C71" s="44">
        <f ca="1">J72</f>
        <v>15</v>
      </c>
      <c r="D71" s="19">
        <f ca="1">((100/H68)*C71)/100</f>
        <v>1</v>
      </c>
      <c r="E71" s="145">
        <f ca="1">(((C72/H68*10)+(40/(D68+F68+H68)*C73)+(7.5/(H68)*C74)+(7.5/(H68)*C75)+(10/H68*C76)+(10/H68*C77)+(5/H68*C78)+(5/H68*C79)+(5/H68*C80))/100)</f>
        <v>0.875</v>
      </c>
      <c r="F71" s="146"/>
      <c r="G71" s="145">
        <f ca="1">((((C71/H68)*20)+((C72/H68)*25)+(30/(H68+F68+D68)*C73)+(5/H68*C74)+(5/H68*C75)+(5/H68*C76)+(5/H68*C77)+(0/H68*C78)+(0/H68*C79)+(5/H68*C80))/100)</f>
        <v>0.93333333333333346</v>
      </c>
      <c r="H71" s="153"/>
      <c r="I71" s="14" t="s">
        <v>103</v>
      </c>
      <c r="J71" s="29">
        <f ca="1">H68*50%</f>
        <v>7.5</v>
      </c>
    </row>
    <row r="72" spans="1:11" x14ac:dyDescent="0.3">
      <c r="A72" s="69" t="s">
        <v>51</v>
      </c>
      <c r="B72" s="70"/>
      <c r="C72" s="54">
        <f ca="1">J80</f>
        <v>15</v>
      </c>
      <c r="D72" s="19">
        <f ca="1">((100/H68)*C72)/100</f>
        <v>1</v>
      </c>
      <c r="E72" s="147"/>
      <c r="F72" s="148"/>
      <c r="G72" s="147"/>
      <c r="H72" s="154"/>
      <c r="I72" s="14" t="s">
        <v>104</v>
      </c>
      <c r="J72" s="29">
        <f ca="1">H68</f>
        <v>15</v>
      </c>
    </row>
    <row r="73" spans="1:11" ht="15.75" customHeight="1" x14ac:dyDescent="0.3">
      <c r="A73" s="69" t="s">
        <v>132</v>
      </c>
      <c r="B73" s="70"/>
      <c r="C73" s="44">
        <v>16</v>
      </c>
      <c r="D73" s="19">
        <f ca="1">((100/(D68+F68+H68))*C73)/100</f>
        <v>1</v>
      </c>
      <c r="E73" s="147"/>
      <c r="F73" s="148"/>
      <c r="G73" s="147"/>
      <c r="H73" s="154"/>
      <c r="I73" s="14" t="s">
        <v>105</v>
      </c>
      <c r="J73" s="30">
        <f ca="1">(IF(B68&gt;1,(H68/(B68+2)),H68/4))</f>
        <v>3.75</v>
      </c>
      <c r="K73" s="21">
        <f>15*0.6</f>
        <v>9</v>
      </c>
    </row>
    <row r="74" spans="1:11" ht="15.75" customHeight="1" x14ac:dyDescent="0.3">
      <c r="A74" s="69" t="s">
        <v>139</v>
      </c>
      <c r="B74" s="70" t="s">
        <v>133</v>
      </c>
      <c r="C74" s="44">
        <v>15</v>
      </c>
      <c r="D74" s="19">
        <f ca="1">((100/H68)*C74)/100</f>
        <v>1</v>
      </c>
      <c r="E74" s="147"/>
      <c r="F74" s="148"/>
      <c r="G74" s="147"/>
      <c r="H74" s="154"/>
      <c r="I74" s="14" t="s">
        <v>106</v>
      </c>
      <c r="J74" s="30">
        <f ca="1">(IF(B68&gt;1,(H68/(B68+2)+J73),H68/4+J73))</f>
        <v>7.5</v>
      </c>
      <c r="K74" s="21">
        <f>15*0.1</f>
        <v>1.5</v>
      </c>
    </row>
    <row r="75" spans="1:11" ht="15.75" customHeight="1" x14ac:dyDescent="0.3">
      <c r="A75" s="69" t="s">
        <v>140</v>
      </c>
      <c r="B75" s="70" t="s">
        <v>133</v>
      </c>
      <c r="C75" s="54">
        <v>14</v>
      </c>
      <c r="D75" s="19">
        <f ca="1">((100/H68)*C75)/100</f>
        <v>0.93333333333333346</v>
      </c>
      <c r="E75" s="147"/>
      <c r="F75" s="148"/>
      <c r="G75" s="147"/>
      <c r="H75" s="154"/>
      <c r="I75" s="14" t="s">
        <v>149</v>
      </c>
      <c r="J75" s="30">
        <f>(IF(B68&gt;1,(H68/(B68+2)+J74),0))</f>
        <v>0</v>
      </c>
    </row>
    <row r="76" spans="1:11" ht="15" customHeight="1" x14ac:dyDescent="0.3">
      <c r="A76" s="69" t="s">
        <v>138</v>
      </c>
      <c r="B76" s="70" t="s">
        <v>135</v>
      </c>
      <c r="C76" s="54">
        <v>14</v>
      </c>
      <c r="D76" s="19">
        <f ca="1">((100/(H68))*C76)/100</f>
        <v>0.93333333333333346</v>
      </c>
      <c r="E76" s="147"/>
      <c r="F76" s="148"/>
      <c r="G76" s="147"/>
      <c r="H76" s="154"/>
      <c r="I76" s="14" t="s">
        <v>146</v>
      </c>
      <c r="J76" s="30">
        <f>(IF(B68&gt;2,(H68/(B68+2)+J75),0))</f>
        <v>0</v>
      </c>
    </row>
    <row r="77" spans="1:11" ht="15.75" customHeight="1" x14ac:dyDescent="0.3">
      <c r="A77" s="69" t="s">
        <v>134</v>
      </c>
      <c r="B77" s="70" t="s">
        <v>134</v>
      </c>
      <c r="C77" s="44">
        <v>12</v>
      </c>
      <c r="D77" s="19">
        <f ca="1">((100/H68)*C77)/100</f>
        <v>0.8</v>
      </c>
      <c r="E77" s="147"/>
      <c r="F77" s="148"/>
      <c r="G77" s="147"/>
      <c r="H77" s="154"/>
      <c r="I77" s="14" t="s">
        <v>147</v>
      </c>
      <c r="J77" s="31">
        <f>(IF(B68&gt;3,(H68/(B68+2)+J76),0))</f>
        <v>0</v>
      </c>
    </row>
    <row r="78" spans="1:11" ht="15.75" customHeight="1" x14ac:dyDescent="0.3">
      <c r="A78" s="69" t="s">
        <v>141</v>
      </c>
      <c r="B78" s="70"/>
      <c r="C78" s="44">
        <v>11</v>
      </c>
      <c r="D78" s="19">
        <f ca="1">((100/H68)*C78)/100</f>
        <v>0.73333333333333339</v>
      </c>
      <c r="E78" s="147"/>
      <c r="F78" s="148"/>
      <c r="G78" s="147"/>
      <c r="H78" s="154"/>
      <c r="I78" s="14" t="s">
        <v>148</v>
      </c>
      <c r="J78" s="30">
        <f>(IF(B68&gt;4,(H68/(B68+2)+J77),0))</f>
        <v>0</v>
      </c>
    </row>
    <row r="79" spans="1:11" ht="15.75" customHeight="1" x14ac:dyDescent="0.3">
      <c r="A79" s="69" t="s">
        <v>136</v>
      </c>
      <c r="B79" s="70" t="s">
        <v>136</v>
      </c>
      <c r="C79" s="44">
        <v>6</v>
      </c>
      <c r="D79" s="19">
        <f ca="1">((100/(H68))*C79)/100</f>
        <v>0.4</v>
      </c>
      <c r="E79" s="147"/>
      <c r="F79" s="148"/>
      <c r="G79" s="147"/>
      <c r="H79" s="154"/>
      <c r="I79" s="14" t="s">
        <v>150</v>
      </c>
      <c r="J79" s="30">
        <f ca="1">(IF(B68=1,(H68/(B68+3)+J74),IF(B68=0,(H68/4+J74),IF(B68&gt;1,0))))</f>
        <v>11.25</v>
      </c>
    </row>
    <row r="80" spans="1:11" ht="16.2" thickBot="1" x14ac:dyDescent="0.35">
      <c r="A80" s="151" t="s">
        <v>137</v>
      </c>
      <c r="B80" s="152"/>
      <c r="C80" s="45">
        <v>0</v>
      </c>
      <c r="D80" s="20">
        <f ca="1">((100/(H68))*C80)/100</f>
        <v>0</v>
      </c>
      <c r="E80" s="149"/>
      <c r="F80" s="150"/>
      <c r="G80" s="149"/>
      <c r="H80" s="155"/>
      <c r="I80" s="15" t="s">
        <v>107</v>
      </c>
      <c r="J80" s="32">
        <f ca="1">(IF(B68&gt;1.5,(H68/(B68+2)+J74+MAX(0,J75-J74)+MAX(0,J76-J75)+MAX(0,J77-J76)+MAX(0,J78-J77)+MAX(0,J79-J78)),IF(B68=1,(H68/(B68+3)+J79),IF(B68=0,H68/4+J79))))</f>
        <v>15</v>
      </c>
    </row>
    <row r="81" spans="1:12" ht="15.75" hidden="1" customHeight="1" x14ac:dyDescent="0.3">
      <c r="A81" s="71" t="s">
        <v>143</v>
      </c>
      <c r="B81" s="72"/>
      <c r="C81" s="73" t="str">
        <f>D59</f>
        <v>B Wing = G + 1st to 15th Floor</v>
      </c>
      <c r="D81" s="74"/>
      <c r="E81" s="74"/>
      <c r="F81" s="74"/>
      <c r="G81" s="74"/>
      <c r="H81" s="75"/>
      <c r="I81" s="50" t="str">
        <f ca="1">IF(D94=100%,"All work Completed. Possession granted to the Building.",IF(D93=100%,"All work Completed, Waiting for OC",I82&amp;""&amp;I83&amp;""&amp;J82&amp;""&amp;J81&amp;" "&amp;J83))</f>
        <v>Excavation, Plinth Completed, RCC upto 2 Slab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2 Slab</v>
      </c>
    </row>
    <row r="82" spans="1:12" hidden="1" x14ac:dyDescent="0.3">
      <c r="A82" s="16" t="s">
        <v>145</v>
      </c>
      <c r="B82" s="48">
        <f>IF(AND(ISNUMBER(SEARCH("1B",C81))),1,IF(AND(ISNUMBER(SEARCH("2B",C81))),2,IF(AND(ISNUMBER(SEARCH("3B",C81))),3,IF(AND(ISNUMBER(SEARCH("4B",C81))),4,IF(ISNUMBER(SEARCH("5B",C81)),5,0)))))</f>
        <v>0</v>
      </c>
      <c r="C82" s="48" t="s">
        <v>74</v>
      </c>
      <c r="D82" s="48">
        <v>1</v>
      </c>
      <c r="E82" s="48" t="s">
        <v>73</v>
      </c>
      <c r="F82" s="48">
        <v>0</v>
      </c>
      <c r="G82" s="49" t="s">
        <v>82</v>
      </c>
      <c r="H82" s="17">
        <f ca="1">--TRIM(RIGHT(SUBSTITUTE(LEFT(C81,_xlfn.AGGREGATE(16,6,FIND({0,1,2,3,4,5,6,7,8,9},C81,ROW(INDIRECT("1:"&amp;LEN(C81)))),1))," ",REPT(" ",LEN(C81))),LEN(C81)))</f>
        <v>15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hidden="1" x14ac:dyDescent="0.3">
      <c r="A83" s="119" t="s">
        <v>92</v>
      </c>
      <c r="B83" s="120"/>
      <c r="C83" s="121" t="str">
        <f ca="1">(IF($G$53="NA",I81,"All work Completed. OC Received."))</f>
        <v>Excavation, Plinth Completed, RCC upto 2 Slab Completed</v>
      </c>
      <c r="D83" s="121"/>
      <c r="E83" s="121"/>
      <c r="F83" s="121"/>
      <c r="G83" s="121"/>
      <c r="H83" s="122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2" ht="15.75" hidden="1" customHeight="1" x14ac:dyDescent="0.3">
      <c r="A84" s="69" t="s">
        <v>50</v>
      </c>
      <c r="B84" s="70"/>
      <c r="C84" s="44" t="s">
        <v>142</v>
      </c>
      <c r="D84" s="44" t="s">
        <v>85</v>
      </c>
      <c r="E84" s="70" t="s">
        <v>87</v>
      </c>
      <c r="F84" s="70"/>
      <c r="G84" s="70" t="s">
        <v>86</v>
      </c>
      <c r="H84" s="126"/>
      <c r="I84" s="14" t="s">
        <v>144</v>
      </c>
      <c r="J84" s="28">
        <f ca="1">H82*25%</f>
        <v>3.75</v>
      </c>
    </row>
    <row r="85" spans="1:12" hidden="1" x14ac:dyDescent="0.3">
      <c r="A85" s="69" t="s">
        <v>131</v>
      </c>
      <c r="B85" s="70"/>
      <c r="C85" s="44">
        <f ca="1">J86</f>
        <v>15</v>
      </c>
      <c r="D85" s="19">
        <f ca="1">((100/H82)*C85)/100</f>
        <v>1</v>
      </c>
      <c r="E85" s="145">
        <f ca="1">(((C86/H82*10)+(40/(D82+F82+H82)*C87)+(7.5/(H82)*C88)+(7.5/(H82)*C89)+(10/H82*C90)+(10/H82*C91)+(5/H82*C92)+(5/H82*C93)+(5/H82*C94))/100)</f>
        <v>0.15</v>
      </c>
      <c r="F85" s="146"/>
      <c r="G85" s="145">
        <f ca="1">((((C85/H82)*20)+((C86/H82)*25)+(30/(H82+F82+D82)*C87)+(5/H82*C88)+(5/H82*C89)+(5/H82*C90)+(5/H82*C91)+(0/H82*C92)+(0/H82*C93)+(5/H82*C94))/100)</f>
        <v>0.48749999999999999</v>
      </c>
      <c r="H85" s="153"/>
      <c r="I85" s="14" t="s">
        <v>103</v>
      </c>
      <c r="J85" s="29">
        <f ca="1">H82*50%</f>
        <v>7.5</v>
      </c>
    </row>
    <row r="86" spans="1:12" hidden="1" x14ac:dyDescent="0.3">
      <c r="A86" s="69" t="s">
        <v>51</v>
      </c>
      <c r="B86" s="70"/>
      <c r="C86" s="54">
        <f ca="1">J94</f>
        <v>15</v>
      </c>
      <c r="D86" s="19">
        <f ca="1">((100/H82)*C86)/100</f>
        <v>1</v>
      </c>
      <c r="E86" s="147"/>
      <c r="F86" s="148"/>
      <c r="G86" s="147"/>
      <c r="H86" s="154"/>
      <c r="I86" s="14" t="s">
        <v>104</v>
      </c>
      <c r="J86" s="29">
        <f ca="1">H82</f>
        <v>15</v>
      </c>
    </row>
    <row r="87" spans="1:12" ht="15.75" hidden="1" customHeight="1" x14ac:dyDescent="0.3">
      <c r="A87" s="69" t="s">
        <v>132</v>
      </c>
      <c r="B87" s="70"/>
      <c r="C87" s="44">
        <v>2</v>
      </c>
      <c r="D87" s="19">
        <f ca="1">((100/(D82+F82+H82))*C87)/100</f>
        <v>0.125</v>
      </c>
      <c r="E87" s="147"/>
      <c r="F87" s="148"/>
      <c r="G87" s="147"/>
      <c r="H87" s="154"/>
      <c r="I87" s="14" t="s">
        <v>105</v>
      </c>
      <c r="J87" s="30">
        <f ca="1">(IF(B82&gt;1,(H82/(B82+2)),H82/4))</f>
        <v>3.75</v>
      </c>
    </row>
    <row r="88" spans="1:12" ht="15.75" hidden="1" customHeight="1" x14ac:dyDescent="0.3">
      <c r="A88" s="69" t="s">
        <v>139</v>
      </c>
      <c r="B88" s="70" t="s">
        <v>133</v>
      </c>
      <c r="C88" s="44">
        <v>0</v>
      </c>
      <c r="D88" s="19">
        <f ca="1">((100/H82)*C88)/100</f>
        <v>0</v>
      </c>
      <c r="E88" s="147"/>
      <c r="F88" s="148"/>
      <c r="G88" s="147"/>
      <c r="H88" s="154"/>
      <c r="I88" s="14" t="s">
        <v>106</v>
      </c>
      <c r="J88" s="30">
        <f ca="1">(IF(B82&gt;1,(H82/(B82+2)+J87),H82/4+J87))</f>
        <v>7.5</v>
      </c>
    </row>
    <row r="89" spans="1:12" ht="15.75" hidden="1" customHeight="1" x14ac:dyDescent="0.3">
      <c r="A89" s="69" t="s">
        <v>140</v>
      </c>
      <c r="B89" s="70" t="s">
        <v>133</v>
      </c>
      <c r="C89" s="44">
        <v>0</v>
      </c>
      <c r="D89" s="19">
        <f ca="1">((100/H82)*C89)/100</f>
        <v>0</v>
      </c>
      <c r="E89" s="147"/>
      <c r="F89" s="148"/>
      <c r="G89" s="147"/>
      <c r="H89" s="154"/>
      <c r="I89" s="14" t="s">
        <v>149</v>
      </c>
      <c r="J89" s="30">
        <f>(IF(B82&gt;1,(H82/(B82+2)+J88),0))</f>
        <v>0</v>
      </c>
    </row>
    <row r="90" spans="1:12" ht="15" hidden="1" customHeight="1" x14ac:dyDescent="0.3">
      <c r="A90" s="69" t="s">
        <v>138</v>
      </c>
      <c r="B90" s="70" t="s">
        <v>135</v>
      </c>
      <c r="C90" s="44">
        <v>0</v>
      </c>
      <c r="D90" s="19">
        <f ca="1">((100/(H82))*C90)/100</f>
        <v>0</v>
      </c>
      <c r="E90" s="147"/>
      <c r="F90" s="148"/>
      <c r="G90" s="147"/>
      <c r="H90" s="154"/>
      <c r="I90" s="14" t="s">
        <v>146</v>
      </c>
      <c r="J90" s="30">
        <f>(IF(B82&gt;2,(H82/(B82+2)+J89),0))</f>
        <v>0</v>
      </c>
    </row>
    <row r="91" spans="1:12" ht="15.75" hidden="1" customHeight="1" x14ac:dyDescent="0.3">
      <c r="A91" s="69" t="s">
        <v>134</v>
      </c>
      <c r="B91" s="70" t="s">
        <v>134</v>
      </c>
      <c r="C91" s="44">
        <v>0</v>
      </c>
      <c r="D91" s="19">
        <f ca="1">((100/H82)*C91)/100</f>
        <v>0</v>
      </c>
      <c r="E91" s="147"/>
      <c r="F91" s="148"/>
      <c r="G91" s="147"/>
      <c r="H91" s="154"/>
      <c r="I91" s="14" t="s">
        <v>147</v>
      </c>
      <c r="J91" s="31">
        <f>(IF(B82&gt;3,(H82/(B82+2)+J90),0))</f>
        <v>0</v>
      </c>
    </row>
    <row r="92" spans="1:12" ht="15.75" hidden="1" customHeight="1" x14ac:dyDescent="0.3">
      <c r="A92" s="69" t="s">
        <v>141</v>
      </c>
      <c r="B92" s="70"/>
      <c r="C92" s="44">
        <v>0</v>
      </c>
      <c r="D92" s="19">
        <f ca="1">((100/H82)*C92)/100</f>
        <v>0</v>
      </c>
      <c r="E92" s="147"/>
      <c r="F92" s="148"/>
      <c r="G92" s="147"/>
      <c r="H92" s="154"/>
      <c r="I92" s="14" t="s">
        <v>148</v>
      </c>
      <c r="J92" s="30">
        <f>(IF(B82&gt;4,(H82/(B82+2)+J91),0))</f>
        <v>0</v>
      </c>
    </row>
    <row r="93" spans="1:12" ht="15.75" hidden="1" customHeight="1" x14ac:dyDescent="0.3">
      <c r="A93" s="69" t="s">
        <v>136</v>
      </c>
      <c r="B93" s="70" t="s">
        <v>136</v>
      </c>
      <c r="C93" s="44">
        <v>0</v>
      </c>
      <c r="D93" s="19">
        <f ca="1">((100/(H82))*C93)/100</f>
        <v>0</v>
      </c>
      <c r="E93" s="147"/>
      <c r="F93" s="148"/>
      <c r="G93" s="147"/>
      <c r="H93" s="154"/>
      <c r="I93" s="14" t="s">
        <v>150</v>
      </c>
      <c r="J93" s="30">
        <f ca="1">(IF(B82=1,(H82/(B82+3)+J88),IF(B82=0,(H82/4+J88),IF(B82&gt;1,0))))</f>
        <v>11.25</v>
      </c>
    </row>
    <row r="94" spans="1:12" ht="16.2" hidden="1" thickBot="1" x14ac:dyDescent="0.35">
      <c r="A94" s="151" t="s">
        <v>137</v>
      </c>
      <c r="B94" s="152"/>
      <c r="C94" s="45">
        <v>0</v>
      </c>
      <c r="D94" s="20">
        <f ca="1">((100/(H82))*C94)/100</f>
        <v>0</v>
      </c>
      <c r="E94" s="149"/>
      <c r="F94" s="150"/>
      <c r="G94" s="149"/>
      <c r="H94" s="155"/>
      <c r="I94" s="15" t="s">
        <v>107</v>
      </c>
      <c r="J94" s="32">
        <f ca="1">(IF(B82&gt;1.5,(H82/(B82+2)+J88+MAX(0,J89-J88)+MAX(0,J90-J89)+MAX(0,J91-J90)+MAX(0,J92-J91)+MAX(0,J93-J92)),IF(B82=1,(H82/(B82+3)+J93),IF(B82=0,H82/4+J93))))</f>
        <v>15</v>
      </c>
    </row>
    <row r="95" spans="1:12" x14ac:dyDescent="0.3">
      <c r="A95" s="159" t="s">
        <v>159</v>
      </c>
      <c r="B95" s="159"/>
      <c r="C95" s="159"/>
      <c r="D95" s="159"/>
      <c r="E95" s="159"/>
      <c r="F95" s="91" t="s">
        <v>164</v>
      </c>
      <c r="G95" s="91"/>
      <c r="H95" s="91"/>
    </row>
    <row r="96" spans="1:12" x14ac:dyDescent="0.3">
      <c r="A96" s="57" t="s">
        <v>162</v>
      </c>
      <c r="B96" s="57"/>
      <c r="C96" s="57"/>
      <c r="D96" s="57"/>
      <c r="E96" s="57"/>
      <c r="F96" s="76">
        <v>21300</v>
      </c>
      <c r="G96" s="76"/>
      <c r="H96" s="76"/>
      <c r="J96" s="21" t="s">
        <v>227</v>
      </c>
      <c r="K96" s="25">
        <v>45385</v>
      </c>
      <c r="L96" s="21" t="s">
        <v>228</v>
      </c>
    </row>
    <row r="97" spans="1:10" hidden="1" x14ac:dyDescent="0.3">
      <c r="A97" s="57" t="s">
        <v>161</v>
      </c>
      <c r="B97" s="57"/>
      <c r="C97" s="57"/>
      <c r="D97" s="57"/>
      <c r="E97" s="57"/>
      <c r="F97" s="76"/>
      <c r="G97" s="76"/>
      <c r="H97" s="76"/>
    </row>
    <row r="98" spans="1:10" hidden="1" x14ac:dyDescent="0.3">
      <c r="A98" s="57" t="s">
        <v>163</v>
      </c>
      <c r="B98" s="57"/>
      <c r="C98" s="57"/>
      <c r="D98" s="57"/>
      <c r="E98" s="57"/>
      <c r="F98" s="76"/>
      <c r="G98" s="76"/>
      <c r="H98" s="76"/>
    </row>
    <row r="99" spans="1:10" s="33" customFormat="1" hidden="1" x14ac:dyDescent="0.25">
      <c r="A99" s="57" t="s">
        <v>160</v>
      </c>
      <c r="B99" s="57"/>
      <c r="C99" s="57"/>
      <c r="D99" s="57"/>
      <c r="E99" s="57"/>
      <c r="F99" s="76"/>
      <c r="G99" s="76"/>
      <c r="H99" s="76"/>
    </row>
    <row r="100" spans="1:10" s="33" customFormat="1" hidden="1" x14ac:dyDescent="0.25">
      <c r="A100" s="57" t="s">
        <v>97</v>
      </c>
      <c r="B100" s="57"/>
      <c r="C100" s="57"/>
      <c r="D100" s="57"/>
      <c r="E100" s="57"/>
      <c r="F100" s="76"/>
      <c r="G100" s="76"/>
      <c r="H100" s="76"/>
    </row>
    <row r="101" spans="1:10" s="33" customFormat="1" hidden="1" x14ac:dyDescent="0.25">
      <c r="A101" s="57" t="s">
        <v>98</v>
      </c>
      <c r="B101" s="57"/>
      <c r="C101" s="57"/>
      <c r="D101" s="57"/>
      <c r="E101" s="57"/>
      <c r="F101" s="76"/>
      <c r="G101" s="76"/>
      <c r="H101" s="76"/>
    </row>
    <row r="102" spans="1:10" s="33" customFormat="1" hidden="1" x14ac:dyDescent="0.25">
      <c r="A102" s="57" t="s">
        <v>165</v>
      </c>
      <c r="B102" s="57"/>
      <c r="C102" s="57"/>
      <c r="D102" s="57"/>
      <c r="E102" s="57"/>
      <c r="F102" s="76"/>
      <c r="G102" s="76"/>
      <c r="H102" s="76"/>
    </row>
    <row r="103" spans="1:10" s="33" customFormat="1" hidden="1" x14ac:dyDescent="0.25">
      <c r="A103" s="57" t="s">
        <v>99</v>
      </c>
      <c r="B103" s="57"/>
      <c r="C103" s="57"/>
      <c r="D103" s="57"/>
      <c r="E103" s="57"/>
      <c r="F103" s="76"/>
      <c r="G103" s="76"/>
      <c r="H103" s="76"/>
    </row>
    <row r="104" spans="1:10" s="33" customFormat="1" hidden="1" x14ac:dyDescent="0.25">
      <c r="A104" s="57" t="s">
        <v>100</v>
      </c>
      <c r="B104" s="57"/>
      <c r="C104" s="57"/>
      <c r="D104" s="57"/>
      <c r="E104" s="57"/>
      <c r="F104" s="76"/>
      <c r="G104" s="76"/>
      <c r="H104" s="76"/>
    </row>
    <row r="105" spans="1:10" s="33" customFormat="1" hidden="1" x14ac:dyDescent="0.25">
      <c r="A105" s="57" t="s">
        <v>101</v>
      </c>
      <c r="B105" s="57"/>
      <c r="C105" s="57"/>
      <c r="D105" s="57"/>
      <c r="E105" s="57"/>
      <c r="F105" s="76"/>
      <c r="G105" s="76"/>
      <c r="H105" s="76"/>
    </row>
    <row r="106" spans="1:10" s="33" customFormat="1" hidden="1" x14ac:dyDescent="0.25">
      <c r="A106" s="57" t="s">
        <v>102</v>
      </c>
      <c r="B106" s="57"/>
      <c r="C106" s="57"/>
      <c r="D106" s="57"/>
      <c r="E106" s="57"/>
      <c r="F106" s="76"/>
      <c r="G106" s="76"/>
      <c r="H106" s="76"/>
    </row>
    <row r="107" spans="1:10" x14ac:dyDescent="0.3">
      <c r="A107" s="57" t="s">
        <v>52</v>
      </c>
      <c r="B107" s="57"/>
      <c r="C107" s="57"/>
      <c r="D107" s="57"/>
      <c r="E107" s="57"/>
      <c r="F107" s="76">
        <v>1000000</v>
      </c>
      <c r="G107" s="76"/>
      <c r="H107" s="76"/>
      <c r="J107" s="21" t="s">
        <v>233</v>
      </c>
    </row>
    <row r="108" spans="1:10" s="34" customFormat="1" x14ac:dyDescent="0.3">
      <c r="A108" s="109" t="s">
        <v>53</v>
      </c>
      <c r="B108" s="109"/>
      <c r="C108" s="109"/>
      <c r="D108" s="109"/>
      <c r="E108" s="109"/>
      <c r="F108" s="76">
        <f>F96*0.8</f>
        <v>17040</v>
      </c>
      <c r="G108" s="76"/>
      <c r="H108" s="76"/>
    </row>
    <row r="109" spans="1:10" s="35" customFormat="1" x14ac:dyDescent="0.3">
      <c r="A109" s="111" t="s">
        <v>72</v>
      </c>
      <c r="B109" s="111"/>
      <c r="C109" s="111"/>
      <c r="D109" s="111"/>
      <c r="E109" s="111"/>
      <c r="F109" s="111"/>
      <c r="G109" s="111"/>
      <c r="H109" s="111"/>
    </row>
    <row r="110" spans="1:10" s="35" customFormat="1" ht="15.75" customHeight="1" x14ac:dyDescent="0.3">
      <c r="A110" s="60" t="s">
        <v>54</v>
      </c>
      <c r="B110" s="60"/>
      <c r="C110" s="99" t="s">
        <v>80</v>
      </c>
      <c r="D110" s="99"/>
      <c r="E110" s="112" t="s">
        <v>55</v>
      </c>
      <c r="F110" s="112"/>
      <c r="G110" s="60" t="s">
        <v>56</v>
      </c>
      <c r="H110" s="60"/>
    </row>
    <row r="111" spans="1:10" s="35" customFormat="1" x14ac:dyDescent="0.3">
      <c r="A111" s="110" t="s">
        <v>201</v>
      </c>
      <c r="B111" s="110"/>
      <c r="C111" s="143">
        <f>COUNT(D121)+COUNT(D124:D126)+COUNT(D128:D130)*5+COUNT(D133:D134)+COUNT(D136:D138)+COUNT(D140:D142)*5+COUNT(D144,D146)</f>
        <v>41</v>
      </c>
      <c r="D111" s="143"/>
      <c r="E111" s="144">
        <f t="shared" ref="E111" si="0">SUM(D121)+SUM(D124:D126)+SUM(D128:D130)*5+SUM(D133:D134)+SUM(D136:D138)+SUM(D140:D142)*5+SUM(D144,D146)</f>
        <v>37039.639805999999</v>
      </c>
      <c r="F111" s="144"/>
      <c r="G111" s="144">
        <f>SUM(F121)+SUM(F124:F126)+SUM(F128:F130)*5+SUM(F133:F134)+SUM(F136:F138)+SUM(F140:F142)*5+SUM(F144,F146)</f>
        <v>57411.441699299998</v>
      </c>
      <c r="H111" s="144"/>
    </row>
    <row r="112" spans="1:10" s="35" customFormat="1" x14ac:dyDescent="0.3">
      <c r="A112" s="110" t="s">
        <v>202</v>
      </c>
      <c r="B112" s="110"/>
      <c r="C112" s="143">
        <f>COUNT(D152)+COUNT(D155:D158)+COUNT(D160:D163)*5+COUNT(D165:D167)+COUNT(D170:D173)+COUNT(D175:D178)*5+COUNT(D180:D183)</f>
        <v>56</v>
      </c>
      <c r="D112" s="143"/>
      <c r="E112" s="144">
        <f>SUM(D152)+SUM(D155:D158)+SUM(D160:D163)*5+SUM(D165:D167)+SUM(D170:D173)+SUM(D175:D178)*5+SUM(D180:D183)</f>
        <v>54833.925744</v>
      </c>
      <c r="F112" s="144"/>
      <c r="G112" s="144">
        <f>SUM(F152)+SUM(F155:F158)+SUM(F160:F163)*5+SUM(F165:F167)+SUM(F170:F173)+SUM(F175:F178)*5+SUM(F180:F183)</f>
        <v>84992.584903200011</v>
      </c>
      <c r="H112" s="144"/>
    </row>
    <row r="113" spans="1:14" s="35" customFormat="1" x14ac:dyDescent="0.3">
      <c r="A113" s="111" t="s">
        <v>153</v>
      </c>
      <c r="B113" s="111"/>
      <c r="C113" s="98">
        <f>SUM(C111:C112)</f>
        <v>97</v>
      </c>
      <c r="D113" s="99"/>
      <c r="E113" s="98">
        <f t="shared" ref="E113" si="1">SUM(E111:E112)</f>
        <v>91873.565549999999</v>
      </c>
      <c r="F113" s="99"/>
      <c r="G113" s="98">
        <f t="shared" ref="G113" si="2">SUM(G111:G112)</f>
        <v>142404.0266025</v>
      </c>
      <c r="H113" s="99"/>
    </row>
    <row r="114" spans="1:14" s="34" customFormat="1" x14ac:dyDescent="0.3">
      <c r="A114" s="91" t="s">
        <v>57</v>
      </c>
      <c r="B114" s="91"/>
      <c r="C114" s="91"/>
      <c r="D114" s="91"/>
      <c r="E114" s="91"/>
      <c r="F114" s="91"/>
      <c r="G114" s="91"/>
      <c r="H114" s="91"/>
    </row>
    <row r="115" spans="1:14" x14ac:dyDescent="0.3">
      <c r="A115" s="97" t="s">
        <v>58</v>
      </c>
      <c r="B115" s="97"/>
      <c r="C115" s="97"/>
      <c r="D115" s="97"/>
      <c r="E115" s="97"/>
      <c r="F115" s="97"/>
      <c r="G115" s="97"/>
      <c r="H115" s="97"/>
    </row>
    <row r="116" spans="1:14" ht="47.25" customHeight="1" x14ac:dyDescent="0.3">
      <c r="A116" s="65" t="s">
        <v>122</v>
      </c>
      <c r="B116" s="65" t="s">
        <v>123</v>
      </c>
      <c r="C116" s="61" t="s">
        <v>59</v>
      </c>
      <c r="D116" s="61" t="s">
        <v>60</v>
      </c>
      <c r="E116" s="63" t="s">
        <v>61</v>
      </c>
      <c r="F116" s="43" t="s">
        <v>152</v>
      </c>
      <c r="G116" s="65" t="s">
        <v>62</v>
      </c>
      <c r="H116" s="66"/>
      <c r="I116" s="36"/>
    </row>
    <row r="117" spans="1:14" s="37" customFormat="1" x14ac:dyDescent="0.3">
      <c r="A117" s="67"/>
      <c r="B117" s="67"/>
      <c r="C117" s="62"/>
      <c r="D117" s="62"/>
      <c r="E117" s="64"/>
      <c r="F117" s="13">
        <v>0.55000000000000004</v>
      </c>
      <c r="G117" s="67"/>
      <c r="H117" s="68"/>
      <c r="I117" s="36"/>
    </row>
    <row r="118" spans="1:14" s="37" customFormat="1" x14ac:dyDescent="0.3">
      <c r="A118" s="116" t="s">
        <v>201</v>
      </c>
      <c r="B118" s="117"/>
      <c r="C118" s="117"/>
      <c r="D118" s="117"/>
      <c r="E118" s="117"/>
      <c r="F118" s="117"/>
      <c r="G118" s="117"/>
      <c r="H118" s="118"/>
      <c r="J118" s="36"/>
    </row>
    <row r="119" spans="1:14" s="37" customFormat="1" x14ac:dyDescent="0.3">
      <c r="A119" s="100" t="s">
        <v>200</v>
      </c>
      <c r="B119" s="100"/>
      <c r="C119" s="100"/>
      <c r="D119" s="100"/>
      <c r="E119" s="100"/>
      <c r="F119" s="100"/>
      <c r="G119" s="100"/>
      <c r="H119" s="100"/>
      <c r="J119" s="36"/>
    </row>
    <row r="120" spans="1:14" s="37" customFormat="1" x14ac:dyDescent="0.3">
      <c r="A120" s="100" t="s">
        <v>205</v>
      </c>
      <c r="B120" s="100"/>
      <c r="C120" s="100"/>
      <c r="D120" s="100"/>
      <c r="E120" s="100"/>
      <c r="F120" s="100"/>
      <c r="G120" s="100"/>
      <c r="H120" s="100"/>
      <c r="J120" s="36"/>
    </row>
    <row r="121" spans="1:14" s="37" customFormat="1" ht="15.75" customHeight="1" x14ac:dyDescent="0.3">
      <c r="A121" s="59">
        <v>1</v>
      </c>
      <c r="B121" s="59"/>
      <c r="C121" s="42" t="s">
        <v>206</v>
      </c>
      <c r="D121" s="55">
        <f>(1.05*2.53+3.21*2.3+0.72*1.76+1.05*3.6+3.2*6.1+3.05*3.95+3.2*3.95+1.5*2.67+3.35*3.95+1.5*2.45+1.48*2.45+3.28*1)*(10.764)</f>
        <v>937.68110279999996</v>
      </c>
      <c r="E121" s="42">
        <v>0</v>
      </c>
      <c r="F121" s="42">
        <f>D121*(($F$117)+1)+(IF(E121&lt;101,E121,IF(E121&lt;201,E121/2,IF(E121&lt;=301,E121/3,E121/4))))</f>
        <v>1453.4057093399999</v>
      </c>
      <c r="G121" s="59" t="str">
        <f>A120</f>
        <v>1st Floor For Fitness Center &amp; Residential</v>
      </c>
      <c r="H121" s="59"/>
      <c r="I121" s="36">
        <f>3.2*6.1+1.05*3.6+3.21*2.3+0.72*1.76+1.05*2.53+3.05*3.95+3.28*1+1.48*2.45+1.5*2.45+3.35*3.95+3.2*3.95+1.5*2.67</f>
        <v>87.11269999999999</v>
      </c>
      <c r="L121" s="157"/>
      <c r="M121" s="157"/>
      <c r="N121" s="36"/>
    </row>
    <row r="122" spans="1:14" s="37" customFormat="1" ht="15.75" customHeight="1" x14ac:dyDescent="0.3">
      <c r="A122" s="59">
        <f t="shared" ref="A122" si="3">A121+1</f>
        <v>2</v>
      </c>
      <c r="B122" s="59"/>
      <c r="C122" s="59" t="s">
        <v>207</v>
      </c>
      <c r="D122" s="59"/>
      <c r="E122" s="59"/>
      <c r="F122" s="59"/>
      <c r="G122" s="59"/>
      <c r="H122" s="59"/>
      <c r="I122" s="36"/>
      <c r="L122" s="157"/>
      <c r="M122" s="157"/>
      <c r="N122" s="36"/>
    </row>
    <row r="123" spans="1:14" s="37" customFormat="1" x14ac:dyDescent="0.3">
      <c r="A123" s="100" t="s">
        <v>210</v>
      </c>
      <c r="B123" s="100"/>
      <c r="C123" s="100"/>
      <c r="D123" s="100"/>
      <c r="E123" s="100"/>
      <c r="F123" s="100"/>
      <c r="G123" s="100"/>
      <c r="H123" s="100"/>
      <c r="I123" s="36"/>
      <c r="L123" s="157"/>
      <c r="M123" s="157"/>
    </row>
    <row r="124" spans="1:14" s="37" customFormat="1" ht="15.75" customHeight="1" x14ac:dyDescent="0.3">
      <c r="A124" s="59">
        <v>1</v>
      </c>
      <c r="B124" s="59"/>
      <c r="C124" s="42" t="s">
        <v>206</v>
      </c>
      <c r="D124" s="55">
        <f>(1.05*2.53+3.93*2.3+1.05*3.6+3.28*6.1+3.13*3.95+3.2*3.95+1.5*2.67+3.35*3.95+1.5*2.45+1.48*2.45+3.28*1)*(10.764)</f>
        <v>950.52040199999999</v>
      </c>
      <c r="E124" s="42">
        <v>0</v>
      </c>
      <c r="F124" s="42">
        <f t="shared" ref="F124:F125" si="4">D124*(($F$117)+1)+(IF(E124&lt;101,E124,IF(E124&lt;201,E124/2,IF(E124&lt;=301,E124/3,E124/4))))</f>
        <v>1473.3066231</v>
      </c>
      <c r="G124" s="59" t="str">
        <f>A123</f>
        <v>2nd Floor For Residential</v>
      </c>
      <c r="H124" s="59"/>
      <c r="I124" s="36"/>
      <c r="N124" s="36"/>
    </row>
    <row r="125" spans="1:14" s="37" customFormat="1" ht="15.75" customHeight="1" x14ac:dyDescent="0.3">
      <c r="A125" s="59">
        <f>A124+1</f>
        <v>2</v>
      </c>
      <c r="B125" s="59"/>
      <c r="C125" s="42" t="s">
        <v>219</v>
      </c>
      <c r="D125" s="55">
        <f>(6.1*3.2+2.31*1.13+3.95*2.37+3.95*3.08+3.95*3.25+1.4*2.45+1*2.45+1*4.35+1.4*2.45)*(10.764)</f>
        <v>755.15164919999995</v>
      </c>
      <c r="E125" s="42">
        <v>0</v>
      </c>
      <c r="F125" s="42">
        <f t="shared" si="4"/>
        <v>1170.48505626</v>
      </c>
      <c r="G125" s="59"/>
      <c r="H125" s="59"/>
      <c r="I125" s="36">
        <f>6.1*3.2+2.31*1.13+3.95*2.37+3.95*3.08+3.95*3.25+1.4*2.45+1*2.45+1*4.35+1.4*2.45</f>
        <v>70.155299999999997</v>
      </c>
      <c r="N125" s="36"/>
    </row>
    <row r="126" spans="1:14" s="37" customFormat="1" ht="15.75" customHeight="1" x14ac:dyDescent="0.3">
      <c r="A126" s="59">
        <f>A125+1</f>
        <v>3</v>
      </c>
      <c r="B126" s="59"/>
      <c r="C126" s="42" t="s">
        <v>206</v>
      </c>
      <c r="D126" s="55">
        <f>(1.05*2.53+3.93*2.22+1.05*3.6+3.2*6.1+1.48*2.45+1.5*2.45+3.35*3.95+1.5*2.75+3.2*3.95+3.05*3.95+3.28*1+3.2*1.2)*(10.764)</f>
        <v>981.1073844</v>
      </c>
      <c r="E126" s="42">
        <v>0</v>
      </c>
      <c r="F126" s="42">
        <f>D126*(($F$117)+1)+(IF(E126&lt;101,E126,IF(E126&lt;201,E126/2,IF(E126&lt;=301,E126/3,E126/4))))</f>
        <v>1520.71644582</v>
      </c>
      <c r="G126" s="59"/>
      <c r="H126" s="59"/>
      <c r="I126" s="36">
        <f>1.05*2.53+3.93*2.22+1.05*3.6+3.2*6.1+1.48*2.45+1.5*2.45+3.35*3.95+1.5*2.75+3.2*3.95+3.05*3.95+3.28*1+3.2*1.2</f>
        <v>91.147100000000009</v>
      </c>
      <c r="J126" s="37">
        <f>3.2*1.2</f>
        <v>3.84</v>
      </c>
      <c r="N126" s="36"/>
    </row>
    <row r="127" spans="1:14" s="37" customFormat="1" ht="15.75" customHeight="1" x14ac:dyDescent="0.3">
      <c r="A127" s="116" t="s">
        <v>211</v>
      </c>
      <c r="B127" s="117"/>
      <c r="C127" s="117"/>
      <c r="D127" s="117"/>
      <c r="E127" s="117"/>
      <c r="F127" s="117"/>
      <c r="G127" s="117"/>
      <c r="H127" s="118"/>
      <c r="I127" s="36"/>
    </row>
    <row r="128" spans="1:14" s="37" customFormat="1" ht="15.75" customHeight="1" x14ac:dyDescent="0.3">
      <c r="A128" s="95">
        <v>1</v>
      </c>
      <c r="B128" s="96"/>
      <c r="C128" s="42" t="s">
        <v>206</v>
      </c>
      <c r="D128" s="55">
        <f>(1.05*2.53+3.93*2.3+1.05*3.6+3.2*6.1+3.05*3.95+3.2*3.95+1.5*2.67+3.35*3.95+1.5*2.45+1.48*2.45+3.28*1)*(10.764)</f>
        <v>941.86614600000007</v>
      </c>
      <c r="E128" s="42">
        <v>0</v>
      </c>
      <c r="F128" s="42">
        <f>D128*(($F$117)+1)+(IF(E128&lt;101,E128,IF(E128&lt;201,E128/2,IF(E128&lt;=301,E128/3,E128/4))))</f>
        <v>1459.8925263000001</v>
      </c>
      <c r="G128" s="101" t="str">
        <f>A127</f>
        <v>3rd to 7th Floor</v>
      </c>
      <c r="H128" s="102"/>
      <c r="I128" s="55">
        <f>10.764</f>
        <v>10.763999999999999</v>
      </c>
    </row>
    <row r="129" spans="1:9" s="37" customFormat="1" ht="15.75" customHeight="1" x14ac:dyDescent="0.3">
      <c r="A129" s="95">
        <f>A128+1</f>
        <v>2</v>
      </c>
      <c r="B129" s="96"/>
      <c r="C129" s="42" t="s">
        <v>219</v>
      </c>
      <c r="D129" s="55">
        <f>(6.1*3.2+2.31*1.13+3.95*2.37+3.95*3.08+3.95*3.25+1.4*2.45+1*2.45+1*4.35+1.4*2.45)*(10.764)</f>
        <v>755.15164919999995</v>
      </c>
      <c r="E129" s="42">
        <v>0</v>
      </c>
      <c r="F129" s="42">
        <f>D129*(($F$117)+1)+(IF(E129&lt;101,E129,IF(E129&lt;201,E129/2,IF(E129&lt;=301,E129/3,E129/4))))</f>
        <v>1170.48505626</v>
      </c>
      <c r="G129" s="103"/>
      <c r="H129" s="104"/>
      <c r="I129" s="36"/>
    </row>
    <row r="130" spans="1:9" s="37" customFormat="1" ht="15.75" customHeight="1" x14ac:dyDescent="0.3">
      <c r="A130" s="95">
        <f t="shared" ref="A130" si="5">A129+1</f>
        <v>3</v>
      </c>
      <c r="B130" s="96"/>
      <c r="C130" s="42" t="s">
        <v>206</v>
      </c>
      <c r="D130" s="55">
        <f>(1.05*2.53+3.93*2.22+1.05*3.6+3.2*6.1+1.48*2.45+1.5*2.45+3.35*3.95+1.5*2.75+3.2*3.95+3.05*3.95+3.28*1+3.2*1.2)*(10.764)</f>
        <v>981.1073844</v>
      </c>
      <c r="E130" s="42">
        <v>0</v>
      </c>
      <c r="F130" s="42">
        <f>D130*(($F$117)+1)+(IF(E130&lt;101,E130,IF(E130&lt;201,E130/2,IF(E130&lt;=301,E130/3,E130/4))))</f>
        <v>1520.71644582</v>
      </c>
      <c r="G130" s="103"/>
      <c r="H130" s="104"/>
      <c r="I130" s="36"/>
    </row>
    <row r="131" spans="1:9" s="37" customFormat="1" x14ac:dyDescent="0.3">
      <c r="A131" s="116" t="s">
        <v>212</v>
      </c>
      <c r="B131" s="117"/>
      <c r="C131" s="117"/>
      <c r="D131" s="117"/>
      <c r="E131" s="117"/>
      <c r="F131" s="117"/>
      <c r="G131" s="117"/>
      <c r="H131" s="118"/>
      <c r="I131" s="36"/>
    </row>
    <row r="132" spans="1:9" s="37" customFormat="1" x14ac:dyDescent="0.3">
      <c r="A132" s="95">
        <v>1</v>
      </c>
      <c r="B132" s="96"/>
      <c r="C132" s="95" t="s">
        <v>213</v>
      </c>
      <c r="D132" s="158"/>
      <c r="E132" s="158"/>
      <c r="F132" s="96"/>
      <c r="G132" s="101" t="str">
        <f>A131</f>
        <v>8th Floor (Part Refuge Area)</v>
      </c>
      <c r="H132" s="102"/>
      <c r="I132" s="36"/>
    </row>
    <row r="133" spans="1:9" s="37" customFormat="1" x14ac:dyDescent="0.3">
      <c r="A133" s="95">
        <f>A132+1</f>
        <v>2</v>
      </c>
      <c r="B133" s="96"/>
      <c r="C133" s="42" t="s">
        <v>219</v>
      </c>
      <c r="D133" s="55">
        <f>(6.1*3.2+2.31*1.13+3.95*2.37+3.95*3.08+3.95*3.25+1.4*2.45+1*2.45+1*4.35+1.4*2.45)*(10.764)</f>
        <v>755.15164919999995</v>
      </c>
      <c r="E133" s="42">
        <v>0</v>
      </c>
      <c r="F133" s="42">
        <f>D133*(($F$117)+1)+(IF(E133&lt;101,E133,IF(E133&lt;201,E133/2,IF(E133&lt;=301,E133/3,E133/4))))</f>
        <v>1170.48505626</v>
      </c>
      <c r="G133" s="103"/>
      <c r="H133" s="104"/>
      <c r="I133" s="36"/>
    </row>
    <row r="134" spans="1:9" s="37" customFormat="1" x14ac:dyDescent="0.3">
      <c r="A134" s="95">
        <f t="shared" ref="A134" si="6">A133+1</f>
        <v>3</v>
      </c>
      <c r="B134" s="96"/>
      <c r="C134" s="42" t="s">
        <v>206</v>
      </c>
      <c r="D134" s="55">
        <f>(1.05*2.53+3.93*2.22+1.05*3.6+3.2*6.1+1.48*2.45+1.5*2.45+3.35*3.95+1.5*2.75+3.2*3.95+3.05*3.95+3.28*1+3.2*1.2)*(10.764)</f>
        <v>981.1073844</v>
      </c>
      <c r="E134" s="42">
        <v>0</v>
      </c>
      <c r="F134" s="42">
        <f>D134*(($F$117)+1)+(IF(E134&lt;101,E134,IF(E134&lt;201,E134/2,IF(E134&lt;=301,E134/3,E134/4))))</f>
        <v>1520.71644582</v>
      </c>
      <c r="G134" s="103"/>
      <c r="H134" s="104"/>
      <c r="I134" s="36"/>
    </row>
    <row r="135" spans="1:9" s="37" customFormat="1" x14ac:dyDescent="0.3">
      <c r="A135" s="116" t="s">
        <v>214</v>
      </c>
      <c r="B135" s="117"/>
      <c r="C135" s="117"/>
      <c r="D135" s="117"/>
      <c r="E135" s="117"/>
      <c r="F135" s="117"/>
      <c r="G135" s="117"/>
      <c r="H135" s="118"/>
      <c r="I135" s="36"/>
    </row>
    <row r="136" spans="1:9" s="37" customFormat="1" x14ac:dyDescent="0.3">
      <c r="A136" s="95">
        <v>1</v>
      </c>
      <c r="B136" s="96"/>
      <c r="C136" s="42" t="s">
        <v>206</v>
      </c>
      <c r="D136" s="55">
        <f>(1.05*2.53+3.93*2.3+1.05*3.6+3.2*6.1+3.05*3.95+3.2*3.95+1.5*2.67+3.35*3.95+1.5*2.45+1.48*2.45+3.28*1+3.28*1.2)*(10.764)</f>
        <v>984.23324999999988</v>
      </c>
      <c r="E136" s="42">
        <v>0</v>
      </c>
      <c r="F136" s="42">
        <f>D136*(($F$117)+1)+(IF(E136&lt;101,E136,IF(E136&lt;201,E136/2,IF(E136&lt;=301,E136/3,E136/4))))</f>
        <v>1525.5615374999998</v>
      </c>
      <c r="G136" s="101" t="str">
        <f>A135</f>
        <v>9th Floor</v>
      </c>
      <c r="H136" s="102"/>
      <c r="I136" s="36"/>
    </row>
    <row r="137" spans="1:9" s="37" customFormat="1" x14ac:dyDescent="0.3">
      <c r="A137" s="95">
        <f>A136+1</f>
        <v>2</v>
      </c>
      <c r="B137" s="96"/>
      <c r="C137" s="42" t="s">
        <v>219</v>
      </c>
      <c r="D137" s="55">
        <f>(6.1*3.2+2.31*1.13+3.95*2.37+3.95*3.08+3.95*3.25+1.4*2.45+1*2.45+1*4.35+1.4*2.45)*(10.764)</f>
        <v>755.15164919999995</v>
      </c>
      <c r="E137" s="42">
        <v>0</v>
      </c>
      <c r="F137" s="42">
        <f>D137*(($F$117)+1)+(IF(E137&lt;101,E137,IF(E137&lt;201,E137/2,IF(E137&lt;=301,E137/3,E137/4))))</f>
        <v>1170.48505626</v>
      </c>
      <c r="G137" s="103"/>
      <c r="H137" s="104"/>
      <c r="I137" s="36"/>
    </row>
    <row r="138" spans="1:9" s="37" customFormat="1" x14ac:dyDescent="0.3">
      <c r="A138" s="95">
        <f t="shared" ref="A138" si="7">A137+1</f>
        <v>3</v>
      </c>
      <c r="B138" s="96"/>
      <c r="C138" s="42" t="s">
        <v>206</v>
      </c>
      <c r="D138" s="55">
        <f>(1.05*2.53+3.93*2.22+1.05*3.6+3.2*6.1+1.48*2.45+1.5*2.45+3.35*3.95+1.5*2.75+3.2*3.95+3.05*3.95+3.28*1+3.2*1.2)*(10.764)</f>
        <v>981.1073844</v>
      </c>
      <c r="E138" s="42">
        <v>0</v>
      </c>
      <c r="F138" s="42">
        <f>D138*(($F$117)+1)+(IF(E138&lt;101,E138,IF(E138&lt;201,E138/2,IF(E138&lt;=301,E138/3,E138/4))))</f>
        <v>1520.71644582</v>
      </c>
      <c r="G138" s="103"/>
      <c r="H138" s="104"/>
      <c r="I138" s="36"/>
    </row>
    <row r="139" spans="1:9" s="37" customFormat="1" x14ac:dyDescent="0.3">
      <c r="A139" s="116" t="s">
        <v>215</v>
      </c>
      <c r="B139" s="117"/>
      <c r="C139" s="117"/>
      <c r="D139" s="117"/>
      <c r="E139" s="117"/>
      <c r="F139" s="117"/>
      <c r="G139" s="117"/>
      <c r="H139" s="118"/>
      <c r="I139" s="36"/>
    </row>
    <row r="140" spans="1:9" s="37" customFormat="1" x14ac:dyDescent="0.3">
      <c r="A140" s="95">
        <v>1</v>
      </c>
      <c r="B140" s="96"/>
      <c r="C140" s="42" t="s">
        <v>206</v>
      </c>
      <c r="D140" s="55">
        <f>(1.05*2.53+3.93*2.3+1.05*3.6+3.2*6.1+3.05*3.95+3.2*3.95+1.5*2.67+3.35*3.95+1.5*2.45+1.48*2.45+3.28*1+3.28*1.2)*(10.764)</f>
        <v>984.23324999999988</v>
      </c>
      <c r="E140" s="42">
        <v>0</v>
      </c>
      <c r="F140" s="42">
        <f>D140*(($F$117)+1)+(IF(E140&lt;101,E140,IF(E140&lt;201,E140/2,IF(E140&lt;=301,E140/3,E140/4))))</f>
        <v>1525.5615374999998</v>
      </c>
      <c r="G140" s="101" t="str">
        <f>A139</f>
        <v>10th to 14th Floor</v>
      </c>
      <c r="H140" s="102"/>
      <c r="I140" s="36"/>
    </row>
    <row r="141" spans="1:9" s="37" customFormat="1" x14ac:dyDescent="0.3">
      <c r="A141" s="95">
        <f>A140+1</f>
        <v>2</v>
      </c>
      <c r="B141" s="96"/>
      <c r="C141" s="42" t="s">
        <v>219</v>
      </c>
      <c r="D141" s="55">
        <f>(6.1*3.2+2.31*1.13+3.95*2.37+3.95*3.08+3.95*3.25+1.4*2.45+1*2.45+1*4.35+1.4*2.45)*(10.764)</f>
        <v>755.15164919999995</v>
      </c>
      <c r="E141" s="42">
        <v>0</v>
      </c>
      <c r="F141" s="42">
        <f>D141*(($F$117)+1)+(IF(E141&lt;101,E141,IF(E141&lt;201,E141/2,IF(E141&lt;=301,E141/3,E141/4))))</f>
        <v>1170.48505626</v>
      </c>
      <c r="G141" s="103"/>
      <c r="H141" s="104"/>
      <c r="I141" s="36"/>
    </row>
    <row r="142" spans="1:9" s="37" customFormat="1" x14ac:dyDescent="0.3">
      <c r="A142" s="95">
        <f t="shared" ref="A142" si="8">A141+1</f>
        <v>3</v>
      </c>
      <c r="B142" s="96"/>
      <c r="C142" s="42" t="s">
        <v>206</v>
      </c>
      <c r="D142" s="55">
        <f>(1.05*2.53+3.93*2.22+1.05*3.6+3.2*6.1+1.48*2.45+1.5*2.45+3.35*3.95+1.5*2.75+3.2*3.95+3.05*3.95+3.28*1+3.2*1.2)*(10.764)</f>
        <v>981.1073844</v>
      </c>
      <c r="E142" s="42">
        <v>0</v>
      </c>
      <c r="F142" s="42">
        <f>D142*(($F$117)+1)+(IF(E142&lt;101,E142,IF(E142&lt;201,E142/2,IF(E142&lt;=301,E142/3,E142/4))))</f>
        <v>1520.71644582</v>
      </c>
      <c r="G142" s="103"/>
      <c r="H142" s="104"/>
      <c r="I142" s="36"/>
    </row>
    <row r="143" spans="1:9" s="37" customFormat="1" x14ac:dyDescent="0.3">
      <c r="A143" s="116" t="s">
        <v>216</v>
      </c>
      <c r="B143" s="117"/>
      <c r="C143" s="117"/>
      <c r="D143" s="117"/>
      <c r="E143" s="117"/>
      <c r="F143" s="117"/>
      <c r="G143" s="117"/>
      <c r="H143" s="118"/>
      <c r="I143" s="36"/>
    </row>
    <row r="144" spans="1:9" s="37" customFormat="1" x14ac:dyDescent="0.3">
      <c r="A144" s="95">
        <v>1</v>
      </c>
      <c r="B144" s="96"/>
      <c r="C144" s="42" t="s">
        <v>206</v>
      </c>
      <c r="D144" s="55">
        <f>(1.05*2.53+3.93*2.3+1.05*3.6+3.2*6.1+3.05*3.95+3.2*3.95+1.5*2.67+3.35*3.95+1.5*2.45+1.48*2.45+3.28*1+3.28*1.2)*(10.764)</f>
        <v>984.23324999999988</v>
      </c>
      <c r="E144" s="42">
        <v>0</v>
      </c>
      <c r="F144" s="42">
        <f>D144*(($F$117)+1)+(IF(E144&lt;101,E144,IF(E144&lt;201,E144/2,IF(E144&lt;=301,E144/3,E144/4))))</f>
        <v>1525.5615374999998</v>
      </c>
      <c r="G144" s="101" t="str">
        <f>A143</f>
        <v>15th Floor</v>
      </c>
      <c r="H144" s="102"/>
      <c r="I144" s="36"/>
    </row>
    <row r="145" spans="1:14" s="37" customFormat="1" x14ac:dyDescent="0.3">
      <c r="A145" s="95">
        <f>A144+1</f>
        <v>2</v>
      </c>
      <c r="B145" s="96"/>
      <c r="C145" s="95" t="s">
        <v>221</v>
      </c>
      <c r="D145" s="158"/>
      <c r="E145" s="158"/>
      <c r="F145" s="96"/>
      <c r="G145" s="103"/>
      <c r="H145" s="104"/>
      <c r="I145" s="36"/>
    </row>
    <row r="146" spans="1:14" s="37" customFormat="1" x14ac:dyDescent="0.3">
      <c r="A146" s="95">
        <f t="shared" ref="A146" si="9">A145+1</f>
        <v>3</v>
      </c>
      <c r="B146" s="96"/>
      <c r="C146" s="42" t="s">
        <v>206</v>
      </c>
      <c r="D146" s="55">
        <f>(1.05*2.53+3.93*2.22+1.05*3.6+3.2*6.1+1.48*2.45+1.5*2.45+3.35*3.95+1.5*2.75+3.2*3.95+3.05*3.95+3.28*1+3.2*1.2)*(10.764)</f>
        <v>981.1073844</v>
      </c>
      <c r="E146" s="42">
        <v>0</v>
      </c>
      <c r="F146" s="42">
        <f>D146*(($F$117)+1)+(IF(E146&lt;101,E146,IF(E146&lt;201,E146/2,IF(E146&lt;=301,E146/3,E146/4))))</f>
        <v>1520.71644582</v>
      </c>
      <c r="G146" s="103"/>
      <c r="H146" s="104"/>
      <c r="I146" s="36"/>
    </row>
    <row r="147" spans="1:14" s="37" customFormat="1" x14ac:dyDescent="0.3">
      <c r="A147" s="116" t="s">
        <v>202</v>
      </c>
      <c r="B147" s="117"/>
      <c r="C147" s="117"/>
      <c r="D147" s="117"/>
      <c r="E147" s="117"/>
      <c r="F147" s="117"/>
      <c r="G147" s="117"/>
      <c r="H147" s="118"/>
      <c r="J147" s="36"/>
    </row>
    <row r="148" spans="1:14" s="37" customFormat="1" x14ac:dyDescent="0.3">
      <c r="A148" s="116" t="s">
        <v>203</v>
      </c>
      <c r="B148" s="117"/>
      <c r="C148" s="117"/>
      <c r="D148" s="117"/>
      <c r="E148" s="117"/>
      <c r="F148" s="117"/>
      <c r="G148" s="117"/>
      <c r="H148" s="118"/>
      <c r="J148" s="36"/>
    </row>
    <row r="149" spans="1:14" s="37" customFormat="1" x14ac:dyDescent="0.3">
      <c r="A149" s="116" t="s">
        <v>218</v>
      </c>
      <c r="B149" s="117"/>
      <c r="C149" s="117"/>
      <c r="D149" s="117"/>
      <c r="E149" s="117"/>
      <c r="F149" s="117"/>
      <c r="G149" s="117"/>
      <c r="H149" s="118"/>
      <c r="J149" s="36"/>
    </row>
    <row r="150" spans="1:14" s="37" customFormat="1" ht="15.75" customHeight="1" x14ac:dyDescent="0.3">
      <c r="A150" s="95">
        <v>1</v>
      </c>
      <c r="B150" s="96"/>
      <c r="C150" s="95" t="s">
        <v>207</v>
      </c>
      <c r="D150" s="158"/>
      <c r="E150" s="158"/>
      <c r="F150" s="96"/>
      <c r="G150" s="101" t="str">
        <f>A149</f>
        <v>1st Floor For Fitness Center, Society Office &amp; Residential</v>
      </c>
      <c r="H150" s="102"/>
      <c r="I150" s="36"/>
      <c r="L150" s="157"/>
      <c r="M150" s="157"/>
      <c r="N150" s="36"/>
    </row>
    <row r="151" spans="1:14" s="37" customFormat="1" ht="15.75" customHeight="1" x14ac:dyDescent="0.3">
      <c r="A151" s="95">
        <f t="shared" ref="A151:A153" si="10">A150+1</f>
        <v>2</v>
      </c>
      <c r="B151" s="96"/>
      <c r="C151" s="95" t="s">
        <v>208</v>
      </c>
      <c r="D151" s="158"/>
      <c r="E151" s="158"/>
      <c r="F151" s="96"/>
      <c r="G151" s="103"/>
      <c r="H151" s="104"/>
      <c r="I151" s="36"/>
      <c r="L151" s="157"/>
      <c r="M151" s="157"/>
      <c r="N151" s="36"/>
    </row>
    <row r="152" spans="1:14" s="37" customFormat="1" ht="15.75" customHeight="1" x14ac:dyDescent="0.3">
      <c r="A152" s="95">
        <f t="shared" si="10"/>
        <v>3</v>
      </c>
      <c r="B152" s="96"/>
      <c r="C152" s="42" t="s">
        <v>206</v>
      </c>
      <c r="D152" s="55">
        <f>(3.2*6.1+0.6*3.6+3.2*4.45+2.83*1.5+2.3*3.95+3.05*3.95+1.4*2.45+3.95*3.2+3.1*1+1.4*2.53)*(10.764)</f>
        <v>904.27825799999994</v>
      </c>
      <c r="E152" s="42">
        <v>0</v>
      </c>
      <c r="F152" s="42">
        <f>D152*(($F$117)+1)+(IF(E152&lt;101,E152,IF(E152&lt;201,E152/2,IF(E152&lt;=301,E152/3,E152/4))))</f>
        <v>1401.6312998999999</v>
      </c>
      <c r="G152" s="103"/>
      <c r="H152" s="104"/>
      <c r="I152" s="36"/>
      <c r="L152" s="157"/>
      <c r="M152" s="157"/>
      <c r="N152" s="36"/>
    </row>
    <row r="153" spans="1:14" s="37" customFormat="1" ht="15.75" customHeight="1" x14ac:dyDescent="0.3">
      <c r="A153" s="95">
        <f t="shared" si="10"/>
        <v>4</v>
      </c>
      <c r="B153" s="96"/>
      <c r="C153" s="95" t="s">
        <v>209</v>
      </c>
      <c r="D153" s="158"/>
      <c r="E153" s="158"/>
      <c r="F153" s="96"/>
      <c r="G153" s="105"/>
      <c r="H153" s="106"/>
      <c r="I153" s="36"/>
      <c r="L153" s="157"/>
      <c r="M153" s="157"/>
      <c r="N153" s="36"/>
    </row>
    <row r="154" spans="1:14" s="37" customFormat="1" x14ac:dyDescent="0.3">
      <c r="A154" s="100" t="s">
        <v>210</v>
      </c>
      <c r="B154" s="100"/>
      <c r="C154" s="100"/>
      <c r="D154" s="100"/>
      <c r="E154" s="100"/>
      <c r="F154" s="100"/>
      <c r="G154" s="100"/>
      <c r="H154" s="100"/>
      <c r="I154" s="36"/>
      <c r="L154" s="157"/>
      <c r="M154" s="157"/>
    </row>
    <row r="155" spans="1:14" s="37" customFormat="1" ht="15.75" customHeight="1" x14ac:dyDescent="0.3">
      <c r="A155" s="59">
        <v>1</v>
      </c>
      <c r="B155" s="59"/>
      <c r="C155" s="42" t="s">
        <v>220</v>
      </c>
      <c r="D155" s="55">
        <f>(2.05*1.55+4.5*1.63+0.68*3.65+6.55*4.55+2.45*1.4+3.75*1+3.05*3.95+3.05*3.95+1.4*2.75+2.88*1.4+4.03*3.2+3.43*1.4+1.81*1.4+6*3.55+3.05*1.4+6.55*1.2+1.92*0.24+3.95*2.38+0.9*1.4)*(10.764)</f>
        <v>1579.4856791999998</v>
      </c>
      <c r="E155" s="42">
        <v>0</v>
      </c>
      <c r="F155" s="42">
        <f t="shared" ref="F155:F156" si="11">D155*(($F$117)+1)+(IF(E155&lt;101,E155,IF(E155&lt;201,E155/2,IF(E155&lt;=301,E155/3,E155/4))))</f>
        <v>2448.2028027599999</v>
      </c>
      <c r="G155" s="101" t="str">
        <f>A154</f>
        <v>2nd Floor For Residential</v>
      </c>
      <c r="H155" s="102"/>
      <c r="I155" s="36">
        <f>2.05*1.55+4.5*1.63+0.68*3.65+6.55*4.55+2.45*1.4+3.75*1+3.05*3.95+3.05*3.95+1.4*2.75+2.88*1.4+4.03*3.2+3.43*1.4+1.81*1.4+6*3.55+3.05*1.4+6.55*1.2+1.92*0.24+3.95*2.38+0.9*1.4</f>
        <v>146.73779999999999</v>
      </c>
      <c r="N155" s="36"/>
    </row>
    <row r="156" spans="1:14" s="37" customFormat="1" ht="15.75" customHeight="1" x14ac:dyDescent="0.3">
      <c r="A156" s="59">
        <f>A155+1</f>
        <v>2</v>
      </c>
      <c r="B156" s="59"/>
      <c r="C156" s="42" t="s">
        <v>219</v>
      </c>
      <c r="D156" s="55">
        <f>(6.1*3.36+2.47*0.62+3.95*2.3+1.4*2.45+3.95*3.13+3.95*3.28+1.4*2.45+1*1.3+1*3.91)*(10.764)</f>
        <v>737.35445160000006</v>
      </c>
      <c r="E156" s="42">
        <v>0</v>
      </c>
      <c r="F156" s="42">
        <f t="shared" si="11"/>
        <v>1142.8993999800002</v>
      </c>
      <c r="G156" s="103"/>
      <c r="H156" s="104"/>
      <c r="I156" s="36"/>
      <c r="N156" s="36"/>
    </row>
    <row r="157" spans="1:14" s="37" customFormat="1" ht="15.75" customHeight="1" x14ac:dyDescent="0.3">
      <c r="A157" s="59">
        <f>A156+1</f>
        <v>3</v>
      </c>
      <c r="B157" s="59"/>
      <c r="C157" s="42" t="s">
        <v>219</v>
      </c>
      <c r="D157" s="55">
        <f>(3.2*6.18+0.6*3.6+2.3*3.95+3.05*3.95+1.4*2.45+3.95*3.2+1.4*2.53+3.1*1)*(10.764)</f>
        <v>708.06130199999996</v>
      </c>
      <c r="E157" s="42">
        <v>0</v>
      </c>
      <c r="F157" s="42">
        <f>D157*(($F$117)+1)+(IF(E157&lt;101,E157,IF(E157&lt;201,E157/2,IF(E157&lt;=301,E157/3,E157/4))))</f>
        <v>1097.4950180999999</v>
      </c>
      <c r="G157" s="103"/>
      <c r="H157" s="104"/>
      <c r="I157" s="36"/>
      <c r="N157" s="36"/>
    </row>
    <row r="158" spans="1:14" s="37" customFormat="1" ht="15.75" customHeight="1" x14ac:dyDescent="0.3">
      <c r="A158" s="95">
        <f>A157+1</f>
        <v>4</v>
      </c>
      <c r="B158" s="96"/>
      <c r="C158" s="42" t="s">
        <v>219</v>
      </c>
      <c r="D158" s="55">
        <f>(3.2*6.1+0.6*2.55+2.3*3.95+3.05*3.95+3.2*4.55+2.45*1.4+1.3*1+2.45*1.4+3.91*1)*(10.764)</f>
        <v>740.69774999999993</v>
      </c>
      <c r="E158" s="42">
        <v>0</v>
      </c>
      <c r="F158" s="42">
        <f>D158*(($F$117)+1)+(IF(E158&lt;101,E158,IF(E158&lt;201,E158/2,IF(E158&lt;=301,E158/3,E158/4))))</f>
        <v>1148.0815124999999</v>
      </c>
      <c r="G158" s="105"/>
      <c r="H158" s="106"/>
      <c r="I158" s="36"/>
      <c r="N158" s="36"/>
    </row>
    <row r="159" spans="1:14" s="37" customFormat="1" ht="15.75" customHeight="1" x14ac:dyDescent="0.3">
      <c r="A159" s="116" t="s">
        <v>211</v>
      </c>
      <c r="B159" s="117"/>
      <c r="C159" s="117"/>
      <c r="D159" s="117"/>
      <c r="E159" s="117"/>
      <c r="F159" s="117"/>
      <c r="G159" s="117"/>
      <c r="H159" s="118"/>
      <c r="I159" s="36"/>
    </row>
    <row r="160" spans="1:14" s="37" customFormat="1" ht="15.75" customHeight="1" x14ac:dyDescent="0.3">
      <c r="A160" s="95">
        <v>1</v>
      </c>
      <c r="B160" s="96"/>
      <c r="C160" s="42" t="s">
        <v>220</v>
      </c>
      <c r="D160" s="55">
        <f>(2.05*1.55+4.5*1.63+0.68*3.65+6.55*4.55+2.45*1.4+3.75*1+3.05*3.95+3.05*3.95+1.4*2.75+2.88*1.4+4.03*3.2+3.43*1.4+1.81*1.4+6*3.55+3.05*1.4+6.55*1.2+1.92*0.24+3.95*2.38+0.9*1.4)*(10.764)</f>
        <v>1579.4856791999998</v>
      </c>
      <c r="E160" s="42">
        <v>0</v>
      </c>
      <c r="F160" s="42">
        <f>D160*(($F$117)+1)+(IF(E160&lt;101,E160,IF(E160&lt;201,E160/2,IF(E160&lt;=301,E160/3,E160/4))))</f>
        <v>2448.2028027599999</v>
      </c>
      <c r="G160" s="101" t="str">
        <f>A159</f>
        <v>3rd to 7th Floor</v>
      </c>
      <c r="H160" s="102"/>
      <c r="I160" s="36"/>
    </row>
    <row r="161" spans="1:9" s="37" customFormat="1" ht="15.75" customHeight="1" x14ac:dyDescent="0.3">
      <c r="A161" s="95">
        <f>A160+1</f>
        <v>2</v>
      </c>
      <c r="B161" s="96"/>
      <c r="C161" s="42" t="s">
        <v>219</v>
      </c>
      <c r="D161" s="55">
        <f>(6.1*3.28+2.47*0.52+3.95*2.3+1.4*2.45+3.95*3.13+3.95*3.28+1.4*2.45+1*1.3+1*3.91)*(10.764)</f>
        <v>729.4429116</v>
      </c>
      <c r="E161" s="42">
        <v>0</v>
      </c>
      <c r="F161" s="42">
        <f>D161*(($F$117)+1)+(IF(E161&lt;101,E161,IF(E161&lt;201,E161/2,IF(E161&lt;=301,E161/3,E161/4))))</f>
        <v>1130.6365129800001</v>
      </c>
      <c r="G161" s="103"/>
      <c r="H161" s="104"/>
      <c r="I161" s="36"/>
    </row>
    <row r="162" spans="1:9" s="37" customFormat="1" ht="15.75" customHeight="1" x14ac:dyDescent="0.3">
      <c r="A162" s="95">
        <f t="shared" ref="A162:A163" si="12">A161+1</f>
        <v>3</v>
      </c>
      <c r="B162" s="96"/>
      <c r="C162" s="42" t="s">
        <v>219</v>
      </c>
      <c r="D162" s="55">
        <f>(3.2*6.18+0.6*3.6+2.3*3.95+3.05*3.95+1.4*2.45+3.95*3.2+1.4*2.53+3.1*1)*(10.764)</f>
        <v>708.06130199999996</v>
      </c>
      <c r="E162" s="42">
        <v>0</v>
      </c>
      <c r="F162" s="42">
        <f>D162*(($F$117)+1)+(IF(E162&lt;101,E162,IF(E162&lt;201,E162/2,IF(E162&lt;=301,E162/3,E162/4))))</f>
        <v>1097.4950180999999</v>
      </c>
      <c r="G162" s="103"/>
      <c r="H162" s="104"/>
      <c r="I162" s="36"/>
    </row>
    <row r="163" spans="1:9" s="37" customFormat="1" ht="15.75" customHeight="1" x14ac:dyDescent="0.3">
      <c r="A163" s="95">
        <f t="shared" si="12"/>
        <v>4</v>
      </c>
      <c r="B163" s="96"/>
      <c r="C163" s="42" t="s">
        <v>219</v>
      </c>
      <c r="D163" s="55">
        <f>(3.2*6.1+0.6*2.55+2.3*3.95+3.05*3.95+3.2*4.55+2.45*1.4+1.3*1+2.45*1.4+3.91*1)*(10.764)</f>
        <v>740.69774999999993</v>
      </c>
      <c r="E163" s="42">
        <v>0</v>
      </c>
      <c r="F163" s="42">
        <f>D163*(($F$117)+1)+(IF(E163&lt;101,E163,IF(E163&lt;201,E163/2,IF(E163&lt;=301,E163/3,E163/4))))</f>
        <v>1148.0815124999999</v>
      </c>
      <c r="G163" s="103"/>
      <c r="H163" s="104"/>
      <c r="I163" s="36"/>
    </row>
    <row r="164" spans="1:9" s="37" customFormat="1" x14ac:dyDescent="0.3">
      <c r="A164" s="100" t="s">
        <v>212</v>
      </c>
      <c r="B164" s="100"/>
      <c r="C164" s="100"/>
      <c r="D164" s="100"/>
      <c r="E164" s="100"/>
      <c r="F164" s="100"/>
      <c r="G164" s="100"/>
      <c r="H164" s="100"/>
      <c r="I164" s="36"/>
    </row>
    <row r="165" spans="1:9" s="37" customFormat="1" x14ac:dyDescent="0.3">
      <c r="A165" s="59">
        <v>1</v>
      </c>
      <c r="B165" s="59"/>
      <c r="C165" s="42" t="s">
        <v>220</v>
      </c>
      <c r="D165" s="55">
        <f>(2.05*1.55+4.5*1.63+0.68*3.65+6.55*4.55+2.45*1.4+3.75*1+3.05*3.95+3.05*3.95+1.4*2.75+2.88*1.4+4.03*3.2+3.43*1.4+1.81*1.4+6*3.55+3.05*1.4+6.55*1.2+1.92*0.24+3.95*2.38+0.9*1.4)*(10.764)</f>
        <v>1579.4856791999998</v>
      </c>
      <c r="E165" s="42">
        <v>0</v>
      </c>
      <c r="F165" s="42">
        <f>D165*(($F$117)+1)+(IF(E165&lt;101,E165,IF(E165&lt;201,E165/2,IF(E165&lt;=301,E165/3,E165/4))))</f>
        <v>2448.2028027599999</v>
      </c>
      <c r="G165" s="59" t="str">
        <f>A164</f>
        <v>8th Floor (Part Refuge Area)</v>
      </c>
      <c r="H165" s="59"/>
      <c r="I165" s="36"/>
    </row>
    <row r="166" spans="1:9" s="37" customFormat="1" x14ac:dyDescent="0.3">
      <c r="A166" s="59">
        <f>A165+1</f>
        <v>2</v>
      </c>
      <c r="B166" s="59"/>
      <c r="C166" s="42" t="s">
        <v>219</v>
      </c>
      <c r="D166" s="55">
        <f>(6.1*3.28+2.47*0.52+3.95*2.3+1.4*2.45+3.95*3.13+3.95*3.2+1.4*2.45+1*1.3+1*3.91)*(10.764)</f>
        <v>726.04148759999998</v>
      </c>
      <c r="E166" s="42">
        <v>0</v>
      </c>
      <c r="F166" s="42">
        <f>D166*(($F$117)+1)+(IF(E166&lt;101,E166,IF(E166&lt;201,E166/2,IF(E166&lt;=301,E166/3,E166/4))))</f>
        <v>1125.36430578</v>
      </c>
      <c r="G166" s="59"/>
      <c r="H166" s="59"/>
      <c r="I166" s="36"/>
    </row>
    <row r="167" spans="1:9" s="37" customFormat="1" x14ac:dyDescent="0.3">
      <c r="A167" s="59">
        <f t="shared" ref="A167:A168" si="13">A166+1</f>
        <v>3</v>
      </c>
      <c r="B167" s="59"/>
      <c r="C167" s="42" t="s">
        <v>219</v>
      </c>
      <c r="D167" s="55">
        <f>(3.2*6.1+0.6*3.6+2.3*3.95+3.05*3.95+1.4*2.45+3.95*3.2+1.4*2.53+3.1*1)*(10.764)</f>
        <v>705.30571799999996</v>
      </c>
      <c r="E167" s="42">
        <v>0</v>
      </c>
      <c r="F167" s="42">
        <f>D167*(($F$117)+1)+(IF(E167&lt;101,E167,IF(E167&lt;201,E167/2,IF(E167&lt;=301,E167/3,E167/4))))</f>
        <v>1093.2238628999999</v>
      </c>
      <c r="G167" s="59"/>
      <c r="H167" s="59"/>
      <c r="I167" s="36"/>
    </row>
    <row r="168" spans="1:9" s="37" customFormat="1" x14ac:dyDescent="0.3">
      <c r="A168" s="59">
        <f t="shared" si="13"/>
        <v>4</v>
      </c>
      <c r="B168" s="59"/>
      <c r="C168" s="59" t="s">
        <v>213</v>
      </c>
      <c r="D168" s="59"/>
      <c r="E168" s="59"/>
      <c r="F168" s="59"/>
      <c r="G168" s="59"/>
      <c r="H168" s="59"/>
      <c r="I168" s="36"/>
    </row>
    <row r="169" spans="1:9" s="37" customFormat="1" x14ac:dyDescent="0.3">
      <c r="A169" s="116" t="s">
        <v>214</v>
      </c>
      <c r="B169" s="117"/>
      <c r="C169" s="117"/>
      <c r="D169" s="117"/>
      <c r="E169" s="117"/>
      <c r="F169" s="117"/>
      <c r="G169" s="117"/>
      <c r="H169" s="118"/>
      <c r="I169" s="36"/>
    </row>
    <row r="170" spans="1:9" s="37" customFormat="1" x14ac:dyDescent="0.3">
      <c r="A170" s="95">
        <v>1</v>
      </c>
      <c r="B170" s="96"/>
      <c r="C170" s="42" t="s">
        <v>220</v>
      </c>
      <c r="D170" s="55">
        <f>(5.58*1.26+1.65*1.5+0.68*2.15+6.55*4.92+2.45*1.4+3.75*1+3.05*3.95+3.05*3.95+1.4*2.75+2.88*1.4+4.03*3.2+2.3*3.95+3.58*2.55+2.58*1+2.7*2.55+6.48*3.95+6.55*1.2+2.52*2.38+1.35*3.22)*(10.764)</f>
        <v>1794.6429696</v>
      </c>
      <c r="E170" s="42">
        <v>0</v>
      </c>
      <c r="F170" s="42">
        <f>D170*(($F$117)+1)+(IF(E170&lt;101,E170,IF(E170&lt;201,E170/2,IF(E170&lt;=301,E170/3,E170/4))))</f>
        <v>2781.6966028800002</v>
      </c>
      <c r="G170" s="101" t="str">
        <f>A169</f>
        <v>9th Floor</v>
      </c>
      <c r="H170" s="102"/>
      <c r="I170" s="36"/>
    </row>
    <row r="171" spans="1:9" s="37" customFormat="1" x14ac:dyDescent="0.3">
      <c r="A171" s="95">
        <f>A170+1</f>
        <v>2</v>
      </c>
      <c r="B171" s="96"/>
      <c r="C171" s="42" t="s">
        <v>219</v>
      </c>
      <c r="D171" s="55">
        <f>(6.1*3.28+2.47*0.52+3.95*2.3+1.4*2.45+3.95*3.13+3.95*3.2+1.4*2.45+1*1.3+1*3.91)*(10.764)</f>
        <v>726.04148759999998</v>
      </c>
      <c r="E171" s="42">
        <v>0</v>
      </c>
      <c r="F171" s="42">
        <f>D171*(($F$117)+1)+(IF(E171&lt;101,E171,IF(E171&lt;201,E171/2,IF(E171&lt;=301,E171/3,E171/4))))</f>
        <v>1125.36430578</v>
      </c>
      <c r="G171" s="103"/>
      <c r="H171" s="104"/>
      <c r="I171" s="36"/>
    </row>
    <row r="172" spans="1:9" s="37" customFormat="1" x14ac:dyDescent="0.3">
      <c r="A172" s="95">
        <f t="shared" ref="A172:A173" si="14">A171+1</f>
        <v>3</v>
      </c>
      <c r="B172" s="96"/>
      <c r="C172" s="42" t="s">
        <v>219</v>
      </c>
      <c r="D172" s="55">
        <f>(3.2*6.18+0.6*3.6+2.3*3.95+3.05*3.95+1.4*2.45+3.95*3.2+1.4*2.53+3.1*1+3.2*1.2)*(10.764)</f>
        <v>749.39506200000005</v>
      </c>
      <c r="E172" s="42">
        <v>0</v>
      </c>
      <c r="F172" s="42">
        <f>D172*(($F$117)+1)+(IF(E172&lt;101,E172,IF(E172&lt;201,E172/2,IF(E172&lt;=301,E172/3,E172/4))))</f>
        <v>1161.5623461</v>
      </c>
      <c r="G172" s="103"/>
      <c r="H172" s="104"/>
      <c r="I172" s="36"/>
    </row>
    <row r="173" spans="1:9" s="37" customFormat="1" x14ac:dyDescent="0.3">
      <c r="A173" s="95">
        <f t="shared" si="14"/>
        <v>4</v>
      </c>
      <c r="B173" s="96"/>
      <c r="C173" s="42" t="s">
        <v>219</v>
      </c>
      <c r="D173" s="55">
        <f>(3.2*6.1+0.6*2.55+2.3*3.95+3.05*3.95+3.2*4.55+2.45*1.4+1.3*1+2.45*1.4+3.91*1+3.2*1.2)*(10.764)</f>
        <v>782.03151000000003</v>
      </c>
      <c r="E173" s="42">
        <v>0</v>
      </c>
      <c r="F173" s="42">
        <f>D173*(($F$117)+1)+(IF(E173&lt;101,E173,IF(E173&lt;201,E173/2,IF(E173&lt;=301,E173/3,E173/4))))</f>
        <v>1212.1488405</v>
      </c>
      <c r="G173" s="105"/>
      <c r="H173" s="106"/>
      <c r="I173" s="36"/>
    </row>
    <row r="174" spans="1:9" s="37" customFormat="1" x14ac:dyDescent="0.3">
      <c r="A174" s="116" t="s">
        <v>215</v>
      </c>
      <c r="B174" s="117"/>
      <c r="C174" s="117"/>
      <c r="D174" s="117"/>
      <c r="E174" s="117"/>
      <c r="F174" s="117"/>
      <c r="G174" s="117"/>
      <c r="H174" s="118"/>
      <c r="I174" s="36"/>
    </row>
    <row r="175" spans="1:9" s="37" customFormat="1" x14ac:dyDescent="0.3">
      <c r="A175" s="95">
        <v>1</v>
      </c>
      <c r="B175" s="96"/>
      <c r="C175" s="42" t="s">
        <v>220</v>
      </c>
      <c r="D175" s="55">
        <f>(5.58*1.26+1.65*1.5+0.68*2.15+6.55*4.92+2.45*1.4+3.75*1+3.05*3.95+3.05*3.95+1.4*2.75+2.88*1.4+4.03*3.2+2.3*3.95+3.58*2.55+2.58*1+2.7*2.55+6.48*3.95+6.55*1.2+2.52*2.38+1.35*3.22)*(10.764)</f>
        <v>1794.6429696</v>
      </c>
      <c r="E175" s="42">
        <v>0</v>
      </c>
      <c r="F175" s="42">
        <f>D175*(($F$117)+1)+(IF(E175&lt;101,E175,IF(E175&lt;201,E175/2,IF(E175&lt;=301,E175/3,E175/4))))</f>
        <v>2781.6966028800002</v>
      </c>
      <c r="G175" s="101" t="str">
        <f>A174</f>
        <v>10th to 14th Floor</v>
      </c>
      <c r="H175" s="102"/>
      <c r="I175" s="36"/>
    </row>
    <row r="176" spans="1:9" s="37" customFormat="1" x14ac:dyDescent="0.3">
      <c r="A176" s="95">
        <f>A175+1</f>
        <v>2</v>
      </c>
      <c r="B176" s="96"/>
      <c r="C176" s="42" t="s">
        <v>219</v>
      </c>
      <c r="D176" s="55">
        <f>(6.1*3.28+2.47*0.52+3.95*2.3+1.4*2.45+3.95*3.13+3.95*3.2+1.4*2.45+1*1.3+1*3.91)*(10.764)</f>
        <v>726.04148759999998</v>
      </c>
      <c r="E176" s="42">
        <v>0</v>
      </c>
      <c r="F176" s="42">
        <f>D176*(($F$117)+1)+(IF(E176&lt;101,E176,IF(E176&lt;201,E176/2,IF(E176&lt;=301,E176/3,E176/4))))</f>
        <v>1125.36430578</v>
      </c>
      <c r="G176" s="103"/>
      <c r="H176" s="104"/>
      <c r="I176" s="36"/>
    </row>
    <row r="177" spans="1:9" s="37" customFormat="1" x14ac:dyDescent="0.3">
      <c r="A177" s="95">
        <f t="shared" ref="A177:A178" si="15">A176+1</f>
        <v>3</v>
      </c>
      <c r="B177" s="96"/>
      <c r="C177" s="42" t="s">
        <v>219</v>
      </c>
      <c r="D177" s="55">
        <f>(3.2*6.18+0.6*3.6+2.3*3.95+3.05*3.95+1.4*2.45+3.95*3.2+1.4*2.53+3.1*1+3.2*1.2)*(10.764)</f>
        <v>749.39506200000005</v>
      </c>
      <c r="E177" s="42">
        <v>0</v>
      </c>
      <c r="F177" s="42">
        <f>D177*(($F$117)+1)+(IF(E177&lt;101,E177,IF(E177&lt;201,E177/2,IF(E177&lt;=301,E177/3,E177/4))))</f>
        <v>1161.5623461</v>
      </c>
      <c r="G177" s="103"/>
      <c r="H177" s="104"/>
      <c r="I177" s="36"/>
    </row>
    <row r="178" spans="1:9" s="37" customFormat="1" x14ac:dyDescent="0.3">
      <c r="A178" s="95">
        <f t="shared" si="15"/>
        <v>4</v>
      </c>
      <c r="B178" s="96"/>
      <c r="C178" s="42" t="s">
        <v>219</v>
      </c>
      <c r="D178" s="55">
        <f>(3.2*6.1+0.6*2.55+2.3*3.95+3.05*3.95+3.2*4.55+2.45*1.4+1.3*1+2.45*1.4+3.91*1+3.2*1.2)*(10.764)</f>
        <v>782.03151000000003</v>
      </c>
      <c r="E178" s="42">
        <v>0</v>
      </c>
      <c r="F178" s="42">
        <f>D178*(($F$117)+1)+(IF(E178&lt;101,E178,IF(E178&lt;201,E178/2,IF(E178&lt;=301,E178/3,E178/4))))</f>
        <v>1212.1488405</v>
      </c>
      <c r="G178" s="105"/>
      <c r="H178" s="106"/>
      <c r="I178" s="36"/>
    </row>
    <row r="179" spans="1:9" s="37" customFormat="1" x14ac:dyDescent="0.3">
      <c r="A179" s="116" t="s">
        <v>216</v>
      </c>
      <c r="B179" s="117"/>
      <c r="C179" s="117"/>
      <c r="D179" s="117"/>
      <c r="E179" s="117"/>
      <c r="F179" s="117"/>
      <c r="G179" s="117"/>
      <c r="H179" s="118"/>
      <c r="I179" s="36"/>
    </row>
    <row r="180" spans="1:9" s="37" customFormat="1" x14ac:dyDescent="0.3">
      <c r="A180" s="95">
        <v>1</v>
      </c>
      <c r="B180" s="96"/>
      <c r="C180" s="42" t="s">
        <v>220</v>
      </c>
      <c r="D180" s="55">
        <f>(5.58*1.26+1.65*1.5+0.68*2.15+6.55*4.92+2.45*1.4+3.75*1+3.05*3.95+3.05*3.95+1.4*2.75+2.88*1.4+4.03*3.2+2.3*3.95+3.58*2.55+2.58*1+2.7*2.55+6.48*3.95+6.55*1.2+2.52*2.38+1.35*3.22)*(10.764)</f>
        <v>1794.6429696</v>
      </c>
      <c r="E180" s="42">
        <v>0</v>
      </c>
      <c r="F180" s="42">
        <f>D180*(($F$117)+1)+(IF(E180&lt;101,E180,IF(E180&lt;201,E180/2,IF(E180&lt;=301,E180/3,E180/4))))</f>
        <v>2781.6966028800002</v>
      </c>
      <c r="G180" s="101" t="str">
        <f>A179</f>
        <v>15th Floor</v>
      </c>
      <c r="H180" s="102"/>
      <c r="I180" s="36"/>
    </row>
    <row r="181" spans="1:9" s="37" customFormat="1" x14ac:dyDescent="0.3">
      <c r="A181" s="95">
        <f>A180+1</f>
        <v>2</v>
      </c>
      <c r="B181" s="96"/>
      <c r="C181" s="42" t="s">
        <v>219</v>
      </c>
      <c r="D181" s="55">
        <f>(6.1*3.28+2.47*0.52+3.95*2.3+1.4*2.45+3.95*3.13+3.95*3.2+1.4*2.45+1*1.3+1*3.91)*(10.764)</f>
        <v>726.04148759999998</v>
      </c>
      <c r="E181" s="42">
        <v>0</v>
      </c>
      <c r="F181" s="42">
        <f>D181*(($F$117)+1)+(IF(E181&lt;101,E181,IF(E181&lt;201,E181/2,IF(E181&lt;=301,E181/3,E181/4))))</f>
        <v>1125.36430578</v>
      </c>
      <c r="G181" s="103"/>
      <c r="H181" s="104"/>
      <c r="I181" s="36"/>
    </row>
    <row r="182" spans="1:9" s="37" customFormat="1" x14ac:dyDescent="0.3">
      <c r="A182" s="95">
        <f t="shared" ref="A182:A183" si="16">A181+1</f>
        <v>3</v>
      </c>
      <c r="B182" s="96"/>
      <c r="C182" s="42" t="s">
        <v>219</v>
      </c>
      <c r="D182" s="55">
        <f>(3.2*6.18+0.6*3.6+2.3*3.95+3.05*3.95+1.4*2.45+3.95*3.2+1.4*2.53+3.1*1+3.2*1.2)*(10.764)</f>
        <v>749.39506200000005</v>
      </c>
      <c r="E182" s="42">
        <v>0</v>
      </c>
      <c r="F182" s="42">
        <f>D182*(($F$117)+1)+(IF(E182&lt;101,E182,IF(E182&lt;201,E182/2,IF(E182&lt;=301,E182/3,E182/4))))</f>
        <v>1161.5623461</v>
      </c>
      <c r="G182" s="103"/>
      <c r="H182" s="104"/>
      <c r="I182" s="36"/>
    </row>
    <row r="183" spans="1:9" s="37" customFormat="1" x14ac:dyDescent="0.3">
      <c r="A183" s="95">
        <f t="shared" si="16"/>
        <v>4</v>
      </c>
      <c r="B183" s="96"/>
      <c r="C183" s="42" t="s">
        <v>219</v>
      </c>
      <c r="D183" s="55">
        <f>(3.2*6.1+0.6*2.55+2.3*3.95+3.05*3.95+3.2*4.55+2.45*1.4+1.3*1+2.45*1.4+3.91*1+3.2*1.2)*(10.764)</f>
        <v>782.03151000000003</v>
      </c>
      <c r="E183" s="42">
        <v>0</v>
      </c>
      <c r="F183" s="42">
        <f>D183*(($F$117)+1)+(IF(E183&lt;101,E183,IF(E183&lt;201,E183/2,IF(E183&lt;=301,E183/3,E183/4))))</f>
        <v>1212.1488405</v>
      </c>
      <c r="G183" s="105"/>
      <c r="H183" s="106"/>
      <c r="I183" s="36"/>
    </row>
    <row r="184" spans="1:9" s="35" customFormat="1" x14ac:dyDescent="0.3">
      <c r="A184" s="160" t="s">
        <v>70</v>
      </c>
      <c r="B184" s="160"/>
      <c r="C184" s="160"/>
      <c r="D184" s="160"/>
      <c r="E184" s="160"/>
      <c r="F184" s="160"/>
      <c r="G184" s="160"/>
      <c r="H184" s="160"/>
    </row>
    <row r="185" spans="1:9" s="35" customFormat="1" x14ac:dyDescent="0.3">
      <c r="A185" s="47" t="s">
        <v>156</v>
      </c>
      <c r="B185" s="92" t="s">
        <v>231</v>
      </c>
      <c r="C185" s="93"/>
      <c r="D185" s="93"/>
      <c r="E185" s="93"/>
      <c r="F185" s="93"/>
      <c r="G185" s="93"/>
      <c r="H185" s="94"/>
    </row>
    <row r="186" spans="1:9" s="35" customFormat="1" x14ac:dyDescent="0.3">
      <c r="A186" s="47" t="s">
        <v>156</v>
      </c>
      <c r="B186" s="92" t="str">
        <f>(IF(F116="Saleable area Loading :","We have considered Saleable area of Flats as per our Calculation.","We considered Saleable area of Flat as per Builder area Sheet."))</f>
        <v>We have considered Saleable area of Flats as per our Calculation.</v>
      </c>
      <c r="C186" s="93"/>
      <c r="D186" s="93"/>
      <c r="E186" s="93"/>
      <c r="F186" s="93"/>
      <c r="G186" s="93"/>
      <c r="H186" s="94"/>
    </row>
    <row r="187" spans="1:9" s="35" customFormat="1" x14ac:dyDescent="0.3">
      <c r="A187" s="47" t="s">
        <v>156</v>
      </c>
      <c r="B187" s="113" t="s">
        <v>126</v>
      </c>
      <c r="C187" s="114"/>
      <c r="D187" s="114"/>
      <c r="E187" s="114"/>
      <c r="F187" s="114"/>
      <c r="G187" s="114"/>
      <c r="H187" s="115"/>
    </row>
    <row r="188" spans="1:9" s="35" customFormat="1" x14ac:dyDescent="0.3">
      <c r="A188" s="47" t="s">
        <v>156</v>
      </c>
      <c r="B188" s="113" t="s">
        <v>222</v>
      </c>
      <c r="C188" s="114"/>
      <c r="D188" s="114"/>
      <c r="E188" s="114"/>
      <c r="F188" s="114"/>
      <c r="G188" s="114"/>
      <c r="H188" s="115"/>
    </row>
    <row r="189" spans="1:9" s="35" customFormat="1" x14ac:dyDescent="0.3">
      <c r="A189" s="47" t="s">
        <v>156</v>
      </c>
      <c r="B189" s="113" t="s">
        <v>155</v>
      </c>
      <c r="C189" s="114"/>
      <c r="D189" s="114"/>
      <c r="E189" s="114"/>
      <c r="F189" s="114"/>
      <c r="G189" s="114"/>
      <c r="H189" s="115"/>
    </row>
    <row r="190" spans="1:9" s="35" customFormat="1" x14ac:dyDescent="0.3">
      <c r="A190" s="47" t="s">
        <v>156</v>
      </c>
      <c r="B190" s="113" t="s">
        <v>127</v>
      </c>
      <c r="C190" s="114"/>
      <c r="D190" s="114"/>
      <c r="E190" s="114"/>
      <c r="F190" s="114"/>
      <c r="G190" s="114"/>
      <c r="H190" s="115"/>
    </row>
    <row r="191" spans="1:9" s="35" customFormat="1" ht="34.5" customHeight="1" x14ac:dyDescent="0.3">
      <c r="A191" s="47" t="s">
        <v>156</v>
      </c>
      <c r="B191" s="113" t="s">
        <v>157</v>
      </c>
      <c r="C191" s="114"/>
      <c r="D191" s="114"/>
      <c r="E191" s="114"/>
      <c r="F191" s="114"/>
      <c r="G191" s="114"/>
      <c r="H191" s="115"/>
    </row>
    <row r="192" spans="1:9" s="35" customFormat="1" x14ac:dyDescent="0.3">
      <c r="A192" s="47" t="s">
        <v>156</v>
      </c>
      <c r="B192" s="113" t="s">
        <v>128</v>
      </c>
      <c r="C192" s="114"/>
      <c r="D192" s="114"/>
      <c r="E192" s="114"/>
      <c r="F192" s="114"/>
      <c r="G192" s="114"/>
      <c r="H192" s="115"/>
    </row>
    <row r="193" spans="1:8" s="35" customFormat="1" x14ac:dyDescent="0.3">
      <c r="A193" s="47" t="s">
        <v>156</v>
      </c>
      <c r="B193" s="113" t="s">
        <v>204</v>
      </c>
      <c r="C193" s="114"/>
      <c r="D193" s="114"/>
      <c r="E193" s="114"/>
      <c r="F193" s="114"/>
      <c r="G193" s="114"/>
      <c r="H193" s="115"/>
    </row>
    <row r="194" spans="1:8" s="35" customFormat="1" ht="33.6" customHeight="1" x14ac:dyDescent="0.3">
      <c r="A194" s="47" t="s">
        <v>156</v>
      </c>
      <c r="B194" s="92" t="s">
        <v>225</v>
      </c>
      <c r="C194" s="93"/>
      <c r="D194" s="93"/>
      <c r="E194" s="93"/>
      <c r="F194" s="93"/>
      <c r="G194" s="93"/>
      <c r="H194" s="94"/>
    </row>
    <row r="195" spans="1:8" s="35" customFormat="1" x14ac:dyDescent="0.3">
      <c r="A195" s="47" t="s">
        <v>156</v>
      </c>
      <c r="B195" s="92" t="s">
        <v>234</v>
      </c>
      <c r="C195" s="93"/>
      <c r="D195" s="93"/>
      <c r="E195" s="93"/>
      <c r="F195" s="93"/>
      <c r="G195" s="93"/>
      <c r="H195" s="94"/>
    </row>
    <row r="196" spans="1:8" s="35" customFormat="1" ht="31.05" customHeight="1" x14ac:dyDescent="0.3">
      <c r="A196" s="47" t="s">
        <v>156</v>
      </c>
      <c r="B196" s="92" t="s">
        <v>232</v>
      </c>
      <c r="C196" s="93"/>
      <c r="D196" s="93"/>
      <c r="E196" s="93"/>
      <c r="F196" s="93"/>
      <c r="G196" s="93"/>
      <c r="H196" s="94"/>
    </row>
    <row r="197" spans="1:8" x14ac:dyDescent="0.3">
      <c r="A197" s="87" t="s">
        <v>63</v>
      </c>
      <c r="B197" s="87"/>
      <c r="C197" s="87"/>
      <c r="D197" s="87"/>
      <c r="E197" s="87"/>
      <c r="F197" s="87"/>
      <c r="G197" s="87"/>
      <c r="H197" s="87"/>
    </row>
    <row r="198" spans="1:8" x14ac:dyDescent="0.3">
      <c r="A198" s="57" t="s">
        <v>64</v>
      </c>
      <c r="B198" s="57"/>
      <c r="C198" s="57"/>
      <c r="D198" s="57"/>
      <c r="E198" s="57"/>
      <c r="F198" s="57"/>
      <c r="G198" s="57"/>
      <c r="H198" s="57"/>
    </row>
    <row r="199" spans="1:8" ht="15.75" customHeight="1" x14ac:dyDescent="0.3">
      <c r="A199" s="58" t="s">
        <v>65</v>
      </c>
      <c r="B199" s="58"/>
      <c r="C199" s="58"/>
      <c r="D199" s="58"/>
      <c r="E199" s="58"/>
      <c r="F199" s="58"/>
      <c r="G199" s="58"/>
      <c r="H199" s="58"/>
    </row>
    <row r="200" spans="1:8" x14ac:dyDescent="0.3">
      <c r="A200" s="57" t="s">
        <v>66</v>
      </c>
      <c r="B200" s="57"/>
      <c r="C200" s="57"/>
      <c r="D200" s="57"/>
      <c r="E200" s="57"/>
      <c r="F200" s="57"/>
      <c r="G200" s="57"/>
      <c r="H200" s="57"/>
    </row>
    <row r="201" spans="1:8" x14ac:dyDescent="0.3">
      <c r="A201" s="57" t="s">
        <v>67</v>
      </c>
      <c r="B201" s="57"/>
      <c r="C201" s="57"/>
      <c r="D201" s="57"/>
      <c r="E201" s="57"/>
      <c r="F201" s="57"/>
      <c r="G201" s="57"/>
      <c r="H201" s="57"/>
    </row>
    <row r="202" spans="1:8" x14ac:dyDescent="0.3">
      <c r="A202" s="57" t="s">
        <v>129</v>
      </c>
      <c r="B202" s="57"/>
      <c r="C202" s="57"/>
      <c r="D202" s="57"/>
      <c r="E202" s="57"/>
      <c r="F202" s="57"/>
      <c r="G202" s="57"/>
      <c r="H202" s="57"/>
    </row>
    <row r="203" spans="1:8" ht="35.4" customHeight="1" x14ac:dyDescent="0.3">
      <c r="A203" s="88" t="s">
        <v>130</v>
      </c>
      <c r="B203" s="88"/>
      <c r="C203" s="88"/>
      <c r="D203" s="88"/>
      <c r="E203" s="88"/>
      <c r="F203" s="88"/>
      <c r="G203" s="88"/>
      <c r="H203" s="88"/>
    </row>
    <row r="204" spans="1:8" x14ac:dyDescent="0.3">
      <c r="A204" s="108" t="s">
        <v>79</v>
      </c>
      <c r="B204" s="108"/>
      <c r="C204" s="108" t="s">
        <v>236</v>
      </c>
      <c r="D204" s="108"/>
      <c r="E204" s="108" t="s">
        <v>109</v>
      </c>
      <c r="F204" s="108"/>
      <c r="G204" s="108" t="s">
        <v>235</v>
      </c>
      <c r="H204" s="108"/>
    </row>
    <row r="205" spans="1:8" x14ac:dyDescent="0.3">
      <c r="A205" s="107" t="s">
        <v>81</v>
      </c>
      <c r="B205" s="107"/>
      <c r="C205" s="107"/>
      <c r="D205" s="107"/>
      <c r="E205" s="107"/>
      <c r="F205" s="107"/>
      <c r="G205" s="107"/>
      <c r="H205" s="107"/>
    </row>
    <row r="206" spans="1:8" x14ac:dyDescent="0.3">
      <c r="A206" s="107"/>
      <c r="B206" s="107"/>
      <c r="C206" s="107"/>
      <c r="D206" s="107"/>
      <c r="E206" s="107"/>
      <c r="F206" s="107"/>
      <c r="G206" s="107"/>
      <c r="H206" s="107"/>
    </row>
    <row r="207" spans="1:8" x14ac:dyDescent="0.3">
      <c r="A207" s="107"/>
      <c r="B207" s="107"/>
      <c r="C207" s="107"/>
      <c r="D207" s="107"/>
      <c r="E207" s="107"/>
      <c r="F207" s="107"/>
      <c r="G207" s="107"/>
      <c r="H207" s="107"/>
    </row>
    <row r="208" spans="1:8" x14ac:dyDescent="0.3">
      <c r="A208" s="107"/>
      <c r="B208" s="107"/>
      <c r="C208" s="107"/>
      <c r="D208" s="107"/>
      <c r="E208" s="107"/>
      <c r="F208" s="107"/>
      <c r="G208" s="107"/>
      <c r="H208" s="107"/>
    </row>
    <row r="209" spans="1:8" x14ac:dyDescent="0.3">
      <c r="A209" s="38" t="s">
        <v>68</v>
      </c>
      <c r="B209" s="39"/>
      <c r="C209" s="39"/>
      <c r="D209" s="38" t="str">
        <f>E8</f>
        <v>Ajmera Eden</v>
      </c>
      <c r="F209" s="39"/>
      <c r="G209" s="39"/>
      <c r="H209" s="39"/>
    </row>
    <row r="210" spans="1:8" x14ac:dyDescent="0.3">
      <c r="A210" s="39"/>
      <c r="B210" s="39"/>
      <c r="C210" s="39"/>
      <c r="D210" s="39"/>
      <c r="E210" s="39"/>
      <c r="F210" s="39"/>
      <c r="G210" s="39"/>
      <c r="H210" s="39"/>
    </row>
    <row r="211" spans="1:8" x14ac:dyDescent="0.3">
      <c r="A211" s="39"/>
      <c r="B211" s="39"/>
      <c r="C211" s="39"/>
      <c r="D211" s="39"/>
      <c r="E211" s="39"/>
      <c r="F211" s="39"/>
      <c r="G211" s="39"/>
      <c r="H211" s="39"/>
    </row>
    <row r="212" spans="1:8" ht="15" customHeight="1" x14ac:dyDescent="0.3"/>
    <row r="227" spans="9:9" x14ac:dyDescent="0.3">
      <c r="I227"/>
    </row>
    <row r="251" spans="1:1" x14ac:dyDescent="0.3">
      <c r="A251" s="41" t="s">
        <v>168</v>
      </c>
    </row>
    <row r="293" spans="1:1" x14ac:dyDescent="0.3">
      <c r="A293" s="41" t="s">
        <v>69</v>
      </c>
    </row>
  </sheetData>
  <mergeCells count="352">
    <mergeCell ref="B196:H196"/>
    <mergeCell ref="I10:L10"/>
    <mergeCell ref="B195:H195"/>
    <mergeCell ref="B194:H194"/>
    <mergeCell ref="G170:H173"/>
    <mergeCell ref="A174:H174"/>
    <mergeCell ref="A175:B175"/>
    <mergeCell ref="G175:H178"/>
    <mergeCell ref="A176:B176"/>
    <mergeCell ref="A177:B177"/>
    <mergeCell ref="A178:B178"/>
    <mergeCell ref="B193:H193"/>
    <mergeCell ref="A143:H143"/>
    <mergeCell ref="A144:B144"/>
    <mergeCell ref="G144:H146"/>
    <mergeCell ref="A145:B145"/>
    <mergeCell ref="A146:B146"/>
    <mergeCell ref="A179:H179"/>
    <mergeCell ref="A180:B180"/>
    <mergeCell ref="G180:H183"/>
    <mergeCell ref="A181:B181"/>
    <mergeCell ref="A182:B182"/>
    <mergeCell ref="A183:B183"/>
    <mergeCell ref="C145:F145"/>
    <mergeCell ref="C132:F132"/>
    <mergeCell ref="C168:F168"/>
    <mergeCell ref="A135:H135"/>
    <mergeCell ref="A136:B136"/>
    <mergeCell ref="A137:B137"/>
    <mergeCell ref="A138:B138"/>
    <mergeCell ref="G136:H138"/>
    <mergeCell ref="A154:H154"/>
    <mergeCell ref="A155:B155"/>
    <mergeCell ref="G155:H158"/>
    <mergeCell ref="A156:B156"/>
    <mergeCell ref="A157:B157"/>
    <mergeCell ref="A158:B158"/>
    <mergeCell ref="A159:H159"/>
    <mergeCell ref="A160:B160"/>
    <mergeCell ref="G160:H163"/>
    <mergeCell ref="A161:B161"/>
    <mergeCell ref="A162:B162"/>
    <mergeCell ref="A163:B163"/>
    <mergeCell ref="A139:H139"/>
    <mergeCell ref="A140:B140"/>
    <mergeCell ref="G140:H142"/>
    <mergeCell ref="A141:B141"/>
    <mergeCell ref="A142:B142"/>
    <mergeCell ref="A39:B39"/>
    <mergeCell ref="C39:H39"/>
    <mergeCell ref="B191:H191"/>
    <mergeCell ref="A48:B48"/>
    <mergeCell ref="C48:H48"/>
    <mergeCell ref="B189:H189"/>
    <mergeCell ref="G85:H94"/>
    <mergeCell ref="A86:B86"/>
    <mergeCell ref="A87:B87"/>
    <mergeCell ref="A88:B88"/>
    <mergeCell ref="F97:H97"/>
    <mergeCell ref="A97:E97"/>
    <mergeCell ref="A99:E99"/>
    <mergeCell ref="A118:H118"/>
    <mergeCell ref="A147:H147"/>
    <mergeCell ref="A149:H149"/>
    <mergeCell ref="G84:H84"/>
    <mergeCell ref="A101:E101"/>
    <mergeCell ref="F101:H101"/>
    <mergeCell ref="A102:E102"/>
    <mergeCell ref="A104:E104"/>
    <mergeCell ref="F98:H98"/>
    <mergeCell ref="A119:H119"/>
    <mergeCell ref="C122:F122"/>
    <mergeCell ref="A95:E95"/>
    <mergeCell ref="F99:H99"/>
    <mergeCell ref="A100:E100"/>
    <mergeCell ref="B188:H188"/>
    <mergeCell ref="A184:H184"/>
    <mergeCell ref="A168:B168"/>
    <mergeCell ref="B116:B117"/>
    <mergeCell ref="A164:H164"/>
    <mergeCell ref="A127:H127"/>
    <mergeCell ref="A121:B121"/>
    <mergeCell ref="A166:B166"/>
    <mergeCell ref="A167:B167"/>
    <mergeCell ref="A150:B150"/>
    <mergeCell ref="F95:H95"/>
    <mergeCell ref="F100:H100"/>
    <mergeCell ref="A116:A117"/>
    <mergeCell ref="A106:E106"/>
    <mergeCell ref="G113:H113"/>
    <mergeCell ref="G112:H112"/>
    <mergeCell ref="A112:B112"/>
    <mergeCell ref="C112:D112"/>
    <mergeCell ref="E112:F112"/>
    <mergeCell ref="A113:B113"/>
    <mergeCell ref="E113:F113"/>
    <mergeCell ref="L121:M121"/>
    <mergeCell ref="A122:B122"/>
    <mergeCell ref="L122:M122"/>
    <mergeCell ref="B187:H187"/>
    <mergeCell ref="L150:M150"/>
    <mergeCell ref="A151:B151"/>
    <mergeCell ref="L151:M151"/>
    <mergeCell ref="A152:B152"/>
    <mergeCell ref="L152:M152"/>
    <mergeCell ref="A153:B153"/>
    <mergeCell ref="L153:M153"/>
    <mergeCell ref="L154:M154"/>
    <mergeCell ref="G165:H168"/>
    <mergeCell ref="A131:H131"/>
    <mergeCell ref="A132:B132"/>
    <mergeCell ref="L123:M123"/>
    <mergeCell ref="A125:B125"/>
    <mergeCell ref="A126:B126"/>
    <mergeCell ref="A171:B171"/>
    <mergeCell ref="A173:B173"/>
    <mergeCell ref="A148:H148"/>
    <mergeCell ref="C150:F150"/>
    <mergeCell ref="C151:F151"/>
    <mergeCell ref="C153:F153"/>
    <mergeCell ref="A38:B38"/>
    <mergeCell ref="C38:H38"/>
    <mergeCell ref="A45:D45"/>
    <mergeCell ref="A78:B78"/>
    <mergeCell ref="C111:D111"/>
    <mergeCell ref="E111:F111"/>
    <mergeCell ref="G111:H111"/>
    <mergeCell ref="F102:H102"/>
    <mergeCell ref="A96:E96"/>
    <mergeCell ref="A85:B85"/>
    <mergeCell ref="E85:F94"/>
    <mergeCell ref="A92:B92"/>
    <mergeCell ref="A93:B93"/>
    <mergeCell ref="A83:B83"/>
    <mergeCell ref="C83:H83"/>
    <mergeCell ref="A94:B94"/>
    <mergeCell ref="A61:C61"/>
    <mergeCell ref="E71:F80"/>
    <mergeCell ref="G71:H80"/>
    <mergeCell ref="A79:B79"/>
    <mergeCell ref="A80:B80"/>
    <mergeCell ref="D61:H61"/>
    <mergeCell ref="A103:E103"/>
    <mergeCell ref="A98:E98"/>
    <mergeCell ref="A37:H37"/>
    <mergeCell ref="A36:B36"/>
    <mergeCell ref="C36:E36"/>
    <mergeCell ref="A41:D41"/>
    <mergeCell ref="E41:H41"/>
    <mergeCell ref="F33:H33"/>
    <mergeCell ref="F34:H34"/>
    <mergeCell ref="A40:H40"/>
    <mergeCell ref="A60:C60"/>
    <mergeCell ref="D60:H60"/>
    <mergeCell ref="A43:D43"/>
    <mergeCell ref="E43:H43"/>
    <mergeCell ref="E44:H44"/>
    <mergeCell ref="E45:H45"/>
    <mergeCell ref="E46:H46"/>
    <mergeCell ref="A46:D46"/>
    <mergeCell ref="A47:H47"/>
    <mergeCell ref="D57:H57"/>
    <mergeCell ref="A57:C57"/>
    <mergeCell ref="G50:H50"/>
    <mergeCell ref="A51:B52"/>
    <mergeCell ref="C52:E52"/>
    <mergeCell ref="G52:H52"/>
    <mergeCell ref="G49:H49"/>
    <mergeCell ref="A84:B84"/>
    <mergeCell ref="E84:F84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7:B17"/>
    <mergeCell ref="C17:H17"/>
    <mergeCell ref="A12:D12"/>
    <mergeCell ref="E12:H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205:H208"/>
    <mergeCell ref="A204:B204"/>
    <mergeCell ref="E204:F204"/>
    <mergeCell ref="C204:D204"/>
    <mergeCell ref="G204:H204"/>
    <mergeCell ref="A107:E107"/>
    <mergeCell ref="F107:H107"/>
    <mergeCell ref="A108:E108"/>
    <mergeCell ref="F108:H108"/>
    <mergeCell ref="A123:H123"/>
    <mergeCell ref="A111:B111"/>
    <mergeCell ref="A130:B130"/>
    <mergeCell ref="A200:H200"/>
    <mergeCell ref="A109:H109"/>
    <mergeCell ref="A203:H203"/>
    <mergeCell ref="A201:H201"/>
    <mergeCell ref="A197:H197"/>
    <mergeCell ref="A198:H198"/>
    <mergeCell ref="E110:F110"/>
    <mergeCell ref="B192:H192"/>
    <mergeCell ref="B190:H190"/>
    <mergeCell ref="A172:B172"/>
    <mergeCell ref="A169:H169"/>
    <mergeCell ref="A170:B170"/>
    <mergeCell ref="A114:H114"/>
    <mergeCell ref="B185:H185"/>
    <mergeCell ref="B186:H186"/>
    <mergeCell ref="A165:B165"/>
    <mergeCell ref="F103:H103"/>
    <mergeCell ref="F106:H106"/>
    <mergeCell ref="F104:H104"/>
    <mergeCell ref="A129:B129"/>
    <mergeCell ref="A115:H115"/>
    <mergeCell ref="A105:E105"/>
    <mergeCell ref="C116:C117"/>
    <mergeCell ref="C113:D113"/>
    <mergeCell ref="A120:H120"/>
    <mergeCell ref="A128:B128"/>
    <mergeCell ref="F105:H105"/>
    <mergeCell ref="C110:D110"/>
    <mergeCell ref="G110:H110"/>
    <mergeCell ref="G121:H122"/>
    <mergeCell ref="G150:H153"/>
    <mergeCell ref="G124:H126"/>
    <mergeCell ref="G128:H130"/>
    <mergeCell ref="G132:H134"/>
    <mergeCell ref="A133:B133"/>
    <mergeCell ref="A134:B134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E42:H42"/>
    <mergeCell ref="A42:D42"/>
    <mergeCell ref="A202:H202"/>
    <mergeCell ref="A199:H199"/>
    <mergeCell ref="A124:B124"/>
    <mergeCell ref="A110:B110"/>
    <mergeCell ref="D116:D117"/>
    <mergeCell ref="E116:E117"/>
    <mergeCell ref="G116:H117"/>
    <mergeCell ref="A89:B89"/>
    <mergeCell ref="A90:B90"/>
    <mergeCell ref="A91:B91"/>
    <mergeCell ref="A81:B81"/>
    <mergeCell ref="C81:H81"/>
    <mergeCell ref="A76:B76"/>
    <mergeCell ref="F96:H96"/>
    <mergeCell ref="A49:B49"/>
    <mergeCell ref="C49:E49"/>
    <mergeCell ref="G51:H51"/>
    <mergeCell ref="D55:H55"/>
    <mergeCell ref="C51:E51"/>
    <mergeCell ref="A58:C59"/>
    <mergeCell ref="D58:H58"/>
    <mergeCell ref="D59:H59"/>
  </mergeCells>
  <dataValidations count="1">
    <dataValidation type="list" allowBlank="1" showInputMessage="1" showErrorMessage="1" sqref="G204:H204" xr:uid="{00000000-0002-0000-0000-000000000000}">
      <formula1>"Kunal Kadam,Pranita Mhatre,Shruti Fule,Pooja Kawale,Gaurav Panchal,Shruti Tathare, Hitakshi Mhatre, Sachin Sawant"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8" max="16383" man="1"/>
    <brk id="250" max="16383" man="1"/>
    <brk id="29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3" t="s">
        <v>110</v>
      </c>
      <c r="C3" s="163"/>
      <c r="D3" s="163"/>
      <c r="E3" s="163"/>
      <c r="F3" s="163"/>
      <c r="G3" s="163"/>
      <c r="H3" s="163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2025-09-13T11:30:07Z</cp:lastPrinted>
  <dcterms:created xsi:type="dcterms:W3CDTF">2019-07-16T09:29:46Z</dcterms:created>
  <dcterms:modified xsi:type="dcterms:W3CDTF">2025-09-13T11:37:01Z</dcterms:modified>
</cp:coreProperties>
</file>