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95173900-61AB-4669-BF51-A4530A74715C}"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Report!$A$1:$H$289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D124" i="1" l="1"/>
  <c r="E124" i="1"/>
  <c r="D125" i="1"/>
  <c r="E125" i="1"/>
  <c r="D126" i="1"/>
  <c r="E126" i="1"/>
  <c r="E132" i="1"/>
  <c r="E128" i="1"/>
  <c r="I128" i="1"/>
  <c r="J128" i="1"/>
  <c r="E134" i="1"/>
  <c r="D134" i="1"/>
  <c r="E133" i="1"/>
  <c r="D133" i="1"/>
  <c r="D132" i="1"/>
  <c r="E130" i="1"/>
  <c r="D130" i="1"/>
  <c r="E129" i="1"/>
  <c r="D129" i="1"/>
  <c r="F129" i="1" s="1"/>
  <c r="H129" i="1" s="1"/>
  <c r="D128" i="1"/>
  <c r="A133" i="1"/>
  <c r="A134" i="1" s="1"/>
  <c r="A129" i="1"/>
  <c r="A130" i="1" s="1"/>
  <c r="J126" i="1"/>
  <c r="I126" i="1"/>
  <c r="J125" i="1"/>
  <c r="I125" i="1"/>
  <c r="I124" i="1"/>
  <c r="F115" i="1"/>
  <c r="H115" i="1" s="1"/>
  <c r="F134" i="1" l="1"/>
  <c r="H134" i="1" s="1"/>
  <c r="I134" i="1" s="1"/>
  <c r="K125" i="1"/>
  <c r="F130" i="1"/>
  <c r="H130" i="1" s="1"/>
  <c r="K128" i="1"/>
  <c r="F132" i="1"/>
  <c r="H132" i="1" s="1"/>
  <c r="I132" i="1" s="1"/>
  <c r="F133" i="1"/>
  <c r="H133" i="1" s="1"/>
  <c r="I133" i="1" s="1"/>
  <c r="F128" i="1"/>
  <c r="H128"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64" i="1"/>
  <c r="B138" i="1"/>
  <c r="B137" i="1"/>
  <c r="F126" i="1"/>
  <c r="H126" i="1" s="1"/>
  <c r="F125" i="1"/>
  <c r="H125" i="1" s="1"/>
  <c r="A125" i="1"/>
  <c r="A126" i="1" s="1"/>
  <c r="F124" i="1"/>
  <c r="F118" i="1"/>
  <c r="H118" i="1" s="1"/>
  <c r="F117" i="1"/>
  <c r="H117" i="1" s="1"/>
  <c r="F116" i="1"/>
  <c r="H116" i="1" s="1"/>
  <c r="A116" i="1"/>
  <c r="A117" i="1" s="1"/>
  <c r="A118" i="1" s="1"/>
  <c r="F99" i="1"/>
  <c r="C73" i="1"/>
  <c r="D67" i="1"/>
  <c r="D62" i="1"/>
  <c r="G56" i="1"/>
  <c r="C56" i="1"/>
  <c r="C54" i="1"/>
  <c r="G51" i="1"/>
  <c r="G52" i="1" s="1"/>
  <c r="K54" i="1" s="1"/>
  <c r="C51" i="1"/>
  <c r="C52" i="1" s="1"/>
  <c r="E44" i="1"/>
  <c r="E45" i="1" s="1"/>
  <c r="S33" i="1"/>
  <c r="E31" i="1"/>
  <c r="E28" i="1"/>
  <c r="E26" i="1"/>
  <c r="C16" i="1"/>
  <c r="I15" i="1"/>
  <c r="Z13" i="1"/>
  <c r="E8" i="1"/>
  <c r="E3" i="1"/>
  <c r="B148" i="1" s="1"/>
  <c r="H74" i="1"/>
  <c r="E107" i="1" l="1"/>
  <c r="E108" i="1" s="1"/>
  <c r="E109" i="1" s="1"/>
  <c r="C107" i="1"/>
  <c r="C108" i="1" s="1"/>
  <c r="C109" i="1" s="1"/>
  <c r="H124" i="1"/>
  <c r="G107" i="1" s="1"/>
  <c r="G108" i="1" s="1"/>
  <c r="G109" i="1" s="1"/>
  <c r="B74" i="1"/>
  <c r="J83" i="1" s="1"/>
  <c r="E42" i="7"/>
  <c r="I42" i="7"/>
  <c r="H42" i="7" s="1"/>
  <c r="L42" i="7"/>
  <c r="K42" i="7" s="1"/>
  <c r="D82" i="1"/>
  <c r="J76" i="1"/>
  <c r="D81" i="1"/>
  <c r="D86" i="1"/>
  <c r="D80" i="1"/>
  <c r="D85" i="1"/>
  <c r="D79" i="1"/>
  <c r="J78" i="1"/>
  <c r="C77" i="1" s="1"/>
  <c r="D84" i="1"/>
  <c r="D83" i="1"/>
  <c r="J77" i="1"/>
  <c r="J73" i="1"/>
  <c r="J75" i="1" s="1"/>
  <c r="E44" i="7"/>
  <c r="D42" i="7"/>
  <c r="L54" i="1"/>
  <c r="I52" i="1"/>
  <c r="D44" i="7" l="1"/>
  <c r="J79" i="1"/>
  <c r="J80" i="1" s="1"/>
  <c r="J85" i="1" s="1"/>
  <c r="J86" i="1" s="1"/>
  <c r="C78" i="1" s="1"/>
  <c r="E77" i="1" s="1"/>
  <c r="J84" i="1"/>
  <c r="J81" i="1"/>
  <c r="J82" i="1"/>
  <c r="D77" i="1"/>
  <c r="G77" i="1" l="1"/>
  <c r="D71" i="1" s="1"/>
  <c r="D72" i="1" s="1"/>
  <c r="D78" i="1"/>
  <c r="I74" i="1" s="1"/>
  <c r="I75" i="1" s="1"/>
  <c r="J74" i="1"/>
  <c r="F72" i="1" l="1"/>
  <c r="I73" i="1"/>
  <c r="C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<sst xmlns="http://schemas.openxmlformats.org/spreadsheetml/2006/main" count="615" uniqueCount="407">
  <si>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</si>
  <si>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</si>
  <si>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</si>
  <si>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</si>
  <si>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</si>
  <si>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</si>
  <si>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</si>
  <si>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</si>
  <si>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</si>
  <si>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</si>
  <si>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</si>
  <si>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</si>
  <si>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</si>
  <si>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</si>
  <si>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</si>
  <si>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</si>
  <si>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</si>
  <si>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</si>
  <si>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</si>
  <si>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</si>
  <si>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</si>
  <si>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</si>
  <si>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</si>
  <si>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</si>
  <si>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</si>
  <si>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</si>
  <si>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</si>
  <si>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</si>
  <si>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</si>
  <si>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</si>
  <si>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</si>
  <si>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</si>
  <si>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</si>
  <si>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</si>
  <si>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</si>
  <si>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</si>
  <si>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</si>
  <si>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</si>
  <si>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</si>
  <si>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</si>
  <si>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</si>
  <si>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</si>
  <si>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</si>
  <si>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</si>
  <si>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</si>
  <si>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</si>
  <si>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</si>
  <si>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</si>
  <si>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</si>
  <si>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</si>
  <si>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</si>
  <si>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</si>
  <si>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</si>
  <si>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</si>
  <si>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</si>
  <si>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</si>
  <si>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</si>
  <si>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</si>
  <si>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</si>
  <si>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</si>
  <si>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</si>
  <si>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</si>
  <si>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</si>
  <si>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</si>
  <si>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</si>
  <si>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</si>
  <si>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</si>
  <si>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</si>
  <si>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</si>
  <si>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</si>
  <si>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</si>
  <si>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</si>
  <si>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</si>
  <si>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</si>
  <si>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</si>
  <si>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</si>
  <si>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</si>
  <si>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</si>
  <si>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</si>
  <si>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</si>
  <si>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</si>
  <si>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</si>
  <si>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</si>
  <si>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</si>
  <si>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</si>
  <si>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</si>
  <si>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</si>
  <si>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</si>
  <si>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</si>
  <si>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</si>
  <si>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</si>
  <si>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</si>
  <si>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</si>
  <si>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</si>
  <si>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</si>
  <si>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</si>
  <si>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</si>
  <si>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</si>
  <si>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</si>
  <si>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</si>
  <si>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</si>
  <si>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</si>
  <si>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</si>
  <si>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</si>
  <si>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</si>
  <si>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</si>
  <si>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</si>
  <si>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</si>
  <si>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</si>
  <si>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</si>
  <si>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</si>
  <si>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</si>
  <si>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</si>
  <si>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</si>
  <si>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</si>
  <si>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</si>
  <si>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</si>
  <si>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</si>
  <si>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</si>
  <si>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</si>
  <si>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</si>
  <si>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</si>
  <si>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</si>
  <si>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</si>
  <si>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</si>
  <si>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</si>
  <si>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</si>
  <si>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</si>
  <si>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</si>
  <si>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</si>
  <si>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</si>
  <si>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</si>
  <si>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</si>
  <si>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</si>
  <si>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</si>
  <si>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</si>
  <si>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</si>
  <si>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</si>
  <si>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</si>
  <si>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</si>
  <si>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</si>
  <si>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</si>
  <si>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</si>
  <si>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</si>
  <si>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</si>
  <si>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</si>
  <si>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</si>
  <si>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</si>
  <si>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</si>
  <si>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</si>
  <si>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</si>
  <si>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</si>
  <si>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</si>
  <si>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</si>
  <si>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</si>
  <si>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</si>
  <si>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</si>
  <si>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</si>
  <si>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</si>
  <si>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</si>
  <si>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</si>
  <si>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</si>
  <si>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</si>
  <si>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</si>
  <si>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</si>
  <si>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</si>
  <si>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</si>
  <si>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</si>
  <si>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</si>
  <si>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</si>
  <si>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</si>
  <si>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</si>
  <si>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</si>
  <si>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</si>
  <si>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</si>
  <si>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</si>
  <si>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</si>
  <si>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</si>
  <si>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</si>
  <si>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</si>
  <si>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</si>
  <si>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</si>
  <si>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</si>
  <si>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</si>
  <si>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</si>
  <si>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</si>
  <si>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</si>
  <si>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</si>
  <si>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</si>
  <si>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</si>
  <si>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</si>
  <si>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</si>
  <si>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</si>
  <si>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</si>
  <si>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</si>
  <si>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</si>
  <si>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</si>
  <si>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</si>
  <si>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</si>
  <si>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</si>
  <si>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</si>
  <si>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</si>
  <si>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</si>
  <si>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</si>
  <si>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</si>
  <si>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</si>
  <si>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</si>
  <si>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</si>
  <si>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</si>
  <si>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</si>
  <si>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</si>
  <si>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</si>
  <si>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</si>
  <si>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</si>
  <si>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</si>
  <si>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</si>
  <si>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</si>
  <si>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</si>
  <si>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</si>
  <si>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</si>
  <si>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</si>
  <si>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</si>
  <si>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</si>
  <si>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</si>
  <si>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</si>
  <si>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</si>
  <si>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</si>
  <si>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</si>
  <si>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</si>
  <si>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</si>
  <si>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</si>
  <si>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</si>
  <si>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</si>
  <si>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</si>
  <si>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</si>
  <si>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</si>
  <si>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</si>
  <si>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</si>
  <si>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</si>
  <si>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</si>
  <si>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</si>
  <si>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</si>
  <si>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</si>
  <si>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</si>
  <si>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</si>
  <si>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</si>
  <si>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</si>
  <si>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</si>
  <si>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</si>
  <si>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</si>
  <si>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</si>
  <si>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</si>
  <si>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</si>
  <si>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</si>
  <si>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</si>
  <si>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</si>
  <si>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</si>
  <si>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</si>
  <si>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</si>
  <si>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</si>
  <si>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</si>
  <si>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</si>
  <si>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</si>
  <si>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</si>
  <si>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</si>
  <si>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</si>
  <si>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</si>
  <si>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</si>
  <si>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</si>
  <si>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</si>
  <si>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</si>
  <si>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</si>
  <si>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</si>
  <si>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</si>
  <si>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</si>
  <si>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</si>
  <si>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</si>
  <si>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</si>
  <si>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</si>
  <si>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</si>
  <si>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</si>
  <si>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</si>
  <si>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</si>
  <si>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</si>
  <si>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</si>
  <si>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</si>
  <si>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</si>
  <si>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</si>
  <si>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</si>
  <si>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</si>
  <si>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</si>
  <si>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</si>
  <si>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</si>
  <si>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</si>
  <si>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</si>
  <si>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</si>
  <si>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</si>
  <si>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</si>
  <si>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</si>
  <si>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</si>
  <si>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</si>
  <si>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</si>
  <si>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</si>
  <si>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</si>
  <si>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</si>
  <si>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</si>
  <si>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</si>
  <si>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</si>
  <si>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</si>
  <si>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</si>
  <si>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</si>
  <si>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</si>
  <si>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</si>
  <si>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</si>
  <si>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</si>
  <si>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</si>
  <si>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</si>
  <si>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</si>
  <si>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</si>
  <si>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</si>
  <si>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</si>
  <si>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</si>
  <si>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</si>
  <si>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</si>
  <si>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</si>
  <si>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</si>
  <si>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</si>
  <si>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</si>
  <si>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</si>
  <si>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</si>
  <si>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</si>
  <si>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</si>
  <si>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</si>
  <si>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</si>
  <si>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</si>
  <si>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</si>
  <si>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</si>
  <si>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</si>
  <si>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</si>
  <si>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</si>
  <si>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</si>
  <si>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</si>
  <si>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</si>
  <si>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</si>
  <si>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</si>
  <si>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</si>
  <si>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</si>
  <si>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</si>
  <si>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</si>
  <si>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</si>
  <si>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</si>
  <si>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</si>
  <si>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Valid upto Dated </t>
  </si>
  <si>
    <t>PNB Panvel</t>
  </si>
  <si>
    <t>A P Imperial</t>
  </si>
  <si>
    <t>Mr. Mahendra Rajput 8080844149</t>
  </si>
  <si>
    <t>Plot No</t>
  </si>
  <si>
    <t>A120, Sector 6</t>
  </si>
  <si>
    <t>Karanjade</t>
  </si>
  <si>
    <t>CIDCO/BP-19074/TPO(NM &amp; K)/2024/12508</t>
  </si>
  <si>
    <t>Gr + 1st to 7th Floor</t>
  </si>
  <si>
    <t>As per RERA - NA</t>
  </si>
  <si>
    <r>
      <t xml:space="preserve">Proposed Amenities :                                                                                                                                                                                                                         </t>
    </r>
    <r>
      <rPr>
        <b/>
        <sz val="12"/>
        <rFont val="Times New Roman"/>
        <family val="1"/>
      </rPr>
      <t xml:space="preserve">                                               </t>
    </r>
  </si>
  <si>
    <t>M/s. A P Realty</t>
  </si>
  <si>
    <t>CCTV Camera, Lift, Parking, Entrance Gate, etc.</t>
  </si>
  <si>
    <t>Ground Floor For Meter Panel &amp; Parking</t>
  </si>
  <si>
    <t>Ravindra vishwakarma</t>
  </si>
  <si>
    <t>1st to 5th Floor For Residential</t>
  </si>
  <si>
    <t>1BHK</t>
  </si>
  <si>
    <t>C.B + Encl Balcony &amp; Balcony Area</t>
  </si>
  <si>
    <t>1RK</t>
  </si>
  <si>
    <t>6th Floor</t>
  </si>
  <si>
    <t>7th Floor</t>
  </si>
  <si>
    <t xml:space="preserve">Details of Residential in Building   </t>
  </si>
  <si>
    <t>https://maps.app.goo.gl/zTtpPkfEXHbTUdQe6</t>
  </si>
  <si>
    <t>3.9 KM from Panvel Railway Station</t>
  </si>
  <si>
    <t>Panvel West</t>
  </si>
  <si>
    <t>18.973584,73.111739</t>
  </si>
  <si>
    <t>Internal Road</t>
  </si>
  <si>
    <t>Open Plot</t>
  </si>
  <si>
    <t>15.00 M Wide Road</t>
  </si>
  <si>
    <t>11.00 M Wide Road</t>
  </si>
  <si>
    <t>Plot No. A120/A</t>
  </si>
  <si>
    <t>K. Well</t>
  </si>
  <si>
    <t>Flats - 21</t>
  </si>
  <si>
    <t>Apex Villa</t>
  </si>
  <si>
    <t xml:space="preserve"> Railway Noc, OC</t>
  </si>
  <si>
    <t>Mr. Dhanaji 9819573527</t>
  </si>
  <si>
    <t>Internal Road/Apex Villa</t>
  </si>
  <si>
    <t>Mother Mary International School</t>
  </si>
  <si>
    <t>Internal Road/Pratik Garden</t>
  </si>
  <si>
    <t>Gr + 1st to 7th Floor (Builtup Area = 785.91 Sq.m)
Residential Unit = 21</t>
  </si>
  <si>
    <t>Construction work is in process at the time of Visit.</t>
  </si>
  <si>
    <t>We considered Gross carpet area = Net carpet + C.B + Balcony Area.</t>
  </si>
  <si>
    <t>Approved Plans, CC, Sale Plans,Cost Sheet, Airport Noc</t>
  </si>
  <si>
    <t>Airport Noc No
Site Elevation Height:
Permissible Top Elevation</t>
  </si>
  <si>
    <t>NAVI/WEST/B/030124/931099</t>
  </si>
  <si>
    <t>9.67M (AMSL)
55.1M (Restricted)(AMSL)</t>
  </si>
  <si>
    <t xml:space="preserve">We have updated Airport Noc on 05/12/2024. </t>
  </si>
  <si>
    <t>In this project rera is not applicable as total land area does not exceed 500 SqMt.</t>
  </si>
  <si>
    <t xml:space="preserve">Not Applicable </t>
  </si>
  <si>
    <t>Kunal Kadam</t>
  </si>
  <si>
    <t>6500 to 7500</t>
  </si>
  <si>
    <t xml:space="preserve">Smith </t>
  </si>
  <si>
    <t xml:space="preserve">Verbal </t>
  </si>
  <si>
    <t>1RK case</t>
  </si>
  <si>
    <t>Recommended Rates / Other charges of the Property have been revised on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</si>
</sst>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164" fontId="7" fillId="0" borderId="0" xfId="1" applyNumberFormat="1" applyFont="1" applyAlignment="1">
      <alignment horizontal="center" vertical="center"/>
    </xf>
    <xf numFmtId="2" fontId="7" fillId="0" borderId="0" xfId="1" applyNumberFormat="1" applyFont="1" applyAlignment="1">
      <alignment horizontal="center" vertical="center"/>
    </xf>
    <xf numFmtId="1" fontId="10" fillId="0" borderId="3" xfId="1" applyNumberFormat="1" applyFont="1" applyBorder="1" applyAlignment="1" applyProtection="1">
      <alignment horizontal="center" vertical="top" wrapText="1"/>
      <protection locked="0"/>
    </xf>
    <xf numFmtId="164" fontId="10" fillId="0" borderId="0" xfId="1" applyNumberFormat="1" applyFont="1" applyAlignment="1">
      <alignment horizontal="center" vertical="center"/>
    </xf>
    <xf numFmtId="1" fontId="7" fillId="0" borderId="1" xfId="1" applyNumberFormat="1" applyFont="1" applyBorder="1" applyAlignment="1">
      <alignment horizontal="center" vertical="center"/>
    </xf>
    <xf numFmtId="9" fontId="10" fillId="0" borderId="16"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7" fillId="0" borderId="5"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7"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12"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0" fillId="0" borderId="4"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0" fillId="0" borderId="22"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0" fillId="0" borderId="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0" fillId="0" borderId="16"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6" xfId="1" applyFont="1" applyBorder="1" applyAlignment="1" applyProtection="1">
      <alignment horizontal="center"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8</xdr:col>
      <xdr:colOff>229923</xdr:colOff>
      <xdr:row>17</xdr:row>
      <xdr:rowOff>125670</xdr:rowOff>
    </xdr:from>
    <xdr:to>
      <xdr:col>19</xdr:col>
      <xdr:colOff>449906</xdr:colOff>
      <xdr:row>23</xdr:row>
      <xdr:rowOff>219506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14543" y="4080450"/>
          <a:ext cx="9234443" cy="1480676"/>
        </a:xfrm>
        <a:prstGeom prst="rect">
          <a:avLst/>
        </a:prstGeom>
      </xdr:spPr>
    </xdr:pic>
    <xdr:clientData/>
  </xdr:twoCellAnchor>
  <xdr:twoCellAnchor editAs="oneCell">
    <xdr:from>
      <xdr:col>9</xdr:col>
      <xdr:colOff>199777</xdr:colOff>
      <xdr:row>51</xdr:row>
      <xdr:rowOff>334617</xdr:rowOff>
    </xdr:from>
    <xdr:to>
      <xdr:col>13</xdr:col>
      <xdr:colOff>434016</xdr:colOff>
      <xdr:row>72</xdr:row>
      <xdr:rowOff>191487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7678973" y="11921987"/>
          <a:ext cx="3464456" cy="4122413"/>
        </a:xfrm>
        <a:prstGeom prst="rect">
          <a:avLst/>
        </a:prstGeom>
      </xdr:spPr>
    </xdr:pic>
    <xdr:clientData/>
  </xdr:twoCellAnchor>
  <xdr:twoCellAnchor>
    <xdr:from>
      <xdr:col>1</xdr:col>
      <xdr:colOff>788876</xdr:colOff>
      <xdr:row>206</xdr:row>
      <xdr:rowOff>139947</xdr:rowOff>
    </xdr:from>
    <xdr:to>
      <xdr:col>5</xdr:col>
      <xdr:colOff>704685</xdr:colOff>
      <xdr:row>223</xdr:row>
      <xdr:rowOff>156540</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rot="16200000">
          <a:off x="1553824" y="38267479"/>
          <a:ext cx="3384633" cy="3344809"/>
          <a:chOff x="1322573" y="39110980"/>
          <a:chExt cx="3395898" cy="3341496"/>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rot="5400000">
            <a:off x="1349774" y="39083779"/>
            <a:ext cx="3341496" cy="3395898"/>
          </a:xfrm>
          <a:prstGeom prst="rect">
            <a:avLst/>
          </a:prstGeom>
          <a:ln>
            <a:solidFill>
              <a:sysClr val="windowText" lastClr="000000"/>
            </a:solidFill>
          </a:ln>
        </xdr:spPr>
      </xdr:pic>
      <xdr:grpSp>
        <xdr:nvGrpSpPr>
          <xdr:cNvPr id="6" name="Group 5">
            <a:extLst>
              <a:ext uri="{FF2B5EF4-FFF2-40B4-BE49-F238E27FC236}">
                <a16:creationId xmlns:a16="http://schemas.microsoft.com/office/drawing/2014/main" id="{00000000-0008-0000-0000-000006000000}"/>
              </a:ext>
            </a:extLst>
          </xdr:cNvPr>
          <xdr:cNvGrpSpPr/>
        </xdr:nvGrpSpPr>
        <xdr:grpSpPr>
          <a:xfrm>
            <a:off x="1389530" y="41508927"/>
            <a:ext cx="320040" cy="662940"/>
            <a:chOff x="0" y="0"/>
            <a:chExt cx="320040" cy="662940"/>
          </a:xfrm>
        </xdr:grpSpPr>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V="1">
              <a:off x="160020" y="342900"/>
              <a:ext cx="0" cy="32004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xtBox 23">
              <a:extLst>
                <a:ext uri="{FF2B5EF4-FFF2-40B4-BE49-F238E27FC236}">
                  <a16:creationId xmlns:a16="http://schemas.microsoft.com/office/drawing/2014/main" id="{00000000-0008-0000-0000-000008000000}"/>
                </a:ext>
              </a:extLst>
            </xdr:cNvPr>
            <xdr:cNvSpPr txBox="1"/>
          </xdr:nvSpPr>
          <xdr:spPr>
            <a:xfrm>
              <a:off x="0" y="0"/>
              <a:ext cx="32004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en-IN" sz="2000" b="1" kern="1200">
                  <a:latin typeface="Times New Roman" panose="02020603050405020304" pitchFamily="18" charset="0"/>
                  <a:cs typeface="Times New Roman" panose="02020603050405020304" pitchFamily="18" charset="0"/>
                </a:rPr>
                <a:t>N</a:t>
              </a:r>
            </a:p>
          </xdr:txBody>
        </xdr:sp>
      </xdr:grpSp>
    </xdr:grpSp>
    <xdr:clientData/>
  </xdr:twoCellAnchor>
  <xdr:twoCellAnchor>
    <xdr:from>
      <xdr:col>0</xdr:col>
      <xdr:colOff>557312</xdr:colOff>
      <xdr:row>224</xdr:row>
      <xdr:rowOff>88783</xdr:rowOff>
    </xdr:from>
    <xdr:to>
      <xdr:col>7</xdr:col>
      <xdr:colOff>210709</xdr:colOff>
      <xdr:row>245</xdr:row>
      <xdr:rowOff>125443</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557312" y="41762563"/>
          <a:ext cx="5383637" cy="4197180"/>
          <a:chOff x="465872" y="42664042"/>
          <a:chExt cx="5378336" cy="4211095"/>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465872" y="42664042"/>
            <a:ext cx="5378336" cy="4211095"/>
          </a:xfrm>
          <a:prstGeom prst="rect">
            <a:avLst/>
          </a:prstGeom>
          <a:ln>
            <a:solidFill>
              <a:sysClr val="windowText" lastClr="000000"/>
            </a:solidFill>
          </a:ln>
        </xdr:spPr>
      </xdr:pic>
      <xdr:grpSp>
        <xdr:nvGrpSpPr>
          <xdr:cNvPr id="10" name="Group 9">
            <a:extLst>
              <a:ext uri="{FF2B5EF4-FFF2-40B4-BE49-F238E27FC236}">
                <a16:creationId xmlns:a16="http://schemas.microsoft.com/office/drawing/2014/main" id="{00000000-0008-0000-0000-00000A000000}"/>
              </a:ext>
            </a:extLst>
          </xdr:cNvPr>
          <xdr:cNvGrpSpPr/>
        </xdr:nvGrpSpPr>
        <xdr:grpSpPr>
          <a:xfrm>
            <a:off x="591768" y="46030095"/>
            <a:ext cx="320040" cy="662940"/>
            <a:chOff x="0" y="0"/>
            <a:chExt cx="320040" cy="662940"/>
          </a:xfrm>
        </xdr:grpSpPr>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flipV="1">
              <a:off x="160020" y="342900"/>
              <a:ext cx="0" cy="32004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TextBox 23">
              <a:extLst>
                <a:ext uri="{FF2B5EF4-FFF2-40B4-BE49-F238E27FC236}">
                  <a16:creationId xmlns:a16="http://schemas.microsoft.com/office/drawing/2014/main" id="{00000000-0008-0000-0000-00000C000000}"/>
                </a:ext>
              </a:extLst>
            </xdr:cNvPr>
            <xdr:cNvSpPr txBox="1"/>
          </xdr:nvSpPr>
          <xdr:spPr>
            <a:xfrm>
              <a:off x="0" y="0"/>
              <a:ext cx="32004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en-IN" sz="2000" b="1" kern="1200">
                  <a:latin typeface="Times New Roman" panose="02020603050405020304" pitchFamily="18" charset="0"/>
                  <a:cs typeface="Times New Roman" panose="02020603050405020304" pitchFamily="18" charset="0"/>
                </a:rPr>
                <a:t>N</a:t>
              </a:r>
            </a:p>
          </xdr:txBody>
        </xdr:sp>
      </xdr:grpSp>
    </xdr:grpSp>
    <xdr:clientData/>
  </xdr:twoCellAnchor>
  <xdr:twoCellAnchor editAs="oneCell">
    <xdr:from>
      <xdr:col>1</xdr:col>
      <xdr:colOff>261729</xdr:colOff>
      <xdr:row>248</xdr:row>
      <xdr:rowOff>94752</xdr:rowOff>
    </xdr:from>
    <xdr:to>
      <xdr:col>6</xdr:col>
      <xdr:colOff>274068</xdr:colOff>
      <xdr:row>264</xdr:row>
      <xdr:rowOff>28491</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1046589" y="46325292"/>
          <a:ext cx="4203339" cy="3103659"/>
        </a:xfrm>
        <a:prstGeom prst="rect">
          <a:avLst/>
        </a:prstGeom>
        <a:ln>
          <a:solidFill>
            <a:sysClr val="windowText" lastClr="000000"/>
          </a:solidFill>
        </a:ln>
      </xdr:spPr>
    </xdr:pic>
    <xdr:clientData/>
  </xdr:twoCellAnchor>
  <xdr:twoCellAnchor>
    <xdr:from>
      <xdr:col>0</xdr:col>
      <xdr:colOff>533400</xdr:colOff>
      <xdr:row>265</xdr:row>
      <xdr:rowOff>10561</xdr:rowOff>
    </xdr:from>
    <xdr:to>
      <xdr:col>7</xdr:col>
      <xdr:colOff>228601</xdr:colOff>
      <xdr:row>286</xdr:row>
      <xdr:rowOff>104683</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533400" y="49807261"/>
          <a:ext cx="5425441" cy="4254642"/>
          <a:chOff x="304800" y="50632918"/>
          <a:chExt cx="5420140" cy="4270734"/>
        </a:xfrm>
      </xdr:grpSpPr>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04800" y="50632918"/>
            <a:ext cx="5420140" cy="4270734"/>
          </a:xfrm>
          <a:prstGeom prst="rect">
            <a:avLst/>
          </a:prstGeom>
          <a:ln>
            <a:solidFill>
              <a:sysClr val="windowText" lastClr="000000"/>
            </a:solidFill>
          </a:ln>
        </xdr:spPr>
      </xdr:pic>
      <xdr:sp macro="" textlink="">
        <xdr:nvSpPr>
          <xdr:cNvPr id="18" name="Freeform: Shape 17">
            <a:extLst>
              <a:ext uri="{FF2B5EF4-FFF2-40B4-BE49-F238E27FC236}">
                <a16:creationId xmlns:a16="http://schemas.microsoft.com/office/drawing/2014/main" id="{00000000-0008-0000-0000-000012000000}"/>
              </a:ext>
            </a:extLst>
          </xdr:cNvPr>
          <xdr:cNvSpPr/>
        </xdr:nvSpPr>
        <xdr:spPr>
          <a:xfrm rot="17649568" flipV="1">
            <a:off x="2797204" y="52845213"/>
            <a:ext cx="552266" cy="466081"/>
          </a:xfrm>
          <a:custGeom>
            <a:avLst/>
            <a:gdLst>
              <a:gd name="connsiteX0" fmla="*/ 4737653 w 4790661"/>
              <a:gd name="connsiteY0" fmla="*/ 33131 h 3114261"/>
              <a:gd name="connsiteX1" fmla="*/ 0 w 4790661"/>
              <a:gd name="connsiteY1" fmla="*/ 0 h 3114261"/>
              <a:gd name="connsiteX2" fmla="*/ 6627 w 4790661"/>
              <a:gd name="connsiteY2" fmla="*/ 1431235 h 3114261"/>
              <a:gd name="connsiteX3" fmla="*/ 377687 w 4790661"/>
              <a:gd name="connsiteY3" fmla="*/ 2305879 h 3114261"/>
              <a:gd name="connsiteX4" fmla="*/ 1159566 w 4790661"/>
              <a:gd name="connsiteY4" fmla="*/ 2961861 h 3114261"/>
              <a:gd name="connsiteX5" fmla="*/ 2007705 w 4790661"/>
              <a:gd name="connsiteY5" fmla="*/ 3107635 h 3114261"/>
              <a:gd name="connsiteX6" fmla="*/ 4790661 w 4790661"/>
              <a:gd name="connsiteY6" fmla="*/ 3114261 h 3114261"/>
              <a:gd name="connsiteX7" fmla="*/ 4737653 w 4790661"/>
              <a:gd name="connsiteY7" fmla="*/ 33131 h 31142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790661" h="3114261">
                <a:moveTo>
                  <a:pt x="4737653" y="33131"/>
                </a:moveTo>
                <a:lnTo>
                  <a:pt x="0" y="0"/>
                </a:lnTo>
                <a:lnTo>
                  <a:pt x="6627" y="1431235"/>
                </a:lnTo>
                <a:lnTo>
                  <a:pt x="377687" y="2305879"/>
                </a:lnTo>
                <a:lnTo>
                  <a:pt x="1159566" y="2961861"/>
                </a:lnTo>
                <a:lnTo>
                  <a:pt x="2007705" y="3107635"/>
                </a:lnTo>
                <a:lnTo>
                  <a:pt x="4790661" y="3114261"/>
                </a:lnTo>
                <a:lnTo>
                  <a:pt x="4737653" y="33131"/>
                </a:lnTo>
                <a:close/>
              </a:path>
            </a:pathLst>
          </a:cu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kern="1200"/>
          </a:p>
        </xdr:txBody>
      </xdr:sp>
    </xdr:grpSp>
    <xdr:clientData/>
  </xdr:twoCellAnchor>
  <xdr:twoCellAnchor>
    <xdr:from>
      <xdr:col>8</xdr:col>
      <xdr:colOff>746760</xdr:colOff>
      <xdr:row>162</xdr:row>
      <xdr:rowOff>106680</xdr:rowOff>
    </xdr:from>
    <xdr:to>
      <xdr:col>15</xdr:col>
      <xdr:colOff>533400</xdr:colOff>
      <xdr:row>199</xdr:row>
      <xdr:rowOff>38100</xdr:rowOff>
    </xdr:to>
    <xdr:grpSp>
      <xdr:nvGrpSpPr>
        <xdr:cNvPr id="16" name="Group 15">
          <a:extLst>
            <a:ext uri="{FF2B5EF4-FFF2-40B4-BE49-F238E27FC236}">
              <a16:creationId xmlns:a16="http://schemas.microsoft.com/office/drawing/2014/main" id="{DECD4614-3414-15C1-AACE-514228E55798}"/>
            </a:ext>
          </a:extLst>
        </xdr:cNvPr>
        <xdr:cNvGrpSpPr/>
      </xdr:nvGrpSpPr>
      <xdr:grpSpPr>
        <a:xfrm>
          <a:off x="7231380" y="29504640"/>
          <a:ext cx="6004560" cy="7254240"/>
          <a:chOff x="0" y="1528354"/>
          <a:chExt cx="6568538" cy="7053670"/>
        </a:xfrm>
      </xdr:grpSpPr>
      <xdr:pic>
        <xdr:nvPicPr>
          <xdr:cNvPr id="17" name="Picture 16">
            <a:extLst>
              <a:ext uri="{FF2B5EF4-FFF2-40B4-BE49-F238E27FC236}">
                <a16:creationId xmlns:a16="http://schemas.microsoft.com/office/drawing/2014/main" id="{EDA038C3-B911-C534-D4C8-72CFA21E071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611311" y="6422024"/>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a:extLst>
              <a:ext uri="{FF2B5EF4-FFF2-40B4-BE49-F238E27FC236}">
                <a16:creationId xmlns:a16="http://schemas.microsoft.com/office/drawing/2014/main" id="{E72106A3-F57F-F503-FBC1-AFCB5B2E411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1528354"/>
            <a:ext cx="2105604" cy="28100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a:extLst>
              <a:ext uri="{FF2B5EF4-FFF2-40B4-BE49-F238E27FC236}">
                <a16:creationId xmlns:a16="http://schemas.microsoft.com/office/drawing/2014/main" id="{95682299-2A66-5A16-3F11-D1BD1093DEE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24609" y="4480226"/>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a:extLst>
              <a:ext uri="{FF2B5EF4-FFF2-40B4-BE49-F238E27FC236}">
                <a16:creationId xmlns:a16="http://schemas.microsoft.com/office/drawing/2014/main" id="{3EAA8AFB-624C-724B-FC61-8366F65968A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853934" y="4480226"/>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a:extLst>
              <a:ext uri="{FF2B5EF4-FFF2-40B4-BE49-F238E27FC236}">
                <a16:creationId xmlns:a16="http://schemas.microsoft.com/office/drawing/2014/main" id="{F4770A24-516D-68A1-3405-0DB20A49ECF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779483" y="4480226"/>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a:extLst>
              <a:ext uri="{FF2B5EF4-FFF2-40B4-BE49-F238E27FC236}">
                <a16:creationId xmlns:a16="http://schemas.microsoft.com/office/drawing/2014/main" id="{A7587CBC-26CD-1E34-6B56-5D3508A77A5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337459" y="4480226"/>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a:extLst>
              <a:ext uri="{FF2B5EF4-FFF2-40B4-BE49-F238E27FC236}">
                <a16:creationId xmlns:a16="http://schemas.microsoft.com/office/drawing/2014/main" id="{E86EEE42-1657-E70E-E6F4-25FC9AD81D9F}"/>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1036" y="6422024"/>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a:extLst>
              <a:ext uri="{FF2B5EF4-FFF2-40B4-BE49-F238E27FC236}">
                <a16:creationId xmlns:a16="http://schemas.microsoft.com/office/drawing/2014/main" id="{0DC40251-CCF8-0320-F0AA-185526D63C24}"/>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59927" y="6422024"/>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a:extLst>
              <a:ext uri="{FF2B5EF4-FFF2-40B4-BE49-F238E27FC236}">
                <a16:creationId xmlns:a16="http://schemas.microsoft.com/office/drawing/2014/main" id="{5B77ACA6-BFED-3001-AFF7-A5C1DE946098}"/>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37885" y="1528354"/>
            <a:ext cx="2105604" cy="28100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a:extLst>
              <a:ext uri="{FF2B5EF4-FFF2-40B4-BE49-F238E27FC236}">
                <a16:creationId xmlns:a16="http://schemas.microsoft.com/office/drawing/2014/main" id="{15F34FFE-2C01-A7AD-25C2-1B8763A25A0B}"/>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462934" y="1547354"/>
            <a:ext cx="2105604" cy="28100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236220</xdr:colOff>
      <xdr:row>165</xdr:row>
      <xdr:rowOff>38100</xdr:rowOff>
    </xdr:from>
    <xdr:to>
      <xdr:col>7</xdr:col>
      <xdr:colOff>480060</xdr:colOff>
      <xdr:row>201</xdr:row>
      <xdr:rowOff>160020</xdr:rowOff>
    </xdr:to>
    <xdr:grpSp>
      <xdr:nvGrpSpPr>
        <xdr:cNvPr id="26" name="Group 25">
          <a:extLst>
            <a:ext uri="{FF2B5EF4-FFF2-40B4-BE49-F238E27FC236}">
              <a16:creationId xmlns:a16="http://schemas.microsoft.com/office/drawing/2014/main" id="{03BAFD52-BFF5-C37B-0737-9F7718AEE570}"/>
            </a:ext>
          </a:extLst>
        </xdr:cNvPr>
        <xdr:cNvGrpSpPr/>
      </xdr:nvGrpSpPr>
      <xdr:grpSpPr>
        <a:xfrm>
          <a:off x="236220" y="30030420"/>
          <a:ext cx="5974080" cy="7246620"/>
          <a:chOff x="378842" y="132384"/>
          <a:chExt cx="6449468" cy="8044210"/>
        </a:xfrm>
      </xdr:grpSpPr>
      <xdr:grpSp>
        <xdr:nvGrpSpPr>
          <xdr:cNvPr id="30" name="Group 29">
            <a:extLst>
              <a:ext uri="{FF2B5EF4-FFF2-40B4-BE49-F238E27FC236}">
                <a16:creationId xmlns:a16="http://schemas.microsoft.com/office/drawing/2014/main" id="{5913E6B1-4B3C-6CFB-F626-7888D6278D3E}"/>
              </a:ext>
            </a:extLst>
          </xdr:cNvPr>
          <xdr:cNvGrpSpPr/>
        </xdr:nvGrpSpPr>
        <xdr:grpSpPr>
          <a:xfrm>
            <a:off x="1023450" y="4087611"/>
            <a:ext cx="5160253" cy="2160000"/>
            <a:chOff x="888591" y="4087611"/>
            <a:chExt cx="5160253" cy="2160000"/>
          </a:xfrm>
        </xdr:grpSpPr>
        <xdr:pic>
          <xdr:nvPicPr>
            <xdr:cNvPr id="38" name="Picture 37">
              <a:extLst>
                <a:ext uri="{FF2B5EF4-FFF2-40B4-BE49-F238E27FC236}">
                  <a16:creationId xmlns:a16="http://schemas.microsoft.com/office/drawing/2014/main" id="{44CD27CF-CA22-4223-051E-BBF570E9AE2A}"/>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430532" y="4087611"/>
              <a:ext cx="1618312" cy="2160000"/>
            </a:xfrm>
            <a:prstGeom prst="rect">
              <a:avLst/>
            </a:prstGeom>
            <a:ln>
              <a:solidFill>
                <a:schemeClr val="tx1"/>
              </a:solidFill>
            </a:ln>
          </xdr:spPr>
        </xdr:pic>
        <xdr:pic>
          <xdr:nvPicPr>
            <xdr:cNvPr id="39" name="Picture 38">
              <a:extLst>
                <a:ext uri="{FF2B5EF4-FFF2-40B4-BE49-F238E27FC236}">
                  <a16:creationId xmlns:a16="http://schemas.microsoft.com/office/drawing/2014/main" id="{AD8778BB-7FA3-1077-31BD-36D24807B0C7}"/>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888591" y="4087611"/>
              <a:ext cx="1618312" cy="2160000"/>
            </a:xfrm>
            <a:prstGeom prst="rect">
              <a:avLst/>
            </a:prstGeom>
            <a:ln>
              <a:solidFill>
                <a:schemeClr val="tx1"/>
              </a:solidFill>
            </a:ln>
          </xdr:spPr>
        </xdr:pic>
        <xdr:pic>
          <xdr:nvPicPr>
            <xdr:cNvPr id="40" name="Picture 39">
              <a:extLst>
                <a:ext uri="{FF2B5EF4-FFF2-40B4-BE49-F238E27FC236}">
                  <a16:creationId xmlns:a16="http://schemas.microsoft.com/office/drawing/2014/main" id="{27CDC864-F0AA-8525-B46F-0E698A6F6623}"/>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659561" y="4087611"/>
              <a:ext cx="1618312" cy="2160000"/>
            </a:xfrm>
            <a:prstGeom prst="rect">
              <a:avLst/>
            </a:prstGeom>
            <a:ln>
              <a:solidFill>
                <a:schemeClr val="tx1"/>
              </a:solidFill>
            </a:ln>
          </xdr:spPr>
        </xdr:pic>
      </xdr:grpSp>
      <xdr:grpSp>
        <xdr:nvGrpSpPr>
          <xdr:cNvPr id="31" name="Group 30">
            <a:extLst>
              <a:ext uri="{FF2B5EF4-FFF2-40B4-BE49-F238E27FC236}">
                <a16:creationId xmlns:a16="http://schemas.microsoft.com/office/drawing/2014/main" id="{F0AF5F9F-F24E-49DC-42B1-37FACCE1EBEF}"/>
              </a:ext>
            </a:extLst>
          </xdr:cNvPr>
          <xdr:cNvGrpSpPr/>
        </xdr:nvGrpSpPr>
        <xdr:grpSpPr>
          <a:xfrm>
            <a:off x="378842" y="6376594"/>
            <a:ext cx="6449468" cy="1800000"/>
            <a:chOff x="378842" y="6376594"/>
            <a:chExt cx="6449468" cy="1800000"/>
          </a:xfrm>
        </xdr:grpSpPr>
        <xdr:pic>
          <xdr:nvPicPr>
            <xdr:cNvPr id="35" name="Picture 34">
              <a:extLst>
                <a:ext uri="{FF2B5EF4-FFF2-40B4-BE49-F238E27FC236}">
                  <a16:creationId xmlns:a16="http://schemas.microsoft.com/office/drawing/2014/main" id="{0BA1E86C-E94B-F069-3407-615016B46BE3}"/>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tretch>
              <a:fillRect/>
            </a:stretch>
          </xdr:blipFill>
          <xdr:spPr>
            <a:xfrm>
              <a:off x="4430532" y="6376594"/>
              <a:ext cx="2397778" cy="1800000"/>
            </a:xfrm>
            <a:prstGeom prst="rect">
              <a:avLst/>
            </a:prstGeom>
            <a:ln>
              <a:solidFill>
                <a:schemeClr val="tx1"/>
              </a:solidFill>
            </a:ln>
          </xdr:spPr>
        </xdr:pic>
        <xdr:pic>
          <xdr:nvPicPr>
            <xdr:cNvPr id="36" name="Picture 35">
              <a:extLst>
                <a:ext uri="{FF2B5EF4-FFF2-40B4-BE49-F238E27FC236}">
                  <a16:creationId xmlns:a16="http://schemas.microsoft.com/office/drawing/2014/main" id="{1BFE4EA4-12CC-1B11-3830-B4F935A9646F}"/>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tretch>
              <a:fillRect/>
            </a:stretch>
          </xdr:blipFill>
          <xdr:spPr>
            <a:xfrm>
              <a:off x="378842" y="6376594"/>
              <a:ext cx="2397778" cy="1800000"/>
            </a:xfrm>
            <a:prstGeom prst="rect">
              <a:avLst/>
            </a:prstGeom>
            <a:ln>
              <a:solidFill>
                <a:schemeClr val="tx1"/>
              </a:solidFill>
            </a:ln>
          </xdr:spPr>
        </xdr:pic>
        <xdr:pic>
          <xdr:nvPicPr>
            <xdr:cNvPr id="37" name="Picture 36">
              <a:extLst>
                <a:ext uri="{FF2B5EF4-FFF2-40B4-BE49-F238E27FC236}">
                  <a16:creationId xmlns:a16="http://schemas.microsoft.com/office/drawing/2014/main" id="{C5D10C44-BD22-4232-8349-BBEA9A1F0901}"/>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2929279" y="6376594"/>
              <a:ext cx="1348594" cy="1800000"/>
            </a:xfrm>
            <a:prstGeom prst="rect">
              <a:avLst/>
            </a:prstGeom>
            <a:ln>
              <a:solidFill>
                <a:schemeClr val="tx1"/>
              </a:solidFill>
            </a:ln>
          </xdr:spPr>
        </xdr:pic>
      </xdr:grpSp>
      <xdr:grpSp>
        <xdr:nvGrpSpPr>
          <xdr:cNvPr id="32" name="Group 31">
            <a:extLst>
              <a:ext uri="{FF2B5EF4-FFF2-40B4-BE49-F238E27FC236}">
                <a16:creationId xmlns:a16="http://schemas.microsoft.com/office/drawing/2014/main" id="{99F6F32F-8159-F7F2-BFF2-EBF6B0FED6E1}"/>
              </a:ext>
            </a:extLst>
          </xdr:cNvPr>
          <xdr:cNvGrpSpPr/>
        </xdr:nvGrpSpPr>
        <xdr:grpSpPr>
          <a:xfrm>
            <a:off x="641528" y="132384"/>
            <a:ext cx="5924097" cy="3844006"/>
            <a:chOff x="436059" y="132384"/>
            <a:chExt cx="5924097" cy="3844006"/>
          </a:xfrm>
        </xdr:grpSpPr>
        <xdr:pic>
          <xdr:nvPicPr>
            <xdr:cNvPr id="33" name="Picture 32">
              <a:extLst>
                <a:ext uri="{FF2B5EF4-FFF2-40B4-BE49-F238E27FC236}">
                  <a16:creationId xmlns:a16="http://schemas.microsoft.com/office/drawing/2014/main" id="{654F6C5C-0F46-DE2A-28BB-C09FA6888923}"/>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436059" y="132385"/>
              <a:ext cx="2880000" cy="3844005"/>
            </a:xfrm>
            <a:prstGeom prst="rect">
              <a:avLst/>
            </a:prstGeom>
            <a:ln>
              <a:solidFill>
                <a:schemeClr val="tx1"/>
              </a:solidFill>
            </a:ln>
          </xdr:spPr>
        </xdr:pic>
        <xdr:pic>
          <xdr:nvPicPr>
            <xdr:cNvPr id="34" name="Picture 33">
              <a:extLst>
                <a:ext uri="{FF2B5EF4-FFF2-40B4-BE49-F238E27FC236}">
                  <a16:creationId xmlns:a16="http://schemas.microsoft.com/office/drawing/2014/main" id="{002ECC08-465A-FBC8-A9BE-58C86E001739}"/>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3480156" y="132384"/>
              <a:ext cx="2880000" cy="3844005"/>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zTtpPkfEXHbTUdQe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48"/>
  <sheetViews>
    <sheetView tabSelected="1" view="pageBreakPreview" zoomScaleNormal="100" zoomScaleSheetLayoutView="100" zoomScalePageLayoutView="85" workbookViewId="0">
      <selection activeCell="J6" sqref="J6"/>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1.3320312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88" t="s">
        <v>164</v>
      </c>
      <c r="B1" s="188"/>
      <c r="C1" s="188"/>
      <c r="D1" s="188"/>
      <c r="E1" s="188"/>
      <c r="F1" s="188"/>
      <c r="G1" s="188"/>
      <c r="H1" s="188"/>
    </row>
    <row r="2" spans="1:26" ht="16.5" customHeight="1" x14ac:dyDescent="0.3">
      <c r="A2" s="189" t="s">
        <v>0</v>
      </c>
      <c r="B2" s="189"/>
      <c r="C2" s="189"/>
      <c r="D2" s="189"/>
      <c r="E2" s="189"/>
      <c r="F2" s="189"/>
      <c r="G2" s="189"/>
      <c r="H2" s="189"/>
    </row>
    <row r="3" spans="1:26" x14ac:dyDescent="0.3">
      <c r="A3" s="83" t="s">
        <v>1</v>
      </c>
      <c r="B3" s="83"/>
      <c r="C3" s="83"/>
      <c r="D3" s="83"/>
      <c r="E3" s="83" t="str">
        <f ca="1">TEXT(TODAY(),"DD/MM/YYYY")</f>
        <v>30/09/2025</v>
      </c>
      <c r="F3" s="83"/>
      <c r="G3" s="83"/>
      <c r="H3" s="83"/>
      <c r="K3" s="49" t="s">
        <v>235</v>
      </c>
      <c r="L3" s="47" t="s">
        <v>233</v>
      </c>
      <c r="M3" s="47" t="s">
        <v>238</v>
      </c>
      <c r="N3" s="47" t="s">
        <v>236</v>
      </c>
      <c r="O3" s="47" t="s">
        <v>340</v>
      </c>
      <c r="P3" s="47" t="s">
        <v>239</v>
      </c>
    </row>
    <row r="4" spans="1:26" ht="15" customHeight="1" x14ac:dyDescent="0.3">
      <c r="A4" s="83" t="s">
        <v>232</v>
      </c>
      <c r="B4" s="83"/>
      <c r="C4" s="83"/>
      <c r="D4" s="83"/>
      <c r="E4" s="83" t="s">
        <v>233</v>
      </c>
      <c r="F4" s="83"/>
      <c r="G4" s="83"/>
      <c r="H4" s="83"/>
      <c r="K4" s="46" t="s">
        <v>234</v>
      </c>
      <c r="L4" s="47" t="s">
        <v>170</v>
      </c>
      <c r="M4" s="47" t="s">
        <v>243</v>
      </c>
      <c r="N4" s="47" t="s">
        <v>245</v>
      </c>
      <c r="O4" s="47" t="s">
        <v>341</v>
      </c>
      <c r="P4" s="47"/>
    </row>
    <row r="5" spans="1:26" ht="15" customHeight="1" x14ac:dyDescent="0.3">
      <c r="A5" s="83" t="s">
        <v>2</v>
      </c>
      <c r="B5" s="83"/>
      <c r="C5" s="83"/>
      <c r="D5" s="83"/>
      <c r="E5" s="83" t="s">
        <v>241</v>
      </c>
      <c r="F5" s="83"/>
      <c r="G5" s="83"/>
      <c r="H5" s="83"/>
      <c r="K5" s="46"/>
      <c r="L5" s="47" t="s">
        <v>240</v>
      </c>
      <c r="M5" s="47" t="s">
        <v>244</v>
      </c>
      <c r="N5" s="47" t="s">
        <v>246</v>
      </c>
      <c r="O5" s="47" t="s">
        <v>342</v>
      </c>
      <c r="P5" s="47"/>
    </row>
    <row r="6" spans="1:26" x14ac:dyDescent="0.3">
      <c r="A6" s="83" t="s">
        <v>3</v>
      </c>
      <c r="B6" s="83"/>
      <c r="C6" s="83"/>
      <c r="D6" s="83"/>
      <c r="E6" s="191">
        <v>45908</v>
      </c>
      <c r="F6" s="83"/>
      <c r="G6" s="83"/>
      <c r="H6" s="83"/>
      <c r="K6" s="46"/>
      <c r="L6" s="47" t="s">
        <v>241</v>
      </c>
      <c r="M6" s="47" t="s">
        <v>353</v>
      </c>
      <c r="N6" s="47"/>
      <c r="O6" s="47" t="s">
        <v>343</v>
      </c>
      <c r="P6" s="47"/>
    </row>
    <row r="7" spans="1:26" ht="16.5" customHeight="1" x14ac:dyDescent="0.3">
      <c r="A7" s="83" t="s">
        <v>4</v>
      </c>
      <c r="B7" s="83"/>
      <c r="C7" s="83"/>
      <c r="D7" s="83"/>
      <c r="E7" s="83" t="s">
        <v>363</v>
      </c>
      <c r="F7" s="83"/>
      <c r="G7" s="83"/>
      <c r="H7" s="83"/>
      <c r="K7" s="46"/>
      <c r="L7" s="47" t="s">
        <v>242</v>
      </c>
      <c r="M7" s="47"/>
      <c r="N7" s="47"/>
      <c r="O7" s="47" t="s">
        <v>343</v>
      </c>
      <c r="P7" s="47"/>
    </row>
    <row r="8" spans="1:26" ht="15" customHeight="1" x14ac:dyDescent="0.3">
      <c r="A8" s="83" t="s">
        <v>5</v>
      </c>
      <c r="B8" s="83"/>
      <c r="C8" s="83"/>
      <c r="D8" s="83"/>
      <c r="E8" s="83" t="str">
        <f>E7</f>
        <v>M/s. A P Realty</v>
      </c>
      <c r="F8" s="83"/>
      <c r="G8" s="83"/>
      <c r="H8" s="83"/>
      <c r="K8" s="46"/>
      <c r="L8" s="47"/>
      <c r="M8" s="47"/>
      <c r="N8" s="47"/>
      <c r="O8" s="47" t="s">
        <v>344</v>
      </c>
      <c r="P8" s="47"/>
    </row>
    <row r="9" spans="1:26" x14ac:dyDescent="0.3">
      <c r="A9" s="83" t="s">
        <v>6</v>
      </c>
      <c r="B9" s="83"/>
      <c r="C9" s="83"/>
      <c r="D9" s="83"/>
      <c r="E9" s="190" t="s">
        <v>354</v>
      </c>
      <c r="F9" s="190"/>
      <c r="G9" s="190"/>
      <c r="H9" s="190"/>
      <c r="K9" s="46"/>
      <c r="L9" s="47"/>
      <c r="M9" s="47"/>
      <c r="N9" s="47"/>
      <c r="O9" s="47" t="s">
        <v>345</v>
      </c>
      <c r="P9" s="47"/>
    </row>
    <row r="10" spans="1:26" x14ac:dyDescent="0.3">
      <c r="A10" s="83" t="s">
        <v>167</v>
      </c>
      <c r="B10" s="83"/>
      <c r="C10" s="83"/>
      <c r="D10" s="83"/>
      <c r="E10" s="83" t="s">
        <v>355</v>
      </c>
      <c r="F10" s="83"/>
      <c r="G10" s="83"/>
      <c r="H10" s="83"/>
      <c r="K10" s="46"/>
      <c r="L10" s="47"/>
      <c r="M10" s="47"/>
      <c r="N10" s="47"/>
      <c r="O10" s="47" t="s">
        <v>346</v>
      </c>
      <c r="P10" s="47"/>
    </row>
    <row r="11" spans="1:26" x14ac:dyDescent="0.3">
      <c r="A11" s="83" t="s">
        <v>168</v>
      </c>
      <c r="B11" s="83"/>
      <c r="C11" s="83"/>
      <c r="D11" s="83"/>
      <c r="E11" s="83" t="s">
        <v>28</v>
      </c>
      <c r="F11" s="83"/>
      <c r="G11" s="83"/>
      <c r="H11" s="83"/>
      <c r="I11" s="83" t="s">
        <v>387</v>
      </c>
      <c r="J11" s="83"/>
      <c r="K11" s="83"/>
      <c r="L11" s="83"/>
      <c r="O11" s="47" t="s">
        <v>347</v>
      </c>
    </row>
    <row r="12" spans="1:26" x14ac:dyDescent="0.3">
      <c r="A12" s="83" t="s">
        <v>7</v>
      </c>
      <c r="B12" s="83"/>
      <c r="C12" s="83"/>
      <c r="D12" s="83"/>
      <c r="E12" s="83" t="s">
        <v>120</v>
      </c>
      <c r="F12" s="83"/>
      <c r="G12" s="83"/>
      <c r="H12" s="83"/>
    </row>
    <row r="13" spans="1:26" x14ac:dyDescent="0.3">
      <c r="A13" s="83" t="s">
        <v>171</v>
      </c>
      <c r="B13" s="83"/>
      <c r="C13" s="83"/>
      <c r="D13" s="83"/>
      <c r="E13" s="83" t="s">
        <v>28</v>
      </c>
      <c r="F13" s="83"/>
      <c r="G13" s="83"/>
      <c r="H13" s="83"/>
      <c r="S13" s="47" t="s">
        <v>179</v>
      </c>
      <c r="T13" s="47" t="s">
        <v>188</v>
      </c>
      <c r="U13" s="47" t="s">
        <v>172</v>
      </c>
      <c r="V13" s="47" t="s">
        <v>193</v>
      </c>
      <c r="W13" s="47" t="s">
        <v>211</v>
      </c>
      <c r="X13"/>
      <c r="Y13" t="s">
        <v>193</v>
      </c>
      <c r="Z13" t="e">
        <f ca="1">OFFSET($S$13,1,MATCH($G20,$S$13:$W$13,0)-1,15,1)</f>
        <v>#VALUE!</v>
      </c>
    </row>
    <row r="14" spans="1:26" x14ac:dyDescent="0.3">
      <c r="A14" s="116" t="s">
        <v>278</v>
      </c>
      <c r="B14" s="116"/>
      <c r="C14" s="116"/>
      <c r="D14" s="116"/>
      <c r="E14" s="151" t="s">
        <v>394</v>
      </c>
      <c r="F14" s="151"/>
      <c r="G14" s="151"/>
      <c r="H14" s="151"/>
      <c r="I14" s="18" t="s">
        <v>386</v>
      </c>
      <c r="S14" s="47" t="s">
        <v>179</v>
      </c>
      <c r="T14" s="47" t="s">
        <v>186</v>
      </c>
      <c r="U14" s="47" t="s">
        <v>208</v>
      </c>
      <c r="V14" s="47" t="s">
        <v>194</v>
      </c>
      <c r="W14" s="47" t="s">
        <v>212</v>
      </c>
      <c r="X14"/>
      <c r="Y14"/>
      <c r="Z14"/>
    </row>
    <row r="15" spans="1:26" x14ac:dyDescent="0.3">
      <c r="A15" s="98" t="s">
        <v>8</v>
      </c>
      <c r="B15" s="98"/>
      <c r="C15" s="98"/>
      <c r="D15" s="98"/>
      <c r="E15" s="151" t="s">
        <v>400</v>
      </c>
      <c r="F15" s="98"/>
      <c r="G15" s="98"/>
      <c r="H15" s="98"/>
      <c r="I15" s="214" t="e">
        <f ca="1">OFFSET($D$5,1,MATCH($J13,$D$5:$H$5,0)-1,15,1)</f>
        <v>#N/A</v>
      </c>
      <c r="J15" s="215"/>
      <c r="K15" s="215"/>
      <c r="L15" s="215"/>
      <c r="M15" s="215"/>
      <c r="N15" s="215"/>
      <c r="O15" s="215"/>
      <c r="P15" s="215"/>
      <c r="S15" s="47" t="s">
        <v>180</v>
      </c>
      <c r="T15" s="47" t="s">
        <v>187</v>
      </c>
      <c r="U15" s="47" t="s">
        <v>209</v>
      </c>
      <c r="V15" s="47" t="s">
        <v>195</v>
      </c>
      <c r="W15" s="47" t="s">
        <v>225</v>
      </c>
      <c r="X15"/>
      <c r="Y15"/>
      <c r="Z15"/>
    </row>
    <row r="16" spans="1:26" ht="31.95" customHeight="1" x14ac:dyDescent="0.3">
      <c r="A16" s="166" t="s">
        <v>9</v>
      </c>
      <c r="B16" s="166"/>
      <c r="C16" s="166" t="str">
        <f>CONCATENATE((IF(OR(E9="",E9="NA"),"",E9)),", ",(IF(OR(A17="",A17="NA"),"",A17)),".",(IF(OR(C17="",C17="NA"),"",C17)),", near ",(IF(OR(C22="",C22="NA"),"",C22)),", ",(IF(OR(C19="",C19="NA"),"",C19)),", ",(IF(OR(C18="",C18="NA"),"",C18)),", ",(IF(OR(G19="",G19="NA"),"",G19)),", ",(IF(OR(C20="",C20="NA"),"",C20)),", ",(IF(OR(C21="",C21="NA"),"",C21)),", ",(IF(OR(G20="",G20="NA"),"",G20))," - ",(IF(OR(G21="",G21="NA"),"",G21)),".")</f>
        <v>A P Imperial, Plot No.A120, Sector 6, near Apex Villa, Internal Road, Karanjade, Karanjade, Panvel West, Panvel, Raigad - 410206.</v>
      </c>
      <c r="D16" s="166"/>
      <c r="E16" s="166"/>
      <c r="F16" s="166"/>
      <c r="G16" s="166"/>
      <c r="H16" s="166"/>
      <c r="J16" s="18" t="s">
        <v>354</v>
      </c>
      <c r="S16" s="47" t="s">
        <v>181</v>
      </c>
      <c r="T16" s="47" t="s">
        <v>189</v>
      </c>
      <c r="U16" s="47" t="s">
        <v>210</v>
      </c>
      <c r="V16" s="47" t="s">
        <v>196</v>
      </c>
      <c r="W16" s="47" t="s">
        <v>213</v>
      </c>
      <c r="X16"/>
      <c r="Y16"/>
      <c r="Z16"/>
    </row>
    <row r="17" spans="1:26" x14ac:dyDescent="0.3">
      <c r="A17" s="118" t="s">
        <v>356</v>
      </c>
      <c r="B17" s="118"/>
      <c r="C17" s="118" t="s">
        <v>357</v>
      </c>
      <c r="D17" s="118"/>
      <c r="E17" s="118"/>
      <c r="F17" s="118"/>
      <c r="G17" s="118"/>
      <c r="H17" s="118"/>
      <c r="S17" s="47" t="s">
        <v>182</v>
      </c>
      <c r="T17" s="47" t="s">
        <v>190</v>
      </c>
      <c r="U17" s="47" t="s">
        <v>172</v>
      </c>
      <c r="V17" s="47" t="s">
        <v>197</v>
      </c>
      <c r="W17" s="47" t="s">
        <v>214</v>
      </c>
      <c r="X17"/>
      <c r="Y17"/>
      <c r="Z17"/>
    </row>
    <row r="18" spans="1:26" ht="15.75" customHeight="1" x14ac:dyDescent="0.3">
      <c r="A18" s="118" t="s">
        <v>162</v>
      </c>
      <c r="B18" s="118"/>
      <c r="C18" s="118" t="s">
        <v>358</v>
      </c>
      <c r="D18" s="118"/>
      <c r="E18" s="118"/>
      <c r="F18" s="118"/>
      <c r="G18" s="118"/>
      <c r="H18" s="118"/>
      <c r="S18" s="47" t="s">
        <v>183</v>
      </c>
      <c r="T18" s="47" t="s">
        <v>188</v>
      </c>
      <c r="U18" s="47"/>
      <c r="V18" s="47" t="s">
        <v>198</v>
      </c>
      <c r="W18" s="47" t="s">
        <v>215</v>
      </c>
      <c r="X18"/>
      <c r="Y18"/>
      <c r="Z18"/>
    </row>
    <row r="19" spans="1:26" ht="15.75" customHeight="1" x14ac:dyDescent="0.3">
      <c r="A19" s="166" t="s">
        <v>10</v>
      </c>
      <c r="B19" s="166"/>
      <c r="C19" s="83" t="s">
        <v>378</v>
      </c>
      <c r="D19" s="83"/>
      <c r="E19" s="118" t="s">
        <v>70</v>
      </c>
      <c r="F19" s="118"/>
      <c r="G19" s="118" t="s">
        <v>358</v>
      </c>
      <c r="H19" s="118"/>
      <c r="S19" s="47" t="s">
        <v>184</v>
      </c>
      <c r="T19" s="47" t="s">
        <v>191</v>
      </c>
      <c r="U19" s="47"/>
      <c r="V19" s="47" t="s">
        <v>199</v>
      </c>
      <c r="W19" s="47" t="s">
        <v>216</v>
      </c>
      <c r="X19"/>
      <c r="Y19"/>
      <c r="Z19"/>
    </row>
    <row r="20" spans="1:26" x14ac:dyDescent="0.3">
      <c r="A20" s="116" t="s">
        <v>12</v>
      </c>
      <c r="B20" s="116"/>
      <c r="C20" s="118" t="s">
        <v>376</v>
      </c>
      <c r="D20" s="118"/>
      <c r="E20" s="118" t="s">
        <v>11</v>
      </c>
      <c r="F20" s="118"/>
      <c r="G20" s="187" t="s">
        <v>193</v>
      </c>
      <c r="H20" s="187"/>
      <c r="S20" s="47" t="s">
        <v>185</v>
      </c>
      <c r="T20" s="47" t="s">
        <v>192</v>
      </c>
      <c r="U20" s="47"/>
      <c r="V20" s="47" t="s">
        <v>200</v>
      </c>
      <c r="W20" s="47" t="s">
        <v>217</v>
      </c>
      <c r="X20"/>
      <c r="Y20"/>
      <c r="Z20"/>
    </row>
    <row r="21" spans="1:26" x14ac:dyDescent="0.3">
      <c r="A21" s="116" t="s">
        <v>71</v>
      </c>
      <c r="B21" s="116"/>
      <c r="C21" s="118" t="s">
        <v>195</v>
      </c>
      <c r="D21" s="118"/>
      <c r="E21" s="118" t="s">
        <v>13</v>
      </c>
      <c r="F21" s="118"/>
      <c r="G21" s="118">
        <v>410206</v>
      </c>
      <c r="H21" s="118"/>
      <c r="S21" s="47"/>
      <c r="T21" s="47"/>
      <c r="U21" s="47"/>
      <c r="V21" s="47" t="s">
        <v>201</v>
      </c>
      <c r="W21" s="47" t="s">
        <v>218</v>
      </c>
      <c r="X21"/>
      <c r="Y21"/>
      <c r="Z21"/>
    </row>
    <row r="22" spans="1:26" ht="32.25" customHeight="1" x14ac:dyDescent="0.3">
      <c r="A22" s="116" t="s">
        <v>121</v>
      </c>
      <c r="B22" s="116"/>
      <c r="C22" s="118" t="s">
        <v>385</v>
      </c>
      <c r="D22" s="118"/>
      <c r="E22" s="166" t="s">
        <v>14</v>
      </c>
      <c r="F22" s="166"/>
      <c r="G22" s="151" t="s">
        <v>375</v>
      </c>
      <c r="H22" s="151"/>
      <c r="S22" s="47"/>
      <c r="T22" s="47"/>
      <c r="U22" s="47"/>
      <c r="V22" s="47" t="s">
        <v>202</v>
      </c>
      <c r="W22" s="47" t="s">
        <v>219</v>
      </c>
      <c r="X22"/>
      <c r="Y22"/>
      <c r="Z22"/>
    </row>
    <row r="23" spans="1:26" ht="15" customHeight="1" x14ac:dyDescent="0.3">
      <c r="A23" s="166" t="s">
        <v>73</v>
      </c>
      <c r="B23" s="166"/>
      <c r="C23" s="166"/>
      <c r="D23" s="166"/>
      <c r="E23" s="83" t="s">
        <v>15</v>
      </c>
      <c r="F23" s="83"/>
      <c r="G23" s="83"/>
      <c r="H23" s="83"/>
      <c r="S23" s="47"/>
      <c r="T23" s="47"/>
      <c r="U23" s="47"/>
      <c r="V23" s="47" t="s">
        <v>203</v>
      </c>
      <c r="W23" s="47" t="s">
        <v>220</v>
      </c>
      <c r="X23"/>
      <c r="Y23"/>
      <c r="Z23"/>
    </row>
    <row r="24" spans="1:26" ht="18.75" customHeight="1" x14ac:dyDescent="0.3">
      <c r="A24" s="166"/>
      <c r="B24" s="166"/>
      <c r="C24" s="166"/>
      <c r="D24" s="166"/>
      <c r="E24" s="83"/>
      <c r="F24" s="83"/>
      <c r="G24" s="83"/>
      <c r="H24" s="83"/>
      <c r="S24" s="47"/>
      <c r="T24" s="47"/>
      <c r="U24" s="47"/>
      <c r="V24" s="47" t="s">
        <v>204</v>
      </c>
      <c r="W24" s="47" t="s">
        <v>221</v>
      </c>
      <c r="X24"/>
      <c r="Y24"/>
      <c r="Z24"/>
    </row>
    <row r="25" spans="1:26" ht="15" customHeight="1" x14ac:dyDescent="0.3">
      <c r="A25" s="166" t="s">
        <v>16</v>
      </c>
      <c r="B25" s="166"/>
      <c r="C25" s="166"/>
      <c r="D25" s="166"/>
      <c r="E25" s="118" t="s">
        <v>17</v>
      </c>
      <c r="F25" s="118"/>
      <c r="G25" s="118"/>
      <c r="H25" s="118"/>
      <c r="S25" s="47"/>
      <c r="T25" s="47"/>
      <c r="U25" s="47"/>
      <c r="V25" s="47" t="s">
        <v>205</v>
      </c>
      <c r="W25" s="47" t="s">
        <v>222</v>
      </c>
      <c r="X25"/>
      <c r="Y25"/>
      <c r="Z25"/>
    </row>
    <row r="26" spans="1:26" ht="15" customHeight="1" x14ac:dyDescent="0.3">
      <c r="A26" s="116" t="s">
        <v>18</v>
      </c>
      <c r="B26" s="116"/>
      <c r="C26" s="116"/>
      <c r="D26" s="116"/>
      <c r="E26" s="118" t="str">
        <f>IF(AND(G20="Mumbai"),"Upper Class","Middle Class")</f>
        <v>Middle Class</v>
      </c>
      <c r="F26" s="118"/>
      <c r="G26" s="118"/>
      <c r="H26" s="118"/>
      <c r="S26" s="47"/>
      <c r="T26" s="47"/>
      <c r="U26" s="47"/>
      <c r="V26" s="47" t="s">
        <v>206</v>
      </c>
      <c r="W26" s="47" t="s">
        <v>223</v>
      </c>
      <c r="X26"/>
      <c r="Y26"/>
      <c r="Z26"/>
    </row>
    <row r="27" spans="1:26" x14ac:dyDescent="0.3">
      <c r="A27" s="116" t="s">
        <v>19</v>
      </c>
      <c r="B27" s="116"/>
      <c r="C27" s="116"/>
      <c r="D27" s="116"/>
      <c r="E27" s="118" t="s">
        <v>20</v>
      </c>
      <c r="F27" s="118"/>
      <c r="G27" s="118"/>
      <c r="H27" s="118"/>
      <c r="S27" s="47"/>
      <c r="T27" s="47"/>
      <c r="U27" s="47"/>
      <c r="V27" s="47" t="s">
        <v>207</v>
      </c>
      <c r="W27" s="47" t="s">
        <v>224</v>
      </c>
      <c r="X27"/>
      <c r="Y27"/>
      <c r="Z27"/>
    </row>
    <row r="28" spans="1:26" ht="15.75" customHeight="1" x14ac:dyDescent="0.3">
      <c r="A28" s="116" t="s">
        <v>21</v>
      </c>
      <c r="B28" s="116"/>
      <c r="C28" s="116"/>
      <c r="D28" s="116"/>
      <c r="E28" s="118" t="str">
        <f>IF(AND(G20="Mumbai"),"Developed","Developing")</f>
        <v>Developing</v>
      </c>
      <c r="F28" s="118"/>
      <c r="G28" s="118"/>
      <c r="H28" s="118"/>
    </row>
    <row r="29" spans="1:26" x14ac:dyDescent="0.3">
      <c r="A29" s="116" t="s">
        <v>22</v>
      </c>
      <c r="B29" s="116"/>
      <c r="C29" s="116"/>
      <c r="D29" s="116"/>
      <c r="E29" s="118" t="s">
        <v>23</v>
      </c>
      <c r="F29" s="118"/>
      <c r="G29" s="118"/>
      <c r="H29" s="118"/>
    </row>
    <row r="30" spans="1:26" ht="15.75" customHeight="1" x14ac:dyDescent="0.3">
      <c r="A30" s="116" t="s">
        <v>78</v>
      </c>
      <c r="B30" s="116"/>
      <c r="C30" s="116"/>
      <c r="D30" s="116"/>
      <c r="E30" s="118" t="s">
        <v>79</v>
      </c>
      <c r="F30" s="118"/>
      <c r="G30" s="118"/>
      <c r="H30" s="118"/>
    </row>
    <row r="31" spans="1:26" ht="15" customHeight="1" x14ac:dyDescent="0.3">
      <c r="A31" s="116" t="s">
        <v>30</v>
      </c>
      <c r="B31" s="116"/>
      <c r="C31" s="116"/>
      <c r="D31" s="116"/>
      <c r="E31" s="11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8"/>
      <c r="G31" s="118"/>
      <c r="H31" s="118"/>
    </row>
    <row r="32" spans="1:26" ht="15.75" customHeight="1" x14ac:dyDescent="0.3">
      <c r="A32" s="116" t="s">
        <v>90</v>
      </c>
      <c r="B32" s="116"/>
      <c r="C32" s="116"/>
      <c r="D32" s="116"/>
      <c r="E32" s="118" t="s">
        <v>31</v>
      </c>
      <c r="F32" s="118"/>
      <c r="G32" s="118"/>
      <c r="H32" s="118"/>
    </row>
    <row r="33" spans="1:19" s="19" customFormat="1" x14ac:dyDescent="0.3">
      <c r="A33" s="186" t="s">
        <v>91</v>
      </c>
      <c r="B33" s="186"/>
      <c r="C33" s="183" t="s">
        <v>173</v>
      </c>
      <c r="D33" s="184"/>
      <c r="E33" s="185"/>
      <c r="F33" s="183" t="s">
        <v>29</v>
      </c>
      <c r="G33" s="184"/>
      <c r="H33" s="185"/>
      <c r="S33" s="19" t="e">
        <f ca="1">OFFSET($S$13,1,MATCH($G20,$S$13:$W$13,0)-1,15,1)</f>
        <v>#VALUE!</v>
      </c>
    </row>
    <row r="34" spans="1:19" s="19" customFormat="1" x14ac:dyDescent="0.3">
      <c r="A34" s="146" t="s">
        <v>24</v>
      </c>
      <c r="B34" s="146" t="s">
        <v>28</v>
      </c>
      <c r="C34" s="147" t="s">
        <v>383</v>
      </c>
      <c r="D34" s="148"/>
      <c r="E34" s="149"/>
      <c r="F34" s="147" t="s">
        <v>379</v>
      </c>
      <c r="G34" s="148"/>
      <c r="H34" s="149"/>
    </row>
    <row r="35" spans="1:19" x14ac:dyDescent="0.3">
      <c r="A35" s="146" t="s">
        <v>25</v>
      </c>
      <c r="B35" s="146" t="s">
        <v>28</v>
      </c>
      <c r="C35" s="147" t="s">
        <v>381</v>
      </c>
      <c r="D35" s="148"/>
      <c r="E35" s="149"/>
      <c r="F35" s="147" t="s">
        <v>388</v>
      </c>
      <c r="G35" s="148"/>
      <c r="H35" s="149"/>
    </row>
    <row r="36" spans="1:19" s="19" customFormat="1" x14ac:dyDescent="0.3">
      <c r="A36" s="146" t="s">
        <v>27</v>
      </c>
      <c r="B36" s="146" t="s">
        <v>28</v>
      </c>
      <c r="C36" s="147" t="s">
        <v>382</v>
      </c>
      <c r="D36" s="148"/>
      <c r="E36" s="149"/>
      <c r="F36" s="147" t="s">
        <v>389</v>
      </c>
      <c r="G36" s="148"/>
      <c r="H36" s="149"/>
    </row>
    <row r="37" spans="1:19" x14ac:dyDescent="0.3">
      <c r="A37" s="146" t="s">
        <v>26</v>
      </c>
      <c r="B37" s="146" t="s">
        <v>28</v>
      </c>
      <c r="C37" s="147" t="s">
        <v>380</v>
      </c>
      <c r="D37" s="148"/>
      <c r="E37" s="149"/>
      <c r="F37" s="147" t="s">
        <v>390</v>
      </c>
      <c r="G37" s="148"/>
      <c r="H37" s="149"/>
    </row>
    <row r="38" spans="1:19" x14ac:dyDescent="0.3">
      <c r="A38" s="116" t="s">
        <v>279</v>
      </c>
      <c r="B38" s="116"/>
      <c r="C38" s="116"/>
      <c r="D38" s="116"/>
      <c r="E38" s="116"/>
      <c r="F38" s="116"/>
      <c r="G38" s="116"/>
      <c r="H38" s="116"/>
    </row>
    <row r="39" spans="1:19" ht="15.75" customHeight="1" x14ac:dyDescent="0.3">
      <c r="A39" s="116" t="s">
        <v>165</v>
      </c>
      <c r="B39" s="116"/>
      <c r="C39" s="110" t="s">
        <v>377</v>
      </c>
      <c r="D39" s="110"/>
      <c r="E39" s="110"/>
      <c r="F39" s="110"/>
      <c r="G39" s="110"/>
      <c r="H39" s="110"/>
    </row>
    <row r="40" spans="1:19" x14ac:dyDescent="0.3">
      <c r="A40" s="116" t="s">
        <v>161</v>
      </c>
      <c r="B40" s="116"/>
      <c r="C40" s="117" t="s">
        <v>374</v>
      </c>
      <c r="D40" s="118"/>
      <c r="E40" s="118"/>
      <c r="F40" s="118"/>
      <c r="G40" s="118"/>
      <c r="H40" s="118"/>
    </row>
    <row r="41" spans="1:19" x14ac:dyDescent="0.3">
      <c r="A41" s="110" t="s">
        <v>32</v>
      </c>
      <c r="B41" s="110"/>
      <c r="C41" s="110"/>
      <c r="D41" s="110"/>
      <c r="E41" s="110"/>
      <c r="F41" s="110"/>
      <c r="G41" s="110"/>
      <c r="H41" s="110"/>
    </row>
    <row r="42" spans="1:19" x14ac:dyDescent="0.3">
      <c r="A42" s="83" t="s">
        <v>33</v>
      </c>
      <c r="B42" s="83"/>
      <c r="C42" s="83"/>
      <c r="D42" s="83"/>
      <c r="E42" s="150">
        <v>249.87</v>
      </c>
      <c r="F42" s="150"/>
      <c r="G42" s="150"/>
      <c r="H42" s="150"/>
    </row>
    <row r="43" spans="1:19" x14ac:dyDescent="0.3">
      <c r="A43" s="83" t="s">
        <v>34</v>
      </c>
      <c r="B43" s="83"/>
      <c r="C43" s="83"/>
      <c r="D43" s="83"/>
      <c r="E43" s="126">
        <f>374.805/E42</f>
        <v>1.5</v>
      </c>
      <c r="F43" s="126"/>
      <c r="G43" s="126"/>
      <c r="H43" s="126"/>
    </row>
    <row r="44" spans="1:19" x14ac:dyDescent="0.3">
      <c r="A44" s="83" t="s">
        <v>35</v>
      </c>
      <c r="B44" s="83"/>
      <c r="C44" s="83"/>
      <c r="D44" s="83"/>
      <c r="E44" s="126">
        <f>E46/E42-E43</f>
        <v>1.6452755432825068</v>
      </c>
      <c r="F44" s="126"/>
      <c r="G44" s="126"/>
      <c r="H44" s="126"/>
    </row>
    <row r="45" spans="1:19" x14ac:dyDescent="0.3">
      <c r="A45" s="83" t="s">
        <v>36</v>
      </c>
      <c r="B45" s="83"/>
      <c r="C45" s="83"/>
      <c r="D45" s="83"/>
      <c r="E45" s="126">
        <f>E43+E44</f>
        <v>3.1452755432825068</v>
      </c>
      <c r="F45" s="126"/>
      <c r="G45" s="126"/>
      <c r="H45" s="126"/>
    </row>
    <row r="46" spans="1:19" x14ac:dyDescent="0.3">
      <c r="A46" s="83" t="s">
        <v>89</v>
      </c>
      <c r="B46" s="83"/>
      <c r="C46" s="83"/>
      <c r="D46" s="83"/>
      <c r="E46" s="127">
        <v>785.91</v>
      </c>
      <c r="F46" s="127"/>
      <c r="G46" s="127"/>
      <c r="H46" s="127"/>
    </row>
    <row r="47" spans="1:19" x14ac:dyDescent="0.3">
      <c r="A47" s="83" t="s">
        <v>37</v>
      </c>
      <c r="B47" s="83"/>
      <c r="C47" s="83"/>
      <c r="D47" s="83"/>
      <c r="E47" s="83" t="s">
        <v>120</v>
      </c>
      <c r="F47" s="83"/>
      <c r="G47" s="83"/>
      <c r="H47" s="83"/>
    </row>
    <row r="48" spans="1:19" x14ac:dyDescent="0.3">
      <c r="A48" s="110" t="s">
        <v>38</v>
      </c>
      <c r="B48" s="110"/>
      <c r="C48" s="110"/>
      <c r="D48" s="110"/>
      <c r="E48" s="110"/>
      <c r="F48" s="110"/>
      <c r="G48" s="110"/>
      <c r="H48" s="110"/>
    </row>
    <row r="49" spans="1:24" ht="33.75" customHeight="1" x14ac:dyDescent="0.3">
      <c r="A49" s="128" t="s">
        <v>150</v>
      </c>
      <c r="B49" s="130"/>
      <c r="C49" s="162" t="s">
        <v>267</v>
      </c>
      <c r="D49" s="163"/>
      <c r="E49" s="163"/>
      <c r="F49" s="163"/>
      <c r="G49" s="163"/>
      <c r="H49" s="164"/>
      <c r="R49" t="s">
        <v>252</v>
      </c>
      <c r="S49" s="50" t="s">
        <v>172</v>
      </c>
      <c r="T49" s="50" t="s">
        <v>179</v>
      </c>
      <c r="U49" s="50" t="s">
        <v>193</v>
      </c>
      <c r="V49" s="50" t="s">
        <v>188</v>
      </c>
    </row>
    <row r="50" spans="1:24" ht="31.95" customHeight="1" x14ac:dyDescent="0.3">
      <c r="A50" s="128" t="s">
        <v>39</v>
      </c>
      <c r="B50" s="130"/>
      <c r="C50" s="128" t="s">
        <v>359</v>
      </c>
      <c r="D50" s="129"/>
      <c r="E50" s="130"/>
      <c r="F50" s="15" t="s">
        <v>40</v>
      </c>
      <c r="G50" s="152">
        <v>45429</v>
      </c>
      <c r="H50" s="153"/>
      <c r="R50"/>
      <c r="S50" s="50" t="s">
        <v>253</v>
      </c>
      <c r="T50" s="50" t="s">
        <v>258</v>
      </c>
      <c r="U50" s="50" t="s">
        <v>269</v>
      </c>
      <c r="V50" s="50" t="s">
        <v>274</v>
      </c>
    </row>
    <row r="51" spans="1:24" ht="33.6" customHeight="1" x14ac:dyDescent="0.3">
      <c r="A51" s="128" t="s">
        <v>41</v>
      </c>
      <c r="B51" s="130"/>
      <c r="C51" s="128" t="str">
        <f>C50</f>
        <v>CIDCO/BP-19074/TPO(NM &amp; K)/2024/12508</v>
      </c>
      <c r="D51" s="129"/>
      <c r="E51" s="130"/>
      <c r="F51" s="15" t="s">
        <v>40</v>
      </c>
      <c r="G51" s="152">
        <f>G50</f>
        <v>45429</v>
      </c>
      <c r="H51" s="153"/>
      <c r="R51"/>
      <c r="S51" s="50" t="s">
        <v>254</v>
      </c>
      <c r="T51" s="50" t="s">
        <v>259</v>
      </c>
      <c r="U51" s="50" t="s">
        <v>267</v>
      </c>
      <c r="V51" s="50" t="s">
        <v>275</v>
      </c>
    </row>
    <row r="52" spans="1:24" s="20" customFormat="1" ht="31.2" customHeight="1" x14ac:dyDescent="0.3">
      <c r="A52" s="158" t="s">
        <v>154</v>
      </c>
      <c r="B52" s="159"/>
      <c r="C52" s="128" t="str">
        <f>C51</f>
        <v>CIDCO/BP-19074/TPO(NM &amp; K)/2024/12508</v>
      </c>
      <c r="D52" s="129"/>
      <c r="E52" s="130"/>
      <c r="F52" s="15" t="s">
        <v>40</v>
      </c>
      <c r="G52" s="152">
        <f>G51</f>
        <v>45429</v>
      </c>
      <c r="H52" s="153"/>
      <c r="I52" s="19" t="str">
        <f ca="1">IF(G52&gt;EDATE(E3,-48),"NO REMARK","CC REMARK FOR CC")</f>
        <v>NO REMARK</v>
      </c>
      <c r="J52" s="70"/>
      <c r="R52"/>
      <c r="S52" s="50" t="s">
        <v>255</v>
      </c>
      <c r="T52" s="50" t="s">
        <v>260</v>
      </c>
      <c r="U52" s="50" t="s">
        <v>257</v>
      </c>
      <c r="V52" s="50" t="s">
        <v>276</v>
      </c>
    </row>
    <row r="53" spans="1:24" s="20" customFormat="1" ht="33.75" customHeight="1" x14ac:dyDescent="0.3">
      <c r="A53" s="160"/>
      <c r="B53" s="161"/>
      <c r="C53" s="128" t="s">
        <v>391</v>
      </c>
      <c r="D53" s="129"/>
      <c r="E53" s="129"/>
      <c r="F53" s="129"/>
      <c r="G53" s="129"/>
      <c r="H53" s="130"/>
      <c r="R53"/>
      <c r="S53" s="50" t="s">
        <v>256</v>
      </c>
      <c r="T53" s="50" t="s">
        <v>263</v>
      </c>
      <c r="U53" s="50" t="s">
        <v>270</v>
      </c>
      <c r="V53" s="66" t="s">
        <v>349</v>
      </c>
    </row>
    <row r="54" spans="1:24" s="20" customFormat="1" hidden="1" x14ac:dyDescent="0.3">
      <c r="A54" s="179" t="s">
        <v>280</v>
      </c>
      <c r="B54" s="180"/>
      <c r="C54" s="128" t="str">
        <f>C53</f>
        <v>Gr + 1st to 7th Floor (Builtup Area = 785.91 Sq.m)
Residential Unit = 21</v>
      </c>
      <c r="D54" s="129"/>
      <c r="E54" s="130"/>
      <c r="F54" s="15" t="s">
        <v>40</v>
      </c>
      <c r="G54" s="152"/>
      <c r="H54" s="153"/>
      <c r="K54" s="71">
        <f>EDATE(G52,-48)</f>
        <v>43968</v>
      </c>
      <c r="L54" s="20" t="str">
        <f ca="1">IF(G52&gt;EDATE(E3,-48),"NO REMARK","CC REMARK FOR CC")</f>
        <v>NO REMARK</v>
      </c>
      <c r="R54"/>
      <c r="S54" s="50" t="s">
        <v>255</v>
      </c>
      <c r="T54" s="50" t="s">
        <v>260</v>
      </c>
      <c r="U54" s="50" t="s">
        <v>257</v>
      </c>
      <c r="V54" s="50" t="s">
        <v>276</v>
      </c>
    </row>
    <row r="55" spans="1:24" s="20" customFormat="1" ht="32.25" hidden="1" customHeight="1" x14ac:dyDescent="0.3">
      <c r="A55" s="181"/>
      <c r="B55" s="182"/>
      <c r="C55" s="139"/>
      <c r="D55" s="140"/>
      <c r="E55" s="140"/>
      <c r="F55" s="140"/>
      <c r="G55" s="140"/>
      <c r="H55" s="141"/>
      <c r="R55"/>
      <c r="S55" s="50" t="s">
        <v>257</v>
      </c>
      <c r="T55" s="50" t="s">
        <v>261</v>
      </c>
      <c r="U55" s="50" t="s">
        <v>271</v>
      </c>
      <c r="V55" s="67"/>
      <c r="W55" s="18"/>
      <c r="X55" s="18"/>
    </row>
    <row r="56" spans="1:24" s="20" customFormat="1" ht="34.5" hidden="1" customHeight="1" x14ac:dyDescent="0.3">
      <c r="A56" s="179" t="s">
        <v>281</v>
      </c>
      <c r="B56" s="180"/>
      <c r="C56" s="128">
        <f>C55</f>
        <v>0</v>
      </c>
      <c r="D56" s="129"/>
      <c r="E56" s="130"/>
      <c r="F56" s="15" t="s">
        <v>40</v>
      </c>
      <c r="G56" s="152">
        <f>G55</f>
        <v>0</v>
      </c>
      <c r="H56" s="153"/>
      <c r="R56"/>
      <c r="S56" s="67"/>
      <c r="T56" s="50" t="s">
        <v>262</v>
      </c>
      <c r="U56" s="50" t="s">
        <v>272</v>
      </c>
      <c r="V56" s="67"/>
      <c r="W56" s="18"/>
      <c r="X56" s="18"/>
    </row>
    <row r="57" spans="1:24" s="20" customFormat="1" ht="41.25" hidden="1" customHeight="1" x14ac:dyDescent="0.3">
      <c r="A57" s="181"/>
      <c r="B57" s="182"/>
      <c r="C57" s="128"/>
      <c r="D57" s="129"/>
      <c r="E57" s="129"/>
      <c r="F57" s="129"/>
      <c r="G57" s="129"/>
      <c r="H57" s="130"/>
      <c r="R57"/>
      <c r="S57" s="67"/>
      <c r="T57" s="50" t="s">
        <v>264</v>
      </c>
      <c r="U57" s="50" t="s">
        <v>273</v>
      </c>
      <c r="V57" s="67"/>
      <c r="W57" s="18"/>
      <c r="X57" s="18"/>
    </row>
    <row r="58" spans="1:24" s="20" customFormat="1" ht="15.75" customHeight="1" x14ac:dyDescent="0.3">
      <c r="A58" s="154" t="s">
        <v>395</v>
      </c>
      <c r="B58" s="155"/>
      <c r="C58" s="128" t="s">
        <v>396</v>
      </c>
      <c r="D58" s="129"/>
      <c r="E58" s="130"/>
      <c r="F58" s="15" t="s">
        <v>40</v>
      </c>
      <c r="G58" s="152">
        <v>45386</v>
      </c>
      <c r="H58" s="153"/>
      <c r="R58"/>
      <c r="S58" s="67"/>
      <c r="T58" s="50" t="s">
        <v>265</v>
      </c>
      <c r="U58" s="67" t="s">
        <v>295</v>
      </c>
      <c r="V58" s="67"/>
      <c r="W58" s="18"/>
      <c r="X58" s="18"/>
    </row>
    <row r="59" spans="1:24" s="20" customFormat="1" ht="33.75" customHeight="1" x14ac:dyDescent="0.3">
      <c r="A59" s="156"/>
      <c r="B59" s="157"/>
      <c r="C59" s="166" t="s">
        <v>397</v>
      </c>
      <c r="D59" s="166"/>
      <c r="E59" s="166"/>
      <c r="F59" s="15" t="s">
        <v>352</v>
      </c>
      <c r="G59" s="152">
        <v>48306</v>
      </c>
      <c r="H59" s="153"/>
      <c r="R59"/>
      <c r="S59" s="67"/>
      <c r="T59" s="50" t="s">
        <v>266</v>
      </c>
      <c r="U59" s="67"/>
      <c r="V59" s="67"/>
      <c r="W59" s="18"/>
      <c r="X59" s="18"/>
    </row>
    <row r="60" spans="1:24" x14ac:dyDescent="0.3">
      <c r="A60" s="217" t="s">
        <v>42</v>
      </c>
      <c r="B60" s="218"/>
      <c r="C60" s="217" t="s">
        <v>103</v>
      </c>
      <c r="D60" s="219"/>
      <c r="E60" s="218"/>
      <c r="F60" s="40" t="s">
        <v>40</v>
      </c>
      <c r="G60" s="220" t="s">
        <v>28</v>
      </c>
      <c r="H60" s="221"/>
      <c r="R60"/>
      <c r="S60" s="67"/>
      <c r="T60" s="50" t="s">
        <v>268</v>
      </c>
      <c r="U60" s="67"/>
      <c r="V60" s="67"/>
    </row>
    <row r="61" spans="1:24" x14ac:dyDescent="0.3">
      <c r="A61" s="165" t="s">
        <v>44</v>
      </c>
      <c r="B61" s="165"/>
      <c r="C61" s="165"/>
      <c r="D61" s="165"/>
      <c r="E61" s="165"/>
      <c r="F61" s="165"/>
      <c r="G61" s="165"/>
      <c r="H61" s="165"/>
      <c r="S61" s="67"/>
      <c r="T61" s="50" t="s">
        <v>277</v>
      </c>
      <c r="U61" s="67"/>
      <c r="V61" s="67"/>
    </row>
    <row r="62" spans="1:24" x14ac:dyDescent="0.3">
      <c r="A62" s="166" t="s">
        <v>88</v>
      </c>
      <c r="B62" s="166"/>
      <c r="C62" s="166"/>
      <c r="D62" s="116">
        <f>E46</f>
        <v>785.91</v>
      </c>
      <c r="E62" s="116"/>
      <c r="F62" s="116"/>
      <c r="G62" s="116"/>
      <c r="H62" s="116"/>
      <c r="R62"/>
    </row>
    <row r="63" spans="1:24" x14ac:dyDescent="0.3">
      <c r="A63" s="118" t="s">
        <v>45</v>
      </c>
      <c r="B63" s="83"/>
      <c r="C63" s="83"/>
      <c r="D63" s="98" t="s">
        <v>384</v>
      </c>
      <c r="E63" s="98"/>
      <c r="F63" s="98"/>
      <c r="G63" s="98"/>
      <c r="H63" s="98"/>
      <c r="I63" s="21"/>
      <c r="R63"/>
    </row>
    <row r="64" spans="1:24" x14ac:dyDescent="0.3">
      <c r="A64" s="131" t="s">
        <v>46</v>
      </c>
      <c r="B64" s="132"/>
      <c r="C64" s="133"/>
      <c r="D64" s="118" t="s">
        <v>360</v>
      </c>
      <c r="E64" s="83"/>
      <c r="F64" s="83"/>
      <c r="G64" s="83"/>
      <c r="H64" s="83"/>
      <c r="R64"/>
    </row>
    <row r="65" spans="1:19" ht="15.75" customHeight="1" x14ac:dyDescent="0.3">
      <c r="A65" s="131" t="s">
        <v>86</v>
      </c>
      <c r="B65" s="132"/>
      <c r="C65" s="132"/>
      <c r="D65" s="83" t="s">
        <v>360</v>
      </c>
      <c r="E65" s="83"/>
      <c r="F65" s="83"/>
      <c r="G65" s="83"/>
      <c r="H65" s="83"/>
      <c r="R65"/>
    </row>
    <row r="66" spans="1:19" ht="15.75" customHeight="1" x14ac:dyDescent="0.3">
      <c r="A66" s="116" t="s">
        <v>43</v>
      </c>
      <c r="B66" s="116"/>
      <c r="C66" s="116"/>
      <c r="D66" s="151" t="s">
        <v>361</v>
      </c>
      <c r="E66" s="151"/>
      <c r="F66" s="151"/>
      <c r="G66" s="151"/>
      <c r="H66" s="151"/>
      <c r="J66" s="22"/>
      <c r="K66" s="21"/>
      <c r="N66" s="21"/>
      <c r="S66"/>
    </row>
    <row r="67" spans="1:19" ht="15.75" customHeight="1" x14ac:dyDescent="0.3">
      <c r="A67" s="116" t="s">
        <v>84</v>
      </c>
      <c r="B67" s="116"/>
      <c r="C67" s="116"/>
      <c r="D67" s="125" t="str">
        <f>(IF(G60="NA","60 Years After Completion",IF(G60&lt;&gt;"NA",""&amp;60-ROUNDDOWN((E3-G60)/360,0)&amp;" Years"," ")))</f>
        <v>60 Years After Completion</v>
      </c>
      <c r="E67" s="125"/>
      <c r="F67" s="125"/>
      <c r="G67" s="125"/>
      <c r="H67" s="125"/>
      <c r="N67" s="21"/>
      <c r="S67"/>
    </row>
    <row r="68" spans="1:19" ht="15.75" customHeight="1" x14ac:dyDescent="0.3">
      <c r="A68" s="116" t="s">
        <v>85</v>
      </c>
      <c r="B68" s="116"/>
      <c r="C68" s="116"/>
      <c r="D68" s="166" t="s">
        <v>23</v>
      </c>
      <c r="E68" s="166"/>
      <c r="F68" s="166"/>
      <c r="G68" s="166"/>
      <c r="H68" s="166"/>
      <c r="J68" s="23"/>
      <c r="K68" s="23"/>
      <c r="S68"/>
    </row>
    <row r="69" spans="1:19" x14ac:dyDescent="0.3">
      <c r="A69" s="83" t="s">
        <v>362</v>
      </c>
      <c r="B69" s="83"/>
      <c r="C69" s="83"/>
      <c r="D69" s="118" t="s">
        <v>364</v>
      </c>
      <c r="E69" s="118"/>
      <c r="F69" s="118"/>
      <c r="G69" s="118"/>
      <c r="H69" s="118"/>
      <c r="S69"/>
    </row>
    <row r="70" spans="1:19" x14ac:dyDescent="0.3">
      <c r="A70" s="166" t="s">
        <v>147</v>
      </c>
      <c r="B70" s="166"/>
      <c r="C70" s="166"/>
      <c r="D70" s="166" t="s">
        <v>28</v>
      </c>
      <c r="E70" s="166"/>
      <c r="F70" s="166"/>
      <c r="G70" s="166"/>
      <c r="H70" s="166"/>
      <c r="I70" s="24"/>
      <c r="J70" s="24"/>
      <c r="K70" s="24"/>
      <c r="L70" s="24"/>
      <c r="M70" s="24"/>
      <c r="N70" s="24"/>
    </row>
    <row r="71" spans="1:19" ht="15.75" customHeight="1" x14ac:dyDescent="0.3">
      <c r="A71" s="178" t="s">
        <v>83</v>
      </c>
      <c r="B71" s="178"/>
      <c r="C71" s="178"/>
      <c r="D71" s="177" t="str">
        <f ca="1">(IF(G77&gt;95%,"Nothing",IF(G77&gt;0%,"Cement, Aggregate, Steel, etc",IF(G77=0%,"Work not yet Started"))))</f>
        <v>Cement, Aggregate, Steel, etc</v>
      </c>
      <c r="E71" s="177"/>
      <c r="F71" s="177"/>
      <c r="G71" s="177"/>
      <c r="H71" s="177"/>
      <c r="J71" s="23"/>
      <c r="S71"/>
    </row>
    <row r="72" spans="1:19" ht="33.75" customHeight="1" thickBot="1" x14ac:dyDescent="0.35">
      <c r="A72" s="176" t="s">
        <v>116</v>
      </c>
      <c r="B72" s="176"/>
      <c r="C72" s="176"/>
      <c r="D72" s="177" t="str">
        <f ca="1">(IF(D71="Nothing","Yes",IF(D71="Cement, Aggregate, Steel, etc","Under Construction",IF(D71="Work not yet Started","Work not yet Started"))))</f>
        <v>Under Construction</v>
      </c>
      <c r="E72" s="177"/>
      <c r="F72" s="177" t="str">
        <f ca="1">(IF(D71="Nothing","Yes",IF(D71="Cement, Aggregate, Steel, etc","Under Construction",IF(D71="Work not yet Started","Work not yet Started"))))</f>
        <v>Under Construction</v>
      </c>
      <c r="G72" s="177"/>
      <c r="H72" s="177"/>
      <c r="S72"/>
    </row>
    <row r="73" spans="1:19" ht="15.75" customHeight="1" x14ac:dyDescent="0.3">
      <c r="A73" s="169" t="s">
        <v>139</v>
      </c>
      <c r="B73" s="170"/>
      <c r="C73" s="171" t="str">
        <f>D65</f>
        <v>Gr + 1st to 7th Floor</v>
      </c>
      <c r="D73" s="172"/>
      <c r="E73" s="172"/>
      <c r="F73" s="172"/>
      <c r="G73" s="172"/>
      <c r="H73" s="173"/>
      <c r="I73" s="42" t="str">
        <f ca="1">IF(D86=100%,"All work Completed. Possession granted to the Building.",IF(D85=100%,"All work Completed, Waiting for OC",I74&amp;""&amp;I75&amp;""&amp;J74&amp;""&amp;J73&amp;" "&amp;J75))</f>
        <v>Excavation, Plinth, RCC Slab, Brickwork, Internal Plaster Completed, External Plaster upto 6 Floor, Flooring upto 5 Floor, Painting upto 5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External Plaster upto 6 Floor, Flooring upto 5 Floor, Painting upto 5 Floor</v>
      </c>
      <c r="S73"/>
    </row>
    <row r="74" spans="1:19" x14ac:dyDescent="0.3">
      <c r="A74" s="80" t="s">
        <v>141</v>
      </c>
      <c r="B74" s="81">
        <f>IF(AND(ISNUMBER(SEARCH("1B",C73))),1,IF(AND(ISNUMBER(SEARCH("2B",C73))),2,IF(AND(ISNUMBER(SEARCH("3B",C73))),3,IF(AND(ISNUMBER(SEARCH("4B",C73))),4,IF(ISNUMBER(SEARCH("5B",C73)),5,0)))))</f>
        <v>0</v>
      </c>
      <c r="C74" s="81" t="s">
        <v>69</v>
      </c>
      <c r="D74" s="81">
        <v>1</v>
      </c>
      <c r="E74" s="81" t="s">
        <v>68</v>
      </c>
      <c r="F74" s="81">
        <v>0</v>
      </c>
      <c r="G74" s="81" t="s">
        <v>77</v>
      </c>
      <c r="H74" s="82">
        <f ca="1">--TRIM(RIGHT(SUBSTITUTE(LEFT(C73,_xlfn.AGGREGATE(16,6,FIND({0,1,2,3,4,5,6,7,8,9},C73,ROW(INDIRECT("1:"&amp;LEN(C73)))),1))," ",REPT(" ",LEN(C73))),LEN(C73)))</f>
        <v>7</v>
      </c>
      <c r="I74" s="44" t="str">
        <f ca="1">IF(D77=100%,"Excavation","")&amp;IF(D78=100%,", Plinth","")&amp;IF(D79=100%,", RCC Slab","")&amp;IF(D80=100%,", Brickwork","")&amp;IF(D81=100%,", Internal Plaster","")&amp;IF(D82=100%,", External Plaster","")&amp;IF(D83=100%,", Flooring","")&amp;IF(D84=100%,", Painting","")&amp;IF(D85=100%,", Building common Amenities","")</f>
        <v>Excavation, Plinth, RCC Slab, Brickwork, Internal Plaster</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8.6" customHeight="1" x14ac:dyDescent="0.3">
      <c r="A75" s="167" t="s">
        <v>87</v>
      </c>
      <c r="B75" s="168"/>
      <c r="C75" s="174" t="str">
        <f ca="1">I73</f>
        <v>Excavation, Plinth, RCC Slab, Brickwork, Internal Plaster Completed, External Plaster upto 6 Floor, Flooring upto 5 Floor, Painting upto 5 Floor Completed</v>
      </c>
      <c r="D75" s="174"/>
      <c r="E75" s="174"/>
      <c r="F75" s="174"/>
      <c r="G75" s="174"/>
      <c r="H75" s="175"/>
      <c r="I75" s="44" t="str">
        <f ca="1">IF(I74&lt;&gt;""," Completed","")</f>
        <v xml:space="preserve"> Completed</v>
      </c>
      <c r="J75" s="45" t="str">
        <f ca="1">IF(J73&lt;&gt;"","Completed","")</f>
        <v>Completed</v>
      </c>
      <c r="S75"/>
    </row>
    <row r="76" spans="1:19" ht="15.75" customHeight="1" x14ac:dyDescent="0.3">
      <c r="A76" s="84" t="s">
        <v>47</v>
      </c>
      <c r="B76" s="85"/>
      <c r="C76" s="78" t="s">
        <v>138</v>
      </c>
      <c r="D76" s="78" t="s">
        <v>80</v>
      </c>
      <c r="E76" s="85" t="s">
        <v>82</v>
      </c>
      <c r="F76" s="85"/>
      <c r="G76" s="85" t="s">
        <v>81</v>
      </c>
      <c r="H76" s="224"/>
      <c r="I76" s="13" t="s">
        <v>140</v>
      </c>
      <c r="J76" s="25">
        <f ca="1">H74*25%</f>
        <v>1.75</v>
      </c>
      <c r="S76"/>
    </row>
    <row r="77" spans="1:19" x14ac:dyDescent="0.3">
      <c r="A77" s="84" t="s">
        <v>127</v>
      </c>
      <c r="B77" s="85"/>
      <c r="C77" s="78">
        <f ca="1">J78</f>
        <v>7</v>
      </c>
      <c r="D77" s="16">
        <f ca="1">((100/H74)*C77)/100</f>
        <v>1</v>
      </c>
      <c r="E77" s="86">
        <f ca="1">(((C78/H74*10)+(40/(D74+F74+H74)*C79)+(7.5/(H74)*C80)+(7.5/(H74)*C81)+(10/H74*C82)+(10/H74*C83)+(5/H74*C84)+(5/H74*C85)+(5/H74*C86))/100)</f>
        <v>0.84285714285714275</v>
      </c>
      <c r="F77" s="87"/>
      <c r="G77" s="86">
        <f ca="1">((((C77/H74)*20)+((C78/H74)*25)+(30/(H74+F74+D74)*C79)+(5/H74*C80)+(5/H74*C81)+(5/H74*C82)+(5/H74*C83)+(0/H74*C84)+(0/H74*C85)+(5/H74*C86))/100)</f>
        <v>0.9285714285714286</v>
      </c>
      <c r="H77" s="92"/>
      <c r="I77" s="13" t="s">
        <v>98</v>
      </c>
      <c r="J77" s="26">
        <f ca="1">H74*50%</f>
        <v>3.5</v>
      </c>
    </row>
    <row r="78" spans="1:19" x14ac:dyDescent="0.3">
      <c r="A78" s="84" t="s">
        <v>48</v>
      </c>
      <c r="B78" s="85"/>
      <c r="C78" s="78">
        <f ca="1">J86</f>
        <v>7</v>
      </c>
      <c r="D78" s="16">
        <f ca="1">((100/H74)*C78)/100</f>
        <v>1</v>
      </c>
      <c r="E78" s="88"/>
      <c r="F78" s="89"/>
      <c r="G78" s="88"/>
      <c r="H78" s="93"/>
      <c r="I78" s="13" t="s">
        <v>99</v>
      </c>
      <c r="J78" s="26">
        <f ca="1">H74</f>
        <v>7</v>
      </c>
      <c r="S78"/>
    </row>
    <row r="79" spans="1:19" ht="15.75" customHeight="1" x14ac:dyDescent="0.3">
      <c r="A79" s="84" t="s">
        <v>128</v>
      </c>
      <c r="B79" s="85"/>
      <c r="C79" s="78">
        <v>8</v>
      </c>
      <c r="D79" s="16">
        <f ca="1">((100/(D74+F74+H74))*C79)/100</f>
        <v>1</v>
      </c>
      <c r="E79" s="88"/>
      <c r="F79" s="89"/>
      <c r="G79" s="88"/>
      <c r="H79" s="93"/>
      <c r="I79" s="13" t="s">
        <v>100</v>
      </c>
      <c r="J79" s="27">
        <f ca="1">(IF(B74&gt;1,(H74/(B74+2)),H74/4))</f>
        <v>1.75</v>
      </c>
      <c r="S79"/>
    </row>
    <row r="80" spans="1:19" ht="15.75" customHeight="1" x14ac:dyDescent="0.3">
      <c r="A80" s="84" t="s">
        <v>135</v>
      </c>
      <c r="B80" s="85" t="s">
        <v>129</v>
      </c>
      <c r="C80" s="78">
        <v>7</v>
      </c>
      <c r="D80" s="16">
        <f ca="1">((100/H74)*C80)/100</f>
        <v>1</v>
      </c>
      <c r="E80" s="88"/>
      <c r="F80" s="89"/>
      <c r="G80" s="88"/>
      <c r="H80" s="93"/>
      <c r="I80" s="13" t="s">
        <v>101</v>
      </c>
      <c r="J80" s="27">
        <f ca="1">(IF(B74&gt;1,(H74/(B74+2)+J79),H74/4+J79))</f>
        <v>3.5</v>
      </c>
    </row>
    <row r="81" spans="1:22" ht="15.75" customHeight="1" x14ac:dyDescent="0.3">
      <c r="A81" s="84" t="s">
        <v>136</v>
      </c>
      <c r="B81" s="85" t="s">
        <v>129</v>
      </c>
      <c r="C81" s="78">
        <v>7</v>
      </c>
      <c r="D81" s="16">
        <f ca="1">((100/H74)*C81)/100</f>
        <v>1</v>
      </c>
      <c r="E81" s="88"/>
      <c r="F81" s="89"/>
      <c r="G81" s="88"/>
      <c r="H81" s="93"/>
      <c r="I81" s="13" t="s">
        <v>145</v>
      </c>
      <c r="J81" s="27">
        <f>(IF(B74&gt;1,(H74/(B74+2)+J80),0))</f>
        <v>0</v>
      </c>
    </row>
    <row r="82" spans="1:22" ht="15" customHeight="1" x14ac:dyDescent="0.3">
      <c r="A82" s="84" t="s">
        <v>134</v>
      </c>
      <c r="B82" s="85" t="s">
        <v>131</v>
      </c>
      <c r="C82" s="78">
        <v>6</v>
      </c>
      <c r="D82" s="16">
        <f ca="1">((100/(H74))*C82)/100</f>
        <v>0.85714285714285721</v>
      </c>
      <c r="E82" s="88"/>
      <c r="F82" s="89"/>
      <c r="G82" s="88"/>
      <c r="H82" s="93"/>
      <c r="I82" s="13" t="s">
        <v>142</v>
      </c>
      <c r="J82" s="27">
        <f>(IF(B74&gt;2,(H74/(B74+2)+J81),0))</f>
        <v>0</v>
      </c>
    </row>
    <row r="83" spans="1:22" ht="15.75" customHeight="1" x14ac:dyDescent="0.3">
      <c r="A83" s="84" t="s">
        <v>130</v>
      </c>
      <c r="B83" s="85" t="s">
        <v>130</v>
      </c>
      <c r="C83" s="78">
        <v>5</v>
      </c>
      <c r="D83" s="16">
        <f ca="1">((100/H74)*C83)/100</f>
        <v>0.7142857142857143</v>
      </c>
      <c r="E83" s="88"/>
      <c r="F83" s="89"/>
      <c r="G83" s="88"/>
      <c r="H83" s="93"/>
      <c r="I83" s="13" t="s">
        <v>143</v>
      </c>
      <c r="J83" s="28">
        <f>(IF(B74&gt;3,(H74/(B74+2)+J82),0))</f>
        <v>0</v>
      </c>
    </row>
    <row r="84" spans="1:22" ht="15.75" customHeight="1" x14ac:dyDescent="0.3">
      <c r="A84" s="84" t="s">
        <v>137</v>
      </c>
      <c r="B84" s="85"/>
      <c r="C84" s="78">
        <v>5</v>
      </c>
      <c r="D84" s="16">
        <f ca="1">((100/H74)*C84)/100</f>
        <v>0.7142857142857143</v>
      </c>
      <c r="E84" s="88"/>
      <c r="F84" s="89"/>
      <c r="G84" s="88"/>
      <c r="H84" s="93"/>
      <c r="I84" s="13" t="s">
        <v>144</v>
      </c>
      <c r="J84" s="27">
        <f>(IF(B74&gt;4,(H74/(B74+2)+J83),0))</f>
        <v>0</v>
      </c>
    </row>
    <row r="85" spans="1:22" ht="15.75" customHeight="1" x14ac:dyDescent="0.3">
      <c r="A85" s="84" t="s">
        <v>132</v>
      </c>
      <c r="B85" s="85" t="s">
        <v>132</v>
      </c>
      <c r="C85" s="78">
        <v>0</v>
      </c>
      <c r="D85" s="16">
        <f ca="1">((100/(H74))*C85)/100</f>
        <v>0</v>
      </c>
      <c r="E85" s="88"/>
      <c r="F85" s="89"/>
      <c r="G85" s="88"/>
      <c r="H85" s="93"/>
      <c r="I85" s="13" t="s">
        <v>146</v>
      </c>
      <c r="J85" s="27">
        <f ca="1">(IF(B74=1,(H74/(B74+3)+J80),IF(B74=0,(H74/4+J80),IF(B74&gt;1,0))))</f>
        <v>5.25</v>
      </c>
    </row>
    <row r="86" spans="1:22" ht="16.2" thickBot="1" x14ac:dyDescent="0.35">
      <c r="A86" s="225" t="s">
        <v>133</v>
      </c>
      <c r="B86" s="226"/>
      <c r="C86" s="79">
        <v>0</v>
      </c>
      <c r="D86" s="17">
        <f ca="1">((100/(H74))*C86)/100</f>
        <v>0</v>
      </c>
      <c r="E86" s="90"/>
      <c r="F86" s="91"/>
      <c r="G86" s="90"/>
      <c r="H86" s="94"/>
      <c r="I86" s="14" t="s">
        <v>102</v>
      </c>
      <c r="J86" s="29">
        <f ca="1">(IF(B74&gt;1.5,(H74/(B74+2)+J80+MAX(0,J81-J80)+MAX(0,J82-J81)+MAX(0,J83-J82)+MAX(0,J84-J83)+MAX(0,J85-J84)),IF(B74=1,(H74/(B74+3)+J85),IF(B74=0,H74/4+J85))))</f>
        <v>7</v>
      </c>
    </row>
    <row r="87" spans="1:22" x14ac:dyDescent="0.3">
      <c r="A87" s="222" t="s">
        <v>156</v>
      </c>
      <c r="B87" s="222"/>
      <c r="C87" s="222"/>
      <c r="D87" s="222"/>
      <c r="E87" s="222"/>
      <c r="F87" s="227" t="s">
        <v>160</v>
      </c>
      <c r="G87" s="227"/>
      <c r="H87" s="227"/>
      <c r="R87" t="s">
        <v>252</v>
      </c>
      <c r="S87" t="s">
        <v>172</v>
      </c>
      <c r="T87" t="s">
        <v>179</v>
      </c>
      <c r="U87" t="s">
        <v>193</v>
      </c>
      <c r="V87" t="s">
        <v>188</v>
      </c>
    </row>
    <row r="88" spans="1:22" x14ac:dyDescent="0.3">
      <c r="A88" s="98" t="s">
        <v>158</v>
      </c>
      <c r="B88" s="98"/>
      <c r="C88" s="98"/>
      <c r="D88" s="98"/>
      <c r="E88" s="98"/>
      <c r="F88" s="109">
        <v>7500</v>
      </c>
      <c r="G88" s="109"/>
      <c r="H88" s="109"/>
      <c r="I88" s="18" t="s">
        <v>402</v>
      </c>
      <c r="J88" s="18" t="s">
        <v>403</v>
      </c>
      <c r="K88" s="18" t="s">
        <v>404</v>
      </c>
      <c r="L88" s="18" t="s">
        <v>405</v>
      </c>
      <c r="R88"/>
      <c r="S88">
        <v>800000</v>
      </c>
      <c r="T88">
        <v>150000</v>
      </c>
      <c r="U88">
        <v>100000</v>
      </c>
      <c r="V88">
        <v>100000</v>
      </c>
    </row>
    <row r="89" spans="1:22" hidden="1" x14ac:dyDescent="0.3">
      <c r="A89" s="98" t="s">
        <v>157</v>
      </c>
      <c r="B89" s="98"/>
      <c r="C89" s="98"/>
      <c r="D89" s="98"/>
      <c r="E89" s="98"/>
      <c r="F89" s="109"/>
      <c r="G89" s="109"/>
      <c r="H89" s="109"/>
      <c r="R89"/>
      <c r="S89">
        <v>900000</v>
      </c>
      <c r="T89">
        <v>200000</v>
      </c>
      <c r="U89">
        <v>150000</v>
      </c>
      <c r="V89">
        <v>150000</v>
      </c>
    </row>
    <row r="90" spans="1:22" hidden="1" x14ac:dyDescent="0.3">
      <c r="A90" s="98" t="s">
        <v>159</v>
      </c>
      <c r="B90" s="98"/>
      <c r="C90" s="98"/>
      <c r="D90" s="98"/>
      <c r="E90" s="98"/>
      <c r="F90" s="109"/>
      <c r="G90" s="109"/>
      <c r="H90" s="109"/>
      <c r="R90"/>
      <c r="S90">
        <v>1000000</v>
      </c>
      <c r="T90">
        <v>250000</v>
      </c>
      <c r="U90">
        <v>200000</v>
      </c>
      <c r="V90">
        <v>200000</v>
      </c>
    </row>
    <row r="91" spans="1:22" s="30" customFormat="1" hidden="1" x14ac:dyDescent="0.3">
      <c r="A91" s="98" t="s">
        <v>174</v>
      </c>
      <c r="B91" s="98"/>
      <c r="C91" s="98"/>
      <c r="D91" s="98"/>
      <c r="E91" s="98"/>
      <c r="F91" s="109"/>
      <c r="G91" s="109"/>
      <c r="H91" s="109"/>
      <c r="R91"/>
      <c r="S91">
        <v>1100000</v>
      </c>
      <c r="T91">
        <v>300000</v>
      </c>
      <c r="U91">
        <v>250000</v>
      </c>
      <c r="V91" s="20">
        <v>250000</v>
      </c>
    </row>
    <row r="92" spans="1:22" s="30" customFormat="1" hidden="1" x14ac:dyDescent="0.3">
      <c r="A92" s="98" t="s">
        <v>92</v>
      </c>
      <c r="B92" s="98"/>
      <c r="C92" s="98"/>
      <c r="D92" s="98"/>
      <c r="E92" s="98"/>
      <c r="F92" s="109"/>
      <c r="G92" s="109"/>
      <c r="H92" s="109"/>
      <c r="R92"/>
      <c r="S92">
        <v>1200000</v>
      </c>
      <c r="T92">
        <v>350000</v>
      </c>
      <c r="U92">
        <v>300000</v>
      </c>
      <c r="V92">
        <v>300000</v>
      </c>
    </row>
    <row r="93" spans="1:22" s="30" customFormat="1" hidden="1" x14ac:dyDescent="0.3">
      <c r="A93" s="98" t="s">
        <v>93</v>
      </c>
      <c r="B93" s="98"/>
      <c r="C93" s="98"/>
      <c r="D93" s="98"/>
      <c r="E93" s="98"/>
      <c r="F93" s="109"/>
      <c r="G93" s="109"/>
      <c r="H93" s="109"/>
      <c r="R93"/>
      <c r="S93">
        <v>1300000</v>
      </c>
      <c r="T93">
        <v>400000</v>
      </c>
      <c r="U93">
        <v>350000</v>
      </c>
      <c r="V93" s="20">
        <v>400000</v>
      </c>
    </row>
    <row r="94" spans="1:22" s="30" customFormat="1" hidden="1" x14ac:dyDescent="0.3">
      <c r="A94" s="98" t="s">
        <v>94</v>
      </c>
      <c r="B94" s="98"/>
      <c r="C94" s="98"/>
      <c r="D94" s="98"/>
      <c r="E94" s="98"/>
      <c r="F94" s="109"/>
      <c r="G94" s="109"/>
      <c r="H94" s="109"/>
      <c r="R94"/>
      <c r="S94">
        <v>1400000</v>
      </c>
      <c r="T94">
        <v>500000</v>
      </c>
      <c r="U94">
        <v>400000</v>
      </c>
      <c r="V94"/>
    </row>
    <row r="95" spans="1:22" s="30" customFormat="1" hidden="1" x14ac:dyDescent="0.3">
      <c r="A95" s="98" t="s">
        <v>95</v>
      </c>
      <c r="B95" s="98"/>
      <c r="C95" s="98"/>
      <c r="D95" s="98"/>
      <c r="E95" s="98"/>
      <c r="F95" s="109"/>
      <c r="G95" s="109"/>
      <c r="H95" s="109"/>
      <c r="R95"/>
      <c r="S95">
        <v>1500000</v>
      </c>
      <c r="T95">
        <v>600000</v>
      </c>
      <c r="U95">
        <v>500000</v>
      </c>
      <c r="V95" s="20"/>
    </row>
    <row r="96" spans="1:22" s="30" customFormat="1" hidden="1" x14ac:dyDescent="0.3">
      <c r="A96" s="98" t="s">
        <v>96</v>
      </c>
      <c r="B96" s="98"/>
      <c r="C96" s="98"/>
      <c r="D96" s="98"/>
      <c r="E96" s="98"/>
      <c r="F96" s="109"/>
      <c r="G96" s="109"/>
      <c r="H96" s="109"/>
      <c r="R96"/>
      <c r="S96">
        <v>1600000</v>
      </c>
      <c r="T96">
        <v>700000</v>
      </c>
      <c r="U96">
        <v>600000</v>
      </c>
      <c r="V96"/>
    </row>
    <row r="97" spans="1:22" s="30" customFormat="1" hidden="1" x14ac:dyDescent="0.3">
      <c r="A97" s="98" t="s">
        <v>97</v>
      </c>
      <c r="B97" s="98"/>
      <c r="C97" s="98"/>
      <c r="D97" s="98"/>
      <c r="E97" s="98"/>
      <c r="F97" s="109"/>
      <c r="G97" s="109"/>
      <c r="H97" s="109"/>
      <c r="R97"/>
      <c r="S97">
        <v>1700000</v>
      </c>
      <c r="T97">
        <v>800000</v>
      </c>
      <c r="U97"/>
      <c r="V97" s="20"/>
    </row>
    <row r="98" spans="1:22" x14ac:dyDescent="0.3">
      <c r="A98" s="98" t="s">
        <v>49</v>
      </c>
      <c r="B98" s="98"/>
      <c r="C98" s="98"/>
      <c r="D98" s="98"/>
      <c r="E98" s="98"/>
      <c r="F98" s="109">
        <v>250000</v>
      </c>
      <c r="G98" s="109"/>
      <c r="H98" s="109"/>
      <c r="R98"/>
      <c r="S98">
        <v>1800000</v>
      </c>
      <c r="T98">
        <v>900000</v>
      </c>
      <c r="U98"/>
    </row>
    <row r="99" spans="1:22" s="31" customFormat="1" x14ac:dyDescent="0.3">
      <c r="A99" s="110" t="s">
        <v>50</v>
      </c>
      <c r="B99" s="110"/>
      <c r="C99" s="110"/>
      <c r="D99" s="110"/>
      <c r="E99" s="110"/>
      <c r="F99" s="111">
        <f>F88*0.8</f>
        <v>6000</v>
      </c>
      <c r="G99" s="111"/>
      <c r="H99" s="111"/>
      <c r="R99" s="18"/>
      <c r="S99" s="18"/>
      <c r="T99">
        <v>1000000</v>
      </c>
      <c r="U99"/>
      <c r="V99" s="18"/>
    </row>
    <row r="100" spans="1:22" s="32" customFormat="1" ht="15.75" hidden="1" customHeight="1" x14ac:dyDescent="0.3">
      <c r="A100" s="105" t="s">
        <v>72</v>
      </c>
      <c r="B100" s="105"/>
      <c r="C100" s="105"/>
      <c r="D100" s="105"/>
      <c r="E100" s="105"/>
      <c r="F100" s="105"/>
      <c r="G100" s="105"/>
      <c r="H100" s="105"/>
      <c r="R100"/>
      <c r="S100" s="18"/>
      <c r="T100"/>
      <c r="U100"/>
      <c r="V100" s="18"/>
    </row>
    <row r="101" spans="1:22" s="32" customFormat="1" ht="15.75" hidden="1" customHeight="1" x14ac:dyDescent="0.3">
      <c r="A101" s="108" t="s">
        <v>51</v>
      </c>
      <c r="B101" s="108"/>
      <c r="C101" s="106" t="s">
        <v>75</v>
      </c>
      <c r="D101" s="106"/>
      <c r="E101" s="107" t="s">
        <v>52</v>
      </c>
      <c r="F101" s="107"/>
      <c r="G101" s="108" t="s">
        <v>53</v>
      </c>
      <c r="H101" s="108"/>
      <c r="R101"/>
      <c r="S101" s="18"/>
      <c r="T101"/>
      <c r="U101" s="18"/>
      <c r="V101" s="18"/>
    </row>
    <row r="102" spans="1:22" s="32" customFormat="1" hidden="1" x14ac:dyDescent="0.3">
      <c r="A102" s="115"/>
      <c r="B102" s="115"/>
      <c r="C102" s="102"/>
      <c r="D102" s="102"/>
      <c r="E102" s="103"/>
      <c r="F102" s="103"/>
      <c r="G102" s="104"/>
      <c r="H102" s="104"/>
      <c r="R102"/>
      <c r="S102" s="18"/>
      <c r="T102"/>
      <c r="U102" s="18"/>
      <c r="V102" s="18"/>
    </row>
    <row r="103" spans="1:22" s="32" customFormat="1" hidden="1" x14ac:dyDescent="0.3">
      <c r="A103" s="115"/>
      <c r="B103" s="115"/>
      <c r="C103" s="102"/>
      <c r="D103" s="102"/>
      <c r="E103" s="103"/>
      <c r="F103" s="103"/>
      <c r="G103" s="104"/>
      <c r="H103" s="104"/>
      <c r="R103"/>
      <c r="S103" s="18"/>
      <c r="T103"/>
      <c r="U103" s="18"/>
      <c r="V103" s="18"/>
    </row>
    <row r="104" spans="1:22" s="32" customFormat="1" hidden="1" x14ac:dyDescent="0.3">
      <c r="A104" s="105" t="s">
        <v>149</v>
      </c>
      <c r="B104" s="105"/>
      <c r="C104" s="106"/>
      <c r="D104" s="106"/>
      <c r="E104" s="107"/>
      <c r="F104" s="107"/>
      <c r="G104" s="108"/>
      <c r="H104" s="108"/>
      <c r="R104"/>
      <c r="S104" s="18"/>
      <c r="T104"/>
      <c r="U104" s="18"/>
      <c r="V104" s="18"/>
    </row>
    <row r="105" spans="1:22" s="32" customFormat="1" x14ac:dyDescent="0.3">
      <c r="A105" s="105" t="s">
        <v>67</v>
      </c>
      <c r="B105" s="105"/>
      <c r="C105" s="105"/>
      <c r="D105" s="105"/>
      <c r="E105" s="105"/>
      <c r="F105" s="105"/>
      <c r="G105" s="105"/>
      <c r="H105" s="105"/>
      <c r="T105"/>
    </row>
    <row r="106" spans="1:22" s="32" customFormat="1" ht="15.75" customHeight="1" x14ac:dyDescent="0.3">
      <c r="A106" s="108" t="s">
        <v>51</v>
      </c>
      <c r="B106" s="108"/>
      <c r="C106" s="106" t="s">
        <v>75</v>
      </c>
      <c r="D106" s="106"/>
      <c r="E106" s="107" t="s">
        <v>52</v>
      </c>
      <c r="F106" s="107"/>
      <c r="G106" s="108" t="s">
        <v>53</v>
      </c>
      <c r="H106" s="108"/>
      <c r="T106"/>
    </row>
    <row r="107" spans="1:22" s="32" customFormat="1" x14ac:dyDescent="0.3">
      <c r="A107" s="115" t="s">
        <v>66</v>
      </c>
      <c r="B107" s="115"/>
      <c r="C107" s="142">
        <f>COUNT(F124:F126)*5+COUNT(F128:F130)+COUNT(F132:F134)</f>
        <v>21</v>
      </c>
      <c r="D107" s="142"/>
      <c r="E107" s="143">
        <f>SUM(F124:F126)*5+SUM(F128:F130)+SUM(F132:F134)</f>
        <v>6481.6825319999989</v>
      </c>
      <c r="F107" s="143"/>
      <c r="G107" s="143">
        <f>SUM(H124:H126)*5+SUM(H128:H130)+SUM(H132:H134)</f>
        <v>9398.4396713999995</v>
      </c>
      <c r="H107" s="143"/>
      <c r="T107"/>
    </row>
    <row r="108" spans="1:22" s="32" customFormat="1" x14ac:dyDescent="0.3">
      <c r="A108" s="99" t="s">
        <v>149</v>
      </c>
      <c r="B108" s="99"/>
      <c r="C108" s="212">
        <f t="shared" ref="C108:G108" si="0">SUM(C107)</f>
        <v>21</v>
      </c>
      <c r="D108" s="212"/>
      <c r="E108" s="100">
        <f t="shared" si="0"/>
        <v>6481.6825319999989</v>
      </c>
      <c r="F108" s="100"/>
      <c r="G108" s="101">
        <f t="shared" si="0"/>
        <v>9398.4396713999995</v>
      </c>
      <c r="H108" s="101"/>
      <c r="T108"/>
    </row>
    <row r="109" spans="1:22" s="32" customFormat="1" hidden="1" x14ac:dyDescent="0.3">
      <c r="A109" s="198" t="s">
        <v>166</v>
      </c>
      <c r="B109" s="199"/>
      <c r="C109" s="213">
        <f>C104+C108</f>
        <v>21</v>
      </c>
      <c r="D109" s="213"/>
      <c r="E109" s="205">
        <f>E104+E108</f>
        <v>6481.6825319999989</v>
      </c>
      <c r="F109" s="205"/>
      <c r="G109" s="137">
        <f>G104+G108</f>
        <v>9398.4396713999995</v>
      </c>
      <c r="H109" s="138"/>
      <c r="T109"/>
    </row>
    <row r="110" spans="1:22" s="31" customFormat="1" x14ac:dyDescent="0.3">
      <c r="A110" s="189" t="s">
        <v>54</v>
      </c>
      <c r="B110" s="189"/>
      <c r="C110" s="189"/>
      <c r="D110" s="189"/>
      <c r="E110" s="189"/>
      <c r="F110" s="189"/>
      <c r="G110" s="189"/>
      <c r="H110" s="189"/>
      <c r="T110" s="32"/>
    </row>
    <row r="111" spans="1:22" x14ac:dyDescent="0.3">
      <c r="A111" s="216" t="s">
        <v>373</v>
      </c>
      <c r="B111" s="216"/>
      <c r="C111" s="216"/>
      <c r="D111" s="216"/>
      <c r="E111" s="216"/>
      <c r="F111" s="216"/>
      <c r="G111" s="216"/>
      <c r="H111" s="216"/>
      <c r="T111" s="32"/>
    </row>
    <row r="112" spans="1:22" ht="47.25" hidden="1" customHeight="1" x14ac:dyDescent="0.3">
      <c r="A112" s="119" t="s">
        <v>118</v>
      </c>
      <c r="B112" s="121" t="s">
        <v>175</v>
      </c>
      <c r="C112" s="119" t="s">
        <v>55</v>
      </c>
      <c r="D112" s="121" t="s">
        <v>231</v>
      </c>
      <c r="E112" s="144" t="s">
        <v>155</v>
      </c>
      <c r="F112" s="119" t="s">
        <v>56</v>
      </c>
      <c r="G112" s="123" t="s">
        <v>57</v>
      </c>
      <c r="H112" s="56" t="s">
        <v>148</v>
      </c>
      <c r="T112" s="32"/>
    </row>
    <row r="113" spans="1:20" s="34" customFormat="1" hidden="1" x14ac:dyDescent="0.3">
      <c r="A113" s="120"/>
      <c r="B113" s="122"/>
      <c r="C113" s="120"/>
      <c r="D113" s="122"/>
      <c r="E113" s="145"/>
      <c r="F113" s="120"/>
      <c r="G113" s="124"/>
      <c r="H113" s="48">
        <v>0.45</v>
      </c>
      <c r="T113" s="32"/>
    </row>
    <row r="114" spans="1:20" s="34" customFormat="1" hidden="1" x14ac:dyDescent="0.3">
      <c r="A114" s="112" t="s">
        <v>117</v>
      </c>
      <c r="B114" s="113"/>
      <c r="C114" s="113"/>
      <c r="D114" s="113"/>
      <c r="E114" s="113"/>
      <c r="F114" s="113"/>
      <c r="G114" s="113"/>
      <c r="H114" s="114"/>
      <c r="J114" s="33"/>
      <c r="T114" s="32"/>
    </row>
    <row r="115" spans="1:20" s="34" customFormat="1" ht="15.75" hidden="1" customHeight="1" x14ac:dyDescent="0.3">
      <c r="A115" s="135">
        <v>1</v>
      </c>
      <c r="B115" s="136"/>
      <c r="C115" s="39"/>
      <c r="D115" s="39">
        <v>0</v>
      </c>
      <c r="E115" s="39">
        <v>0</v>
      </c>
      <c r="F115" s="39">
        <f>D115+(IF(E115&lt;201,E115,IF(E115&lt;301,E115/2,E115/3)))</f>
        <v>0</v>
      </c>
      <c r="G115" s="39">
        <v>0</v>
      </c>
      <c r="H115" s="39">
        <f>(F115+(IF(G115&lt;101,G115,IF(G115&lt;201,G115/2,IF(G115&lt;=301,G115/3,G115/4)))))*(($H$113)+1)</f>
        <v>0</v>
      </c>
      <c r="I115" s="33"/>
      <c r="L115" s="134"/>
      <c r="M115" s="134"/>
      <c r="N115" s="33"/>
      <c r="T115" s="32"/>
    </row>
    <row r="116" spans="1:20" s="34" customFormat="1" ht="15.75" hidden="1" customHeight="1" x14ac:dyDescent="0.3">
      <c r="A116" s="135">
        <f>A115+1</f>
        <v>2</v>
      </c>
      <c r="B116" s="136"/>
      <c r="C116" s="39"/>
      <c r="D116" s="39"/>
      <c r="E116" s="39">
        <v>0</v>
      </c>
      <c r="F116" s="39">
        <f>D116+(IF(E116&lt;201,E116,IF(E116&lt;301,E116/2,E116/3)))</f>
        <v>0</v>
      </c>
      <c r="G116" s="39">
        <v>0</v>
      </c>
      <c r="H116" s="39">
        <f>(F116+(IF(G116&lt;101,G116,IF(G116&lt;201,G116/2,IF(G116&lt;=301,G116/3,G116/4)))))*(($H$113)+1)</f>
        <v>0</v>
      </c>
      <c r="I116" s="33"/>
      <c r="L116" s="134"/>
      <c r="M116" s="134"/>
      <c r="N116" s="33"/>
      <c r="T116" s="31"/>
    </row>
    <row r="117" spans="1:20" s="34" customFormat="1" ht="15.75" hidden="1" customHeight="1" x14ac:dyDescent="0.3">
      <c r="A117" s="135">
        <f>A116+1</f>
        <v>3</v>
      </c>
      <c r="B117" s="136"/>
      <c r="C117" s="39"/>
      <c r="D117" s="39"/>
      <c r="E117" s="39">
        <v>0</v>
      </c>
      <c r="F117" s="39">
        <f>D117+(IF(E117&lt;201,E117,IF(E117&lt;301,E117/2,E117/3)))</f>
        <v>0</v>
      </c>
      <c r="G117" s="39">
        <v>0</v>
      </c>
      <c r="H117" s="39">
        <f>(F117+(IF(G117&lt;101,G117,IF(G117&lt;201,G117/2,IF(G117&lt;=301,G117/3,G117/4)))))*(($H$113)+1)</f>
        <v>0</v>
      </c>
      <c r="I117" s="33"/>
      <c r="L117" s="134"/>
      <c r="M117" s="134"/>
      <c r="N117" s="33"/>
      <c r="T117" s="18"/>
    </row>
    <row r="118" spans="1:20" s="34" customFormat="1" ht="15.75" hidden="1" customHeight="1" x14ac:dyDescent="0.3">
      <c r="A118" s="135">
        <f>A117+1</f>
        <v>4</v>
      </c>
      <c r="B118" s="136"/>
      <c r="C118" s="39"/>
      <c r="D118" s="39"/>
      <c r="E118" s="39">
        <v>0</v>
      </c>
      <c r="F118" s="39">
        <f>D118+(IF(E118&lt;201,E118,IF(E118&lt;301,E118/2,E118/3)))</f>
        <v>0</v>
      </c>
      <c r="G118" s="39">
        <v>0</v>
      </c>
      <c r="H118" s="39">
        <f>(F118+(IF(G118&lt;101,G118,IF(G118&lt;201,G118/2,IF(G118&lt;=301,G118/3,G118/4)))))*(($H$113)+1)</f>
        <v>0</v>
      </c>
      <c r="I118" s="33"/>
      <c r="L118" s="134"/>
      <c r="M118" s="134"/>
      <c r="N118" s="33"/>
      <c r="T118" s="18"/>
    </row>
    <row r="119" spans="1:20" s="34" customFormat="1" hidden="1" x14ac:dyDescent="0.3">
      <c r="A119" s="135"/>
      <c r="B119" s="200"/>
      <c r="C119" s="200"/>
      <c r="D119" s="200"/>
      <c r="E119" s="200"/>
      <c r="F119" s="200"/>
      <c r="G119" s="200"/>
      <c r="H119" s="136"/>
      <c r="I119" s="33"/>
      <c r="N119" s="33"/>
    </row>
    <row r="120" spans="1:20" ht="47.25" customHeight="1" x14ac:dyDescent="0.3">
      <c r="A120" s="201" t="s">
        <v>119</v>
      </c>
      <c r="B120" s="203" t="s">
        <v>176</v>
      </c>
      <c r="C120" s="119" t="s">
        <v>55</v>
      </c>
      <c r="D120" s="203" t="s">
        <v>231</v>
      </c>
      <c r="E120" s="203" t="s">
        <v>369</v>
      </c>
      <c r="F120" s="203" t="s">
        <v>56</v>
      </c>
      <c r="G120" s="123" t="s">
        <v>57</v>
      </c>
      <c r="H120" s="74" t="s">
        <v>148</v>
      </c>
      <c r="I120" s="33"/>
      <c r="T120" s="34"/>
    </row>
    <row r="121" spans="1:20" s="34" customFormat="1" x14ac:dyDescent="0.3">
      <c r="A121" s="202"/>
      <c r="B121" s="204"/>
      <c r="C121" s="120"/>
      <c r="D121" s="204"/>
      <c r="E121" s="204"/>
      <c r="F121" s="204"/>
      <c r="G121" s="124"/>
      <c r="H121" s="77">
        <v>0.45</v>
      </c>
      <c r="I121" s="76">
        <v>10.763999999999999</v>
      </c>
    </row>
    <row r="122" spans="1:20" s="34" customFormat="1" x14ac:dyDescent="0.3">
      <c r="A122" s="112" t="s">
        <v>365</v>
      </c>
      <c r="B122" s="113"/>
      <c r="C122" s="113"/>
      <c r="D122" s="113"/>
      <c r="E122" s="113"/>
      <c r="F122" s="113"/>
      <c r="G122" s="113"/>
      <c r="H122" s="114"/>
      <c r="J122" s="33"/>
    </row>
    <row r="123" spans="1:20" s="34" customFormat="1" ht="15.75" customHeight="1" x14ac:dyDescent="0.3">
      <c r="A123" s="112" t="s">
        <v>367</v>
      </c>
      <c r="B123" s="113"/>
      <c r="C123" s="113"/>
      <c r="D123" s="113"/>
      <c r="E123" s="113"/>
      <c r="F123" s="113"/>
      <c r="G123" s="113"/>
      <c r="H123" s="114"/>
      <c r="I123" s="33"/>
      <c r="L123" s="134"/>
      <c r="M123" s="134"/>
      <c r="N123" s="33"/>
    </row>
    <row r="124" spans="1:20" s="34" customFormat="1" ht="15.75" customHeight="1" x14ac:dyDescent="0.3">
      <c r="A124" s="135">
        <v>1</v>
      </c>
      <c r="B124" s="136"/>
      <c r="C124" s="39" t="s">
        <v>370</v>
      </c>
      <c r="D124" s="76">
        <f>(15.461)*10.764</f>
        <v>166.42220399999999</v>
      </c>
      <c r="E124" s="76">
        <f>(1.8*0.65+2.6+1.65)*10.764</f>
        <v>58.340879999999999</v>
      </c>
      <c r="F124" s="39">
        <f>D124+E124</f>
        <v>224.76308399999999</v>
      </c>
      <c r="G124" s="39">
        <v>0</v>
      </c>
      <c r="H124" s="39">
        <f>F124*(($H$121)+1)+(IF(G124&lt;101,G124,IF(G124&lt;201,G124/2,IF(G124&lt;=301,G124/3,G124/4))))</f>
        <v>325.90647179999996</v>
      </c>
      <c r="I124" s="72">
        <f>2.6*3.55+1.8*1.65+1.8*1.2+0.9*0.6</f>
        <v>14.899999999999999</v>
      </c>
      <c r="L124" s="134"/>
      <c r="M124" s="134"/>
      <c r="N124" s="33"/>
    </row>
    <row r="125" spans="1:20" s="34" customFormat="1" ht="15.75" customHeight="1" x14ac:dyDescent="0.3">
      <c r="A125" s="135">
        <f>A124+1</f>
        <v>2</v>
      </c>
      <c r="B125" s="136"/>
      <c r="C125" s="39" t="s">
        <v>368</v>
      </c>
      <c r="D125" s="76">
        <f>(23.669)*10.764</f>
        <v>254.77311599999999</v>
      </c>
      <c r="E125" s="76">
        <f>(6.29)*10.764</f>
        <v>67.705559999999991</v>
      </c>
      <c r="F125" s="39">
        <f>D125+E125</f>
        <v>322.47867599999995</v>
      </c>
      <c r="G125" s="39">
        <v>0</v>
      </c>
      <c r="H125" s="39">
        <f>F125*(($H$121)+1)+(IF(G125&lt;101,G125,IF(G125&lt;201,G125/2,IF(G125&lt;=301,G125/3,G125/4))))</f>
        <v>467.59408019999989</v>
      </c>
      <c r="I125" s="33">
        <f>2.7*3.1+1.8*2.15+2.7*2.15+1.37*1.7+1.3*0.9+0.9*0.6</f>
        <v>22.084000000000003</v>
      </c>
      <c r="J125" s="34">
        <f>2.8+1.9+2.9</f>
        <v>7.6</v>
      </c>
      <c r="K125" s="73">
        <f>I125+J125</f>
        <v>29.684000000000005</v>
      </c>
      <c r="L125" s="134"/>
      <c r="M125" s="134"/>
      <c r="N125" s="33"/>
    </row>
    <row r="126" spans="1:20" s="34" customFormat="1" ht="15.75" customHeight="1" x14ac:dyDescent="0.3">
      <c r="A126" s="135">
        <f>A125+1</f>
        <v>3</v>
      </c>
      <c r="B126" s="136"/>
      <c r="C126" s="39" t="s">
        <v>368</v>
      </c>
      <c r="D126" s="76">
        <f>(25.505)*10.764</f>
        <v>274.53581999999994</v>
      </c>
      <c r="E126" s="76">
        <f>(4.462+(5.3))*10.764</f>
        <v>105.07816800000001</v>
      </c>
      <c r="F126" s="39">
        <f>D126+E126</f>
        <v>379.61398799999995</v>
      </c>
      <c r="G126" s="39">
        <v>0</v>
      </c>
      <c r="H126" s="39">
        <f>F126*(($H$121)+1)+(IF(G126&lt;101,G126,IF(G126&lt;201,G126/2,IF(G126&lt;=301,G126/3,G126/4))))</f>
        <v>550.44028259999993</v>
      </c>
      <c r="I126" s="73">
        <f>2.7+2.55</f>
        <v>5.25</v>
      </c>
      <c r="J126" s="75">
        <f>(4.6+5.9)/2</f>
        <v>5.25</v>
      </c>
      <c r="L126" s="134"/>
      <c r="M126" s="134"/>
      <c r="N126" s="33"/>
      <c r="T126" s="18"/>
    </row>
    <row r="127" spans="1:20" s="34" customFormat="1" x14ac:dyDescent="0.3">
      <c r="A127" s="112" t="s">
        <v>371</v>
      </c>
      <c r="B127" s="113"/>
      <c r="C127" s="113"/>
      <c r="D127" s="113"/>
      <c r="E127" s="113"/>
      <c r="F127" s="113"/>
      <c r="G127" s="113"/>
      <c r="H127" s="114"/>
      <c r="I127" s="33"/>
      <c r="N127" s="33"/>
    </row>
    <row r="128" spans="1:20" s="34" customFormat="1" x14ac:dyDescent="0.3">
      <c r="A128" s="135">
        <v>1</v>
      </c>
      <c r="B128" s="136"/>
      <c r="C128" s="39" t="s">
        <v>370</v>
      </c>
      <c r="D128" s="76">
        <f>(13.251)*10.764</f>
        <v>142.63376399999999</v>
      </c>
      <c r="E128" s="76">
        <f>(2.21+1.8*0.65+2.6+1.65)*10.764</f>
        <v>82.129320000000007</v>
      </c>
      <c r="F128" s="39">
        <f>D128+E128</f>
        <v>224.76308399999999</v>
      </c>
      <c r="G128" s="39">
        <v>0</v>
      </c>
      <c r="H128" s="39">
        <f>F128*(($H$121)+1)+(IF(G128&lt;101,G128,IF(G128&lt;201,G128/2,IF(G128&lt;=301,G128/3,G128/4))))</f>
        <v>325.90647179999996</v>
      </c>
      <c r="I128" s="72">
        <f>2.6*2.7+1.8*1.65+1.8*1.2+0.9*0.6</f>
        <v>12.690000000000001</v>
      </c>
      <c r="J128" s="34">
        <f>2.2</f>
        <v>2.2000000000000002</v>
      </c>
      <c r="K128" s="72">
        <f>I128+J128</f>
        <v>14.89</v>
      </c>
      <c r="N128" s="33"/>
    </row>
    <row r="129" spans="1:20" s="34" customFormat="1" x14ac:dyDescent="0.3">
      <c r="A129" s="135">
        <f>A128+1</f>
        <v>2</v>
      </c>
      <c r="B129" s="136"/>
      <c r="C129" s="39" t="s">
        <v>368</v>
      </c>
      <c r="D129" s="76">
        <f>(23.669)*10.764</f>
        <v>254.77311599999999</v>
      </c>
      <c r="E129" s="76">
        <f>(6.29)*10.764</f>
        <v>67.705559999999991</v>
      </c>
      <c r="F129" s="39">
        <f>D129+E129</f>
        <v>322.47867599999995</v>
      </c>
      <c r="G129" s="39">
        <v>0</v>
      </c>
      <c r="H129" s="39">
        <f>F129*(($H$121)+1)+(IF(G129&lt;101,G129,IF(G129&lt;201,G129/2,IF(G129&lt;=301,G129/3,G129/4))))</f>
        <v>467.59408019999989</v>
      </c>
      <c r="I129" s="33"/>
      <c r="N129" s="33"/>
    </row>
    <row r="130" spans="1:20" s="34" customFormat="1" x14ac:dyDescent="0.3">
      <c r="A130" s="135">
        <f>A129+1</f>
        <v>3</v>
      </c>
      <c r="B130" s="136"/>
      <c r="C130" s="39" t="s">
        <v>368</v>
      </c>
      <c r="D130" s="76">
        <f>(25.505)*10.764</f>
        <v>274.53581999999994</v>
      </c>
      <c r="E130" s="76">
        <f>(4.462+(5.3))*10.764</f>
        <v>105.07816800000001</v>
      </c>
      <c r="F130" s="39">
        <f>D130+E130</f>
        <v>379.61398799999995</v>
      </c>
      <c r="G130" s="39">
        <v>0</v>
      </c>
      <c r="H130" s="39">
        <f>F130*(($H$121)+1)+(IF(G130&lt;101,G130,IF(G130&lt;201,G130/2,IF(G130&lt;=301,G130/3,G130/4))))</f>
        <v>550.44028259999993</v>
      </c>
      <c r="I130" s="33"/>
      <c r="N130" s="33"/>
    </row>
    <row r="131" spans="1:20" s="34" customFormat="1" x14ac:dyDescent="0.3">
      <c r="A131" s="112" t="s">
        <v>372</v>
      </c>
      <c r="B131" s="113"/>
      <c r="C131" s="113"/>
      <c r="D131" s="113"/>
      <c r="E131" s="113"/>
      <c r="F131" s="113"/>
      <c r="G131" s="113"/>
      <c r="H131" s="114"/>
      <c r="I131" s="33">
        <v>6500</v>
      </c>
      <c r="N131" s="33"/>
    </row>
    <row r="132" spans="1:20" s="34" customFormat="1" ht="15.75" customHeight="1" x14ac:dyDescent="0.3">
      <c r="A132" s="135">
        <v>1</v>
      </c>
      <c r="B132" s="136"/>
      <c r="C132" s="39" t="s">
        <v>370</v>
      </c>
      <c r="D132" s="76">
        <f>(13.251)*10.764</f>
        <v>142.63376399999999</v>
      </c>
      <c r="E132" s="76">
        <f>(2.21+1.8*0.65+2.6+1.65)*10.764</f>
        <v>82.129320000000007</v>
      </c>
      <c r="F132" s="39">
        <f>D132+E132</f>
        <v>224.76308399999999</v>
      </c>
      <c r="G132" s="39">
        <v>0</v>
      </c>
      <c r="H132" s="39">
        <f>F132*(($H$121)+1)+(IF(G132&lt;101,G132,IF(G132&lt;201,G132/2,IF(G132&lt;=301,G132/3,G132/4))))</f>
        <v>325.90647179999996</v>
      </c>
      <c r="I132" s="33">
        <f>I$131*H132</f>
        <v>2118392.0666999999</v>
      </c>
    </row>
    <row r="133" spans="1:20" s="34" customFormat="1" ht="15.75" customHeight="1" x14ac:dyDescent="0.3">
      <c r="A133" s="135">
        <f>A132+1</f>
        <v>2</v>
      </c>
      <c r="B133" s="136"/>
      <c r="C133" s="39" t="s">
        <v>368</v>
      </c>
      <c r="D133" s="76">
        <f>(23.669)*10.764</f>
        <v>254.77311599999999</v>
      </c>
      <c r="E133" s="76">
        <f>(6.29)*10.764</f>
        <v>67.705559999999991</v>
      </c>
      <c r="F133" s="39">
        <f>D133+E133</f>
        <v>322.47867599999995</v>
      </c>
      <c r="G133" s="39">
        <v>0</v>
      </c>
      <c r="H133" s="39">
        <f>F133*(($H$121)+1)+(IF(G133&lt;101,G133,IF(G133&lt;201,G133/2,IF(G133&lt;=301,G133/3,G133/4))))</f>
        <v>467.59408019999989</v>
      </c>
      <c r="I133" s="33">
        <f t="shared" ref="I133:I134" si="1">I$131*H133</f>
        <v>3039361.5212999992</v>
      </c>
    </row>
    <row r="134" spans="1:20" s="34" customFormat="1" ht="15.75" customHeight="1" x14ac:dyDescent="0.3">
      <c r="A134" s="135">
        <f>A133+1</f>
        <v>3</v>
      </c>
      <c r="B134" s="136"/>
      <c r="C134" s="39" t="s">
        <v>368</v>
      </c>
      <c r="D134" s="76">
        <f>(24.919)*10.764</f>
        <v>268.228116</v>
      </c>
      <c r="E134" s="76">
        <f>(4.462+(5.3))*10.764</f>
        <v>105.07816800000001</v>
      </c>
      <c r="F134" s="39">
        <f>D134+E134</f>
        <v>373.30628400000001</v>
      </c>
      <c r="G134" s="39">
        <v>0</v>
      </c>
      <c r="H134" s="39">
        <f>F134*(($H$121)+1)+(IF(G134&lt;101,G134,IF(G134&lt;201,G134/2,IF(G134&lt;=301,G134/3,G134/4))))</f>
        <v>541.2941118</v>
      </c>
      <c r="I134" s="33">
        <f t="shared" si="1"/>
        <v>3518411.7267</v>
      </c>
    </row>
    <row r="135" spans="1:20" s="32" customFormat="1" x14ac:dyDescent="0.3">
      <c r="A135" s="223" t="s">
        <v>65</v>
      </c>
      <c r="B135" s="223"/>
      <c r="C135" s="223"/>
      <c r="D135" s="223"/>
      <c r="E135" s="223"/>
      <c r="F135" s="223"/>
      <c r="G135" s="223"/>
      <c r="H135" s="223"/>
      <c r="T135" s="34"/>
    </row>
    <row r="136" spans="1:20" s="32" customFormat="1" x14ac:dyDescent="0.3">
      <c r="A136" s="41" t="s">
        <v>152</v>
      </c>
      <c r="B136" s="95" t="s">
        <v>392</v>
      </c>
      <c r="C136" s="96"/>
      <c r="D136" s="96"/>
      <c r="E136" s="96"/>
      <c r="F136" s="96"/>
      <c r="G136" s="96"/>
      <c r="H136" s="97"/>
      <c r="T136" s="34"/>
    </row>
    <row r="137" spans="1:20" s="32" customFormat="1" x14ac:dyDescent="0.3">
      <c r="A137" s="41" t="s">
        <v>152</v>
      </c>
      <c r="B137" s="209" t="str">
        <f>(IF(H120="Saleable area Loading :","We have considered Saleable area of Flats as per our Calculation.","We considered Saleable area of Flat as per Builder area Sheet."))</f>
        <v>We have considered Saleable area of Flats as per our Calculation.</v>
      </c>
      <c r="C137" s="210"/>
      <c r="D137" s="210"/>
      <c r="E137" s="210"/>
      <c r="F137" s="210"/>
      <c r="G137" s="210"/>
      <c r="H137" s="211"/>
      <c r="T137" s="34"/>
    </row>
    <row r="138" spans="1:20" s="32" customFormat="1" hidden="1" x14ac:dyDescent="0.3">
      <c r="A138" s="41" t="s">
        <v>152</v>
      </c>
      <c r="B138" s="192" t="str">
        <f>(IF(H112="Saleable area Loading :","We have considered Saleable area of Commercial as per our Calculation.","We considered Saleable area of Commercial as per Builder area Sheet."))</f>
        <v>We have considered Saleable area of Commercial as per our Calculation.</v>
      </c>
      <c r="C138" s="193"/>
      <c r="D138" s="193"/>
      <c r="E138" s="193"/>
      <c r="F138" s="193"/>
      <c r="G138" s="193"/>
      <c r="H138" s="194"/>
      <c r="T138" s="34"/>
    </row>
    <row r="139" spans="1:20" s="32" customFormat="1" x14ac:dyDescent="0.3">
      <c r="A139" s="41" t="s">
        <v>152</v>
      </c>
      <c r="B139" s="195" t="s">
        <v>122</v>
      </c>
      <c r="C139" s="196"/>
      <c r="D139" s="196"/>
      <c r="E139" s="196"/>
      <c r="F139" s="196"/>
      <c r="G139" s="196"/>
      <c r="H139" s="197"/>
      <c r="T139" s="34"/>
    </row>
    <row r="140" spans="1:20" s="32" customFormat="1" x14ac:dyDescent="0.3">
      <c r="A140" s="41" t="s">
        <v>152</v>
      </c>
      <c r="B140" s="95" t="s">
        <v>393</v>
      </c>
      <c r="C140" s="96"/>
      <c r="D140" s="96"/>
      <c r="E140" s="96"/>
      <c r="F140" s="96"/>
      <c r="G140" s="96"/>
      <c r="H140" s="97"/>
    </row>
    <row r="141" spans="1:20" s="32" customFormat="1" x14ac:dyDescent="0.3">
      <c r="A141" s="41" t="s">
        <v>152</v>
      </c>
      <c r="B141" s="195" t="s">
        <v>151</v>
      </c>
      <c r="C141" s="196"/>
      <c r="D141" s="196"/>
      <c r="E141" s="196"/>
      <c r="F141" s="196"/>
      <c r="G141" s="196"/>
      <c r="H141" s="197"/>
    </row>
    <row r="142" spans="1:20" s="32" customFormat="1" x14ac:dyDescent="0.3">
      <c r="A142" s="41" t="s">
        <v>152</v>
      </c>
      <c r="B142" s="195" t="s">
        <v>123</v>
      </c>
      <c r="C142" s="196"/>
      <c r="D142" s="196"/>
      <c r="E142" s="196"/>
      <c r="F142" s="196"/>
      <c r="G142" s="196"/>
      <c r="H142" s="197"/>
    </row>
    <row r="143" spans="1:20" s="32" customFormat="1" ht="35.4" customHeight="1" x14ac:dyDescent="0.3">
      <c r="A143" s="41" t="s">
        <v>152</v>
      </c>
      <c r="B143" s="95" t="s">
        <v>153</v>
      </c>
      <c r="C143" s="96"/>
      <c r="D143" s="96"/>
      <c r="E143" s="96"/>
      <c r="F143" s="96"/>
      <c r="G143" s="96"/>
      <c r="H143" s="97"/>
    </row>
    <row r="144" spans="1:20" s="32" customFormat="1" x14ac:dyDescent="0.3">
      <c r="A144" s="41" t="s">
        <v>152</v>
      </c>
      <c r="B144" s="195" t="s">
        <v>124</v>
      </c>
      <c r="C144" s="196"/>
      <c r="D144" s="196"/>
      <c r="E144" s="196"/>
      <c r="F144" s="196"/>
      <c r="G144" s="196"/>
      <c r="H144" s="197"/>
    </row>
    <row r="145" spans="1:20" s="32" customFormat="1" hidden="1" x14ac:dyDescent="0.3">
      <c r="A145" s="41" t="s">
        <v>152</v>
      </c>
      <c r="B145" s="192" t="s">
        <v>177</v>
      </c>
      <c r="C145" s="193"/>
      <c r="D145" s="193"/>
      <c r="E145" s="193"/>
      <c r="F145" s="193"/>
      <c r="G145" s="193"/>
      <c r="H145" s="194"/>
    </row>
    <row r="146" spans="1:20" s="32" customFormat="1" x14ac:dyDescent="0.3">
      <c r="A146" s="41" t="s">
        <v>152</v>
      </c>
      <c r="B146" s="95" t="s">
        <v>398</v>
      </c>
      <c r="C146" s="96"/>
      <c r="D146" s="96"/>
      <c r="E146" s="96"/>
      <c r="F146" s="96"/>
      <c r="G146" s="96"/>
      <c r="H146" s="97"/>
    </row>
    <row r="147" spans="1:20" s="32" customFormat="1" hidden="1" x14ac:dyDescent="0.3">
      <c r="A147" s="41" t="s">
        <v>152</v>
      </c>
      <c r="B147" s="192" t="s">
        <v>350</v>
      </c>
      <c r="C147" s="193"/>
      <c r="D147" s="193"/>
      <c r="E147" s="193"/>
      <c r="F147" s="193"/>
      <c r="G147" s="193"/>
      <c r="H147" s="194"/>
    </row>
    <row r="148" spans="1:20" s="32" customFormat="1" hidden="1" x14ac:dyDescent="0.3">
      <c r="A148" s="41" t="s">
        <v>152</v>
      </c>
      <c r="B148" s="192" t="str">
        <f ca="1">IF(G52&gt;EDATE(E3,-48),"NO REMARK FOR CC","REMARK FOR CC")</f>
        <v>NO REMARK FOR CC</v>
      </c>
      <c r="C148" s="193"/>
      <c r="D148" s="193"/>
      <c r="E148" s="193"/>
      <c r="F148" s="193"/>
      <c r="G148" s="193"/>
      <c r="H148" s="194"/>
    </row>
    <row r="149" spans="1:20" hidden="1" x14ac:dyDescent="0.3">
      <c r="A149" s="41" t="s">
        <v>152</v>
      </c>
      <c r="B149" s="192" t="s">
        <v>351</v>
      </c>
      <c r="C149" s="193"/>
      <c r="D149" s="193"/>
      <c r="E149" s="193"/>
      <c r="F149" s="193"/>
      <c r="G149" s="193"/>
      <c r="H149" s="194"/>
      <c r="T149" s="32"/>
    </row>
    <row r="150" spans="1:20" s="32" customFormat="1" x14ac:dyDescent="0.3">
      <c r="A150" s="41" t="s">
        <v>152</v>
      </c>
      <c r="B150" s="95" t="s">
        <v>399</v>
      </c>
      <c r="C150" s="96"/>
      <c r="D150" s="96"/>
      <c r="E150" s="96"/>
      <c r="F150" s="96"/>
      <c r="G150" s="96"/>
      <c r="H150" s="97"/>
    </row>
    <row r="151" spans="1:20" s="32" customFormat="1" x14ac:dyDescent="0.3">
      <c r="A151" s="41" t="s">
        <v>152</v>
      </c>
      <c r="B151" s="95" t="s">
        <v>406</v>
      </c>
      <c r="C151" s="96"/>
      <c r="D151" s="96"/>
      <c r="E151" s="96"/>
      <c r="F151" s="96"/>
      <c r="G151" s="96"/>
      <c r="H151" s="97"/>
    </row>
    <row r="152" spans="1:20" x14ac:dyDescent="0.3">
      <c r="A152" s="165" t="s">
        <v>58</v>
      </c>
      <c r="B152" s="165"/>
      <c r="C152" s="165"/>
      <c r="D152" s="165"/>
      <c r="E152" s="165"/>
      <c r="F152" s="165"/>
      <c r="G152" s="165"/>
      <c r="H152" s="165"/>
      <c r="T152" s="32"/>
    </row>
    <row r="153" spans="1:20" ht="15.75" customHeight="1" x14ac:dyDescent="0.3">
      <c r="A153" s="116" t="s">
        <v>59</v>
      </c>
      <c r="B153" s="116"/>
      <c r="C153" s="116"/>
      <c r="D153" s="116"/>
      <c r="E153" s="116"/>
      <c r="F153" s="116"/>
      <c r="G153" s="116"/>
      <c r="H153" s="116"/>
      <c r="T153" s="32"/>
    </row>
    <row r="154" spans="1:20" x14ac:dyDescent="0.3">
      <c r="A154" s="208" t="s">
        <v>60</v>
      </c>
      <c r="B154" s="208"/>
      <c r="C154" s="208"/>
      <c r="D154" s="208"/>
      <c r="E154" s="208"/>
      <c r="F154" s="208"/>
      <c r="G154" s="208"/>
      <c r="H154" s="208"/>
      <c r="T154" s="32"/>
    </row>
    <row r="155" spans="1:20" x14ac:dyDescent="0.3">
      <c r="A155" s="116" t="s">
        <v>61</v>
      </c>
      <c r="B155" s="116"/>
      <c r="C155" s="116"/>
      <c r="D155" s="116"/>
      <c r="E155" s="116"/>
      <c r="F155" s="116"/>
      <c r="G155" s="116"/>
      <c r="H155" s="116"/>
      <c r="T155" s="32"/>
    </row>
    <row r="156" spans="1:20" x14ac:dyDescent="0.3">
      <c r="A156" s="116" t="s">
        <v>62</v>
      </c>
      <c r="B156" s="116"/>
      <c r="C156" s="116"/>
      <c r="D156" s="116"/>
      <c r="E156" s="116"/>
      <c r="F156" s="116"/>
      <c r="G156" s="116"/>
      <c r="H156" s="116"/>
      <c r="T156" s="32"/>
    </row>
    <row r="157" spans="1:20" x14ac:dyDescent="0.3">
      <c r="A157" s="116" t="s">
        <v>125</v>
      </c>
      <c r="B157" s="116"/>
      <c r="C157" s="116"/>
      <c r="D157" s="116"/>
      <c r="E157" s="116"/>
      <c r="F157" s="116"/>
      <c r="G157" s="116"/>
      <c r="H157" s="116"/>
    </row>
    <row r="158" spans="1:20" ht="33.6" customHeight="1" x14ac:dyDescent="0.3">
      <c r="A158" s="166" t="s">
        <v>126</v>
      </c>
      <c r="B158" s="166"/>
      <c r="C158" s="166"/>
      <c r="D158" s="166"/>
      <c r="E158" s="166"/>
      <c r="F158" s="166"/>
      <c r="G158" s="166"/>
      <c r="H158" s="166"/>
    </row>
    <row r="159" spans="1:20" x14ac:dyDescent="0.3">
      <c r="A159" s="207" t="s">
        <v>74</v>
      </c>
      <c r="B159" s="207"/>
      <c r="C159" s="207" t="s">
        <v>366</v>
      </c>
      <c r="D159" s="207"/>
      <c r="E159" s="207" t="s">
        <v>104</v>
      </c>
      <c r="F159" s="207"/>
      <c r="G159" s="207" t="s">
        <v>401</v>
      </c>
      <c r="H159" s="207"/>
    </row>
    <row r="160" spans="1:20" x14ac:dyDescent="0.3">
      <c r="A160" s="206" t="s">
        <v>76</v>
      </c>
      <c r="B160" s="206"/>
      <c r="C160" s="206"/>
      <c r="D160" s="206"/>
      <c r="E160" s="206"/>
      <c r="F160" s="206"/>
      <c r="G160" s="206"/>
      <c r="H160" s="206"/>
    </row>
    <row r="161" spans="1:8" x14ac:dyDescent="0.3">
      <c r="A161" s="206"/>
      <c r="B161" s="206"/>
      <c r="C161" s="206"/>
      <c r="D161" s="206"/>
      <c r="E161" s="206"/>
      <c r="F161" s="206"/>
      <c r="G161" s="206"/>
      <c r="H161" s="206"/>
    </row>
    <row r="162" spans="1:8" x14ac:dyDescent="0.3">
      <c r="A162" s="206"/>
      <c r="B162" s="206"/>
      <c r="C162" s="206"/>
      <c r="D162" s="206"/>
      <c r="E162" s="206"/>
      <c r="F162" s="206"/>
      <c r="G162" s="206"/>
      <c r="H162" s="206"/>
    </row>
    <row r="163" spans="1:8" x14ac:dyDescent="0.3">
      <c r="A163" s="206"/>
      <c r="B163" s="206"/>
      <c r="C163" s="206"/>
      <c r="D163" s="206"/>
      <c r="E163" s="206"/>
      <c r="F163" s="206"/>
      <c r="G163" s="206"/>
      <c r="H163" s="206"/>
    </row>
    <row r="164" spans="1:8" x14ac:dyDescent="0.3">
      <c r="A164" s="35" t="s">
        <v>63</v>
      </c>
      <c r="B164" s="36"/>
      <c r="C164" s="36"/>
      <c r="D164" s="35" t="str">
        <f>E9</f>
        <v>A P Imperial</v>
      </c>
      <c r="F164" s="36"/>
      <c r="G164" s="36"/>
      <c r="H164" s="36"/>
    </row>
    <row r="165" spans="1:8" x14ac:dyDescent="0.3">
      <c r="A165" s="36"/>
      <c r="B165" s="36"/>
      <c r="C165" s="36"/>
      <c r="D165" s="36"/>
      <c r="E165" s="36"/>
      <c r="F165" s="36"/>
      <c r="G165" s="36"/>
      <c r="H165" s="36"/>
    </row>
    <row r="166" spans="1:8" ht="15" customHeight="1" x14ac:dyDescent="0.3">
      <c r="A166" s="36"/>
      <c r="B166" s="36"/>
      <c r="C166" s="36"/>
      <c r="D166" s="36"/>
      <c r="E166" s="36"/>
      <c r="F166" s="36"/>
      <c r="G166" s="36"/>
      <c r="H166" s="36"/>
    </row>
    <row r="206" spans="1:1" x14ac:dyDescent="0.3">
      <c r="A206" s="38" t="s">
        <v>163</v>
      </c>
    </row>
    <row r="248" spans="1:1" x14ac:dyDescent="0.3">
      <c r="A248" s="38" t="s">
        <v>64</v>
      </c>
    </row>
  </sheetData>
  <mergeCells count="306">
    <mergeCell ref="B151:H151"/>
    <mergeCell ref="B150:H150"/>
    <mergeCell ref="A43:D43"/>
    <mergeCell ref="A82:B82"/>
    <mergeCell ref="A50:B50"/>
    <mergeCell ref="C52:E52"/>
    <mergeCell ref="A135:H135"/>
    <mergeCell ref="A70:C70"/>
    <mergeCell ref="D71:H71"/>
    <mergeCell ref="A77:B77"/>
    <mergeCell ref="G76:H76"/>
    <mergeCell ref="A85:B85"/>
    <mergeCell ref="A86:B86"/>
    <mergeCell ref="A81:B81"/>
    <mergeCell ref="A80:B80"/>
    <mergeCell ref="A78:B78"/>
    <mergeCell ref="F87:H87"/>
    <mergeCell ref="A124:B124"/>
    <mergeCell ref="A118:B118"/>
    <mergeCell ref="A117:B117"/>
    <mergeCell ref="A93:E93"/>
    <mergeCell ref="F93:H93"/>
    <mergeCell ref="A95:E95"/>
    <mergeCell ref="F90:H90"/>
    <mergeCell ref="A94:E94"/>
    <mergeCell ref="E76:F76"/>
    <mergeCell ref="A83:B83"/>
    <mergeCell ref="I15:P15"/>
    <mergeCell ref="F97:H97"/>
    <mergeCell ref="F95:H95"/>
    <mergeCell ref="A111:H111"/>
    <mergeCell ref="G101:H101"/>
    <mergeCell ref="A96:E96"/>
    <mergeCell ref="A116:B116"/>
    <mergeCell ref="A60:B60"/>
    <mergeCell ref="C60:E60"/>
    <mergeCell ref="D62:H62"/>
    <mergeCell ref="F96:H96"/>
    <mergeCell ref="E101:F101"/>
    <mergeCell ref="A101:B101"/>
    <mergeCell ref="A103:B103"/>
    <mergeCell ref="C106:D106"/>
    <mergeCell ref="D70:H70"/>
    <mergeCell ref="D63:H63"/>
    <mergeCell ref="G60:H60"/>
    <mergeCell ref="A54:B55"/>
    <mergeCell ref="C59:E59"/>
    <mergeCell ref="A87:E87"/>
    <mergeCell ref="E43:H43"/>
    <mergeCell ref="A106:B106"/>
    <mergeCell ref="F88:H88"/>
    <mergeCell ref="G102:H102"/>
    <mergeCell ref="F94:H94"/>
    <mergeCell ref="C101:D101"/>
    <mergeCell ref="C108:D108"/>
    <mergeCell ref="A122:H122"/>
    <mergeCell ref="A90:E90"/>
    <mergeCell ref="F91:H91"/>
    <mergeCell ref="A91:E91"/>
    <mergeCell ref="G112:G113"/>
    <mergeCell ref="F92:H92"/>
    <mergeCell ref="A105:H105"/>
    <mergeCell ref="G106:H106"/>
    <mergeCell ref="C109:D109"/>
    <mergeCell ref="E106:F106"/>
    <mergeCell ref="A160:H163"/>
    <mergeCell ref="A159:B159"/>
    <mergeCell ref="E159:F159"/>
    <mergeCell ref="C159:D159"/>
    <mergeCell ref="G159:H159"/>
    <mergeCell ref="A158:H158"/>
    <mergeCell ref="A156:H156"/>
    <mergeCell ref="A131:H131"/>
    <mergeCell ref="A133:B133"/>
    <mergeCell ref="B149:H149"/>
    <mergeCell ref="B138:H138"/>
    <mergeCell ref="A157:H157"/>
    <mergeCell ref="A154:H154"/>
    <mergeCell ref="B140:H140"/>
    <mergeCell ref="B148:H148"/>
    <mergeCell ref="B147:H147"/>
    <mergeCell ref="B143:H143"/>
    <mergeCell ref="B136:H136"/>
    <mergeCell ref="B137:H137"/>
    <mergeCell ref="B139:H139"/>
    <mergeCell ref="A153:H153"/>
    <mergeCell ref="A155:H155"/>
    <mergeCell ref="A152:H152"/>
    <mergeCell ref="B141:H141"/>
    <mergeCell ref="A134:B134"/>
    <mergeCell ref="A115:B115"/>
    <mergeCell ref="B145:H145"/>
    <mergeCell ref="B144:H144"/>
    <mergeCell ref="B142:H142"/>
    <mergeCell ref="A132:B132"/>
    <mergeCell ref="A129:B129"/>
    <mergeCell ref="A130:B130"/>
    <mergeCell ref="A109:B109"/>
    <mergeCell ref="A123:H123"/>
    <mergeCell ref="A119:H119"/>
    <mergeCell ref="A110:H110"/>
    <mergeCell ref="A120:A121"/>
    <mergeCell ref="F120:F121"/>
    <mergeCell ref="C112:C113"/>
    <mergeCell ref="B120:B121"/>
    <mergeCell ref="A128:B128"/>
    <mergeCell ref="D120:D121"/>
    <mergeCell ref="E120:E121"/>
    <mergeCell ref="E109:F10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65:C65"/>
    <mergeCell ref="D65:H65"/>
    <mergeCell ref="G52:H52"/>
    <mergeCell ref="A61:H61"/>
    <mergeCell ref="A62:C62"/>
    <mergeCell ref="A75:B75"/>
    <mergeCell ref="A73:B73"/>
    <mergeCell ref="C73:H73"/>
    <mergeCell ref="A68:C68"/>
    <mergeCell ref="D68:H68"/>
    <mergeCell ref="C75:H75"/>
    <mergeCell ref="A69:C69"/>
    <mergeCell ref="D69:H69"/>
    <mergeCell ref="A72:C72"/>
    <mergeCell ref="D72:H72"/>
    <mergeCell ref="A71:C71"/>
    <mergeCell ref="A56:B57"/>
    <mergeCell ref="C56:E56"/>
    <mergeCell ref="G54:H54"/>
    <mergeCell ref="G59:H59"/>
    <mergeCell ref="C53:H53"/>
    <mergeCell ref="A38:H38"/>
    <mergeCell ref="A37:B37"/>
    <mergeCell ref="C37:E37"/>
    <mergeCell ref="A42:D42"/>
    <mergeCell ref="E42:H42"/>
    <mergeCell ref="A41:H41"/>
    <mergeCell ref="A66:C66"/>
    <mergeCell ref="A67:C67"/>
    <mergeCell ref="D66:H66"/>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49:H49"/>
    <mergeCell ref="L126:M126"/>
    <mergeCell ref="L123:M123"/>
    <mergeCell ref="A125:B125"/>
    <mergeCell ref="G109:H109"/>
    <mergeCell ref="L124:M124"/>
    <mergeCell ref="A126:B126"/>
    <mergeCell ref="L125:M125"/>
    <mergeCell ref="C55:H55"/>
    <mergeCell ref="L118:M118"/>
    <mergeCell ref="L117:M117"/>
    <mergeCell ref="L116:M116"/>
    <mergeCell ref="L115:M115"/>
    <mergeCell ref="A84:B84"/>
    <mergeCell ref="C107:D107"/>
    <mergeCell ref="E107:F107"/>
    <mergeCell ref="G107:H107"/>
    <mergeCell ref="A88:E88"/>
    <mergeCell ref="A114:H114"/>
    <mergeCell ref="E112:E113"/>
    <mergeCell ref="F89:H89"/>
    <mergeCell ref="A89:E89"/>
    <mergeCell ref="D112:D113"/>
    <mergeCell ref="A76:B76"/>
    <mergeCell ref="A102:B102"/>
    <mergeCell ref="A40:B40"/>
    <mergeCell ref="C40:H40"/>
    <mergeCell ref="F112:F113"/>
    <mergeCell ref="C102:D102"/>
    <mergeCell ref="E102:F102"/>
    <mergeCell ref="B112:B113"/>
    <mergeCell ref="A112:A113"/>
    <mergeCell ref="C120:C121"/>
    <mergeCell ref="G120:G121"/>
    <mergeCell ref="A46:D46"/>
    <mergeCell ref="A47:D47"/>
    <mergeCell ref="D67:H67"/>
    <mergeCell ref="A44:D44"/>
    <mergeCell ref="E44:H44"/>
    <mergeCell ref="E45:H45"/>
    <mergeCell ref="E46:H46"/>
    <mergeCell ref="E47:H47"/>
    <mergeCell ref="C57:H57"/>
    <mergeCell ref="A48:H48"/>
    <mergeCell ref="D64:H64"/>
    <mergeCell ref="A64:C64"/>
    <mergeCell ref="A45:D45"/>
    <mergeCell ref="A49:B49"/>
    <mergeCell ref="C54:E54"/>
    <mergeCell ref="I11:L11"/>
    <mergeCell ref="A79:B79"/>
    <mergeCell ref="E77:F86"/>
    <mergeCell ref="G77:H86"/>
    <mergeCell ref="B146:H146"/>
    <mergeCell ref="A92:E92"/>
    <mergeCell ref="A108:B108"/>
    <mergeCell ref="E108:F108"/>
    <mergeCell ref="A97:E97"/>
    <mergeCell ref="G108:H108"/>
    <mergeCell ref="C103:D103"/>
    <mergeCell ref="E103:F103"/>
    <mergeCell ref="G103:H103"/>
    <mergeCell ref="A104:B104"/>
    <mergeCell ref="C104:D104"/>
    <mergeCell ref="E104:F104"/>
    <mergeCell ref="G104:H104"/>
    <mergeCell ref="A100:H100"/>
    <mergeCell ref="A98:E98"/>
    <mergeCell ref="F98:H98"/>
    <mergeCell ref="A99:E99"/>
    <mergeCell ref="F99:H99"/>
    <mergeCell ref="A127:H127"/>
    <mergeCell ref="A107:B107"/>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2:E113" xr:uid="{00000000-0002-0000-0000-000003000000}">
      <formula1>"Attached Loft area,Attached Otla area,Attached Mezzanine area"</formula1>
    </dataValidation>
    <dataValidation type="list" allowBlank="1" showInputMessage="1" showErrorMessage="1" sqref="G159:H159" xr:uid="{00000000-0002-0000-0000-000004000000}">
      <formula1>"Kunal Kadam,Pranita Mhatre,Shruti Fule,Pooja Kawale,Gaurav Panchal,Shruti Tathare,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F98:H98" xr:uid="{00000000-0002-0000-0000-000006000000}">
      <formula1>OFFSET($S$87,1,MATCH($G20,$S$87:$W$87,0)-1,15,1)</formula1>
    </dataValidation>
    <dataValidation type="list" allowBlank="1" showInputMessage="1" showErrorMessage="1" sqref="B112:B113" xr:uid="{00000000-0002-0000-0000-000007000000}">
      <formula1>"Shop No. (Sale Plan),Sale / Rehab,Sale / Mhada"</formula1>
    </dataValidation>
    <dataValidation type="list" allowBlank="1" showInputMessage="1" showErrorMessage="1" sqref="B120:B121"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0:E121" xr:uid="{00000000-0002-0000-0000-00000B000000}">
      <formula1>"Fungible area,C.B + Encl Balcony &amp; Balcony Area,Chajja Area,Cornice Area,AP Area,WS Area"</formula1>
    </dataValidation>
    <dataValidation type="list" allowBlank="1" showInputMessage="1" showErrorMessage="1" sqref="H113 H121"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12 H120" xr:uid="{00000000-0002-0000-0000-00000F000000}">
      <formula1>"Saleable area Loading :,Builder Saleable Area"</formula1>
    </dataValidation>
    <dataValidation type="list" allowBlank="1" showInputMessage="1" showErrorMessage="1" sqref="D112:D113 D120:D121"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163" max="7" man="1"/>
    <brk id="205" max="7" man="1"/>
    <brk id="24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28" t="s">
        <v>105</v>
      </c>
      <c r="C3" s="228"/>
      <c r="D3" s="228"/>
      <c r="E3" s="228"/>
      <c r="F3" s="228"/>
      <c r="G3" s="228"/>
      <c r="H3" s="228"/>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6"/>
      <c r="C4" s="46" t="s">
        <v>11</v>
      </c>
      <c r="D4" s="47" t="s">
        <v>178</v>
      </c>
      <c r="E4" s="47" t="s">
        <v>188</v>
      </c>
      <c r="F4" s="47" t="s">
        <v>172</v>
      </c>
      <c r="G4" s="47" t="s">
        <v>193</v>
      </c>
      <c r="H4" s="47" t="s">
        <v>211</v>
      </c>
      <c r="J4" t="s">
        <v>193</v>
      </c>
      <c r="K4" t="s">
        <v>209</v>
      </c>
    </row>
    <row r="5" spans="2:11" x14ac:dyDescent="0.3">
      <c r="B5" s="46"/>
      <c r="C5" s="46"/>
      <c r="D5" s="47" t="s">
        <v>179</v>
      </c>
      <c r="E5" s="47" t="s">
        <v>186</v>
      </c>
      <c r="F5" s="47" t="s">
        <v>208</v>
      </c>
      <c r="G5" s="47" t="s">
        <v>194</v>
      </c>
      <c r="H5" s="47" t="s">
        <v>212</v>
      </c>
    </row>
    <row r="6" spans="2:11" x14ac:dyDescent="0.3">
      <c r="B6" s="46"/>
      <c r="C6" s="46"/>
      <c r="D6" s="47" t="s">
        <v>180</v>
      </c>
      <c r="E6" s="47" t="s">
        <v>187</v>
      </c>
      <c r="F6" s="47" t="s">
        <v>209</v>
      </c>
      <c r="G6" s="47" t="s">
        <v>195</v>
      </c>
      <c r="H6" s="47" t="s">
        <v>225</v>
      </c>
    </row>
    <row r="7" spans="2:11" x14ac:dyDescent="0.3">
      <c r="B7" s="46"/>
      <c r="C7" s="46"/>
      <c r="D7" s="47" t="s">
        <v>181</v>
      </c>
      <c r="E7" s="47" t="s">
        <v>189</v>
      </c>
      <c r="F7" s="47" t="s">
        <v>210</v>
      </c>
      <c r="G7" s="47" t="s">
        <v>196</v>
      </c>
      <c r="H7" s="47" t="s">
        <v>213</v>
      </c>
    </row>
    <row r="8" spans="2:11" x14ac:dyDescent="0.3">
      <c r="B8" s="46"/>
      <c r="C8" s="46"/>
      <c r="D8" s="47" t="s">
        <v>182</v>
      </c>
      <c r="E8" s="47" t="s">
        <v>190</v>
      </c>
      <c r="F8" s="47"/>
      <c r="G8" s="47" t="s">
        <v>197</v>
      </c>
      <c r="H8" s="47" t="s">
        <v>214</v>
      </c>
    </row>
    <row r="9" spans="2:11" x14ac:dyDescent="0.3">
      <c r="B9" s="46"/>
      <c r="C9" s="46"/>
      <c r="D9" s="47" t="s">
        <v>183</v>
      </c>
      <c r="E9" s="47" t="s">
        <v>188</v>
      </c>
      <c r="F9" s="47"/>
      <c r="G9" s="47" t="s">
        <v>198</v>
      </c>
      <c r="H9" s="47" t="s">
        <v>215</v>
      </c>
    </row>
    <row r="10" spans="2:11" x14ac:dyDescent="0.3">
      <c r="B10" s="46"/>
      <c r="C10" s="46"/>
      <c r="D10" s="47" t="s">
        <v>184</v>
      </c>
      <c r="E10" s="47" t="s">
        <v>191</v>
      </c>
      <c r="F10" s="47"/>
      <c r="G10" s="47" t="s">
        <v>199</v>
      </c>
      <c r="H10" s="47" t="s">
        <v>216</v>
      </c>
    </row>
    <row r="11" spans="2:11" x14ac:dyDescent="0.3">
      <c r="B11" s="46"/>
      <c r="C11" s="46"/>
      <c r="D11" s="47" t="s">
        <v>185</v>
      </c>
      <c r="E11" s="47" t="s">
        <v>192</v>
      </c>
      <c r="F11" s="47"/>
      <c r="G11" s="47" t="s">
        <v>200</v>
      </c>
      <c r="H11" s="47" t="s">
        <v>217</v>
      </c>
    </row>
    <row r="12" spans="2:11" x14ac:dyDescent="0.3">
      <c r="B12" s="46"/>
      <c r="C12" s="46"/>
      <c r="D12" s="47"/>
      <c r="E12" s="47"/>
      <c r="F12" s="47"/>
      <c r="G12" s="47" t="s">
        <v>201</v>
      </c>
      <c r="H12" s="47" t="s">
        <v>218</v>
      </c>
    </row>
    <row r="13" spans="2:11" x14ac:dyDescent="0.3">
      <c r="B13" s="46"/>
      <c r="C13" s="46"/>
      <c r="D13" s="47"/>
      <c r="E13" s="47"/>
      <c r="F13" s="47"/>
      <c r="G13" s="47" t="s">
        <v>202</v>
      </c>
      <c r="H13" s="47" t="s">
        <v>219</v>
      </c>
    </row>
    <row r="14" spans="2:11" x14ac:dyDescent="0.3">
      <c r="B14" s="46"/>
      <c r="C14" s="46"/>
      <c r="D14" s="47"/>
      <c r="E14" s="47"/>
      <c r="F14" s="47"/>
      <c r="G14" s="47" t="s">
        <v>203</v>
      </c>
      <c r="H14" s="47" t="s">
        <v>220</v>
      </c>
    </row>
    <row r="15" spans="2:11" x14ac:dyDescent="0.3">
      <c r="B15" s="46"/>
      <c r="C15" s="46"/>
      <c r="D15" s="47"/>
      <c r="E15" s="47"/>
      <c r="F15" s="47"/>
      <c r="G15" s="47" t="s">
        <v>204</v>
      </c>
      <c r="H15" s="47" t="s">
        <v>221</v>
      </c>
    </row>
    <row r="16" spans="2:11" x14ac:dyDescent="0.3">
      <c r="B16" s="46"/>
      <c r="C16" s="46"/>
      <c r="D16" s="47"/>
      <c r="E16" s="47"/>
      <c r="F16" s="47"/>
      <c r="G16" s="47" t="s">
        <v>205</v>
      </c>
      <c r="H16" s="47" t="s">
        <v>222</v>
      </c>
    </row>
    <row r="17" spans="2:8" x14ac:dyDescent="0.3">
      <c r="B17" s="46"/>
      <c r="C17" s="46"/>
      <c r="D17" s="47"/>
      <c r="E17" s="47"/>
      <c r="F17" s="47"/>
      <c r="G17" s="47" t="s">
        <v>206</v>
      </c>
      <c r="H17" s="47" t="s">
        <v>223</v>
      </c>
    </row>
    <row r="18" spans="2:8" x14ac:dyDescent="0.3">
      <c r="B18" s="46"/>
      <c r="C18" s="46"/>
      <c r="D18" s="47"/>
      <c r="E18" s="47"/>
      <c r="F18" s="47"/>
      <c r="G18" s="47" t="s">
        <v>207</v>
      </c>
      <c r="H18" s="47" t="s">
        <v>224</v>
      </c>
    </row>
    <row r="24" spans="2:8" x14ac:dyDescent="0.3">
      <c r="C24" t="s">
        <v>169</v>
      </c>
    </row>
    <row r="25" spans="2:8" x14ac:dyDescent="0.3">
      <c r="C25" t="s">
        <v>226</v>
      </c>
    </row>
    <row r="26" spans="2:8" x14ac:dyDescent="0.3">
      <c r="C26" t="s">
        <v>227</v>
      </c>
    </row>
    <row r="27" spans="2:8" x14ac:dyDescent="0.3">
      <c r="C27" t="s">
        <v>228</v>
      </c>
    </row>
    <row r="28" spans="2:8" x14ac:dyDescent="0.3">
      <c r="C28" t="s">
        <v>229</v>
      </c>
    </row>
    <row r="29" spans="2:8" x14ac:dyDescent="0.3">
      <c r="C29" t="s">
        <v>230</v>
      </c>
    </row>
    <row r="30" spans="2:8" x14ac:dyDescent="0.3">
      <c r="C30" t="s">
        <v>169</v>
      </c>
    </row>
    <row r="33" spans="3:11" x14ac:dyDescent="0.3">
      <c r="J33">
        <v>1</v>
      </c>
      <c r="K33">
        <v>2</v>
      </c>
    </row>
    <row r="34" spans="3:11" x14ac:dyDescent="0.3">
      <c r="C34" s="49" t="s">
        <v>235</v>
      </c>
      <c r="D34" s="47" t="s">
        <v>233</v>
      </c>
      <c r="E34" s="47" t="s">
        <v>238</v>
      </c>
      <c r="F34" s="47" t="s">
        <v>236</v>
      </c>
      <c r="G34" s="47" t="s">
        <v>237</v>
      </c>
      <c r="H34" s="47" t="s">
        <v>239</v>
      </c>
      <c r="J34" t="s">
        <v>193</v>
      </c>
      <c r="K34" t="s">
        <v>209</v>
      </c>
    </row>
    <row r="35" spans="3:11" x14ac:dyDescent="0.3">
      <c r="C35" s="46" t="s">
        <v>234</v>
      </c>
      <c r="D35" s="47" t="s">
        <v>170</v>
      </c>
      <c r="E35" s="47" t="s">
        <v>243</v>
      </c>
      <c r="F35" s="47" t="s">
        <v>245</v>
      </c>
      <c r="G35" s="47" t="s">
        <v>247</v>
      </c>
      <c r="H35" s="47"/>
    </row>
    <row r="36" spans="3:11" x14ac:dyDescent="0.3">
      <c r="C36" s="46"/>
      <c r="D36" s="47" t="s">
        <v>240</v>
      </c>
      <c r="E36" s="47" t="s">
        <v>244</v>
      </c>
      <c r="F36" s="47" t="s">
        <v>246</v>
      </c>
      <c r="G36" s="47" t="s">
        <v>248</v>
      </c>
      <c r="H36" s="47"/>
    </row>
    <row r="37" spans="3:11" x14ac:dyDescent="0.3">
      <c r="C37" s="46"/>
      <c r="D37" s="47" t="s">
        <v>241</v>
      </c>
      <c r="E37" s="47"/>
      <c r="F37" s="47"/>
      <c r="G37" s="47" t="s">
        <v>249</v>
      </c>
      <c r="H37" s="47"/>
    </row>
    <row r="38" spans="3:11" x14ac:dyDescent="0.3">
      <c r="C38" s="46"/>
      <c r="D38" s="47" t="s">
        <v>242</v>
      </c>
      <c r="E38" s="47"/>
      <c r="F38" s="47"/>
      <c r="G38" s="47" t="s">
        <v>249</v>
      </c>
      <c r="H38" s="47"/>
    </row>
    <row r="39" spans="3:11" x14ac:dyDescent="0.3">
      <c r="C39" s="46"/>
      <c r="D39" s="47"/>
      <c r="E39" s="47"/>
      <c r="F39" s="47"/>
      <c r="G39" s="47" t="s">
        <v>250</v>
      </c>
      <c r="H39" s="47"/>
    </row>
    <row r="40" spans="3:11" x14ac:dyDescent="0.3">
      <c r="C40" s="46"/>
      <c r="D40" s="47"/>
      <c r="E40" s="47"/>
      <c r="F40" s="47"/>
      <c r="G40" s="47" t="s">
        <v>251</v>
      </c>
      <c r="H40" s="47"/>
    </row>
    <row r="41" spans="3:11" x14ac:dyDescent="0.3">
      <c r="C41" s="46"/>
      <c r="D41" s="47"/>
      <c r="E41" s="47"/>
      <c r="F41" s="47"/>
      <c r="G41" s="47"/>
      <c r="H41" s="47"/>
    </row>
    <row r="43" spans="3:11" x14ac:dyDescent="0.3">
      <c r="C43" t="s">
        <v>252</v>
      </c>
    </row>
    <row r="44" spans="3:11" x14ac:dyDescent="0.3">
      <c r="C44" t="s">
        <v>172</v>
      </c>
      <c r="D44" t="s">
        <v>253</v>
      </c>
    </row>
    <row r="45" spans="3:11" x14ac:dyDescent="0.3">
      <c r="D45" t="s">
        <v>254</v>
      </c>
    </row>
    <row r="46" spans="3:11" x14ac:dyDescent="0.3">
      <c r="D46" t="s">
        <v>255</v>
      </c>
    </row>
    <row r="47" spans="3:11" x14ac:dyDescent="0.3">
      <c r="D47" t="s">
        <v>256</v>
      </c>
    </row>
    <row r="48" spans="3:11" x14ac:dyDescent="0.3">
      <c r="D48" t="s">
        <v>257</v>
      </c>
    </row>
    <row r="49" spans="3:4" x14ac:dyDescent="0.3">
      <c r="C49" t="s">
        <v>178</v>
      </c>
      <c r="D49" t="s">
        <v>258</v>
      </c>
    </row>
    <row r="50" spans="3:4" x14ac:dyDescent="0.3">
      <c r="D50" t="s">
        <v>259</v>
      </c>
    </row>
    <row r="51" spans="3:4" x14ac:dyDescent="0.3">
      <c r="D51" t="s">
        <v>260</v>
      </c>
    </row>
    <row r="52" spans="3:4" x14ac:dyDescent="0.3">
      <c r="D52" t="s">
        <v>263</v>
      </c>
    </row>
    <row r="53" spans="3:4" x14ac:dyDescent="0.3">
      <c r="D53" t="s">
        <v>261</v>
      </c>
    </row>
    <row r="54" spans="3:4" x14ac:dyDescent="0.3">
      <c r="D54" t="s">
        <v>262</v>
      </c>
    </row>
    <row r="55" spans="3:4" x14ac:dyDescent="0.3">
      <c r="D55" t="s">
        <v>264</v>
      </c>
    </row>
    <row r="56" spans="3:4" x14ac:dyDescent="0.3">
      <c r="D56" t="s">
        <v>265</v>
      </c>
    </row>
    <row r="57" spans="3:4" x14ac:dyDescent="0.3">
      <c r="D57" t="s">
        <v>266</v>
      </c>
    </row>
    <row r="58" spans="3:4" x14ac:dyDescent="0.3">
      <c r="D58" t="s">
        <v>268</v>
      </c>
    </row>
    <row r="59" spans="3:4" x14ac:dyDescent="0.3">
      <c r="D59" t="s">
        <v>277</v>
      </c>
    </row>
    <row r="60" spans="3:4" x14ac:dyDescent="0.3">
      <c r="C60" t="s">
        <v>193</v>
      </c>
      <c r="D60" t="s">
        <v>269</v>
      </c>
    </row>
    <row r="61" spans="3:4" x14ac:dyDescent="0.3">
      <c r="D61" t="s">
        <v>267</v>
      </c>
    </row>
    <row r="62" spans="3:4" x14ac:dyDescent="0.3">
      <c r="D62" t="s">
        <v>257</v>
      </c>
    </row>
    <row r="63" spans="3:4" x14ac:dyDescent="0.3">
      <c r="D63" t="s">
        <v>270</v>
      </c>
    </row>
    <row r="64" spans="3:4" x14ac:dyDescent="0.3">
      <c r="D64" t="s">
        <v>271</v>
      </c>
    </row>
    <row r="65" spans="3:4" x14ac:dyDescent="0.3">
      <c r="D65" t="s">
        <v>272</v>
      </c>
    </row>
    <row r="66" spans="3:4" x14ac:dyDescent="0.3">
      <c r="D66" t="s">
        <v>273</v>
      </c>
    </row>
    <row r="67" spans="3:4" x14ac:dyDescent="0.3">
      <c r="C67" t="s">
        <v>188</v>
      </c>
      <c r="D67" t="s">
        <v>274</v>
      </c>
    </row>
    <row r="68" spans="3:4" x14ac:dyDescent="0.3">
      <c r="D68" t="s">
        <v>275</v>
      </c>
    </row>
    <row r="69" spans="3:4" x14ac:dyDescent="0.3">
      <c r="D69" t="s">
        <v>276</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workbookViewId="0">
      <selection activeCell="C2" sqref="C2"/>
    </sheetView>
  </sheetViews>
  <sheetFormatPr defaultRowHeight="14.4" x14ac:dyDescent="0.3"/>
  <cols>
    <col min="2" max="2" width="3" bestFit="1" customWidth="1"/>
    <col min="3" max="3" width="155.33203125" customWidth="1"/>
  </cols>
  <sheetData>
    <row r="2" spans="2:3" ht="15" customHeight="1" x14ac:dyDescent="0.3">
      <c r="B2" s="50">
        <v>1</v>
      </c>
      <c r="C2" s="52" t="s">
        <v>282</v>
      </c>
    </row>
    <row r="3" spans="2:3" x14ac:dyDescent="0.3">
      <c r="B3" s="50">
        <v>2</v>
      </c>
      <c r="C3" s="51" t="s">
        <v>283</v>
      </c>
    </row>
    <row r="4" spans="2:3" x14ac:dyDescent="0.3">
      <c r="B4" s="50">
        <v>3</v>
      </c>
      <c r="C4" s="50" t="s">
        <v>284</v>
      </c>
    </row>
    <row r="5" spans="2:3" x14ac:dyDescent="0.3">
      <c r="B5" s="50">
        <v>4</v>
      </c>
      <c r="C5" s="51" t="s">
        <v>285</v>
      </c>
    </row>
    <row r="6" spans="2:3" x14ac:dyDescent="0.3">
      <c r="B6" s="50">
        <v>5</v>
      </c>
      <c r="C6" s="50" t="s">
        <v>286</v>
      </c>
    </row>
    <row r="7" spans="2:3" x14ac:dyDescent="0.3">
      <c r="B7" s="50">
        <v>6</v>
      </c>
      <c r="C7" s="51" t="s">
        <v>287</v>
      </c>
    </row>
    <row r="8" spans="2:3" ht="72" x14ac:dyDescent="0.3">
      <c r="B8" s="50">
        <v>7</v>
      </c>
      <c r="C8" s="51" t="s">
        <v>288</v>
      </c>
    </row>
    <row r="9" spans="2:3" x14ac:dyDescent="0.3">
      <c r="B9" s="50">
        <v>8</v>
      </c>
      <c r="C9" s="50" t="s">
        <v>289</v>
      </c>
    </row>
    <row r="10" spans="2:3" x14ac:dyDescent="0.3">
      <c r="B10" s="50">
        <v>9</v>
      </c>
      <c r="C10" s="50" t="s">
        <v>290</v>
      </c>
    </row>
    <row r="11" spans="2:3" x14ac:dyDescent="0.3">
      <c r="B11" s="50">
        <v>10</v>
      </c>
      <c r="C11" s="50" t="s">
        <v>291</v>
      </c>
    </row>
    <row r="12" spans="2:3" x14ac:dyDescent="0.3">
      <c r="B12" s="50">
        <v>11</v>
      </c>
      <c r="C12" s="50" t="s">
        <v>292</v>
      </c>
    </row>
    <row r="13" spans="2:3" x14ac:dyDescent="0.3">
      <c r="B13" s="50">
        <v>12</v>
      </c>
      <c r="C13" s="50" t="s">
        <v>293</v>
      </c>
    </row>
    <row r="14" spans="2:3" x14ac:dyDescent="0.3">
      <c r="B14" s="50">
        <v>13</v>
      </c>
      <c r="C14" s="50" t="s">
        <v>294</v>
      </c>
    </row>
    <row r="15" spans="2:3" x14ac:dyDescent="0.3">
      <c r="B15" s="50">
        <v>14</v>
      </c>
      <c r="C15" s="50" t="s">
        <v>284</v>
      </c>
    </row>
    <row r="16" spans="2:3" x14ac:dyDescent="0.3">
      <c r="B16" s="50">
        <v>15</v>
      </c>
      <c r="C16" s="50" t="s">
        <v>296</v>
      </c>
    </row>
    <row r="17" spans="2:3" x14ac:dyDescent="0.3">
      <c r="B17" s="69">
        <v>16</v>
      </c>
      <c r="C17" s="55" t="s">
        <v>297</v>
      </c>
    </row>
    <row r="18" spans="2:3" x14ac:dyDescent="0.3">
      <c r="B18" s="54">
        <v>17</v>
      </c>
      <c r="C18" s="55" t="s">
        <v>298</v>
      </c>
    </row>
    <row r="19" spans="2:3" x14ac:dyDescent="0.3">
      <c r="B19" s="53">
        <v>18</v>
      </c>
      <c r="C19" s="50" t="s">
        <v>299</v>
      </c>
    </row>
    <row r="20" spans="2:3" x14ac:dyDescent="0.3">
      <c r="B20" s="54">
        <v>19</v>
      </c>
      <c r="C20" s="50" t="s">
        <v>335</v>
      </c>
    </row>
    <row r="21" spans="2:3" x14ac:dyDescent="0.3">
      <c r="B21" s="50">
        <v>20</v>
      </c>
      <c r="C21" s="50" t="s">
        <v>300</v>
      </c>
    </row>
    <row r="22" spans="2:3" x14ac:dyDescent="0.3">
      <c r="B22" s="54">
        <v>21</v>
      </c>
      <c r="C22" s="50" t="s">
        <v>299</v>
      </c>
    </row>
    <row r="23" spans="2:3" s="64" customFormat="1" ht="29.25" customHeight="1" x14ac:dyDescent="0.3">
      <c r="B23" s="63">
        <v>22</v>
      </c>
      <c r="C23" s="52" t="s">
        <v>327</v>
      </c>
    </row>
    <row r="24" spans="2:3" s="64" customFormat="1" ht="30.75" customHeight="1" x14ac:dyDescent="0.3">
      <c r="B24" s="65">
        <v>23</v>
      </c>
      <c r="C24" s="52" t="s">
        <v>328</v>
      </c>
    </row>
    <row r="25" spans="2:3" x14ac:dyDescent="0.3">
      <c r="B25" s="50">
        <v>24</v>
      </c>
      <c r="C25" s="50" t="s">
        <v>331</v>
      </c>
    </row>
    <row r="26" spans="2:3" x14ac:dyDescent="0.3">
      <c r="B26" s="54">
        <v>25</v>
      </c>
      <c r="C26" s="50" t="s">
        <v>329</v>
      </c>
    </row>
    <row r="27" spans="2:3" x14ac:dyDescent="0.3">
      <c r="B27" s="65">
        <v>26</v>
      </c>
      <c r="C27" s="50" t="s">
        <v>330</v>
      </c>
    </row>
    <row r="28" spans="2:3" x14ac:dyDescent="0.3">
      <c r="B28" s="54">
        <v>27</v>
      </c>
      <c r="C28" s="50" t="s">
        <v>332</v>
      </c>
    </row>
    <row r="29" spans="2:3" ht="43.2" x14ac:dyDescent="0.3">
      <c r="B29" s="68">
        <v>28</v>
      </c>
      <c r="C29" s="51" t="s">
        <v>333</v>
      </c>
    </row>
    <row r="30" spans="2:3" x14ac:dyDescent="0.3">
      <c r="B30" s="65">
        <v>29</v>
      </c>
      <c r="C30" s="50" t="s">
        <v>334</v>
      </c>
    </row>
    <row r="31" spans="2:3" ht="28.8" x14ac:dyDescent="0.3">
      <c r="B31" s="65">
        <v>30</v>
      </c>
      <c r="C31" s="51" t="s">
        <v>336</v>
      </c>
    </row>
    <row r="32" spans="2:3" x14ac:dyDescent="0.3">
      <c r="B32" s="65">
        <v>31</v>
      </c>
      <c r="C32" s="50" t="s">
        <v>337</v>
      </c>
    </row>
    <row r="33" spans="2:3" x14ac:dyDescent="0.3">
      <c r="B33" s="65">
        <v>32</v>
      </c>
      <c r="C33" s="50" t="s">
        <v>338</v>
      </c>
    </row>
    <row r="34" spans="2:3" ht="36.75" customHeight="1" x14ac:dyDescent="0.3">
      <c r="B34" s="65">
        <v>33</v>
      </c>
      <c r="C34" s="55" t="s">
        <v>339</v>
      </c>
    </row>
    <row r="35" spans="2:3" x14ac:dyDescent="0.3">
      <c r="B35" s="63">
        <v>34</v>
      </c>
      <c r="C35" s="50" t="s">
        <v>348</v>
      </c>
    </row>
    <row r="36" spans="2:3" ht="57.6" x14ac:dyDescent="0.3">
      <c r="B36" s="63">
        <v>35</v>
      </c>
      <c r="C36" s="51" t="s">
        <v>351</v>
      </c>
    </row>
    <row r="37" spans="2:3" x14ac:dyDescent="0.3">
      <c r="B37" s="50"/>
      <c r="C37" s="50"/>
    </row>
    <row r="38" spans="2:3" x14ac:dyDescent="0.3">
      <c r="B38" s="50"/>
      <c r="C38" s="50"/>
    </row>
    <row r="39" spans="2:3" x14ac:dyDescent="0.3">
      <c r="B39" s="50"/>
      <c r="C39" s="50"/>
    </row>
    <row r="40" spans="2:3" x14ac:dyDescent="0.3">
      <c r="B40" s="50"/>
      <c r="C40" s="50"/>
    </row>
    <row r="41" spans="2:3" x14ac:dyDescent="0.3">
      <c r="B41" s="50"/>
      <c r="C41" s="50"/>
    </row>
    <row r="42" spans="2:3" x14ac:dyDescent="0.3">
      <c r="B42" s="50"/>
      <c r="C42" s="50"/>
    </row>
    <row r="43" spans="2:3" x14ac:dyDescent="0.3">
      <c r="B43" s="50"/>
      <c r="C43" s="50"/>
    </row>
    <row r="44" spans="2:3" x14ac:dyDescent="0.3">
      <c r="B44" s="50"/>
      <c r="C44" s="5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46"/>
    <col min="2" max="2" width="12.33203125" style="46" customWidth="1"/>
    <col min="3" max="16384" width="9.109375" style="46"/>
  </cols>
  <sheetData>
    <row r="2" spans="1:12" x14ac:dyDescent="0.3">
      <c r="B2" s="57" t="s">
        <v>301</v>
      </c>
      <c r="C2" s="229"/>
      <c r="D2" s="229"/>
    </row>
    <row r="3" spans="1:12" x14ac:dyDescent="0.3">
      <c r="D3" s="58"/>
      <c r="E3" s="58"/>
      <c r="F3" s="58"/>
      <c r="G3" s="58"/>
      <c r="H3" s="58"/>
      <c r="I3" s="58"/>
    </row>
    <row r="4" spans="1:12" x14ac:dyDescent="0.3">
      <c r="A4" s="57" t="s">
        <v>66</v>
      </c>
      <c r="B4" s="59" t="s">
        <v>302</v>
      </c>
      <c r="C4" s="230" t="s">
        <v>303</v>
      </c>
      <c r="D4" s="230"/>
      <c r="E4" s="230"/>
      <c r="F4" s="59"/>
      <c r="G4" s="231" t="s">
        <v>304</v>
      </c>
      <c r="H4" s="231"/>
      <c r="I4" s="231"/>
      <c r="J4" s="232" t="s">
        <v>305</v>
      </c>
      <c r="K4" s="232"/>
      <c r="L4" s="232"/>
    </row>
    <row r="5" spans="1:12" x14ac:dyDescent="0.3">
      <c r="A5" s="57"/>
      <c r="B5" s="59"/>
      <c r="C5" s="59" t="s">
        <v>306</v>
      </c>
      <c r="D5" s="59" t="s">
        <v>307</v>
      </c>
      <c r="E5" s="59" t="s">
        <v>308</v>
      </c>
      <c r="F5" s="59"/>
      <c r="G5" s="59" t="s">
        <v>306</v>
      </c>
      <c r="H5" s="59" t="s">
        <v>307</v>
      </c>
      <c r="I5" s="59" t="s">
        <v>308</v>
      </c>
      <c r="J5" s="59" t="s">
        <v>306</v>
      </c>
      <c r="K5" s="59" t="s">
        <v>307</v>
      </c>
      <c r="L5" s="59" t="s">
        <v>308</v>
      </c>
    </row>
    <row r="6" spans="1:12" x14ac:dyDescent="0.3">
      <c r="B6" s="47" t="s">
        <v>309</v>
      </c>
      <c r="C6" s="47"/>
      <c r="D6" s="47"/>
      <c r="E6" s="47">
        <f>C6*D6</f>
        <v>0</v>
      </c>
      <c r="F6" s="47" t="s">
        <v>326</v>
      </c>
      <c r="G6" s="47"/>
      <c r="H6" s="47"/>
      <c r="I6" s="47">
        <f>G6*H6</f>
        <v>0</v>
      </c>
      <c r="J6" s="47"/>
      <c r="K6" s="47"/>
      <c r="L6" s="47">
        <f>J6*K6</f>
        <v>0</v>
      </c>
    </row>
    <row r="7" spans="1:12" x14ac:dyDescent="0.3">
      <c r="B7" s="47"/>
      <c r="C7" s="47"/>
      <c r="D7" s="47"/>
      <c r="E7" s="47">
        <f t="shared" ref="E7:E41" si="0">C7*D7</f>
        <v>0</v>
      </c>
      <c r="F7" s="47" t="s">
        <v>326</v>
      </c>
      <c r="G7" s="47"/>
      <c r="H7" s="47"/>
      <c r="I7" s="47">
        <f t="shared" ref="I7:I35" si="1">G7*H7</f>
        <v>0</v>
      </c>
      <c r="J7" s="47"/>
      <c r="K7" s="47"/>
      <c r="L7" s="47">
        <f t="shared" ref="L7:L35" si="2">J7*K7</f>
        <v>0</v>
      </c>
    </row>
    <row r="8" spans="1:12" x14ac:dyDescent="0.3">
      <c r="B8" s="47"/>
      <c r="C8" s="47"/>
      <c r="D8" s="47"/>
      <c r="E8" s="47">
        <f t="shared" si="0"/>
        <v>0</v>
      </c>
      <c r="F8" s="47"/>
      <c r="G8" s="47"/>
      <c r="H8" s="47"/>
      <c r="I8" s="47">
        <f t="shared" si="1"/>
        <v>0</v>
      </c>
      <c r="J8" s="47"/>
      <c r="K8" s="47"/>
      <c r="L8" s="47">
        <f t="shared" si="2"/>
        <v>0</v>
      </c>
    </row>
    <row r="9" spans="1:12" x14ac:dyDescent="0.3">
      <c r="B9" s="47"/>
      <c r="C9" s="47"/>
      <c r="D9" s="47"/>
      <c r="E9" s="47">
        <f t="shared" si="0"/>
        <v>0</v>
      </c>
      <c r="F9" s="47" t="s">
        <v>310</v>
      </c>
      <c r="G9" s="47"/>
      <c r="H9" s="47"/>
      <c r="I9" s="47">
        <f t="shared" si="1"/>
        <v>0</v>
      </c>
      <c r="J9" s="47"/>
      <c r="K9" s="47"/>
      <c r="L9" s="47">
        <f t="shared" si="2"/>
        <v>0</v>
      </c>
    </row>
    <row r="10" spans="1:12" x14ac:dyDescent="0.3">
      <c r="B10" s="47" t="s">
        <v>311</v>
      </c>
      <c r="C10" s="47"/>
      <c r="D10" s="47"/>
      <c r="E10" s="47">
        <f t="shared" si="0"/>
        <v>0</v>
      </c>
      <c r="F10" s="47" t="s">
        <v>310</v>
      </c>
      <c r="G10" s="47"/>
      <c r="H10" s="47"/>
      <c r="I10" s="47">
        <f t="shared" si="1"/>
        <v>0</v>
      </c>
      <c r="J10" s="47"/>
      <c r="K10" s="47"/>
      <c r="L10" s="47">
        <f t="shared" si="2"/>
        <v>0</v>
      </c>
    </row>
    <row r="11" spans="1:12" x14ac:dyDescent="0.3">
      <c r="B11" s="47"/>
      <c r="C11" s="47"/>
      <c r="D11" s="47"/>
      <c r="E11" s="47">
        <f t="shared" si="0"/>
        <v>0</v>
      </c>
      <c r="F11" s="47" t="s">
        <v>312</v>
      </c>
      <c r="G11" s="47"/>
      <c r="H11" s="47"/>
      <c r="I11" s="47">
        <f t="shared" si="1"/>
        <v>0</v>
      </c>
      <c r="J11" s="47"/>
      <c r="K11" s="47"/>
      <c r="L11" s="47">
        <f t="shared" si="2"/>
        <v>0</v>
      </c>
    </row>
    <row r="12" spans="1:12" x14ac:dyDescent="0.3">
      <c r="B12" s="47"/>
      <c r="C12" s="47"/>
      <c r="D12" s="47"/>
      <c r="E12" s="47">
        <f t="shared" si="0"/>
        <v>0</v>
      </c>
      <c r="F12" s="47"/>
      <c r="G12" s="47"/>
      <c r="H12" s="47"/>
      <c r="I12" s="47">
        <f t="shared" si="1"/>
        <v>0</v>
      </c>
      <c r="J12" s="47"/>
      <c r="K12" s="47"/>
      <c r="L12" s="47">
        <f t="shared" si="2"/>
        <v>0</v>
      </c>
    </row>
    <row r="13" spans="1:12" x14ac:dyDescent="0.3">
      <c r="B13" s="47"/>
      <c r="C13" s="47"/>
      <c r="D13" s="47"/>
      <c r="E13" s="47">
        <f t="shared" si="0"/>
        <v>0</v>
      </c>
      <c r="F13" s="47"/>
      <c r="G13" s="47"/>
      <c r="H13" s="47"/>
      <c r="I13" s="47">
        <f t="shared" si="1"/>
        <v>0</v>
      </c>
      <c r="J13" s="47"/>
      <c r="K13" s="47"/>
      <c r="L13" s="47">
        <f t="shared" si="2"/>
        <v>0</v>
      </c>
    </row>
    <row r="14" spans="1:12" x14ac:dyDescent="0.3">
      <c r="B14" s="47" t="s">
        <v>313</v>
      </c>
      <c r="C14" s="47"/>
      <c r="D14" s="47"/>
      <c r="E14" s="47">
        <f t="shared" si="0"/>
        <v>0</v>
      </c>
      <c r="F14" s="47" t="s">
        <v>310</v>
      </c>
      <c r="G14" s="47"/>
      <c r="H14" s="47"/>
      <c r="I14" s="47">
        <f t="shared" si="1"/>
        <v>0</v>
      </c>
      <c r="J14" s="47"/>
      <c r="K14" s="47"/>
      <c r="L14" s="47">
        <f t="shared" si="2"/>
        <v>0</v>
      </c>
    </row>
    <row r="15" spans="1:12" x14ac:dyDescent="0.3">
      <c r="B15" s="47"/>
      <c r="C15" s="47"/>
      <c r="D15" s="47"/>
      <c r="E15" s="47">
        <f t="shared" si="0"/>
        <v>0</v>
      </c>
      <c r="F15" s="47" t="s">
        <v>312</v>
      </c>
      <c r="G15" s="47"/>
      <c r="H15" s="47"/>
      <c r="I15" s="47">
        <f t="shared" si="1"/>
        <v>0</v>
      </c>
      <c r="J15" s="47"/>
      <c r="K15" s="47"/>
      <c r="L15" s="47">
        <f t="shared" si="2"/>
        <v>0</v>
      </c>
    </row>
    <row r="16" spans="1:12" x14ac:dyDescent="0.3">
      <c r="B16" s="47"/>
      <c r="C16" s="47"/>
      <c r="D16" s="47"/>
      <c r="E16" s="47">
        <f t="shared" si="0"/>
        <v>0</v>
      </c>
      <c r="F16" s="47"/>
      <c r="G16" s="47"/>
      <c r="H16" s="47"/>
      <c r="I16" s="47">
        <f t="shared" si="1"/>
        <v>0</v>
      </c>
      <c r="J16" s="47"/>
      <c r="K16" s="47"/>
      <c r="L16" s="47">
        <f t="shared" si="2"/>
        <v>0</v>
      </c>
    </row>
    <row r="17" spans="2:12" x14ac:dyDescent="0.3">
      <c r="B17" s="47"/>
      <c r="C17" s="47"/>
      <c r="D17" s="47"/>
      <c r="E17" s="47">
        <f t="shared" si="0"/>
        <v>0</v>
      </c>
      <c r="F17" s="47"/>
      <c r="G17" s="47"/>
      <c r="H17" s="47"/>
      <c r="I17" s="47">
        <f t="shared" si="1"/>
        <v>0</v>
      </c>
      <c r="J17" s="47"/>
      <c r="K17" s="47"/>
      <c r="L17" s="47">
        <f t="shared" si="2"/>
        <v>0</v>
      </c>
    </row>
    <row r="18" spans="2:12" x14ac:dyDescent="0.3">
      <c r="B18" s="47" t="s">
        <v>314</v>
      </c>
      <c r="C18" s="47"/>
      <c r="D18" s="47"/>
      <c r="E18" s="47">
        <f t="shared" si="0"/>
        <v>0</v>
      </c>
      <c r="F18" s="47" t="s">
        <v>310</v>
      </c>
      <c r="G18" s="47"/>
      <c r="H18" s="47"/>
      <c r="I18" s="47">
        <f t="shared" si="1"/>
        <v>0</v>
      </c>
      <c r="J18" s="47"/>
      <c r="K18" s="47"/>
      <c r="L18" s="47">
        <f t="shared" si="2"/>
        <v>0</v>
      </c>
    </row>
    <row r="19" spans="2:12" x14ac:dyDescent="0.3">
      <c r="B19" s="47"/>
      <c r="C19" s="47"/>
      <c r="D19" s="47"/>
      <c r="E19" s="47">
        <f t="shared" si="0"/>
        <v>0</v>
      </c>
      <c r="F19" s="47" t="s">
        <v>312</v>
      </c>
      <c r="G19" s="47"/>
      <c r="H19" s="47"/>
      <c r="I19" s="47">
        <f t="shared" si="1"/>
        <v>0</v>
      </c>
      <c r="J19" s="47"/>
      <c r="K19" s="47"/>
      <c r="L19" s="47">
        <f t="shared" si="2"/>
        <v>0</v>
      </c>
    </row>
    <row r="20" spans="2:12" x14ac:dyDescent="0.3">
      <c r="B20" s="47"/>
      <c r="C20" s="47"/>
      <c r="D20" s="47"/>
      <c r="E20" s="47">
        <f t="shared" si="0"/>
        <v>0</v>
      </c>
      <c r="F20" s="47"/>
      <c r="G20" s="47"/>
      <c r="H20" s="47"/>
      <c r="I20" s="47">
        <f t="shared" si="1"/>
        <v>0</v>
      </c>
      <c r="J20" s="47"/>
      <c r="K20" s="47"/>
      <c r="L20" s="47">
        <f t="shared" si="2"/>
        <v>0</v>
      </c>
    </row>
    <row r="21" spans="2:12" x14ac:dyDescent="0.3">
      <c r="B21" s="47" t="s">
        <v>315</v>
      </c>
      <c r="C21" s="47"/>
      <c r="D21" s="47"/>
      <c r="E21" s="47">
        <f t="shared" si="0"/>
        <v>0</v>
      </c>
      <c r="F21" s="47" t="s">
        <v>310</v>
      </c>
      <c r="G21" s="47"/>
      <c r="H21" s="47"/>
      <c r="I21" s="47">
        <f t="shared" si="1"/>
        <v>0</v>
      </c>
      <c r="J21" s="47"/>
      <c r="K21" s="47"/>
      <c r="L21" s="47">
        <f t="shared" si="2"/>
        <v>0</v>
      </c>
    </row>
    <row r="22" spans="2:12" x14ac:dyDescent="0.3">
      <c r="B22" s="47"/>
      <c r="C22" s="47"/>
      <c r="D22" s="47"/>
      <c r="E22" s="47">
        <f t="shared" si="0"/>
        <v>0</v>
      </c>
      <c r="F22" s="47" t="s">
        <v>312</v>
      </c>
      <c r="G22" s="47"/>
      <c r="H22" s="47"/>
      <c r="I22" s="47">
        <f t="shared" si="1"/>
        <v>0</v>
      </c>
      <c r="J22" s="47"/>
      <c r="K22" s="47"/>
      <c r="L22" s="47">
        <f t="shared" si="2"/>
        <v>0</v>
      </c>
    </row>
    <row r="23" spans="2:12" x14ac:dyDescent="0.3">
      <c r="B23" s="47"/>
      <c r="C23" s="47"/>
      <c r="D23" s="47"/>
      <c r="E23" s="47">
        <f t="shared" si="0"/>
        <v>0</v>
      </c>
      <c r="F23" s="47"/>
      <c r="G23" s="47"/>
      <c r="H23" s="47"/>
      <c r="I23" s="47">
        <f t="shared" si="1"/>
        <v>0</v>
      </c>
      <c r="J23" s="47"/>
      <c r="K23" s="47"/>
      <c r="L23" s="47">
        <f t="shared" si="2"/>
        <v>0</v>
      </c>
    </row>
    <row r="24" spans="2:12" x14ac:dyDescent="0.3">
      <c r="B24" s="47" t="s">
        <v>316</v>
      </c>
      <c r="C24" s="47"/>
      <c r="D24" s="47"/>
      <c r="E24" s="47">
        <f t="shared" si="0"/>
        <v>0</v>
      </c>
      <c r="F24" s="47" t="s">
        <v>317</v>
      </c>
      <c r="G24" s="47"/>
      <c r="H24" s="47"/>
      <c r="I24" s="47">
        <f t="shared" si="1"/>
        <v>0</v>
      </c>
      <c r="J24" s="47"/>
      <c r="K24" s="47"/>
      <c r="L24" s="47">
        <f t="shared" si="2"/>
        <v>0</v>
      </c>
    </row>
    <row r="25" spans="2:12" x14ac:dyDescent="0.3">
      <c r="B25" s="47"/>
      <c r="C25" s="47"/>
      <c r="D25" s="47"/>
      <c r="E25" s="47">
        <f>C25*D25</f>
        <v>0</v>
      </c>
      <c r="F25" s="47" t="s">
        <v>317</v>
      </c>
      <c r="G25" s="47"/>
      <c r="H25" s="47"/>
      <c r="I25" s="47">
        <f>G25*H25</f>
        <v>0</v>
      </c>
      <c r="J25" s="47"/>
      <c r="K25" s="47"/>
      <c r="L25" s="47">
        <f>J25*K25</f>
        <v>0</v>
      </c>
    </row>
    <row r="26" spans="2:12" x14ac:dyDescent="0.3">
      <c r="B26" s="47"/>
      <c r="C26" s="47"/>
      <c r="D26" s="47"/>
      <c r="E26" s="47">
        <f>C26*D26</f>
        <v>0</v>
      </c>
      <c r="F26" s="47" t="s">
        <v>317</v>
      </c>
      <c r="G26" s="47"/>
      <c r="H26" s="47"/>
      <c r="I26" s="47">
        <f>G26*H26</f>
        <v>0</v>
      </c>
      <c r="J26" s="47"/>
      <c r="K26" s="47"/>
      <c r="L26" s="47">
        <f>J26*K26</f>
        <v>0</v>
      </c>
    </row>
    <row r="27" spans="2:12" x14ac:dyDescent="0.3">
      <c r="B27" s="47"/>
      <c r="C27" s="47"/>
      <c r="D27" s="47"/>
      <c r="E27" s="47">
        <f>C27*D27</f>
        <v>0</v>
      </c>
      <c r="F27" s="47" t="s">
        <v>317</v>
      </c>
      <c r="G27" s="47"/>
      <c r="H27" s="47"/>
      <c r="I27" s="47">
        <f>G27*H27</f>
        <v>0</v>
      </c>
      <c r="J27" s="47"/>
      <c r="K27" s="47"/>
      <c r="L27" s="47">
        <f>J27*K27</f>
        <v>0</v>
      </c>
    </row>
    <row r="28" spans="2:12" x14ac:dyDescent="0.3">
      <c r="B28" s="47" t="s">
        <v>318</v>
      </c>
      <c r="C28" s="47"/>
      <c r="D28" s="47"/>
      <c r="E28" s="47">
        <f t="shared" si="0"/>
        <v>0</v>
      </c>
      <c r="F28" s="47" t="s">
        <v>317</v>
      </c>
      <c r="G28" s="47"/>
      <c r="H28" s="47"/>
      <c r="I28" s="47">
        <f t="shared" si="1"/>
        <v>0</v>
      </c>
      <c r="J28" s="47"/>
      <c r="K28" s="47"/>
      <c r="L28" s="47">
        <f t="shared" si="2"/>
        <v>0</v>
      </c>
    </row>
    <row r="29" spans="2:12" x14ac:dyDescent="0.3">
      <c r="B29" s="47" t="s">
        <v>319</v>
      </c>
      <c r="C29" s="47"/>
      <c r="D29" s="47"/>
      <c r="E29" s="47">
        <f t="shared" si="0"/>
        <v>0</v>
      </c>
      <c r="F29" s="47" t="s">
        <v>317</v>
      </c>
      <c r="G29" s="47"/>
      <c r="H29" s="47"/>
      <c r="I29" s="47">
        <f t="shared" si="1"/>
        <v>0</v>
      </c>
      <c r="J29" s="47"/>
      <c r="K29" s="47"/>
      <c r="L29" s="47">
        <f t="shared" si="2"/>
        <v>0</v>
      </c>
    </row>
    <row r="30" spans="2:12" x14ac:dyDescent="0.3">
      <c r="B30" s="47" t="s">
        <v>323</v>
      </c>
      <c r="C30" s="47"/>
      <c r="D30" s="47"/>
      <c r="E30" s="47">
        <f t="shared" si="0"/>
        <v>0</v>
      </c>
      <c r="F30" s="47"/>
      <c r="G30" s="47"/>
      <c r="H30" s="47"/>
      <c r="I30" s="47">
        <f t="shared" si="1"/>
        <v>0</v>
      </c>
      <c r="J30" s="47"/>
      <c r="K30" s="47"/>
      <c r="L30" s="47">
        <f t="shared" si="2"/>
        <v>0</v>
      </c>
    </row>
    <row r="31" spans="2:12" x14ac:dyDescent="0.3">
      <c r="B31" s="47"/>
      <c r="C31" s="47"/>
      <c r="D31" s="47"/>
      <c r="E31" s="47">
        <f>C31*D31</f>
        <v>0</v>
      </c>
      <c r="F31" s="47"/>
      <c r="G31" s="47"/>
      <c r="H31" s="47"/>
      <c r="I31" s="47">
        <f>G31*H31</f>
        <v>0</v>
      </c>
      <c r="J31" s="47"/>
      <c r="K31" s="47"/>
      <c r="L31" s="47">
        <f>J31*K31</f>
        <v>0</v>
      </c>
    </row>
    <row r="32" spans="2:12" x14ac:dyDescent="0.3">
      <c r="B32" s="47"/>
      <c r="C32" s="47"/>
      <c r="D32" s="47"/>
      <c r="E32" s="47">
        <f>C32*D32</f>
        <v>0</v>
      </c>
      <c r="F32" s="47"/>
      <c r="G32" s="47"/>
      <c r="H32" s="47"/>
      <c r="I32" s="47">
        <f>G32*H32</f>
        <v>0</v>
      </c>
      <c r="J32" s="47"/>
      <c r="K32" s="47"/>
      <c r="L32" s="47">
        <f>J32*K32</f>
        <v>0</v>
      </c>
    </row>
    <row r="33" spans="2:12" x14ac:dyDescent="0.3">
      <c r="B33" s="47" t="s">
        <v>320</v>
      </c>
      <c r="C33" s="47"/>
      <c r="D33" s="47"/>
      <c r="E33" s="47">
        <f t="shared" si="0"/>
        <v>0</v>
      </c>
      <c r="F33" s="47"/>
      <c r="G33" s="47"/>
      <c r="H33" s="47"/>
      <c r="I33" s="47">
        <f t="shared" si="1"/>
        <v>0</v>
      </c>
      <c r="J33" s="47"/>
      <c r="K33" s="47"/>
      <c r="L33" s="47">
        <f t="shared" si="2"/>
        <v>0</v>
      </c>
    </row>
    <row r="34" spans="2:12" x14ac:dyDescent="0.3">
      <c r="B34" s="47" t="s">
        <v>324</v>
      </c>
      <c r="C34" s="47"/>
      <c r="D34" s="47"/>
      <c r="E34" s="47">
        <f t="shared" si="0"/>
        <v>0</v>
      </c>
      <c r="F34" s="47"/>
      <c r="G34" s="47"/>
      <c r="H34" s="47"/>
      <c r="I34" s="47">
        <f t="shared" si="1"/>
        <v>0</v>
      </c>
      <c r="J34" s="47"/>
      <c r="K34" s="47"/>
      <c r="L34" s="47">
        <f t="shared" si="2"/>
        <v>0</v>
      </c>
    </row>
    <row r="35" spans="2:12" x14ac:dyDescent="0.3">
      <c r="B35" s="47" t="s">
        <v>321</v>
      </c>
      <c r="C35" s="47"/>
      <c r="D35" s="47"/>
      <c r="E35" s="47">
        <f t="shared" si="0"/>
        <v>0</v>
      </c>
      <c r="F35" s="47"/>
      <c r="G35" s="47"/>
      <c r="H35" s="47"/>
      <c r="I35" s="47">
        <f t="shared" si="1"/>
        <v>0</v>
      </c>
      <c r="J35" s="47"/>
      <c r="K35" s="47"/>
      <c r="L35" s="47">
        <f t="shared" si="2"/>
        <v>0</v>
      </c>
    </row>
    <row r="36" spans="2:12" x14ac:dyDescent="0.3">
      <c r="B36" s="47" t="s">
        <v>322</v>
      </c>
      <c r="C36" s="47"/>
      <c r="D36" s="47"/>
      <c r="E36" s="47">
        <f t="shared" si="0"/>
        <v>0</v>
      </c>
      <c r="F36" s="47"/>
      <c r="G36" s="47"/>
      <c r="H36" s="47"/>
      <c r="I36" s="47">
        <f t="shared" ref="I36:I41" si="3">G36*H36</f>
        <v>0</v>
      </c>
      <c r="J36" s="47"/>
      <c r="K36" s="47"/>
      <c r="L36" s="47">
        <f t="shared" ref="L36:L41" si="4">J36*K36</f>
        <v>0</v>
      </c>
    </row>
    <row r="37" spans="2:12" x14ac:dyDescent="0.3">
      <c r="B37" s="47"/>
      <c r="C37" s="47"/>
      <c r="D37" s="47"/>
      <c r="E37" s="47">
        <f>C37*D37</f>
        <v>0</v>
      </c>
      <c r="F37" s="47"/>
      <c r="G37" s="47"/>
      <c r="H37" s="47"/>
      <c r="I37" s="47">
        <f t="shared" si="3"/>
        <v>0</v>
      </c>
      <c r="J37" s="47"/>
      <c r="K37" s="47"/>
      <c r="L37" s="47">
        <f t="shared" si="4"/>
        <v>0</v>
      </c>
    </row>
    <row r="38" spans="2:12" x14ac:dyDescent="0.3">
      <c r="B38" s="47" t="s">
        <v>325</v>
      </c>
      <c r="C38" s="47"/>
      <c r="D38" s="47"/>
      <c r="E38" s="47">
        <f>C38*D38</f>
        <v>0</v>
      </c>
      <c r="F38" s="47"/>
      <c r="G38" s="47"/>
      <c r="H38" s="47"/>
      <c r="I38" s="47">
        <f t="shared" si="3"/>
        <v>0</v>
      </c>
      <c r="J38" s="47"/>
      <c r="K38" s="47"/>
      <c r="L38" s="47">
        <f t="shared" si="4"/>
        <v>0</v>
      </c>
    </row>
    <row r="39" spans="2:12" x14ac:dyDescent="0.3">
      <c r="B39" s="47"/>
      <c r="C39" s="47"/>
      <c r="D39" s="47"/>
      <c r="E39" s="47">
        <f t="shared" si="0"/>
        <v>0</v>
      </c>
      <c r="F39" s="47"/>
      <c r="G39" s="47"/>
      <c r="H39" s="47"/>
      <c r="I39" s="47">
        <f t="shared" si="3"/>
        <v>0</v>
      </c>
      <c r="J39" s="47"/>
      <c r="K39" s="47"/>
      <c r="L39" s="47">
        <f t="shared" si="4"/>
        <v>0</v>
      </c>
    </row>
    <row r="40" spans="2:12" x14ac:dyDescent="0.3">
      <c r="B40" s="47"/>
      <c r="C40" s="47"/>
      <c r="D40" s="47"/>
      <c r="E40" s="47">
        <f t="shared" si="0"/>
        <v>0</v>
      </c>
      <c r="F40" s="47"/>
      <c r="G40" s="47"/>
      <c r="H40" s="47"/>
      <c r="I40" s="47">
        <f t="shared" si="3"/>
        <v>0</v>
      </c>
      <c r="J40" s="47"/>
      <c r="K40" s="47"/>
      <c r="L40" s="47">
        <f t="shared" si="4"/>
        <v>0</v>
      </c>
    </row>
    <row r="41" spans="2:12" x14ac:dyDescent="0.3">
      <c r="B41" s="47"/>
      <c r="C41" s="47"/>
      <c r="D41" s="47"/>
      <c r="E41" s="47">
        <f t="shared" si="0"/>
        <v>0</v>
      </c>
      <c r="F41" s="47"/>
      <c r="G41" s="47"/>
      <c r="H41" s="47"/>
      <c r="I41" s="47">
        <f t="shared" si="3"/>
        <v>0</v>
      </c>
      <c r="J41" s="47"/>
      <c r="K41" s="47"/>
      <c r="L41" s="47">
        <f t="shared" si="4"/>
        <v>0</v>
      </c>
    </row>
    <row r="42" spans="2:12" x14ac:dyDescent="0.3">
      <c r="B42" s="47" t="s">
        <v>149</v>
      </c>
      <c r="C42" s="47"/>
      <c r="D42" s="47">
        <f>E42*10.764</f>
        <v>0</v>
      </c>
      <c r="E42" s="62">
        <f>SUM(E6:E41)</f>
        <v>0</v>
      </c>
      <c r="F42" s="47"/>
      <c r="G42" s="47"/>
      <c r="H42" s="47">
        <f>I42*10.764</f>
        <v>0</v>
      </c>
      <c r="I42" s="61">
        <f>SUM(I6:I41)</f>
        <v>0</v>
      </c>
      <c r="J42" s="47"/>
      <c r="K42" s="47">
        <f>L42*10.764</f>
        <v>0</v>
      </c>
      <c r="L42" s="60">
        <f>SUM(L6:L41)</f>
        <v>0</v>
      </c>
    </row>
    <row r="44" spans="2:12" x14ac:dyDescent="0.3">
      <c r="D44" s="46">
        <f>D42+H42</f>
        <v>0</v>
      </c>
      <c r="E44" s="4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2025-09-30T08:58:30Z</cp:lastPrinted>
  <dcterms:created xsi:type="dcterms:W3CDTF">2019-07-16T09:29:46Z</dcterms:created>
  <dcterms:modified xsi:type="dcterms:W3CDTF">2025-09-30T08:58:30Z</dcterms:modified>
</cp:coreProperties>
</file>