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BD521C86-AC10-4C3F-8ACC-0BEC2BC1F51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5" i="1" l="1"/>
  <c r="D215" i="1"/>
  <c r="D225" i="1"/>
  <c r="D224" i="1"/>
  <c r="D223" i="1"/>
  <c r="D222" i="1"/>
  <c r="D221" i="1"/>
  <c r="D220" i="1"/>
  <c r="D219" i="1"/>
  <c r="D218" i="1"/>
  <c r="D217" i="1"/>
  <c r="D216" i="1"/>
  <c r="G215" i="1"/>
  <c r="E165" i="1"/>
  <c r="E163" i="1"/>
  <c r="E162" i="1"/>
  <c r="E161" i="1"/>
  <c r="E160" i="1"/>
  <c r="E159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15" i="1"/>
  <c r="K115" i="1"/>
  <c r="D128" i="1"/>
  <c r="D129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4" i="1"/>
  <c r="D113" i="1"/>
  <c r="D112" i="1"/>
  <c r="D111" i="1"/>
  <c r="E41" i="1"/>
  <c r="F215" i="1" l="1"/>
  <c r="G102" i="1" s="1"/>
  <c r="J215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09" i="1"/>
  <c r="I180" i="1"/>
  <c r="I181" i="1"/>
  <c r="I182" i="1"/>
  <c r="I183" i="1"/>
  <c r="I184" i="1"/>
  <c r="I185" i="1"/>
  <c r="I186" i="1"/>
  <c r="I187" i="1"/>
  <c r="I188" i="1"/>
  <c r="I189" i="1"/>
  <c r="I179" i="1"/>
  <c r="C98" i="1"/>
  <c r="G97" i="1"/>
  <c r="G99" i="1" s="1"/>
  <c r="G98" i="1"/>
  <c r="E98" i="1"/>
  <c r="L213" i="1"/>
  <c r="I213" i="1"/>
  <c r="D213" i="1"/>
  <c r="N213" i="1" s="1"/>
  <c r="K212" i="1"/>
  <c r="I212" i="1"/>
  <c r="D212" i="1"/>
  <c r="N212" i="1" s="1"/>
  <c r="L211" i="1"/>
  <c r="K211" i="1"/>
  <c r="I211" i="1"/>
  <c r="D211" i="1"/>
  <c r="I210" i="1"/>
  <c r="D210" i="1"/>
  <c r="I209" i="1"/>
  <c r="I208" i="1"/>
  <c r="D208" i="1"/>
  <c r="I207" i="1"/>
  <c r="D207" i="1"/>
  <c r="I206" i="1"/>
  <c r="D206" i="1"/>
  <c r="I205" i="1"/>
  <c r="D205" i="1"/>
  <c r="N205" i="1" s="1"/>
  <c r="I204" i="1"/>
  <c r="D204" i="1"/>
  <c r="N204" i="1" s="1"/>
  <c r="I203" i="1"/>
  <c r="G203" i="1"/>
  <c r="D203" i="1"/>
  <c r="N203" i="1" s="1"/>
  <c r="L201" i="1"/>
  <c r="I201" i="1"/>
  <c r="D201" i="1"/>
  <c r="N201" i="1" s="1"/>
  <c r="K200" i="1"/>
  <c r="I200" i="1"/>
  <c r="D200" i="1"/>
  <c r="N200" i="1" s="1"/>
  <c r="L199" i="1"/>
  <c r="K199" i="1"/>
  <c r="I199" i="1"/>
  <c r="D199" i="1"/>
  <c r="I198" i="1"/>
  <c r="D198" i="1"/>
  <c r="I197" i="1"/>
  <c r="I196" i="1"/>
  <c r="D196" i="1"/>
  <c r="I195" i="1"/>
  <c r="D195" i="1"/>
  <c r="I194" i="1"/>
  <c r="D194" i="1"/>
  <c r="I193" i="1"/>
  <c r="D193" i="1"/>
  <c r="N193" i="1" s="1"/>
  <c r="I192" i="1"/>
  <c r="D192" i="1"/>
  <c r="N192" i="1" s="1"/>
  <c r="I191" i="1"/>
  <c r="G191" i="1"/>
  <c r="D191" i="1"/>
  <c r="N191" i="1" s="1"/>
  <c r="D183" i="1"/>
  <c r="D181" i="1"/>
  <c r="D180" i="1"/>
  <c r="D185" i="1"/>
  <c r="G179" i="1"/>
  <c r="D176" i="1"/>
  <c r="D174" i="1"/>
  <c r="D173" i="1"/>
  <c r="D172" i="1"/>
  <c r="D171" i="1"/>
  <c r="D170" i="1"/>
  <c r="G168" i="1"/>
  <c r="G157" i="1"/>
  <c r="A171" i="1"/>
  <c r="A172" i="1" s="1"/>
  <c r="A174" i="1" s="1"/>
  <c r="G103" i="1" l="1"/>
  <c r="D165" i="1"/>
  <c r="D159" i="1"/>
  <c r="D163" i="1"/>
  <c r="D162" i="1"/>
  <c r="D161" i="1"/>
  <c r="D160" i="1"/>
  <c r="O145" i="1"/>
  <c r="O142" i="1"/>
  <c r="O143" i="1" s="1"/>
  <c r="N132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O131" i="1"/>
  <c r="N131" i="1"/>
  <c r="G131" i="1"/>
  <c r="D110" i="1"/>
  <c r="D109" i="1"/>
  <c r="C50" i="1"/>
  <c r="E97" i="1" l="1"/>
  <c r="E99" i="1" s="1"/>
  <c r="C97" i="1"/>
  <c r="C99" i="1" s="1"/>
  <c r="O123" i="1"/>
  <c r="O120" i="1"/>
  <c r="O121" i="1" s="1"/>
  <c r="L187" i="1"/>
  <c r="K188" i="1"/>
  <c r="K187" i="1"/>
  <c r="L189" i="1"/>
  <c r="O109" i="1"/>
  <c r="N109" i="1"/>
  <c r="D189" i="1"/>
  <c r="N189" i="1" s="1"/>
  <c r="D188" i="1"/>
  <c r="N188" i="1" s="1"/>
  <c r="D187" i="1"/>
  <c r="D186" i="1"/>
  <c r="D184" i="1"/>
  <c r="D182" i="1"/>
  <c r="E102" i="1" s="1"/>
  <c r="E103" i="1" s="1"/>
  <c r="N181" i="1"/>
  <c r="N180" i="1"/>
  <c r="D179" i="1"/>
  <c r="N179" i="1" s="1"/>
  <c r="C102" i="1" l="1"/>
  <c r="C103" i="1" s="1"/>
  <c r="A160" i="1"/>
  <c r="A161" i="1" s="1"/>
  <c r="A163" i="1" s="1"/>
  <c r="N110" i="1" l="1"/>
  <c r="C14" i="1"/>
  <c r="E29" i="1" l="1"/>
  <c r="F94" i="1" l="1"/>
  <c r="B228" i="1" l="1"/>
  <c r="B22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2" i="1"/>
  <c r="A110" i="1"/>
  <c r="G109" i="1"/>
  <c r="J78" i="1"/>
  <c r="J77" i="1"/>
  <c r="J76" i="1"/>
  <c r="J75" i="1"/>
  <c r="C67" i="1"/>
  <c r="D56" i="1"/>
  <c r="G49" i="1"/>
  <c r="C49" i="1"/>
  <c r="E42" i="1"/>
  <c r="E43" i="1" s="1"/>
  <c r="E26" i="1"/>
  <c r="E24" i="1"/>
  <c r="E7" i="1"/>
  <c r="E3" i="1"/>
  <c r="H68" i="1"/>
  <c r="A111" i="1" l="1"/>
  <c r="D6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A112" i="1" l="1"/>
  <c r="A113" i="1" s="1"/>
  <c r="A114" i="1" s="1"/>
  <c r="A115" i="1" s="1"/>
  <c r="A116" i="1" s="1"/>
  <c r="A117" i="1" s="1"/>
  <c r="A118" i="1" s="1"/>
  <c r="A119" i="1" s="1"/>
  <c r="A120" i="1" s="1"/>
  <c r="D73" i="1"/>
  <c r="J69" i="1"/>
  <c r="E71" i="1"/>
  <c r="D72" i="1"/>
  <c r="G71" i="1"/>
  <c r="D65" i="1" s="1"/>
  <c r="D66" i="1" s="1"/>
  <c r="D71" i="1"/>
  <c r="A121" i="1" l="1"/>
  <c r="A122" i="1" s="1"/>
  <c r="A123" i="1" s="1"/>
  <c r="A124" i="1" s="1"/>
  <c r="I68" i="1"/>
  <c r="J68" i="1"/>
  <c r="F66" i="1"/>
  <c r="A125" i="1" l="1"/>
  <c r="A126" i="1" s="1"/>
  <c r="A127" i="1" s="1"/>
  <c r="A128" i="1" s="1"/>
  <c r="I69" i="1"/>
  <c r="I67" i="1" s="1"/>
  <c r="C69" i="1" s="1"/>
  <c r="A129" i="1" l="1"/>
</calcChain>
</file>

<file path=xl/sharedStrings.xml><?xml version="1.0" encoding="utf-8"?>
<sst xmlns="http://schemas.openxmlformats.org/spreadsheetml/2006/main" count="396" uniqueCount="247">
  <si>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</si>
  <si>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</si>
  <si>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</si>
  <si>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</si>
  <si>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</si>
  <si>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</si>
  <si>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</si>
  <si>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</si>
  <si>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</si>
  <si>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</si>
  <si>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</si>
  <si>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</si>
  <si>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</si>
  <si>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</si>
  <si>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</si>
  <si>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</si>
  <si>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</si>
  <si>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</si>
  <si>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</si>
  <si>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</si>
  <si>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</si>
  <si>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</si>
  <si>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</si>
  <si>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</si>
  <si>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</si>
  <si>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</si>
  <si>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</si>
  <si>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</si>
  <si>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</si>
  <si>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</si>
  <si>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</si>
  <si>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</si>
  <si>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</si>
  <si>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</si>
  <si>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</si>
  <si>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</si>
  <si>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</si>
  <si>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</si>
  <si>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</si>
  <si>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</si>
  <si>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</si>
  <si>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</si>
  <si>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</si>
  <si>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</si>
  <si>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</si>
  <si>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</si>
  <si>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</si>
  <si>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</si>
  <si>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</si>
  <si>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</si>
  <si>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</si>
  <si>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</si>
  <si>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</si>
  <si>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</si>
  <si>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</si>
  <si>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</si>
  <si>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</si>
  <si>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</si>
  <si>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</si>
  <si>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</si>
  <si>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</si>
  <si>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</si>
  <si>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</si>
  <si>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</si>
  <si>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</si>
  <si>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</si>
  <si>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</si>
  <si>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</si>
  <si>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</si>
  <si>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</si>
  <si>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</si>
  <si>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</si>
  <si>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</si>
  <si>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</si>
  <si>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</si>
  <si>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</si>
  <si>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</si>
  <si>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</si>
  <si>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</si>
  <si>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</si>
  <si>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</si>
  <si>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</si>
  <si>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</si>
  <si>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</si>
  <si>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</si>
  <si>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</si>
  <si>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</si>
  <si>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</si>
  <si>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</si>
  <si>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</si>
  <si>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</si>
  <si>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</si>
  <si>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</si>
  <si>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</si>
  <si>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</si>
  <si>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</si>
  <si>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</si>
  <si>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</si>
  <si>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</si>
  <si>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</si>
  <si>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</si>
  <si>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</si>
  <si>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</si>
  <si>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</si>
  <si>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</si>
  <si>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</si>
  <si>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</si>
  <si>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</si>
  <si>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</si>
  <si>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</si>
  <si>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</si>
  <si>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</si>
  <si>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</si>
  <si>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</si>
  <si>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</si>
  <si>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</si>
  <si>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</si>
  <si>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</si>
  <si>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</si>
  <si>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</si>
  <si>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</si>
  <si>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</si>
  <si>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</si>
  <si>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</si>
  <si>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</si>
  <si>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</si>
  <si>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</si>
  <si>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</si>
  <si>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</si>
  <si>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</si>
  <si>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</si>
  <si>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</si>
  <si>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</si>
  <si>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</si>
  <si>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</si>
  <si>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</si>
  <si>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</si>
  <si>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</si>
  <si>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</si>
  <si>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</si>
  <si>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</si>
  <si>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</si>
  <si>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</si>
  <si>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</si>
  <si>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</si>
  <si>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</si>
  <si>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</si>
  <si>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</si>
  <si>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</si>
  <si>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</si>
  <si>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</si>
  <si>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</si>
  <si>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</si>
  <si>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</si>
  <si>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</si>
  <si>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</si>
  <si>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</si>
  <si>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</si>
  <si>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</si>
  <si>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</si>
  <si>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</si>
  <si>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</si>
  <si>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</si>
  <si>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</si>
  <si>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</si>
  <si>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</si>
  <si>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</si>
  <si>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</si>
  <si>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</si>
  <si>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</si>
  <si>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</si>
  <si>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</si>
  <si>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</si>
  <si>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Shree Ganesh Enterprises</t>
  </si>
  <si>
    <t>Delta Elite</t>
  </si>
  <si>
    <t>Approved Plans, CC, Builder Saleable Area, Cost Sheet</t>
  </si>
  <si>
    <t>P52000046549</t>
  </si>
  <si>
    <t>Plot No</t>
  </si>
  <si>
    <t>01, Sector No. 04</t>
  </si>
  <si>
    <t>Pushpak Nagar</t>
  </si>
  <si>
    <t>Raigad</t>
  </si>
  <si>
    <t>Panvel</t>
  </si>
  <si>
    <t>Bhagwati Elysia</t>
  </si>
  <si>
    <t>Internal Road</t>
  </si>
  <si>
    <t>Open Plot</t>
  </si>
  <si>
    <t>7 KM from Khandeshwar Railway Station</t>
  </si>
  <si>
    <t xml:space="preserve">Khandeshwar </t>
  </si>
  <si>
    <t>City and Industrial Development Corporation of Maharashtra (CIDCO)</t>
  </si>
  <si>
    <t>As per RERA - 31/08/2026</t>
  </si>
  <si>
    <t>Shop</t>
  </si>
  <si>
    <t>3BHK</t>
  </si>
  <si>
    <t>2BHK</t>
  </si>
  <si>
    <t>1BHK</t>
  </si>
  <si>
    <t xml:space="preserve">Builder
Saleable area </t>
  </si>
  <si>
    <t>We considered Gross carpet area = Net carpet + Chajja Area</t>
  </si>
  <si>
    <t>Flats</t>
  </si>
  <si>
    <t>Valid Up to (Dated)</t>
  </si>
  <si>
    <t>Valid Up to:</t>
  </si>
  <si>
    <t xml:space="preserve">Airports Authority of India (NOC) Certificate 
Valid Up to: </t>
  </si>
  <si>
    <t>NAVI/WEST/B/072918/323766
51.91M (AMSL)</t>
  </si>
  <si>
    <t>Vitrified tiles flooring, Kitchen Platform, Decorative Entrance, Etc.</t>
  </si>
  <si>
    <t>CIDCO/BP-17923/TPO(NM &amp; K)/2021/10002</t>
  </si>
  <si>
    <t>Basement Floor for Parking</t>
  </si>
  <si>
    <t>Office</t>
  </si>
  <si>
    <t>4th to 6th, 8th to 10th Floor</t>
  </si>
  <si>
    <t>7th Floor (Part Refuge Area)</t>
  </si>
  <si>
    <t>Refuge Area</t>
  </si>
  <si>
    <t>11th Floor (Part Refuge Area)</t>
  </si>
  <si>
    <t xml:space="preserve">We have updated revised plans &amp; CC (on 23/12/2022).
</t>
  </si>
  <si>
    <t>B + Gr + 2P + 3rd to 12th Floor</t>
  </si>
  <si>
    <t>B + Gr + 1st to 12th Floor</t>
  </si>
  <si>
    <t>6000 to 5500</t>
  </si>
  <si>
    <t xml:space="preserve">BSA increased </t>
  </si>
  <si>
    <t>Smith</t>
  </si>
  <si>
    <t>Latitude, Longitude</t>
  </si>
  <si>
    <t>Recommended rate of the Flat Per Sq. Ft. (Including all other charges)</t>
  </si>
  <si>
    <t>5500 to 6250</t>
  </si>
  <si>
    <t>including all other charges</t>
  </si>
  <si>
    <t>Sanjay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</si>
  <si>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</si>
  <si>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18.975163,73.077843</t>
  </si>
  <si>
    <t>https://maps.app.goo.gl/TQTUZZsddaVg7mnY9</t>
  </si>
  <si>
    <t>Plot No. 27</t>
  </si>
  <si>
    <t>24.00 M. Wide Road</t>
  </si>
  <si>
    <t>18.00 M. Wide Road</t>
  </si>
  <si>
    <t>Plot No. 02</t>
  </si>
  <si>
    <t>Parking</t>
  </si>
  <si>
    <t>-</t>
  </si>
  <si>
    <t>12th Floor</t>
  </si>
  <si>
    <t>1RK</t>
  </si>
  <si>
    <t xml:space="preserve">We have updated approved 12th Floor plan (on 03/10/2024).
</t>
  </si>
  <si>
    <t>Total</t>
  </si>
  <si>
    <t>Grand Total</t>
  </si>
  <si>
    <t>Flats - 109, Shops - 21, Offices - 23</t>
  </si>
  <si>
    <t>Void</t>
  </si>
  <si>
    <t>Club House &amp; Society Office</t>
  </si>
  <si>
    <t>2nd Floor for Residential &amp; Parking</t>
  </si>
  <si>
    <t>3rd Floor for Residential, Club House, Society Office, Garden &amp; Swimming Pool</t>
  </si>
  <si>
    <t>Ground Floor for Commercial, Entrance Lobby &amp; Parking</t>
  </si>
  <si>
    <t>1st Floor for Commercial &amp; Parking</t>
  </si>
  <si>
    <t xml:space="preserve">Sale area 1570 to 1826 for vice president smith </t>
  </si>
  <si>
    <t xml:space="preserve">Recommended Rates/Other Charges of the Property have been revised on 23/12/2022, 27/04/2023 &amp; 30/10/2024.
</t>
  </si>
  <si>
    <t xml:space="preserve">Please provide 13th Floor Revised Plan.
</t>
  </si>
  <si>
    <t>B + Gr + 1st to 13th Floor</t>
  </si>
  <si>
    <t>Finishing work is in process at the time of Visit.</t>
  </si>
  <si>
    <t>Anish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</si>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</sst>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9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23" fillId="2" borderId="29" xfId="0" applyFont="1" applyFill="1" applyBorder="1"/>
    <xf numFmtId="0" fontId="24" fillId="0" borderId="30" xfId="0" applyFont="1" applyBorder="1"/>
    <xf numFmtId="0" fontId="24" fillId="0" borderId="1" xfId="0" applyFont="1" applyBorder="1"/>
    <xf numFmtId="0" fontId="24" fillId="0" borderId="4" xfId="0" applyFont="1" applyBorder="1"/>
    <xf numFmtId="0" fontId="11" fillId="0" borderId="1" xfId="1" applyFont="1" applyBorder="1" applyAlignment="1" applyProtection="1">
      <alignment horizontal="center" vertical="top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9" fontId="11" fillId="0" borderId="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>
      <alignment horizontal="center" vertical="center"/>
    </xf>
    <xf numFmtId="168" fontId="11" fillId="0" borderId="0" xfId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2" borderId="0" xfId="1" applyFont="1" applyFill="1"/>
    <xf numFmtId="14" fontId="6" fillId="2" borderId="0" xfId="1" applyNumberFormat="1" applyFont="1" applyFill="1"/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7" xfId="1" applyNumberFormat="1" applyFont="1" applyBorder="1" applyAlignment="1" applyProtection="1">
      <alignment horizontal="center" vertical="center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16" xfId="1" applyNumberFormat="1" applyFont="1" applyBorder="1" applyAlignment="1" applyProtection="1">
      <alignment horizontal="center" vertical="center" wrapText="1"/>
      <protection locked="0"/>
    </xf>
    <xf numFmtId="1" fontId="11" fillId="0" borderId="17" xfId="1" applyNumberFormat="1" applyFont="1" applyBorder="1" applyAlignment="1" applyProtection="1">
      <alignment horizontal="center" vertical="center" wrapText="1"/>
      <protection locked="0"/>
    </xf>
    <xf numFmtId="1" fontId="11" fillId="0" borderId="24" xfId="1" applyNumberFormat="1" applyFont="1" applyBorder="1" applyAlignment="1" applyProtection="1">
      <alignment horizontal="center" vertical="center" wrapText="1"/>
      <protection locked="0"/>
    </xf>
    <xf numFmtId="1" fontId="11" fillId="0" borderId="25" xfId="1" applyNumberFormat="1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0" borderId="19" xfId="1" applyNumberFormat="1" applyFont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top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9" fontId="11" fillId="0" borderId="16" xfId="8" applyFont="1" applyFill="1" applyBorder="1" applyAlignment="1" applyProtection="1">
      <alignment horizontal="center" vertical="center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4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9" xfId="8" applyFont="1" applyFill="1" applyBorder="1" applyAlignment="1" applyProtection="1">
      <alignment horizontal="center" vertical="center" wrapText="1"/>
      <protection locked="0"/>
    </xf>
    <xf numFmtId="9" fontId="11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14" fontId="11" fillId="0" borderId="7" xfId="1" applyNumberFormat="1" applyFont="1" applyBorder="1" applyAlignment="1" applyProtection="1">
      <alignment horizontal="left" vertical="top" wrapText="1"/>
      <protection locked="0"/>
    </xf>
    <xf numFmtId="14" fontId="11" fillId="0" borderId="8" xfId="1" applyNumberFormat="1" applyFont="1" applyBorder="1" applyAlignment="1" applyProtection="1">
      <alignment horizontal="left" vertical="top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3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4" xfId="1" applyNumberFormat="1" applyFont="1" applyBorder="1" applyAlignment="1" applyProtection="1">
      <alignment horizontal="center" vertical="center" wrapText="1"/>
      <protection locked="0"/>
    </xf>
    <xf numFmtId="1" fontId="5" fillId="0" borderId="25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11" fillId="0" borderId="23" xfId="1" applyNumberFormat="1" applyFont="1" applyBorder="1" applyAlignment="1" applyProtection="1">
      <alignment horizontal="center" vertical="center" wrapText="1"/>
      <protection locked="0"/>
    </xf>
    <xf numFmtId="1" fontId="11" fillId="0" borderId="31" xfId="1" applyNumberFormat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left"/>
      <protection locked="0"/>
    </xf>
    <xf numFmtId="0" fontId="9" fillId="0" borderId="20" xfId="1" applyFont="1" applyBorder="1" applyAlignment="1" applyProtection="1">
      <alignment horizontal="left"/>
      <protection locked="0"/>
    </xf>
    <xf numFmtId="0" fontId="9" fillId="0" borderId="8" xfId="1" applyFont="1" applyBorder="1" applyAlignment="1" applyProtection="1">
      <alignment horizontal="left"/>
      <protection locked="0"/>
    </xf>
    <xf numFmtId="1" fontId="7" fillId="3" borderId="7" xfId="0" applyNumberFormat="1" applyFont="1" applyFill="1" applyBorder="1" applyAlignment="1" applyProtection="1">
      <alignment vertical="top" wrapText="1"/>
      <protection locked="0"/>
    </xf>
    <xf numFmtId="1" fontId="7" fillId="3" borderId="20" xfId="0" applyNumberFormat="1" applyFont="1" applyFill="1" applyBorder="1" applyAlignment="1" applyProtection="1">
      <alignment vertical="top" wrapText="1"/>
      <protection locked="0"/>
    </xf>
    <xf numFmtId="1" fontId="7" fillId="3" borderId="8" xfId="0" applyNumberFormat="1" applyFont="1" applyFill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7" fillId="0" borderId="33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244849</xdr:colOff>
      <xdr:row>297</xdr:row>
      <xdr:rowOff>59952</xdr:rowOff>
    </xdr:from>
    <xdr:to>
      <xdr:col>7</xdr:col>
      <xdr:colOff>253756</xdr:colOff>
      <xdr:row>319</xdr:row>
      <xdr:rowOff>154639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849" y="61580246"/>
          <a:ext cx="4950701" cy="453221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661147</xdr:colOff>
      <xdr:row>95</xdr:row>
      <xdr:rowOff>33618</xdr:rowOff>
    </xdr:from>
    <xdr:to>
      <xdr:col>10</xdr:col>
      <xdr:colOff>695640</xdr:colOff>
      <xdr:row>102</xdr:row>
      <xdr:rowOff>67614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059" y="20103353"/>
          <a:ext cx="1961905" cy="14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134470</xdr:colOff>
      <xdr:row>331</xdr:row>
      <xdr:rowOff>11206</xdr:rowOff>
    </xdr:from>
    <xdr:to>
      <xdr:col>7</xdr:col>
      <xdr:colOff>504265</xdr:colOff>
      <xdr:row>363</xdr:row>
      <xdr:rowOff>11206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919330" y="66754786"/>
          <a:ext cx="5429475" cy="6339840"/>
          <a:chOff x="534836" y="276046"/>
          <a:chExt cx="5520906" cy="7712014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34836" y="276046"/>
            <a:ext cx="5520906" cy="38991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854014" y="4330460"/>
            <a:ext cx="4882551" cy="3657600"/>
            <a:chOff x="854013" y="4330460"/>
            <a:chExt cx="4882551" cy="36576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854013" y="4330460"/>
              <a:ext cx="4882551" cy="36576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 rot="2776425">
              <a:off x="2712142" y="5685181"/>
              <a:ext cx="980977" cy="897147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8</xdr:col>
      <xdr:colOff>577215</xdr:colOff>
      <xdr:row>251</xdr:row>
      <xdr:rowOff>137160</xdr:rowOff>
    </xdr:from>
    <xdr:to>
      <xdr:col>16</xdr:col>
      <xdr:colOff>200084</xdr:colOff>
      <xdr:row>284</xdr:row>
      <xdr:rowOff>117009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64868458-1C2F-4F6C-B3A3-01A4314DA3E1}"/>
            </a:ext>
          </a:extLst>
        </xdr:cNvPr>
        <xdr:cNvGrpSpPr/>
      </xdr:nvGrpSpPr>
      <xdr:grpSpPr>
        <a:xfrm>
          <a:off x="7823835" y="52029360"/>
          <a:ext cx="6336089" cy="6510189"/>
          <a:chOff x="346436" y="422460"/>
          <a:chExt cx="6187499" cy="6571149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6A05C65-1EC3-44D0-8DFA-E9F8182F1C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36" y="422460"/>
            <a:ext cx="3673843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B15C0BFA-C9C0-478B-806E-F43D1FA93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6737" y="422460"/>
            <a:ext cx="229482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E008802E-7469-412A-A598-4C4E2C0350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36" y="3084344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BE802DBD-DD08-47B6-BE68-7FFE85BD7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9538" y="31010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33F5FB16-0343-48D7-AE8E-0C32A7F146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5010" y="31010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F019AD87-3C51-4FE1-A876-780C90FDD9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0482" y="31010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DC2880AB-294C-4D1F-99CD-DA8736C0AE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8673" y="519360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5E25E6F4-26F5-4FC6-AB56-AD4FE7862E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4847" y="5193609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579120</xdr:colOff>
      <xdr:row>253</xdr:row>
      <xdr:rowOff>22860</xdr:rowOff>
    </xdr:from>
    <xdr:to>
      <xdr:col>7</xdr:col>
      <xdr:colOff>875787</xdr:colOff>
      <xdr:row>290</xdr:row>
      <xdr:rowOff>186184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BB2DDA4-F5C5-07D0-5EA9-66DA5E6EBA4E}"/>
            </a:ext>
          </a:extLst>
        </xdr:cNvPr>
        <xdr:cNvGrpSpPr/>
      </xdr:nvGrpSpPr>
      <xdr:grpSpPr>
        <a:xfrm>
          <a:off x="579120" y="52311300"/>
          <a:ext cx="6141207" cy="7486144"/>
          <a:chOff x="422569" y="288928"/>
          <a:chExt cx="6141207" cy="748614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7F8CB7A-DD42-2A0E-7B81-D48A8AF4D004}"/>
              </a:ext>
            </a:extLst>
          </xdr:cNvPr>
          <xdr:cNvGrpSpPr/>
        </xdr:nvGrpSpPr>
        <xdr:grpSpPr>
          <a:xfrm>
            <a:off x="1531635" y="3312000"/>
            <a:ext cx="3923074" cy="2520000"/>
            <a:chOff x="2250969" y="3312000"/>
            <a:chExt cx="3923074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8A62D125-381E-8CC6-0E61-74BFE99FFF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6012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DD83BBFB-FE15-1A28-841E-927A4CB944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0969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7A0E7A0-749E-68D4-E285-8F652E4F2F6C}"/>
              </a:ext>
            </a:extLst>
          </xdr:cNvPr>
          <xdr:cNvGrpSpPr/>
        </xdr:nvGrpSpPr>
        <xdr:grpSpPr>
          <a:xfrm>
            <a:off x="422569" y="288928"/>
            <a:ext cx="6141207" cy="2880000"/>
            <a:chOff x="302555" y="288928"/>
            <a:chExt cx="6141207" cy="288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DAF4140-1458-4455-C9B8-73E050B9C4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2555" y="288928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6B540D03-E495-8654-371F-0BBC140616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6012" y="288928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DCECDB71-5E7D-3983-2180-1B13A4A3EADC}"/>
              </a:ext>
            </a:extLst>
          </xdr:cNvPr>
          <xdr:cNvGrpSpPr/>
        </xdr:nvGrpSpPr>
        <xdr:grpSpPr>
          <a:xfrm>
            <a:off x="1546480" y="5975072"/>
            <a:ext cx="3893384" cy="1800000"/>
            <a:chOff x="2790406" y="5975072"/>
            <a:chExt cx="3893384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509BAD9-EB64-87BD-5057-DA61FAFBC1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0406" y="597507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9BBB0ECF-E695-D12C-A0E8-3688B3FA63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6012" y="5975072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TQTUZZsddaVg7mnY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30"/>
  <sheetViews>
    <sheetView tabSelected="1" view="pageBreakPreview" zoomScaleNormal="100" zoomScaleSheetLayoutView="100" workbookViewId="0">
      <selection activeCell="K6" sqref="K6"/>
    </sheetView>
  </sheetViews>
  <sheetFormatPr defaultColWidth="9.109375" defaultRowHeight="15.6" x14ac:dyDescent="0.3"/>
  <cols>
    <col min="1" max="1" width="11.44140625" style="35" customWidth="1"/>
    <col min="2" max="2" width="12" style="35" customWidth="1"/>
    <col min="3" max="3" width="12.6640625" style="35" customWidth="1"/>
    <col min="4" max="4" width="14.109375" style="35" customWidth="1"/>
    <col min="5" max="7" width="11.6640625" style="35" customWidth="1"/>
    <col min="8" max="8" width="20.44140625" style="35" customWidth="1"/>
    <col min="9" max="9" width="17.44140625" style="17" customWidth="1"/>
    <col min="10" max="10" width="11.44140625" style="17" customWidth="1"/>
    <col min="11" max="11" width="10.5546875" style="17" bestFit="1" customWidth="1"/>
    <col min="12" max="12" width="12.44140625" style="17" bestFit="1" customWidth="1"/>
    <col min="13" max="13" width="11.88671875" style="17" customWidth="1"/>
    <col min="14" max="14" width="12.5546875" style="17" customWidth="1"/>
    <col min="15" max="15" width="9.88671875" style="17" customWidth="1"/>
    <col min="16" max="16" width="11.6640625" style="17" customWidth="1"/>
    <col min="17" max="247" width="9.109375" style="17"/>
    <col min="248" max="248" width="8.6640625" style="17" customWidth="1"/>
    <col min="249" max="249" width="9.88671875" style="17" customWidth="1"/>
    <col min="250" max="250" width="14.44140625" style="17" customWidth="1"/>
    <col min="251" max="251" width="7.33203125" style="17" customWidth="1"/>
    <col min="252" max="252" width="5.5546875" style="17" customWidth="1"/>
    <col min="253" max="253" width="9" style="17" customWidth="1"/>
    <col min="254" max="255" width="9.88671875" style="17" customWidth="1"/>
    <col min="256" max="256" width="11.109375" style="17" customWidth="1"/>
    <col min="257" max="257" width="2.88671875" style="17" customWidth="1"/>
    <col min="258" max="258" width="3.5546875" style="17" customWidth="1"/>
    <col min="259" max="503" width="9.109375" style="17"/>
    <col min="504" max="504" width="8.6640625" style="17" customWidth="1"/>
    <col min="505" max="505" width="9.88671875" style="17" customWidth="1"/>
    <col min="506" max="506" width="14.44140625" style="17" customWidth="1"/>
    <col min="507" max="507" width="7.33203125" style="17" customWidth="1"/>
    <col min="508" max="508" width="5.5546875" style="17" customWidth="1"/>
    <col min="509" max="509" width="9" style="17" customWidth="1"/>
    <col min="510" max="511" width="9.88671875" style="17" customWidth="1"/>
    <col min="512" max="512" width="11.109375" style="17" customWidth="1"/>
    <col min="513" max="513" width="2.88671875" style="17" customWidth="1"/>
    <col min="514" max="514" width="3.5546875" style="17" customWidth="1"/>
    <col min="515" max="759" width="9.109375" style="17"/>
    <col min="760" max="760" width="8.6640625" style="17" customWidth="1"/>
    <col min="761" max="761" width="9.88671875" style="17" customWidth="1"/>
    <col min="762" max="762" width="14.44140625" style="17" customWidth="1"/>
    <col min="763" max="763" width="7.33203125" style="17" customWidth="1"/>
    <col min="764" max="764" width="5.5546875" style="17" customWidth="1"/>
    <col min="765" max="765" width="9" style="17" customWidth="1"/>
    <col min="766" max="767" width="9.88671875" style="17" customWidth="1"/>
    <col min="768" max="768" width="11.109375" style="17" customWidth="1"/>
    <col min="769" max="769" width="2.88671875" style="17" customWidth="1"/>
    <col min="770" max="770" width="3.5546875" style="17" customWidth="1"/>
    <col min="771" max="1015" width="9.109375" style="17"/>
    <col min="1016" max="1016" width="8.6640625" style="17" customWidth="1"/>
    <col min="1017" max="1017" width="9.88671875" style="17" customWidth="1"/>
    <col min="1018" max="1018" width="14.44140625" style="17" customWidth="1"/>
    <col min="1019" max="1019" width="7.33203125" style="17" customWidth="1"/>
    <col min="1020" max="1020" width="5.5546875" style="17" customWidth="1"/>
    <col min="1021" max="1021" width="9" style="17" customWidth="1"/>
    <col min="1022" max="1023" width="9.88671875" style="17" customWidth="1"/>
    <col min="1024" max="1024" width="11.109375" style="17" customWidth="1"/>
    <col min="1025" max="1025" width="2.88671875" style="17" customWidth="1"/>
    <col min="1026" max="1026" width="3.5546875" style="17" customWidth="1"/>
    <col min="1027" max="1271" width="9.109375" style="17"/>
    <col min="1272" max="1272" width="8.6640625" style="17" customWidth="1"/>
    <col min="1273" max="1273" width="9.88671875" style="17" customWidth="1"/>
    <col min="1274" max="1274" width="14.44140625" style="17" customWidth="1"/>
    <col min="1275" max="1275" width="7.33203125" style="17" customWidth="1"/>
    <col min="1276" max="1276" width="5.5546875" style="17" customWidth="1"/>
    <col min="1277" max="1277" width="9" style="17" customWidth="1"/>
    <col min="1278" max="1279" width="9.88671875" style="17" customWidth="1"/>
    <col min="1280" max="1280" width="11.109375" style="17" customWidth="1"/>
    <col min="1281" max="1281" width="2.88671875" style="17" customWidth="1"/>
    <col min="1282" max="1282" width="3.5546875" style="17" customWidth="1"/>
    <col min="1283" max="1527" width="9.109375" style="17"/>
    <col min="1528" max="1528" width="8.6640625" style="17" customWidth="1"/>
    <col min="1529" max="1529" width="9.88671875" style="17" customWidth="1"/>
    <col min="1530" max="1530" width="14.44140625" style="17" customWidth="1"/>
    <col min="1531" max="1531" width="7.33203125" style="17" customWidth="1"/>
    <col min="1532" max="1532" width="5.5546875" style="17" customWidth="1"/>
    <col min="1533" max="1533" width="9" style="17" customWidth="1"/>
    <col min="1534" max="1535" width="9.88671875" style="17" customWidth="1"/>
    <col min="1536" max="1536" width="11.109375" style="17" customWidth="1"/>
    <col min="1537" max="1537" width="2.88671875" style="17" customWidth="1"/>
    <col min="1538" max="1538" width="3.5546875" style="17" customWidth="1"/>
    <col min="1539" max="1783" width="9.109375" style="17"/>
    <col min="1784" max="1784" width="8.6640625" style="17" customWidth="1"/>
    <col min="1785" max="1785" width="9.88671875" style="17" customWidth="1"/>
    <col min="1786" max="1786" width="14.44140625" style="17" customWidth="1"/>
    <col min="1787" max="1787" width="7.33203125" style="17" customWidth="1"/>
    <col min="1788" max="1788" width="5.5546875" style="17" customWidth="1"/>
    <col min="1789" max="1789" width="9" style="17" customWidth="1"/>
    <col min="1790" max="1791" width="9.88671875" style="17" customWidth="1"/>
    <col min="1792" max="1792" width="11.109375" style="17" customWidth="1"/>
    <col min="1793" max="1793" width="2.88671875" style="17" customWidth="1"/>
    <col min="1794" max="1794" width="3.5546875" style="17" customWidth="1"/>
    <col min="1795" max="2039" width="9.109375" style="17"/>
    <col min="2040" max="2040" width="8.6640625" style="17" customWidth="1"/>
    <col min="2041" max="2041" width="9.88671875" style="17" customWidth="1"/>
    <col min="2042" max="2042" width="14.44140625" style="17" customWidth="1"/>
    <col min="2043" max="2043" width="7.33203125" style="17" customWidth="1"/>
    <col min="2044" max="2044" width="5.5546875" style="17" customWidth="1"/>
    <col min="2045" max="2045" width="9" style="17" customWidth="1"/>
    <col min="2046" max="2047" width="9.88671875" style="17" customWidth="1"/>
    <col min="2048" max="2048" width="11.109375" style="17" customWidth="1"/>
    <col min="2049" max="2049" width="2.88671875" style="17" customWidth="1"/>
    <col min="2050" max="2050" width="3.5546875" style="17" customWidth="1"/>
    <col min="2051" max="2295" width="9.109375" style="17"/>
    <col min="2296" max="2296" width="8.6640625" style="17" customWidth="1"/>
    <col min="2297" max="2297" width="9.88671875" style="17" customWidth="1"/>
    <col min="2298" max="2298" width="14.44140625" style="17" customWidth="1"/>
    <col min="2299" max="2299" width="7.33203125" style="17" customWidth="1"/>
    <col min="2300" max="2300" width="5.5546875" style="17" customWidth="1"/>
    <col min="2301" max="2301" width="9" style="17" customWidth="1"/>
    <col min="2302" max="2303" width="9.88671875" style="17" customWidth="1"/>
    <col min="2304" max="2304" width="11.109375" style="17" customWidth="1"/>
    <col min="2305" max="2305" width="2.88671875" style="17" customWidth="1"/>
    <col min="2306" max="2306" width="3.5546875" style="17" customWidth="1"/>
    <col min="2307" max="2551" width="9.109375" style="17"/>
    <col min="2552" max="2552" width="8.6640625" style="17" customWidth="1"/>
    <col min="2553" max="2553" width="9.88671875" style="17" customWidth="1"/>
    <col min="2554" max="2554" width="14.44140625" style="17" customWidth="1"/>
    <col min="2555" max="2555" width="7.33203125" style="17" customWidth="1"/>
    <col min="2556" max="2556" width="5.5546875" style="17" customWidth="1"/>
    <col min="2557" max="2557" width="9" style="17" customWidth="1"/>
    <col min="2558" max="2559" width="9.88671875" style="17" customWidth="1"/>
    <col min="2560" max="2560" width="11.109375" style="17" customWidth="1"/>
    <col min="2561" max="2561" width="2.88671875" style="17" customWidth="1"/>
    <col min="2562" max="2562" width="3.5546875" style="17" customWidth="1"/>
    <col min="2563" max="2807" width="9.109375" style="17"/>
    <col min="2808" max="2808" width="8.6640625" style="17" customWidth="1"/>
    <col min="2809" max="2809" width="9.88671875" style="17" customWidth="1"/>
    <col min="2810" max="2810" width="14.44140625" style="17" customWidth="1"/>
    <col min="2811" max="2811" width="7.33203125" style="17" customWidth="1"/>
    <col min="2812" max="2812" width="5.5546875" style="17" customWidth="1"/>
    <col min="2813" max="2813" width="9" style="17" customWidth="1"/>
    <col min="2814" max="2815" width="9.88671875" style="17" customWidth="1"/>
    <col min="2816" max="2816" width="11.109375" style="17" customWidth="1"/>
    <col min="2817" max="2817" width="2.88671875" style="17" customWidth="1"/>
    <col min="2818" max="2818" width="3.5546875" style="17" customWidth="1"/>
    <col min="2819" max="3063" width="9.109375" style="17"/>
    <col min="3064" max="3064" width="8.6640625" style="17" customWidth="1"/>
    <col min="3065" max="3065" width="9.88671875" style="17" customWidth="1"/>
    <col min="3066" max="3066" width="14.44140625" style="17" customWidth="1"/>
    <col min="3067" max="3067" width="7.33203125" style="17" customWidth="1"/>
    <col min="3068" max="3068" width="5.5546875" style="17" customWidth="1"/>
    <col min="3069" max="3069" width="9" style="17" customWidth="1"/>
    <col min="3070" max="3071" width="9.88671875" style="17" customWidth="1"/>
    <col min="3072" max="3072" width="11.109375" style="17" customWidth="1"/>
    <col min="3073" max="3073" width="2.88671875" style="17" customWidth="1"/>
    <col min="3074" max="3074" width="3.5546875" style="17" customWidth="1"/>
    <col min="3075" max="3319" width="9.109375" style="17"/>
    <col min="3320" max="3320" width="8.6640625" style="17" customWidth="1"/>
    <col min="3321" max="3321" width="9.88671875" style="17" customWidth="1"/>
    <col min="3322" max="3322" width="14.44140625" style="17" customWidth="1"/>
    <col min="3323" max="3323" width="7.33203125" style="17" customWidth="1"/>
    <col min="3324" max="3324" width="5.5546875" style="17" customWidth="1"/>
    <col min="3325" max="3325" width="9" style="17" customWidth="1"/>
    <col min="3326" max="3327" width="9.88671875" style="17" customWidth="1"/>
    <col min="3328" max="3328" width="11.109375" style="17" customWidth="1"/>
    <col min="3329" max="3329" width="2.88671875" style="17" customWidth="1"/>
    <col min="3330" max="3330" width="3.5546875" style="17" customWidth="1"/>
    <col min="3331" max="3575" width="9.109375" style="17"/>
    <col min="3576" max="3576" width="8.6640625" style="17" customWidth="1"/>
    <col min="3577" max="3577" width="9.88671875" style="17" customWidth="1"/>
    <col min="3578" max="3578" width="14.44140625" style="17" customWidth="1"/>
    <col min="3579" max="3579" width="7.33203125" style="17" customWidth="1"/>
    <col min="3580" max="3580" width="5.5546875" style="17" customWidth="1"/>
    <col min="3581" max="3581" width="9" style="17" customWidth="1"/>
    <col min="3582" max="3583" width="9.88671875" style="17" customWidth="1"/>
    <col min="3584" max="3584" width="11.109375" style="17" customWidth="1"/>
    <col min="3585" max="3585" width="2.88671875" style="17" customWidth="1"/>
    <col min="3586" max="3586" width="3.5546875" style="17" customWidth="1"/>
    <col min="3587" max="3831" width="9.109375" style="17"/>
    <col min="3832" max="3832" width="8.6640625" style="17" customWidth="1"/>
    <col min="3833" max="3833" width="9.88671875" style="17" customWidth="1"/>
    <col min="3834" max="3834" width="14.44140625" style="17" customWidth="1"/>
    <col min="3835" max="3835" width="7.33203125" style="17" customWidth="1"/>
    <col min="3836" max="3836" width="5.5546875" style="17" customWidth="1"/>
    <col min="3837" max="3837" width="9" style="17" customWidth="1"/>
    <col min="3838" max="3839" width="9.88671875" style="17" customWidth="1"/>
    <col min="3840" max="3840" width="11.109375" style="17" customWidth="1"/>
    <col min="3841" max="3841" width="2.88671875" style="17" customWidth="1"/>
    <col min="3842" max="3842" width="3.5546875" style="17" customWidth="1"/>
    <col min="3843" max="4087" width="9.109375" style="17"/>
    <col min="4088" max="4088" width="8.6640625" style="17" customWidth="1"/>
    <col min="4089" max="4089" width="9.88671875" style="17" customWidth="1"/>
    <col min="4090" max="4090" width="14.44140625" style="17" customWidth="1"/>
    <col min="4091" max="4091" width="7.33203125" style="17" customWidth="1"/>
    <col min="4092" max="4092" width="5.5546875" style="17" customWidth="1"/>
    <col min="4093" max="4093" width="9" style="17" customWidth="1"/>
    <col min="4094" max="4095" width="9.88671875" style="17" customWidth="1"/>
    <col min="4096" max="4096" width="11.109375" style="17" customWidth="1"/>
    <col min="4097" max="4097" width="2.88671875" style="17" customWidth="1"/>
    <col min="4098" max="4098" width="3.5546875" style="17" customWidth="1"/>
    <col min="4099" max="4343" width="9.109375" style="17"/>
    <col min="4344" max="4344" width="8.6640625" style="17" customWidth="1"/>
    <col min="4345" max="4345" width="9.88671875" style="17" customWidth="1"/>
    <col min="4346" max="4346" width="14.44140625" style="17" customWidth="1"/>
    <col min="4347" max="4347" width="7.33203125" style="17" customWidth="1"/>
    <col min="4348" max="4348" width="5.5546875" style="17" customWidth="1"/>
    <col min="4349" max="4349" width="9" style="17" customWidth="1"/>
    <col min="4350" max="4351" width="9.88671875" style="17" customWidth="1"/>
    <col min="4352" max="4352" width="11.109375" style="17" customWidth="1"/>
    <col min="4353" max="4353" width="2.88671875" style="17" customWidth="1"/>
    <col min="4354" max="4354" width="3.5546875" style="17" customWidth="1"/>
    <col min="4355" max="4599" width="9.109375" style="17"/>
    <col min="4600" max="4600" width="8.6640625" style="17" customWidth="1"/>
    <col min="4601" max="4601" width="9.88671875" style="17" customWidth="1"/>
    <col min="4602" max="4602" width="14.44140625" style="17" customWidth="1"/>
    <col min="4603" max="4603" width="7.33203125" style="17" customWidth="1"/>
    <col min="4604" max="4604" width="5.5546875" style="17" customWidth="1"/>
    <col min="4605" max="4605" width="9" style="17" customWidth="1"/>
    <col min="4606" max="4607" width="9.88671875" style="17" customWidth="1"/>
    <col min="4608" max="4608" width="11.109375" style="17" customWidth="1"/>
    <col min="4609" max="4609" width="2.88671875" style="17" customWidth="1"/>
    <col min="4610" max="4610" width="3.5546875" style="17" customWidth="1"/>
    <col min="4611" max="4855" width="9.109375" style="17"/>
    <col min="4856" max="4856" width="8.6640625" style="17" customWidth="1"/>
    <col min="4857" max="4857" width="9.88671875" style="17" customWidth="1"/>
    <col min="4858" max="4858" width="14.44140625" style="17" customWidth="1"/>
    <col min="4859" max="4859" width="7.33203125" style="17" customWidth="1"/>
    <col min="4860" max="4860" width="5.5546875" style="17" customWidth="1"/>
    <col min="4861" max="4861" width="9" style="17" customWidth="1"/>
    <col min="4862" max="4863" width="9.88671875" style="17" customWidth="1"/>
    <col min="4864" max="4864" width="11.109375" style="17" customWidth="1"/>
    <col min="4865" max="4865" width="2.88671875" style="17" customWidth="1"/>
    <col min="4866" max="4866" width="3.5546875" style="17" customWidth="1"/>
    <col min="4867" max="5111" width="9.109375" style="17"/>
    <col min="5112" max="5112" width="8.6640625" style="17" customWidth="1"/>
    <col min="5113" max="5113" width="9.88671875" style="17" customWidth="1"/>
    <col min="5114" max="5114" width="14.44140625" style="17" customWidth="1"/>
    <col min="5115" max="5115" width="7.33203125" style="17" customWidth="1"/>
    <col min="5116" max="5116" width="5.5546875" style="17" customWidth="1"/>
    <col min="5117" max="5117" width="9" style="17" customWidth="1"/>
    <col min="5118" max="5119" width="9.88671875" style="17" customWidth="1"/>
    <col min="5120" max="5120" width="11.109375" style="17" customWidth="1"/>
    <col min="5121" max="5121" width="2.88671875" style="17" customWidth="1"/>
    <col min="5122" max="5122" width="3.5546875" style="17" customWidth="1"/>
    <col min="5123" max="5367" width="9.109375" style="17"/>
    <col min="5368" max="5368" width="8.6640625" style="17" customWidth="1"/>
    <col min="5369" max="5369" width="9.88671875" style="17" customWidth="1"/>
    <col min="5370" max="5370" width="14.44140625" style="17" customWidth="1"/>
    <col min="5371" max="5371" width="7.33203125" style="17" customWidth="1"/>
    <col min="5372" max="5372" width="5.5546875" style="17" customWidth="1"/>
    <col min="5373" max="5373" width="9" style="17" customWidth="1"/>
    <col min="5374" max="5375" width="9.88671875" style="17" customWidth="1"/>
    <col min="5376" max="5376" width="11.109375" style="17" customWidth="1"/>
    <col min="5377" max="5377" width="2.88671875" style="17" customWidth="1"/>
    <col min="5378" max="5378" width="3.5546875" style="17" customWidth="1"/>
    <col min="5379" max="5623" width="9.109375" style="17"/>
    <col min="5624" max="5624" width="8.6640625" style="17" customWidth="1"/>
    <col min="5625" max="5625" width="9.88671875" style="17" customWidth="1"/>
    <col min="5626" max="5626" width="14.44140625" style="17" customWidth="1"/>
    <col min="5627" max="5627" width="7.33203125" style="17" customWidth="1"/>
    <col min="5628" max="5628" width="5.5546875" style="17" customWidth="1"/>
    <col min="5629" max="5629" width="9" style="17" customWidth="1"/>
    <col min="5630" max="5631" width="9.88671875" style="17" customWidth="1"/>
    <col min="5632" max="5632" width="11.109375" style="17" customWidth="1"/>
    <col min="5633" max="5633" width="2.88671875" style="17" customWidth="1"/>
    <col min="5634" max="5634" width="3.5546875" style="17" customWidth="1"/>
    <col min="5635" max="5879" width="9.109375" style="17"/>
    <col min="5880" max="5880" width="8.6640625" style="17" customWidth="1"/>
    <col min="5881" max="5881" width="9.88671875" style="17" customWidth="1"/>
    <col min="5882" max="5882" width="14.44140625" style="17" customWidth="1"/>
    <col min="5883" max="5883" width="7.33203125" style="17" customWidth="1"/>
    <col min="5884" max="5884" width="5.5546875" style="17" customWidth="1"/>
    <col min="5885" max="5885" width="9" style="17" customWidth="1"/>
    <col min="5886" max="5887" width="9.88671875" style="17" customWidth="1"/>
    <col min="5888" max="5888" width="11.109375" style="17" customWidth="1"/>
    <col min="5889" max="5889" width="2.88671875" style="17" customWidth="1"/>
    <col min="5890" max="5890" width="3.5546875" style="17" customWidth="1"/>
    <col min="5891" max="6135" width="9.109375" style="17"/>
    <col min="6136" max="6136" width="8.6640625" style="17" customWidth="1"/>
    <col min="6137" max="6137" width="9.88671875" style="17" customWidth="1"/>
    <col min="6138" max="6138" width="14.44140625" style="17" customWidth="1"/>
    <col min="6139" max="6139" width="7.33203125" style="17" customWidth="1"/>
    <col min="6140" max="6140" width="5.5546875" style="17" customWidth="1"/>
    <col min="6141" max="6141" width="9" style="17" customWidth="1"/>
    <col min="6142" max="6143" width="9.88671875" style="17" customWidth="1"/>
    <col min="6144" max="6144" width="11.109375" style="17" customWidth="1"/>
    <col min="6145" max="6145" width="2.88671875" style="17" customWidth="1"/>
    <col min="6146" max="6146" width="3.5546875" style="17" customWidth="1"/>
    <col min="6147" max="6391" width="9.109375" style="17"/>
    <col min="6392" max="6392" width="8.6640625" style="17" customWidth="1"/>
    <col min="6393" max="6393" width="9.88671875" style="17" customWidth="1"/>
    <col min="6394" max="6394" width="14.44140625" style="17" customWidth="1"/>
    <col min="6395" max="6395" width="7.33203125" style="17" customWidth="1"/>
    <col min="6396" max="6396" width="5.5546875" style="17" customWidth="1"/>
    <col min="6397" max="6397" width="9" style="17" customWidth="1"/>
    <col min="6398" max="6399" width="9.88671875" style="17" customWidth="1"/>
    <col min="6400" max="6400" width="11.109375" style="17" customWidth="1"/>
    <col min="6401" max="6401" width="2.88671875" style="17" customWidth="1"/>
    <col min="6402" max="6402" width="3.5546875" style="17" customWidth="1"/>
    <col min="6403" max="6647" width="9.109375" style="17"/>
    <col min="6648" max="6648" width="8.6640625" style="17" customWidth="1"/>
    <col min="6649" max="6649" width="9.88671875" style="17" customWidth="1"/>
    <col min="6650" max="6650" width="14.44140625" style="17" customWidth="1"/>
    <col min="6651" max="6651" width="7.33203125" style="17" customWidth="1"/>
    <col min="6652" max="6652" width="5.5546875" style="17" customWidth="1"/>
    <col min="6653" max="6653" width="9" style="17" customWidth="1"/>
    <col min="6654" max="6655" width="9.88671875" style="17" customWidth="1"/>
    <col min="6656" max="6656" width="11.109375" style="17" customWidth="1"/>
    <col min="6657" max="6657" width="2.88671875" style="17" customWidth="1"/>
    <col min="6658" max="6658" width="3.5546875" style="17" customWidth="1"/>
    <col min="6659" max="6903" width="9.109375" style="17"/>
    <col min="6904" max="6904" width="8.6640625" style="17" customWidth="1"/>
    <col min="6905" max="6905" width="9.88671875" style="17" customWidth="1"/>
    <col min="6906" max="6906" width="14.44140625" style="17" customWidth="1"/>
    <col min="6907" max="6907" width="7.33203125" style="17" customWidth="1"/>
    <col min="6908" max="6908" width="5.5546875" style="17" customWidth="1"/>
    <col min="6909" max="6909" width="9" style="17" customWidth="1"/>
    <col min="6910" max="6911" width="9.88671875" style="17" customWidth="1"/>
    <col min="6912" max="6912" width="11.109375" style="17" customWidth="1"/>
    <col min="6913" max="6913" width="2.88671875" style="17" customWidth="1"/>
    <col min="6914" max="6914" width="3.5546875" style="17" customWidth="1"/>
    <col min="6915" max="7159" width="9.109375" style="17"/>
    <col min="7160" max="7160" width="8.6640625" style="17" customWidth="1"/>
    <col min="7161" max="7161" width="9.88671875" style="17" customWidth="1"/>
    <col min="7162" max="7162" width="14.44140625" style="17" customWidth="1"/>
    <col min="7163" max="7163" width="7.33203125" style="17" customWidth="1"/>
    <col min="7164" max="7164" width="5.5546875" style="17" customWidth="1"/>
    <col min="7165" max="7165" width="9" style="17" customWidth="1"/>
    <col min="7166" max="7167" width="9.88671875" style="17" customWidth="1"/>
    <col min="7168" max="7168" width="11.109375" style="17" customWidth="1"/>
    <col min="7169" max="7169" width="2.88671875" style="17" customWidth="1"/>
    <col min="7170" max="7170" width="3.5546875" style="17" customWidth="1"/>
    <col min="7171" max="7415" width="9.109375" style="17"/>
    <col min="7416" max="7416" width="8.6640625" style="17" customWidth="1"/>
    <col min="7417" max="7417" width="9.88671875" style="17" customWidth="1"/>
    <col min="7418" max="7418" width="14.44140625" style="17" customWidth="1"/>
    <col min="7419" max="7419" width="7.33203125" style="17" customWidth="1"/>
    <col min="7420" max="7420" width="5.5546875" style="17" customWidth="1"/>
    <col min="7421" max="7421" width="9" style="17" customWidth="1"/>
    <col min="7422" max="7423" width="9.88671875" style="17" customWidth="1"/>
    <col min="7424" max="7424" width="11.109375" style="17" customWidth="1"/>
    <col min="7425" max="7425" width="2.88671875" style="17" customWidth="1"/>
    <col min="7426" max="7426" width="3.5546875" style="17" customWidth="1"/>
    <col min="7427" max="7671" width="9.109375" style="17"/>
    <col min="7672" max="7672" width="8.6640625" style="17" customWidth="1"/>
    <col min="7673" max="7673" width="9.88671875" style="17" customWidth="1"/>
    <col min="7674" max="7674" width="14.44140625" style="17" customWidth="1"/>
    <col min="7675" max="7675" width="7.33203125" style="17" customWidth="1"/>
    <col min="7676" max="7676" width="5.5546875" style="17" customWidth="1"/>
    <col min="7677" max="7677" width="9" style="17" customWidth="1"/>
    <col min="7678" max="7679" width="9.88671875" style="17" customWidth="1"/>
    <col min="7680" max="7680" width="11.109375" style="17" customWidth="1"/>
    <col min="7681" max="7681" width="2.88671875" style="17" customWidth="1"/>
    <col min="7682" max="7682" width="3.5546875" style="17" customWidth="1"/>
    <col min="7683" max="7927" width="9.109375" style="17"/>
    <col min="7928" max="7928" width="8.6640625" style="17" customWidth="1"/>
    <col min="7929" max="7929" width="9.88671875" style="17" customWidth="1"/>
    <col min="7930" max="7930" width="14.44140625" style="17" customWidth="1"/>
    <col min="7931" max="7931" width="7.33203125" style="17" customWidth="1"/>
    <col min="7932" max="7932" width="5.5546875" style="17" customWidth="1"/>
    <col min="7933" max="7933" width="9" style="17" customWidth="1"/>
    <col min="7934" max="7935" width="9.88671875" style="17" customWidth="1"/>
    <col min="7936" max="7936" width="11.109375" style="17" customWidth="1"/>
    <col min="7937" max="7937" width="2.88671875" style="17" customWidth="1"/>
    <col min="7938" max="7938" width="3.5546875" style="17" customWidth="1"/>
    <col min="7939" max="8183" width="9.109375" style="17"/>
    <col min="8184" max="8184" width="8.6640625" style="17" customWidth="1"/>
    <col min="8185" max="8185" width="9.88671875" style="17" customWidth="1"/>
    <col min="8186" max="8186" width="14.44140625" style="17" customWidth="1"/>
    <col min="8187" max="8187" width="7.33203125" style="17" customWidth="1"/>
    <col min="8188" max="8188" width="5.5546875" style="17" customWidth="1"/>
    <col min="8189" max="8189" width="9" style="17" customWidth="1"/>
    <col min="8190" max="8191" width="9.88671875" style="17" customWidth="1"/>
    <col min="8192" max="8192" width="11.109375" style="17" customWidth="1"/>
    <col min="8193" max="8193" width="2.88671875" style="17" customWidth="1"/>
    <col min="8194" max="8194" width="3.5546875" style="17" customWidth="1"/>
    <col min="8195" max="8439" width="9.109375" style="17"/>
    <col min="8440" max="8440" width="8.6640625" style="17" customWidth="1"/>
    <col min="8441" max="8441" width="9.88671875" style="17" customWidth="1"/>
    <col min="8442" max="8442" width="14.44140625" style="17" customWidth="1"/>
    <col min="8443" max="8443" width="7.33203125" style="17" customWidth="1"/>
    <col min="8444" max="8444" width="5.5546875" style="17" customWidth="1"/>
    <col min="8445" max="8445" width="9" style="17" customWidth="1"/>
    <col min="8446" max="8447" width="9.88671875" style="17" customWidth="1"/>
    <col min="8448" max="8448" width="11.109375" style="17" customWidth="1"/>
    <col min="8449" max="8449" width="2.88671875" style="17" customWidth="1"/>
    <col min="8450" max="8450" width="3.5546875" style="17" customWidth="1"/>
    <col min="8451" max="8695" width="9.109375" style="17"/>
    <col min="8696" max="8696" width="8.6640625" style="17" customWidth="1"/>
    <col min="8697" max="8697" width="9.88671875" style="17" customWidth="1"/>
    <col min="8698" max="8698" width="14.44140625" style="17" customWidth="1"/>
    <col min="8699" max="8699" width="7.33203125" style="17" customWidth="1"/>
    <col min="8700" max="8700" width="5.5546875" style="17" customWidth="1"/>
    <col min="8701" max="8701" width="9" style="17" customWidth="1"/>
    <col min="8702" max="8703" width="9.88671875" style="17" customWidth="1"/>
    <col min="8704" max="8704" width="11.109375" style="17" customWidth="1"/>
    <col min="8705" max="8705" width="2.88671875" style="17" customWidth="1"/>
    <col min="8706" max="8706" width="3.5546875" style="17" customWidth="1"/>
    <col min="8707" max="8951" width="9.109375" style="17"/>
    <col min="8952" max="8952" width="8.6640625" style="17" customWidth="1"/>
    <col min="8953" max="8953" width="9.88671875" style="17" customWidth="1"/>
    <col min="8954" max="8954" width="14.44140625" style="17" customWidth="1"/>
    <col min="8955" max="8955" width="7.33203125" style="17" customWidth="1"/>
    <col min="8956" max="8956" width="5.5546875" style="17" customWidth="1"/>
    <col min="8957" max="8957" width="9" style="17" customWidth="1"/>
    <col min="8958" max="8959" width="9.88671875" style="17" customWidth="1"/>
    <col min="8960" max="8960" width="11.109375" style="17" customWidth="1"/>
    <col min="8961" max="8961" width="2.88671875" style="17" customWidth="1"/>
    <col min="8962" max="8962" width="3.5546875" style="17" customWidth="1"/>
    <col min="8963" max="9207" width="9.109375" style="17"/>
    <col min="9208" max="9208" width="8.6640625" style="17" customWidth="1"/>
    <col min="9209" max="9209" width="9.88671875" style="17" customWidth="1"/>
    <col min="9210" max="9210" width="14.44140625" style="17" customWidth="1"/>
    <col min="9211" max="9211" width="7.33203125" style="17" customWidth="1"/>
    <col min="9212" max="9212" width="5.5546875" style="17" customWidth="1"/>
    <col min="9213" max="9213" width="9" style="17" customWidth="1"/>
    <col min="9214" max="9215" width="9.88671875" style="17" customWidth="1"/>
    <col min="9216" max="9216" width="11.109375" style="17" customWidth="1"/>
    <col min="9217" max="9217" width="2.88671875" style="17" customWidth="1"/>
    <col min="9218" max="9218" width="3.5546875" style="17" customWidth="1"/>
    <col min="9219" max="9463" width="9.109375" style="17"/>
    <col min="9464" max="9464" width="8.6640625" style="17" customWidth="1"/>
    <col min="9465" max="9465" width="9.88671875" style="17" customWidth="1"/>
    <col min="9466" max="9466" width="14.44140625" style="17" customWidth="1"/>
    <col min="9467" max="9467" width="7.33203125" style="17" customWidth="1"/>
    <col min="9468" max="9468" width="5.5546875" style="17" customWidth="1"/>
    <col min="9469" max="9469" width="9" style="17" customWidth="1"/>
    <col min="9470" max="9471" width="9.88671875" style="17" customWidth="1"/>
    <col min="9472" max="9472" width="11.109375" style="17" customWidth="1"/>
    <col min="9473" max="9473" width="2.88671875" style="17" customWidth="1"/>
    <col min="9474" max="9474" width="3.5546875" style="17" customWidth="1"/>
    <col min="9475" max="9719" width="9.109375" style="17"/>
    <col min="9720" max="9720" width="8.6640625" style="17" customWidth="1"/>
    <col min="9721" max="9721" width="9.88671875" style="17" customWidth="1"/>
    <col min="9722" max="9722" width="14.44140625" style="17" customWidth="1"/>
    <col min="9723" max="9723" width="7.33203125" style="17" customWidth="1"/>
    <col min="9724" max="9724" width="5.5546875" style="17" customWidth="1"/>
    <col min="9725" max="9725" width="9" style="17" customWidth="1"/>
    <col min="9726" max="9727" width="9.88671875" style="17" customWidth="1"/>
    <col min="9728" max="9728" width="11.109375" style="17" customWidth="1"/>
    <col min="9729" max="9729" width="2.88671875" style="17" customWidth="1"/>
    <col min="9730" max="9730" width="3.5546875" style="17" customWidth="1"/>
    <col min="9731" max="9975" width="9.109375" style="17"/>
    <col min="9976" max="9976" width="8.6640625" style="17" customWidth="1"/>
    <col min="9977" max="9977" width="9.88671875" style="17" customWidth="1"/>
    <col min="9978" max="9978" width="14.44140625" style="17" customWidth="1"/>
    <col min="9979" max="9979" width="7.33203125" style="17" customWidth="1"/>
    <col min="9980" max="9980" width="5.5546875" style="17" customWidth="1"/>
    <col min="9981" max="9981" width="9" style="17" customWidth="1"/>
    <col min="9982" max="9983" width="9.88671875" style="17" customWidth="1"/>
    <col min="9984" max="9984" width="11.109375" style="17" customWidth="1"/>
    <col min="9985" max="9985" width="2.88671875" style="17" customWidth="1"/>
    <col min="9986" max="9986" width="3.5546875" style="17" customWidth="1"/>
    <col min="9987" max="10231" width="9.109375" style="17"/>
    <col min="10232" max="10232" width="8.6640625" style="17" customWidth="1"/>
    <col min="10233" max="10233" width="9.88671875" style="17" customWidth="1"/>
    <col min="10234" max="10234" width="14.44140625" style="17" customWidth="1"/>
    <col min="10235" max="10235" width="7.33203125" style="17" customWidth="1"/>
    <col min="10236" max="10236" width="5.5546875" style="17" customWidth="1"/>
    <col min="10237" max="10237" width="9" style="17" customWidth="1"/>
    <col min="10238" max="10239" width="9.88671875" style="17" customWidth="1"/>
    <col min="10240" max="10240" width="11.109375" style="17" customWidth="1"/>
    <col min="10241" max="10241" width="2.88671875" style="17" customWidth="1"/>
    <col min="10242" max="10242" width="3.5546875" style="17" customWidth="1"/>
    <col min="10243" max="10487" width="9.109375" style="17"/>
    <col min="10488" max="10488" width="8.6640625" style="17" customWidth="1"/>
    <col min="10489" max="10489" width="9.88671875" style="17" customWidth="1"/>
    <col min="10490" max="10490" width="14.44140625" style="17" customWidth="1"/>
    <col min="10491" max="10491" width="7.33203125" style="17" customWidth="1"/>
    <col min="10492" max="10492" width="5.5546875" style="17" customWidth="1"/>
    <col min="10493" max="10493" width="9" style="17" customWidth="1"/>
    <col min="10494" max="10495" width="9.88671875" style="17" customWidth="1"/>
    <col min="10496" max="10496" width="11.109375" style="17" customWidth="1"/>
    <col min="10497" max="10497" width="2.88671875" style="17" customWidth="1"/>
    <col min="10498" max="10498" width="3.5546875" style="17" customWidth="1"/>
    <col min="10499" max="10743" width="9.109375" style="17"/>
    <col min="10744" max="10744" width="8.6640625" style="17" customWidth="1"/>
    <col min="10745" max="10745" width="9.88671875" style="17" customWidth="1"/>
    <col min="10746" max="10746" width="14.44140625" style="17" customWidth="1"/>
    <col min="10747" max="10747" width="7.33203125" style="17" customWidth="1"/>
    <col min="10748" max="10748" width="5.5546875" style="17" customWidth="1"/>
    <col min="10749" max="10749" width="9" style="17" customWidth="1"/>
    <col min="10750" max="10751" width="9.88671875" style="17" customWidth="1"/>
    <col min="10752" max="10752" width="11.109375" style="17" customWidth="1"/>
    <col min="10753" max="10753" width="2.88671875" style="17" customWidth="1"/>
    <col min="10754" max="10754" width="3.5546875" style="17" customWidth="1"/>
    <col min="10755" max="10999" width="9.109375" style="17"/>
    <col min="11000" max="11000" width="8.6640625" style="17" customWidth="1"/>
    <col min="11001" max="11001" width="9.88671875" style="17" customWidth="1"/>
    <col min="11002" max="11002" width="14.44140625" style="17" customWidth="1"/>
    <col min="11003" max="11003" width="7.33203125" style="17" customWidth="1"/>
    <col min="11004" max="11004" width="5.5546875" style="17" customWidth="1"/>
    <col min="11005" max="11005" width="9" style="17" customWidth="1"/>
    <col min="11006" max="11007" width="9.88671875" style="17" customWidth="1"/>
    <col min="11008" max="11008" width="11.109375" style="17" customWidth="1"/>
    <col min="11009" max="11009" width="2.88671875" style="17" customWidth="1"/>
    <col min="11010" max="11010" width="3.5546875" style="17" customWidth="1"/>
    <col min="11011" max="11255" width="9.109375" style="17"/>
    <col min="11256" max="11256" width="8.6640625" style="17" customWidth="1"/>
    <col min="11257" max="11257" width="9.88671875" style="17" customWidth="1"/>
    <col min="11258" max="11258" width="14.44140625" style="17" customWidth="1"/>
    <col min="11259" max="11259" width="7.33203125" style="17" customWidth="1"/>
    <col min="11260" max="11260" width="5.5546875" style="17" customWidth="1"/>
    <col min="11261" max="11261" width="9" style="17" customWidth="1"/>
    <col min="11262" max="11263" width="9.88671875" style="17" customWidth="1"/>
    <col min="11264" max="11264" width="11.109375" style="17" customWidth="1"/>
    <col min="11265" max="11265" width="2.88671875" style="17" customWidth="1"/>
    <col min="11266" max="11266" width="3.5546875" style="17" customWidth="1"/>
    <col min="11267" max="11511" width="9.109375" style="17"/>
    <col min="11512" max="11512" width="8.6640625" style="17" customWidth="1"/>
    <col min="11513" max="11513" width="9.88671875" style="17" customWidth="1"/>
    <col min="11514" max="11514" width="14.44140625" style="17" customWidth="1"/>
    <col min="11515" max="11515" width="7.33203125" style="17" customWidth="1"/>
    <col min="11516" max="11516" width="5.5546875" style="17" customWidth="1"/>
    <col min="11517" max="11517" width="9" style="17" customWidth="1"/>
    <col min="11518" max="11519" width="9.88671875" style="17" customWidth="1"/>
    <col min="11520" max="11520" width="11.109375" style="17" customWidth="1"/>
    <col min="11521" max="11521" width="2.88671875" style="17" customWidth="1"/>
    <col min="11522" max="11522" width="3.5546875" style="17" customWidth="1"/>
    <col min="11523" max="11767" width="9.109375" style="17"/>
    <col min="11768" max="11768" width="8.6640625" style="17" customWidth="1"/>
    <col min="11769" max="11769" width="9.88671875" style="17" customWidth="1"/>
    <col min="11770" max="11770" width="14.44140625" style="17" customWidth="1"/>
    <col min="11771" max="11771" width="7.33203125" style="17" customWidth="1"/>
    <col min="11772" max="11772" width="5.5546875" style="17" customWidth="1"/>
    <col min="11773" max="11773" width="9" style="17" customWidth="1"/>
    <col min="11774" max="11775" width="9.88671875" style="17" customWidth="1"/>
    <col min="11776" max="11776" width="11.109375" style="17" customWidth="1"/>
    <col min="11777" max="11777" width="2.88671875" style="17" customWidth="1"/>
    <col min="11778" max="11778" width="3.5546875" style="17" customWidth="1"/>
    <col min="11779" max="12023" width="9.109375" style="17"/>
    <col min="12024" max="12024" width="8.6640625" style="17" customWidth="1"/>
    <col min="12025" max="12025" width="9.88671875" style="17" customWidth="1"/>
    <col min="12026" max="12026" width="14.44140625" style="17" customWidth="1"/>
    <col min="12027" max="12027" width="7.33203125" style="17" customWidth="1"/>
    <col min="12028" max="12028" width="5.5546875" style="17" customWidth="1"/>
    <col min="12029" max="12029" width="9" style="17" customWidth="1"/>
    <col min="12030" max="12031" width="9.88671875" style="17" customWidth="1"/>
    <col min="12032" max="12032" width="11.109375" style="17" customWidth="1"/>
    <col min="12033" max="12033" width="2.88671875" style="17" customWidth="1"/>
    <col min="12034" max="12034" width="3.5546875" style="17" customWidth="1"/>
    <col min="12035" max="12279" width="9.109375" style="17"/>
    <col min="12280" max="12280" width="8.6640625" style="17" customWidth="1"/>
    <col min="12281" max="12281" width="9.88671875" style="17" customWidth="1"/>
    <col min="12282" max="12282" width="14.44140625" style="17" customWidth="1"/>
    <col min="12283" max="12283" width="7.33203125" style="17" customWidth="1"/>
    <col min="12284" max="12284" width="5.5546875" style="17" customWidth="1"/>
    <col min="12285" max="12285" width="9" style="17" customWidth="1"/>
    <col min="12286" max="12287" width="9.88671875" style="17" customWidth="1"/>
    <col min="12288" max="12288" width="11.109375" style="17" customWidth="1"/>
    <col min="12289" max="12289" width="2.88671875" style="17" customWidth="1"/>
    <col min="12290" max="12290" width="3.5546875" style="17" customWidth="1"/>
    <col min="12291" max="12535" width="9.109375" style="17"/>
    <col min="12536" max="12536" width="8.6640625" style="17" customWidth="1"/>
    <col min="12537" max="12537" width="9.88671875" style="17" customWidth="1"/>
    <col min="12538" max="12538" width="14.44140625" style="17" customWidth="1"/>
    <col min="12539" max="12539" width="7.33203125" style="17" customWidth="1"/>
    <col min="12540" max="12540" width="5.5546875" style="17" customWidth="1"/>
    <col min="12541" max="12541" width="9" style="17" customWidth="1"/>
    <col min="12542" max="12543" width="9.88671875" style="17" customWidth="1"/>
    <col min="12544" max="12544" width="11.109375" style="17" customWidth="1"/>
    <col min="12545" max="12545" width="2.88671875" style="17" customWidth="1"/>
    <col min="12546" max="12546" width="3.5546875" style="17" customWidth="1"/>
    <col min="12547" max="12791" width="9.109375" style="17"/>
    <col min="12792" max="12792" width="8.6640625" style="17" customWidth="1"/>
    <col min="12793" max="12793" width="9.88671875" style="17" customWidth="1"/>
    <col min="12794" max="12794" width="14.44140625" style="17" customWidth="1"/>
    <col min="12795" max="12795" width="7.33203125" style="17" customWidth="1"/>
    <col min="12796" max="12796" width="5.5546875" style="17" customWidth="1"/>
    <col min="12797" max="12797" width="9" style="17" customWidth="1"/>
    <col min="12798" max="12799" width="9.88671875" style="17" customWidth="1"/>
    <col min="12800" max="12800" width="11.109375" style="17" customWidth="1"/>
    <col min="12801" max="12801" width="2.88671875" style="17" customWidth="1"/>
    <col min="12802" max="12802" width="3.5546875" style="17" customWidth="1"/>
    <col min="12803" max="13047" width="9.109375" style="17"/>
    <col min="13048" max="13048" width="8.6640625" style="17" customWidth="1"/>
    <col min="13049" max="13049" width="9.88671875" style="17" customWidth="1"/>
    <col min="13050" max="13050" width="14.44140625" style="17" customWidth="1"/>
    <col min="13051" max="13051" width="7.33203125" style="17" customWidth="1"/>
    <col min="13052" max="13052" width="5.5546875" style="17" customWidth="1"/>
    <col min="13053" max="13053" width="9" style="17" customWidth="1"/>
    <col min="13054" max="13055" width="9.88671875" style="17" customWidth="1"/>
    <col min="13056" max="13056" width="11.109375" style="17" customWidth="1"/>
    <col min="13057" max="13057" width="2.88671875" style="17" customWidth="1"/>
    <col min="13058" max="13058" width="3.5546875" style="17" customWidth="1"/>
    <col min="13059" max="13303" width="9.109375" style="17"/>
    <col min="13304" max="13304" width="8.6640625" style="17" customWidth="1"/>
    <col min="13305" max="13305" width="9.88671875" style="17" customWidth="1"/>
    <col min="13306" max="13306" width="14.44140625" style="17" customWidth="1"/>
    <col min="13307" max="13307" width="7.33203125" style="17" customWidth="1"/>
    <col min="13308" max="13308" width="5.5546875" style="17" customWidth="1"/>
    <col min="13309" max="13309" width="9" style="17" customWidth="1"/>
    <col min="13310" max="13311" width="9.88671875" style="17" customWidth="1"/>
    <col min="13312" max="13312" width="11.109375" style="17" customWidth="1"/>
    <col min="13313" max="13313" width="2.88671875" style="17" customWidth="1"/>
    <col min="13314" max="13314" width="3.5546875" style="17" customWidth="1"/>
    <col min="13315" max="13559" width="9.109375" style="17"/>
    <col min="13560" max="13560" width="8.6640625" style="17" customWidth="1"/>
    <col min="13561" max="13561" width="9.88671875" style="17" customWidth="1"/>
    <col min="13562" max="13562" width="14.44140625" style="17" customWidth="1"/>
    <col min="13563" max="13563" width="7.33203125" style="17" customWidth="1"/>
    <col min="13564" max="13564" width="5.5546875" style="17" customWidth="1"/>
    <col min="13565" max="13565" width="9" style="17" customWidth="1"/>
    <col min="13566" max="13567" width="9.88671875" style="17" customWidth="1"/>
    <col min="13568" max="13568" width="11.109375" style="17" customWidth="1"/>
    <col min="13569" max="13569" width="2.88671875" style="17" customWidth="1"/>
    <col min="13570" max="13570" width="3.5546875" style="17" customWidth="1"/>
    <col min="13571" max="13815" width="9.109375" style="17"/>
    <col min="13816" max="13816" width="8.6640625" style="17" customWidth="1"/>
    <col min="13817" max="13817" width="9.88671875" style="17" customWidth="1"/>
    <col min="13818" max="13818" width="14.44140625" style="17" customWidth="1"/>
    <col min="13819" max="13819" width="7.33203125" style="17" customWidth="1"/>
    <col min="13820" max="13820" width="5.5546875" style="17" customWidth="1"/>
    <col min="13821" max="13821" width="9" style="17" customWidth="1"/>
    <col min="13822" max="13823" width="9.88671875" style="17" customWidth="1"/>
    <col min="13824" max="13824" width="11.109375" style="17" customWidth="1"/>
    <col min="13825" max="13825" width="2.88671875" style="17" customWidth="1"/>
    <col min="13826" max="13826" width="3.5546875" style="17" customWidth="1"/>
    <col min="13827" max="14071" width="9.109375" style="17"/>
    <col min="14072" max="14072" width="8.6640625" style="17" customWidth="1"/>
    <col min="14073" max="14073" width="9.88671875" style="17" customWidth="1"/>
    <col min="14074" max="14074" width="14.44140625" style="17" customWidth="1"/>
    <col min="14075" max="14075" width="7.33203125" style="17" customWidth="1"/>
    <col min="14076" max="14076" width="5.5546875" style="17" customWidth="1"/>
    <col min="14077" max="14077" width="9" style="17" customWidth="1"/>
    <col min="14078" max="14079" width="9.88671875" style="17" customWidth="1"/>
    <col min="14080" max="14080" width="11.109375" style="17" customWidth="1"/>
    <col min="14081" max="14081" width="2.88671875" style="17" customWidth="1"/>
    <col min="14082" max="14082" width="3.5546875" style="17" customWidth="1"/>
    <col min="14083" max="14327" width="9.109375" style="17"/>
    <col min="14328" max="14328" width="8.6640625" style="17" customWidth="1"/>
    <col min="14329" max="14329" width="9.88671875" style="17" customWidth="1"/>
    <col min="14330" max="14330" width="14.44140625" style="17" customWidth="1"/>
    <col min="14331" max="14331" width="7.33203125" style="17" customWidth="1"/>
    <col min="14332" max="14332" width="5.5546875" style="17" customWidth="1"/>
    <col min="14333" max="14333" width="9" style="17" customWidth="1"/>
    <col min="14334" max="14335" width="9.88671875" style="17" customWidth="1"/>
    <col min="14336" max="14336" width="11.109375" style="17" customWidth="1"/>
    <col min="14337" max="14337" width="2.88671875" style="17" customWidth="1"/>
    <col min="14338" max="14338" width="3.5546875" style="17" customWidth="1"/>
    <col min="14339" max="14583" width="9.109375" style="17"/>
    <col min="14584" max="14584" width="8.6640625" style="17" customWidth="1"/>
    <col min="14585" max="14585" width="9.88671875" style="17" customWidth="1"/>
    <col min="14586" max="14586" width="14.44140625" style="17" customWidth="1"/>
    <col min="14587" max="14587" width="7.33203125" style="17" customWidth="1"/>
    <col min="14588" max="14588" width="5.5546875" style="17" customWidth="1"/>
    <col min="14589" max="14589" width="9" style="17" customWidth="1"/>
    <col min="14590" max="14591" width="9.88671875" style="17" customWidth="1"/>
    <col min="14592" max="14592" width="11.109375" style="17" customWidth="1"/>
    <col min="14593" max="14593" width="2.88671875" style="17" customWidth="1"/>
    <col min="14594" max="14594" width="3.5546875" style="17" customWidth="1"/>
    <col min="14595" max="14839" width="9.109375" style="17"/>
    <col min="14840" max="14840" width="8.6640625" style="17" customWidth="1"/>
    <col min="14841" max="14841" width="9.88671875" style="17" customWidth="1"/>
    <col min="14842" max="14842" width="14.44140625" style="17" customWidth="1"/>
    <col min="14843" max="14843" width="7.33203125" style="17" customWidth="1"/>
    <col min="14844" max="14844" width="5.5546875" style="17" customWidth="1"/>
    <col min="14845" max="14845" width="9" style="17" customWidth="1"/>
    <col min="14846" max="14847" width="9.88671875" style="17" customWidth="1"/>
    <col min="14848" max="14848" width="11.109375" style="17" customWidth="1"/>
    <col min="14849" max="14849" width="2.88671875" style="17" customWidth="1"/>
    <col min="14850" max="14850" width="3.5546875" style="17" customWidth="1"/>
    <col min="14851" max="15095" width="9.109375" style="17"/>
    <col min="15096" max="15096" width="8.6640625" style="17" customWidth="1"/>
    <col min="15097" max="15097" width="9.88671875" style="17" customWidth="1"/>
    <col min="15098" max="15098" width="14.44140625" style="17" customWidth="1"/>
    <col min="15099" max="15099" width="7.33203125" style="17" customWidth="1"/>
    <col min="15100" max="15100" width="5.5546875" style="17" customWidth="1"/>
    <col min="15101" max="15101" width="9" style="17" customWidth="1"/>
    <col min="15102" max="15103" width="9.88671875" style="17" customWidth="1"/>
    <col min="15104" max="15104" width="11.109375" style="17" customWidth="1"/>
    <col min="15105" max="15105" width="2.88671875" style="17" customWidth="1"/>
    <col min="15106" max="15106" width="3.5546875" style="17" customWidth="1"/>
    <col min="15107" max="15351" width="9.109375" style="17"/>
    <col min="15352" max="15352" width="8.6640625" style="17" customWidth="1"/>
    <col min="15353" max="15353" width="9.88671875" style="17" customWidth="1"/>
    <col min="15354" max="15354" width="14.44140625" style="17" customWidth="1"/>
    <col min="15355" max="15355" width="7.33203125" style="17" customWidth="1"/>
    <col min="15356" max="15356" width="5.5546875" style="17" customWidth="1"/>
    <col min="15357" max="15357" width="9" style="17" customWidth="1"/>
    <col min="15358" max="15359" width="9.88671875" style="17" customWidth="1"/>
    <col min="15360" max="15360" width="11.109375" style="17" customWidth="1"/>
    <col min="15361" max="15361" width="2.88671875" style="17" customWidth="1"/>
    <col min="15362" max="15362" width="3.5546875" style="17" customWidth="1"/>
    <col min="15363" max="15607" width="9.109375" style="17"/>
    <col min="15608" max="15608" width="8.6640625" style="17" customWidth="1"/>
    <col min="15609" max="15609" width="9.88671875" style="17" customWidth="1"/>
    <col min="15610" max="15610" width="14.44140625" style="17" customWidth="1"/>
    <col min="15611" max="15611" width="7.33203125" style="17" customWidth="1"/>
    <col min="15612" max="15612" width="5.5546875" style="17" customWidth="1"/>
    <col min="15613" max="15613" width="9" style="17" customWidth="1"/>
    <col min="15614" max="15615" width="9.88671875" style="17" customWidth="1"/>
    <col min="15616" max="15616" width="11.109375" style="17" customWidth="1"/>
    <col min="15617" max="15617" width="2.88671875" style="17" customWidth="1"/>
    <col min="15618" max="15618" width="3.5546875" style="17" customWidth="1"/>
    <col min="15619" max="15863" width="9.109375" style="17"/>
    <col min="15864" max="15864" width="8.6640625" style="17" customWidth="1"/>
    <col min="15865" max="15865" width="9.88671875" style="17" customWidth="1"/>
    <col min="15866" max="15866" width="14.44140625" style="17" customWidth="1"/>
    <col min="15867" max="15867" width="7.33203125" style="17" customWidth="1"/>
    <col min="15868" max="15868" width="5.5546875" style="17" customWidth="1"/>
    <col min="15869" max="15869" width="9" style="17" customWidth="1"/>
    <col min="15870" max="15871" width="9.88671875" style="17" customWidth="1"/>
    <col min="15872" max="15872" width="11.109375" style="17" customWidth="1"/>
    <col min="15873" max="15873" width="2.88671875" style="17" customWidth="1"/>
    <col min="15874" max="15874" width="3.5546875" style="17" customWidth="1"/>
    <col min="15875" max="16119" width="9.109375" style="17"/>
    <col min="16120" max="16120" width="8.6640625" style="17" customWidth="1"/>
    <col min="16121" max="16121" width="9.88671875" style="17" customWidth="1"/>
    <col min="16122" max="16122" width="14.44140625" style="17" customWidth="1"/>
    <col min="16123" max="16123" width="7.33203125" style="17" customWidth="1"/>
    <col min="16124" max="16124" width="5.5546875" style="17" customWidth="1"/>
    <col min="16125" max="16125" width="9" style="17" customWidth="1"/>
    <col min="16126" max="16127" width="9.88671875" style="17" customWidth="1"/>
    <col min="16128" max="16128" width="11.109375" style="17" customWidth="1"/>
    <col min="16129" max="16129" width="2.88671875" style="17" customWidth="1"/>
    <col min="16130" max="16130" width="3.5546875" style="17" customWidth="1"/>
    <col min="16131" max="16384" width="9.109375" style="17"/>
  </cols>
  <sheetData>
    <row r="1" spans="1:8" ht="46.5" customHeight="1" x14ac:dyDescent="0.3">
      <c r="A1" s="151" t="s">
        <v>219</v>
      </c>
      <c r="B1" s="151"/>
      <c r="C1" s="151"/>
      <c r="D1" s="151"/>
      <c r="E1" s="151"/>
      <c r="F1" s="151"/>
      <c r="G1" s="151"/>
      <c r="H1" s="151"/>
    </row>
    <row r="2" spans="1:8" ht="16.5" customHeight="1" x14ac:dyDescent="0.3">
      <c r="A2" s="152" t="s">
        <v>0</v>
      </c>
      <c r="B2" s="152"/>
      <c r="C2" s="152"/>
      <c r="D2" s="152"/>
      <c r="E2" s="152"/>
      <c r="F2" s="152"/>
      <c r="G2" s="152"/>
      <c r="H2" s="152"/>
    </row>
    <row r="3" spans="1:8" x14ac:dyDescent="0.3">
      <c r="A3" s="93" t="s">
        <v>1</v>
      </c>
      <c r="B3" s="93"/>
      <c r="C3" s="93"/>
      <c r="D3" s="93"/>
      <c r="E3" s="93" t="str">
        <f ca="1">TEXT(TODAY(),"DD/MM/YYYY")</f>
        <v>10/09/2025</v>
      </c>
      <c r="F3" s="93"/>
      <c r="G3" s="93"/>
      <c r="H3" s="93"/>
    </row>
    <row r="4" spans="1:8" ht="15" customHeight="1" x14ac:dyDescent="0.3">
      <c r="A4" s="93" t="s">
        <v>2</v>
      </c>
      <c r="B4" s="93"/>
      <c r="C4" s="93"/>
      <c r="D4" s="93"/>
      <c r="E4" s="93" t="s">
        <v>172</v>
      </c>
      <c r="F4" s="93"/>
      <c r="G4" s="93"/>
      <c r="H4" s="93"/>
    </row>
    <row r="5" spans="1:8" x14ac:dyDescent="0.3">
      <c r="A5" s="93" t="s">
        <v>3</v>
      </c>
      <c r="B5" s="93"/>
      <c r="C5" s="93"/>
      <c r="D5" s="93"/>
      <c r="E5" s="154">
        <v>45908</v>
      </c>
      <c r="F5" s="93"/>
      <c r="G5" s="93"/>
      <c r="H5" s="93"/>
    </row>
    <row r="6" spans="1:8" ht="16.5" customHeight="1" x14ac:dyDescent="0.3">
      <c r="A6" s="93" t="s">
        <v>4</v>
      </c>
      <c r="B6" s="93"/>
      <c r="C6" s="93"/>
      <c r="D6" s="93"/>
      <c r="E6" s="93" t="s">
        <v>173</v>
      </c>
      <c r="F6" s="93"/>
      <c r="G6" s="93"/>
      <c r="H6" s="93"/>
    </row>
    <row r="7" spans="1:8" ht="15" customHeight="1" x14ac:dyDescent="0.3">
      <c r="A7" s="93" t="s">
        <v>5</v>
      </c>
      <c r="B7" s="93"/>
      <c r="C7" s="93"/>
      <c r="D7" s="93"/>
      <c r="E7" s="93" t="str">
        <f>E6</f>
        <v>Shree Ganesh Enterprises</v>
      </c>
      <c r="F7" s="93"/>
      <c r="G7" s="93"/>
      <c r="H7" s="93"/>
    </row>
    <row r="8" spans="1:8" x14ac:dyDescent="0.3">
      <c r="A8" s="93" t="s">
        <v>6</v>
      </c>
      <c r="B8" s="93"/>
      <c r="C8" s="93"/>
      <c r="D8" s="93"/>
      <c r="E8" s="153" t="s">
        <v>174</v>
      </c>
      <c r="F8" s="153"/>
      <c r="G8" s="153"/>
      <c r="H8" s="153"/>
    </row>
    <row r="9" spans="1:8" x14ac:dyDescent="0.3">
      <c r="A9" s="93" t="s">
        <v>169</v>
      </c>
      <c r="B9" s="93"/>
      <c r="C9" s="93"/>
      <c r="D9" s="93"/>
      <c r="E9" s="93">
        <v>9326438922</v>
      </c>
      <c r="F9" s="93"/>
      <c r="G9" s="93"/>
      <c r="H9" s="93"/>
    </row>
    <row r="10" spans="1:8" x14ac:dyDescent="0.3">
      <c r="A10" s="93" t="s">
        <v>170</v>
      </c>
      <c r="B10" s="93"/>
      <c r="C10" s="93"/>
      <c r="D10" s="93"/>
      <c r="E10" s="93" t="s">
        <v>30</v>
      </c>
      <c r="F10" s="93"/>
      <c r="G10" s="93"/>
      <c r="H10" s="93"/>
    </row>
    <row r="11" spans="1:8" x14ac:dyDescent="0.3">
      <c r="A11" s="93" t="s">
        <v>7</v>
      </c>
      <c r="B11" s="93"/>
      <c r="C11" s="93"/>
      <c r="D11" s="93"/>
      <c r="E11" s="93" t="s">
        <v>127</v>
      </c>
      <c r="F11" s="93"/>
      <c r="G11" s="93"/>
      <c r="H11" s="93"/>
    </row>
    <row r="12" spans="1:8" x14ac:dyDescent="0.3">
      <c r="A12" s="84" t="s">
        <v>8</v>
      </c>
      <c r="B12" s="84"/>
      <c r="C12" s="84"/>
      <c r="D12" s="84"/>
      <c r="E12" s="97" t="s">
        <v>175</v>
      </c>
      <c r="F12" s="97"/>
      <c r="G12" s="97"/>
      <c r="H12" s="97"/>
    </row>
    <row r="13" spans="1:8" x14ac:dyDescent="0.3">
      <c r="A13" s="84" t="s">
        <v>9</v>
      </c>
      <c r="B13" s="84"/>
      <c r="C13" s="84"/>
      <c r="D13" s="84"/>
      <c r="E13" s="97" t="s">
        <v>176</v>
      </c>
      <c r="F13" s="93"/>
      <c r="G13" s="93"/>
      <c r="H13" s="93"/>
    </row>
    <row r="14" spans="1:8" ht="33.75" customHeight="1" x14ac:dyDescent="0.3">
      <c r="A14" s="97" t="s">
        <v>10</v>
      </c>
      <c r="B14" s="97"/>
      <c r="C14" s="9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Delta Elite, Plot No.01, Sector No. 04, near Bhagwati Elysia, Internal Road, , Pushpak Nagar, Khandeshwar , Panvel, Raigad - 410206.</v>
      </c>
      <c r="D14" s="97"/>
      <c r="E14" s="97"/>
      <c r="F14" s="97"/>
      <c r="G14" s="97"/>
      <c r="H14" s="97"/>
    </row>
    <row r="15" spans="1:8" x14ac:dyDescent="0.3">
      <c r="A15" s="97" t="s">
        <v>177</v>
      </c>
      <c r="B15" s="97"/>
      <c r="C15" s="97" t="s">
        <v>178</v>
      </c>
      <c r="D15" s="97"/>
      <c r="E15" s="97"/>
      <c r="F15" s="97"/>
      <c r="G15" s="97"/>
      <c r="H15" s="97"/>
    </row>
    <row r="16" spans="1:8" ht="15.75" hidden="1" customHeight="1" x14ac:dyDescent="0.3">
      <c r="A16" s="97" t="s">
        <v>168</v>
      </c>
      <c r="B16" s="97"/>
      <c r="C16" s="97" t="s">
        <v>30</v>
      </c>
      <c r="D16" s="97"/>
      <c r="E16" s="97"/>
      <c r="F16" s="97"/>
      <c r="G16" s="97"/>
      <c r="H16" s="97"/>
    </row>
    <row r="17" spans="1:8" ht="15.75" customHeight="1" x14ac:dyDescent="0.3">
      <c r="A17" s="97" t="s">
        <v>11</v>
      </c>
      <c r="B17" s="97"/>
      <c r="C17" s="93" t="s">
        <v>183</v>
      </c>
      <c r="D17" s="93"/>
      <c r="E17" s="97" t="s">
        <v>75</v>
      </c>
      <c r="F17" s="97"/>
      <c r="G17" s="97" t="s">
        <v>179</v>
      </c>
      <c r="H17" s="97"/>
    </row>
    <row r="18" spans="1:8" x14ac:dyDescent="0.3">
      <c r="A18" s="93" t="s">
        <v>13</v>
      </c>
      <c r="B18" s="93"/>
      <c r="C18" s="97" t="s">
        <v>186</v>
      </c>
      <c r="D18" s="97"/>
      <c r="E18" s="97" t="s">
        <v>12</v>
      </c>
      <c r="F18" s="97"/>
      <c r="G18" s="150" t="s">
        <v>180</v>
      </c>
      <c r="H18" s="150"/>
    </row>
    <row r="19" spans="1:8" x14ac:dyDescent="0.3">
      <c r="A19" s="84" t="s">
        <v>76</v>
      </c>
      <c r="B19" s="84"/>
      <c r="C19" s="97" t="s">
        <v>181</v>
      </c>
      <c r="D19" s="97"/>
      <c r="E19" s="97" t="s">
        <v>14</v>
      </c>
      <c r="F19" s="97"/>
      <c r="G19" s="97">
        <v>410206</v>
      </c>
      <c r="H19" s="97"/>
    </row>
    <row r="20" spans="1:8" ht="32.25" customHeight="1" x14ac:dyDescent="0.3">
      <c r="A20" s="84" t="s">
        <v>128</v>
      </c>
      <c r="B20" s="84"/>
      <c r="C20" s="97" t="s">
        <v>182</v>
      </c>
      <c r="D20" s="97"/>
      <c r="E20" s="97" t="s">
        <v>15</v>
      </c>
      <c r="F20" s="97"/>
      <c r="G20" s="97" t="s">
        <v>185</v>
      </c>
      <c r="H20" s="97"/>
    </row>
    <row r="21" spans="1:8" ht="15" customHeight="1" x14ac:dyDescent="0.3">
      <c r="A21" s="98" t="s">
        <v>79</v>
      </c>
      <c r="B21" s="98"/>
      <c r="C21" s="98"/>
      <c r="D21" s="98"/>
      <c r="E21" s="93" t="s">
        <v>16</v>
      </c>
      <c r="F21" s="93"/>
      <c r="G21" s="93"/>
      <c r="H21" s="93"/>
    </row>
    <row r="22" spans="1:8" ht="18.75" customHeight="1" x14ac:dyDescent="0.3">
      <c r="A22" s="98"/>
      <c r="B22" s="98"/>
      <c r="C22" s="98"/>
      <c r="D22" s="98"/>
      <c r="E22" s="93"/>
      <c r="F22" s="93"/>
      <c r="G22" s="93"/>
      <c r="H22" s="93"/>
    </row>
    <row r="23" spans="1:8" ht="15" customHeight="1" x14ac:dyDescent="0.3">
      <c r="A23" s="98" t="s">
        <v>17</v>
      </c>
      <c r="B23" s="98"/>
      <c r="C23" s="98"/>
      <c r="D23" s="98"/>
      <c r="E23" s="97" t="s">
        <v>18</v>
      </c>
      <c r="F23" s="97"/>
      <c r="G23" s="97"/>
      <c r="H23" s="97"/>
    </row>
    <row r="24" spans="1:8" ht="15" customHeight="1" x14ac:dyDescent="0.3">
      <c r="A24" s="84" t="s">
        <v>19</v>
      </c>
      <c r="B24" s="84"/>
      <c r="C24" s="84"/>
      <c r="D24" s="84"/>
      <c r="E24" s="97" t="str">
        <f>IF(AND(G18="Mumbai"),"Upper Class","Middle Class")</f>
        <v>Middle Class</v>
      </c>
      <c r="F24" s="97"/>
      <c r="G24" s="97"/>
      <c r="H24" s="97"/>
    </row>
    <row r="25" spans="1:8" x14ac:dyDescent="0.3">
      <c r="A25" s="84" t="s">
        <v>20</v>
      </c>
      <c r="B25" s="84"/>
      <c r="C25" s="84"/>
      <c r="D25" s="84"/>
      <c r="E25" s="97" t="s">
        <v>21</v>
      </c>
      <c r="F25" s="97"/>
      <c r="G25" s="97"/>
      <c r="H25" s="97"/>
    </row>
    <row r="26" spans="1:8" ht="15.75" customHeight="1" x14ac:dyDescent="0.3">
      <c r="A26" s="84" t="s">
        <v>22</v>
      </c>
      <c r="B26" s="84"/>
      <c r="C26" s="84"/>
      <c r="D26" s="84"/>
      <c r="E26" s="97" t="str">
        <f>IF(AND(G18="Mumbai"),"Developed","Developing")</f>
        <v>Developing</v>
      </c>
      <c r="F26" s="97"/>
      <c r="G26" s="97"/>
      <c r="H26" s="97"/>
    </row>
    <row r="27" spans="1:8" x14ac:dyDescent="0.3">
      <c r="A27" s="84" t="s">
        <v>23</v>
      </c>
      <c r="B27" s="84"/>
      <c r="C27" s="84"/>
      <c r="D27" s="84"/>
      <c r="E27" s="97" t="s">
        <v>24</v>
      </c>
      <c r="F27" s="97"/>
      <c r="G27" s="97"/>
      <c r="H27" s="97"/>
    </row>
    <row r="28" spans="1:8" ht="15.75" customHeight="1" x14ac:dyDescent="0.3">
      <c r="A28" s="84" t="s">
        <v>84</v>
      </c>
      <c r="B28" s="84"/>
      <c r="C28" s="84"/>
      <c r="D28" s="84"/>
      <c r="E28" s="97" t="s">
        <v>85</v>
      </c>
      <c r="F28" s="97"/>
      <c r="G28" s="97"/>
      <c r="H28" s="97"/>
    </row>
    <row r="29" spans="1:8" ht="15" customHeight="1" x14ac:dyDescent="0.3">
      <c r="A29" s="84" t="s">
        <v>33</v>
      </c>
      <c r="B29" s="84"/>
      <c r="C29" s="84"/>
      <c r="D29" s="84"/>
      <c r="E29" s="97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97"/>
      <c r="G29" s="97"/>
      <c r="H29" s="97"/>
    </row>
    <row r="30" spans="1:8" ht="15.75" customHeight="1" x14ac:dyDescent="0.3">
      <c r="A30" s="84" t="s">
        <v>96</v>
      </c>
      <c r="B30" s="84"/>
      <c r="C30" s="84"/>
      <c r="D30" s="84"/>
      <c r="E30" s="97" t="s">
        <v>34</v>
      </c>
      <c r="F30" s="97"/>
      <c r="G30" s="97"/>
      <c r="H30" s="97"/>
    </row>
    <row r="31" spans="1:8" s="18" customFormat="1" x14ac:dyDescent="0.3">
      <c r="A31" s="149" t="s">
        <v>97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18" customFormat="1" x14ac:dyDescent="0.3">
      <c r="A32" s="115" t="s">
        <v>25</v>
      </c>
      <c r="B32" s="115" t="s">
        <v>30</v>
      </c>
      <c r="C32" s="116" t="s">
        <v>225</v>
      </c>
      <c r="D32" s="116"/>
      <c r="E32" s="116"/>
      <c r="F32" s="116" t="s">
        <v>184</v>
      </c>
      <c r="G32" s="116"/>
      <c r="H32" s="116"/>
    </row>
    <row r="33" spans="1:8" x14ac:dyDescent="0.3">
      <c r="A33" s="115" t="s">
        <v>26</v>
      </c>
      <c r="B33" s="115" t="s">
        <v>30</v>
      </c>
      <c r="C33" s="116" t="s">
        <v>224</v>
      </c>
      <c r="D33" s="116"/>
      <c r="E33" s="116"/>
      <c r="F33" s="116" t="s">
        <v>183</v>
      </c>
      <c r="G33" s="116"/>
      <c r="H33" s="116"/>
    </row>
    <row r="34" spans="1:8" s="18" customFormat="1" x14ac:dyDescent="0.3">
      <c r="A34" s="115" t="s">
        <v>28</v>
      </c>
      <c r="B34" s="115" t="s">
        <v>30</v>
      </c>
      <c r="C34" s="116" t="s">
        <v>222</v>
      </c>
      <c r="D34" s="116"/>
      <c r="E34" s="116"/>
      <c r="F34" s="116" t="s">
        <v>184</v>
      </c>
      <c r="G34" s="116"/>
      <c r="H34" s="116"/>
    </row>
    <row r="35" spans="1:8" x14ac:dyDescent="0.3">
      <c r="A35" s="115" t="s">
        <v>27</v>
      </c>
      <c r="B35" s="115" t="s">
        <v>30</v>
      </c>
      <c r="C35" s="116" t="s">
        <v>223</v>
      </c>
      <c r="D35" s="116"/>
      <c r="E35" s="116"/>
      <c r="F35" s="116" t="s">
        <v>183</v>
      </c>
      <c r="G35" s="116"/>
      <c r="H35" s="116"/>
    </row>
    <row r="36" spans="1:8" x14ac:dyDescent="0.3">
      <c r="A36" s="84" t="s">
        <v>32</v>
      </c>
      <c r="B36" s="84"/>
      <c r="C36" s="84"/>
      <c r="D36" s="84"/>
      <c r="E36" s="84"/>
      <c r="F36" s="84"/>
      <c r="G36" s="84"/>
      <c r="H36" s="84"/>
    </row>
    <row r="37" spans="1:8" ht="15.75" customHeight="1" x14ac:dyDescent="0.3">
      <c r="A37" s="84" t="s">
        <v>214</v>
      </c>
      <c r="B37" s="84"/>
      <c r="C37" s="186" t="s">
        <v>220</v>
      </c>
      <c r="D37" s="187"/>
      <c r="E37" s="187"/>
      <c r="F37" s="187"/>
      <c r="G37" s="187"/>
      <c r="H37" s="188"/>
    </row>
    <row r="38" spans="1:8" x14ac:dyDescent="0.3">
      <c r="A38" s="84" t="s">
        <v>167</v>
      </c>
      <c r="B38" s="84"/>
      <c r="C38" s="140" t="s">
        <v>221</v>
      </c>
      <c r="D38" s="97"/>
      <c r="E38" s="97"/>
      <c r="F38" s="97"/>
      <c r="G38" s="97"/>
      <c r="H38" s="97"/>
    </row>
    <row r="39" spans="1:8" x14ac:dyDescent="0.3">
      <c r="A39" s="92" t="s">
        <v>35</v>
      </c>
      <c r="B39" s="92"/>
      <c r="C39" s="92"/>
      <c r="D39" s="92"/>
      <c r="E39" s="92"/>
      <c r="F39" s="92"/>
      <c r="G39" s="92"/>
      <c r="H39" s="92"/>
    </row>
    <row r="40" spans="1:8" x14ac:dyDescent="0.3">
      <c r="A40" s="93" t="s">
        <v>36</v>
      </c>
      <c r="B40" s="93"/>
      <c r="C40" s="93"/>
      <c r="D40" s="93"/>
      <c r="E40" s="94">
        <v>3209.97</v>
      </c>
      <c r="F40" s="94"/>
      <c r="G40" s="94"/>
      <c r="H40" s="94"/>
    </row>
    <row r="41" spans="1:8" x14ac:dyDescent="0.3">
      <c r="A41" s="93" t="s">
        <v>37</v>
      </c>
      <c r="B41" s="93"/>
      <c r="C41" s="93"/>
      <c r="D41" s="93"/>
      <c r="E41" s="130">
        <f>6419.94/E40</f>
        <v>2</v>
      </c>
      <c r="F41" s="130"/>
      <c r="G41" s="130"/>
      <c r="H41" s="130"/>
    </row>
    <row r="42" spans="1:8" x14ac:dyDescent="0.3">
      <c r="A42" s="93" t="s">
        <v>38</v>
      </c>
      <c r="B42" s="93"/>
      <c r="C42" s="93"/>
      <c r="D42" s="93"/>
      <c r="E42" s="130">
        <f>E44/E40-E41</f>
        <v>1.2164194680947178</v>
      </c>
      <c r="F42" s="130"/>
      <c r="G42" s="130"/>
      <c r="H42" s="130"/>
    </row>
    <row r="43" spans="1:8" x14ac:dyDescent="0.3">
      <c r="A43" s="93" t="s">
        <v>39</v>
      </c>
      <c r="B43" s="93"/>
      <c r="C43" s="93"/>
      <c r="D43" s="93"/>
      <c r="E43" s="130">
        <f>E41+E42</f>
        <v>3.2164194680947178</v>
      </c>
      <c r="F43" s="130"/>
      <c r="G43" s="130"/>
      <c r="H43" s="130"/>
    </row>
    <row r="44" spans="1:8" x14ac:dyDescent="0.3">
      <c r="A44" s="93" t="s">
        <v>95</v>
      </c>
      <c r="B44" s="93"/>
      <c r="C44" s="93"/>
      <c r="D44" s="93"/>
      <c r="E44" s="136">
        <v>10324.61</v>
      </c>
      <c r="F44" s="136"/>
      <c r="G44" s="136"/>
      <c r="H44" s="136"/>
    </row>
    <row r="45" spans="1:8" x14ac:dyDescent="0.3">
      <c r="A45" s="93" t="s">
        <v>40</v>
      </c>
      <c r="B45" s="93"/>
      <c r="C45" s="93"/>
      <c r="D45" s="93"/>
      <c r="E45" s="93" t="s">
        <v>127</v>
      </c>
      <c r="F45" s="93"/>
      <c r="G45" s="93"/>
      <c r="H45" s="93"/>
    </row>
    <row r="46" spans="1:8" x14ac:dyDescent="0.3">
      <c r="A46" s="92" t="s">
        <v>41</v>
      </c>
      <c r="B46" s="92"/>
      <c r="C46" s="92"/>
      <c r="D46" s="92"/>
      <c r="E46" s="92"/>
      <c r="F46" s="92"/>
      <c r="G46" s="92"/>
      <c r="H46" s="92"/>
    </row>
    <row r="47" spans="1:8" ht="33.75" customHeight="1" x14ac:dyDescent="0.3">
      <c r="A47" s="107" t="s">
        <v>155</v>
      </c>
      <c r="B47" s="108"/>
      <c r="C47" s="141" t="s">
        <v>187</v>
      </c>
      <c r="D47" s="142"/>
      <c r="E47" s="142"/>
      <c r="F47" s="142"/>
      <c r="G47" s="142"/>
      <c r="H47" s="143"/>
    </row>
    <row r="48" spans="1:8" ht="33" customHeight="1" x14ac:dyDescent="0.3">
      <c r="A48" s="107" t="s">
        <v>42</v>
      </c>
      <c r="B48" s="108"/>
      <c r="C48" s="107" t="s">
        <v>201</v>
      </c>
      <c r="D48" s="137"/>
      <c r="E48" s="108"/>
      <c r="F48" s="47" t="s">
        <v>43</v>
      </c>
      <c r="G48" s="138">
        <v>44883</v>
      </c>
      <c r="H48" s="139"/>
    </row>
    <row r="49" spans="1:14" ht="33" customHeight="1" x14ac:dyDescent="0.3">
      <c r="A49" s="107" t="s">
        <v>44</v>
      </c>
      <c r="B49" s="108"/>
      <c r="C49" s="107" t="str">
        <f>C48</f>
        <v>CIDCO/BP-17923/TPO(NM &amp; K)/2021/10002</v>
      </c>
      <c r="D49" s="137"/>
      <c r="E49" s="108"/>
      <c r="F49" s="47" t="s">
        <v>43</v>
      </c>
      <c r="G49" s="138">
        <f>G48</f>
        <v>44883</v>
      </c>
      <c r="H49" s="139"/>
    </row>
    <row r="50" spans="1:14" s="19" customFormat="1" ht="33" customHeight="1" x14ac:dyDescent="0.3">
      <c r="A50" s="144" t="s">
        <v>159</v>
      </c>
      <c r="B50" s="145"/>
      <c r="C50" s="107" t="str">
        <f>C48</f>
        <v>CIDCO/BP-17923/TPO(NM &amp; K)/2021/10002</v>
      </c>
      <c r="D50" s="137"/>
      <c r="E50" s="108"/>
      <c r="F50" s="47" t="s">
        <v>43</v>
      </c>
      <c r="G50" s="138">
        <v>44882</v>
      </c>
      <c r="H50" s="108"/>
    </row>
    <row r="51" spans="1:14" s="19" customFormat="1" x14ac:dyDescent="0.3">
      <c r="A51" s="146"/>
      <c r="B51" s="147"/>
      <c r="C51" s="107" t="s">
        <v>209</v>
      </c>
      <c r="D51" s="137"/>
      <c r="E51" s="137"/>
      <c r="F51" s="137"/>
      <c r="G51" s="137"/>
      <c r="H51" s="108"/>
    </row>
    <row r="52" spans="1:14" s="19" customFormat="1" ht="33.75" customHeight="1" x14ac:dyDescent="0.3">
      <c r="A52" s="144" t="s">
        <v>198</v>
      </c>
      <c r="B52" s="145"/>
      <c r="C52" s="144" t="s">
        <v>199</v>
      </c>
      <c r="D52" s="168"/>
      <c r="E52" s="145"/>
      <c r="F52" s="47" t="s">
        <v>43</v>
      </c>
      <c r="G52" s="138">
        <v>44384</v>
      </c>
      <c r="H52" s="108"/>
    </row>
    <row r="53" spans="1:14" s="19" customFormat="1" ht="31.2" x14ac:dyDescent="0.3">
      <c r="A53" s="146" t="s">
        <v>197</v>
      </c>
      <c r="B53" s="147"/>
      <c r="C53" s="146"/>
      <c r="D53" s="173"/>
      <c r="E53" s="147"/>
      <c r="F53" s="47" t="s">
        <v>196</v>
      </c>
      <c r="G53" s="138">
        <v>47305</v>
      </c>
      <c r="H53" s="108"/>
    </row>
    <row r="54" spans="1:14" x14ac:dyDescent="0.3">
      <c r="A54" s="131" t="s">
        <v>45</v>
      </c>
      <c r="B54" s="132"/>
      <c r="C54" s="131" t="s">
        <v>109</v>
      </c>
      <c r="D54" s="133"/>
      <c r="E54" s="132"/>
      <c r="F54" s="48" t="s">
        <v>43</v>
      </c>
      <c r="G54" s="141" t="s">
        <v>30</v>
      </c>
      <c r="H54" s="143"/>
    </row>
    <row r="55" spans="1:14" x14ac:dyDescent="0.3">
      <c r="A55" s="156" t="s">
        <v>47</v>
      </c>
      <c r="B55" s="156"/>
      <c r="C55" s="156"/>
      <c r="D55" s="156"/>
      <c r="E55" s="156"/>
      <c r="F55" s="156"/>
      <c r="G55" s="156"/>
      <c r="H55" s="156"/>
    </row>
    <row r="56" spans="1:14" x14ac:dyDescent="0.3">
      <c r="A56" s="98" t="s">
        <v>94</v>
      </c>
      <c r="B56" s="98"/>
      <c r="C56" s="98"/>
      <c r="D56" s="84">
        <f>E44</f>
        <v>10324.61</v>
      </c>
      <c r="E56" s="84"/>
      <c r="F56" s="84"/>
      <c r="G56" s="84"/>
      <c r="H56" s="84"/>
    </row>
    <row r="57" spans="1:14" x14ac:dyDescent="0.3">
      <c r="A57" s="97" t="s">
        <v>48</v>
      </c>
      <c r="B57" s="93"/>
      <c r="C57" s="93"/>
      <c r="D57" s="93" t="s">
        <v>233</v>
      </c>
      <c r="E57" s="93"/>
      <c r="F57" s="93"/>
      <c r="G57" s="93"/>
      <c r="H57" s="93"/>
      <c r="I57" s="20"/>
    </row>
    <row r="58" spans="1:14" x14ac:dyDescent="0.3">
      <c r="A58" s="144" t="s">
        <v>49</v>
      </c>
      <c r="B58" s="168"/>
      <c r="C58" s="145"/>
      <c r="D58" s="100" t="s">
        <v>210</v>
      </c>
      <c r="E58" s="172"/>
      <c r="F58" s="172"/>
      <c r="G58" s="172"/>
      <c r="H58" s="172"/>
    </row>
    <row r="59" spans="1:14" ht="15.75" customHeight="1" x14ac:dyDescent="0.3">
      <c r="A59" s="144" t="s">
        <v>92</v>
      </c>
      <c r="B59" s="168"/>
      <c r="C59" s="168"/>
      <c r="D59" s="169" t="s">
        <v>243</v>
      </c>
      <c r="E59" s="170"/>
      <c r="F59" s="170"/>
      <c r="G59" s="170"/>
      <c r="H59" s="171"/>
    </row>
    <row r="60" spans="1:14" ht="15.75" customHeight="1" x14ac:dyDescent="0.3">
      <c r="A60" s="84" t="s">
        <v>46</v>
      </c>
      <c r="B60" s="84"/>
      <c r="C60" s="84"/>
      <c r="D60" s="134" t="s">
        <v>188</v>
      </c>
      <c r="E60" s="134"/>
      <c r="F60" s="134"/>
      <c r="G60" s="134"/>
      <c r="H60" s="134"/>
      <c r="J60" s="21"/>
      <c r="K60" s="20"/>
      <c r="N60" s="20"/>
    </row>
    <row r="61" spans="1:14" ht="15.75" customHeight="1" x14ac:dyDescent="0.3">
      <c r="A61" s="84" t="s">
        <v>90</v>
      </c>
      <c r="B61" s="84"/>
      <c r="C61" s="84"/>
      <c r="D61" s="135" t="str">
        <f>(IF(G54="NA","60 Years After Completion",IF(G54&lt;&gt;"NA",""&amp;60-ROUNDDOWN((E3-G54)/360,0)&amp;" Years"," ")))</f>
        <v>60 Years After Completion</v>
      </c>
      <c r="E61" s="135"/>
      <c r="F61" s="135"/>
      <c r="G61" s="135"/>
      <c r="H61" s="135"/>
      <c r="N61" s="20"/>
    </row>
    <row r="62" spans="1:14" ht="15.75" customHeight="1" x14ac:dyDescent="0.3">
      <c r="A62" s="84" t="s">
        <v>91</v>
      </c>
      <c r="B62" s="84"/>
      <c r="C62" s="84"/>
      <c r="D62" s="98" t="s">
        <v>24</v>
      </c>
      <c r="E62" s="98"/>
      <c r="F62" s="98"/>
      <c r="G62" s="98"/>
      <c r="H62" s="98"/>
      <c r="J62" s="22"/>
      <c r="K62" s="22"/>
    </row>
    <row r="63" spans="1:14" x14ac:dyDescent="0.3">
      <c r="A63" s="84" t="s">
        <v>77</v>
      </c>
      <c r="B63" s="84"/>
      <c r="C63" s="84"/>
      <c r="D63" s="97" t="s">
        <v>200</v>
      </c>
      <c r="E63" s="98"/>
      <c r="F63" s="98"/>
      <c r="G63" s="98"/>
      <c r="H63" s="98"/>
    </row>
    <row r="64" spans="1:14" x14ac:dyDescent="0.3">
      <c r="A64" s="98" t="s">
        <v>154</v>
      </c>
      <c r="B64" s="98"/>
      <c r="C64" s="98"/>
      <c r="D64" s="98" t="s">
        <v>30</v>
      </c>
      <c r="E64" s="98"/>
      <c r="F64" s="98"/>
      <c r="G64" s="98"/>
      <c r="H64" s="98"/>
      <c r="I64" s="23"/>
      <c r="J64" s="23"/>
      <c r="K64" s="23"/>
      <c r="L64" s="23"/>
      <c r="M64" s="23"/>
      <c r="N64" s="23"/>
    </row>
    <row r="65" spans="1:10" ht="15.75" customHeight="1" x14ac:dyDescent="0.3">
      <c r="A65" s="117" t="s">
        <v>89</v>
      </c>
      <c r="B65" s="117"/>
      <c r="C65" s="117"/>
      <c r="D65" s="100" t="str">
        <f ca="1">(IF(G71&gt;95%,"Nothing",IF(G71&gt;0%,"Cement, Aggregate, Steel, etc",IF(G71=0%,"Work not yet Started"))))</f>
        <v>Cement, Aggregate, Steel, etc</v>
      </c>
      <c r="E65" s="100"/>
      <c r="F65" s="100"/>
      <c r="G65" s="100"/>
      <c r="H65" s="100"/>
      <c r="J65" s="22"/>
    </row>
    <row r="66" spans="1:10" ht="33.75" customHeight="1" thickBot="1" x14ac:dyDescent="0.35">
      <c r="A66" s="99" t="s">
        <v>122</v>
      </c>
      <c r="B66" s="99"/>
      <c r="C66" s="99"/>
      <c r="D66" s="100" t="str">
        <f ca="1">(IF(D65="Nothing","Yes",IF(D65="Cement, Aggregate, Steel, etc","Under Construction",IF(D65="Work not yet Started","Work not yet Started"))))</f>
        <v>Under Construction</v>
      </c>
      <c r="E66" s="100"/>
      <c r="F66" s="100" t="str">
        <f ca="1">(IF(D65="Nothing","Yes",IF(D65="Cement, Aggregate, Steel, etc","Under Construction",IF(D65="Work not yet Started","Work not yet Started"))))</f>
        <v>Under Construction</v>
      </c>
      <c r="G66" s="100"/>
      <c r="H66" s="100"/>
    </row>
    <row r="67" spans="1:10" ht="15.75" customHeight="1" x14ac:dyDescent="0.3">
      <c r="A67" s="161" t="s">
        <v>146</v>
      </c>
      <c r="B67" s="162"/>
      <c r="C67" s="163" t="str">
        <f>D59</f>
        <v>B + Gr + 1st to 13th Floor</v>
      </c>
      <c r="D67" s="164"/>
      <c r="E67" s="164"/>
      <c r="F67" s="164"/>
      <c r="G67" s="164"/>
      <c r="H67" s="165"/>
      <c r="I67" s="41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 Completed, Painting upto 12 Floor, Finishing upto 7 Floor Completed</v>
      </c>
      <c r="J67" s="4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Painting upto 12 Floor, Finishing upto 7 Floor</v>
      </c>
    </row>
    <row r="68" spans="1:10" x14ac:dyDescent="0.3">
      <c r="A68" s="15" t="s">
        <v>148</v>
      </c>
      <c r="B68" s="45">
        <v>1</v>
      </c>
      <c r="C68" s="45" t="s">
        <v>74</v>
      </c>
      <c r="D68" s="45">
        <v>1</v>
      </c>
      <c r="E68" s="45" t="s">
        <v>73</v>
      </c>
      <c r="F68" s="45">
        <v>0</v>
      </c>
      <c r="G68" s="45" t="s">
        <v>83</v>
      </c>
      <c r="H68" s="16">
        <f ca="1">--TRIM(RIGHT(SUBSTITUTE(LEFT(C67,_xlfn.AGGREGATE(16,6,FIND({0,1,2,3,4,5,6,7,8,9},C67,ROW(INDIRECT("1:"&amp;LEN(C67)))),1))," ",REPT(" ",LEN(C67))),LEN(C67)))</f>
        <v>13</v>
      </c>
      <c r="I68" s="4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</v>
      </c>
      <c r="J68" s="4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7.799999999999997" customHeight="1" x14ac:dyDescent="0.3">
      <c r="A69" s="160" t="s">
        <v>93</v>
      </c>
      <c r="B69" s="153"/>
      <c r="C69" s="166" t="str">
        <f ca="1">I67</f>
        <v>Excavation, Plinth, RCC Slab, Brickwork, Internal Plaster, External Plaster, Flooring Completed, Painting upto 12 Floor, Finishing upto 7 Floor Completed</v>
      </c>
      <c r="D69" s="166"/>
      <c r="E69" s="166"/>
      <c r="F69" s="166"/>
      <c r="G69" s="166"/>
      <c r="H69" s="167"/>
      <c r="I69" s="43" t="str">
        <f ca="1">IF(I68&lt;&gt;""," Completed","")</f>
        <v xml:space="preserve"> Completed</v>
      </c>
      <c r="J69" s="44" t="str">
        <f ca="1">IF(J67&lt;&gt;"","Completed","")</f>
        <v>Completed</v>
      </c>
    </row>
    <row r="70" spans="1:10" ht="15.75" customHeight="1" x14ac:dyDescent="0.3">
      <c r="A70" s="95" t="s">
        <v>50</v>
      </c>
      <c r="B70" s="96"/>
      <c r="C70" s="49" t="s">
        <v>145</v>
      </c>
      <c r="D70" s="49" t="s">
        <v>86</v>
      </c>
      <c r="E70" s="96" t="s">
        <v>88</v>
      </c>
      <c r="F70" s="96"/>
      <c r="G70" s="96" t="s">
        <v>87</v>
      </c>
      <c r="H70" s="118"/>
      <c r="I70" s="13" t="s">
        <v>147</v>
      </c>
      <c r="J70" s="24">
        <f ca="1">H68*25%</f>
        <v>3.25</v>
      </c>
    </row>
    <row r="71" spans="1:10" x14ac:dyDescent="0.3">
      <c r="A71" s="95" t="s">
        <v>134</v>
      </c>
      <c r="B71" s="96"/>
      <c r="C71" s="49">
        <f ca="1">J72</f>
        <v>13</v>
      </c>
      <c r="D71" s="50">
        <f ca="1">((100/H68)*C71)/100</f>
        <v>1</v>
      </c>
      <c r="E71" s="119">
        <f ca="1">(((C72/H68*10)+(40/(D68+F68+H68)*C73)+(7.5/(H68)*C74)+(7.5/(H68)*C75)+(10/H68*C76)+(10/H68*C77)+(5/H68*C78)+(5/H68*C79)+(5/H68*C80))/100)</f>
        <v>0.92307692307692302</v>
      </c>
      <c r="F71" s="120"/>
      <c r="G71" s="119">
        <f ca="1">((((C71/H68)*20)+((C72/H68)*25)+(30/(H68+F68+D68)*C73)+(5/H68*C74)+(5/H68*C75)+(5/H68*C76)+(5/H68*C77)+(0/H68*C78)+(0/H68*C79)+(5/H68*C80))/100)</f>
        <v>0.95</v>
      </c>
      <c r="H71" s="125"/>
      <c r="I71" s="13" t="s">
        <v>104</v>
      </c>
      <c r="J71" s="25">
        <f ca="1">H68*50%</f>
        <v>6.5</v>
      </c>
    </row>
    <row r="72" spans="1:10" x14ac:dyDescent="0.3">
      <c r="A72" s="95" t="s">
        <v>51</v>
      </c>
      <c r="B72" s="96"/>
      <c r="C72" s="49">
        <f ca="1">J80</f>
        <v>13</v>
      </c>
      <c r="D72" s="50">
        <f ca="1">((100/H68)*C72)/100</f>
        <v>1</v>
      </c>
      <c r="E72" s="121"/>
      <c r="F72" s="122"/>
      <c r="G72" s="121"/>
      <c r="H72" s="126"/>
      <c r="I72" s="13" t="s">
        <v>105</v>
      </c>
      <c r="J72" s="25">
        <f ca="1">H68</f>
        <v>13</v>
      </c>
    </row>
    <row r="73" spans="1:10" ht="15.75" customHeight="1" x14ac:dyDescent="0.3">
      <c r="A73" s="95" t="s">
        <v>135</v>
      </c>
      <c r="B73" s="96"/>
      <c r="C73" s="49">
        <v>14</v>
      </c>
      <c r="D73" s="50">
        <f ca="1">((100/(D68+F68+H68))*C73)/100</f>
        <v>1</v>
      </c>
      <c r="E73" s="121"/>
      <c r="F73" s="122"/>
      <c r="G73" s="121"/>
      <c r="H73" s="126"/>
      <c r="I73" s="13" t="s">
        <v>106</v>
      </c>
      <c r="J73" s="26">
        <f ca="1">(IF(B68&gt;1,(H68/(B68+2)),H68/4))</f>
        <v>3.25</v>
      </c>
    </row>
    <row r="74" spans="1:10" ht="15.75" customHeight="1" x14ac:dyDescent="0.3">
      <c r="A74" s="95" t="s">
        <v>142</v>
      </c>
      <c r="B74" s="96" t="s">
        <v>136</v>
      </c>
      <c r="C74" s="49">
        <v>13</v>
      </c>
      <c r="D74" s="50">
        <f ca="1">((100/H68)*C74)/100</f>
        <v>1</v>
      </c>
      <c r="E74" s="121"/>
      <c r="F74" s="122"/>
      <c r="G74" s="121"/>
      <c r="H74" s="126"/>
      <c r="I74" s="13" t="s">
        <v>107</v>
      </c>
      <c r="J74" s="26">
        <f ca="1">(IF(B68&gt;1,(H68/(B68+2)+J73),H68/4+J73))</f>
        <v>6.5</v>
      </c>
    </row>
    <row r="75" spans="1:10" ht="15.75" customHeight="1" x14ac:dyDescent="0.3">
      <c r="A75" s="95" t="s">
        <v>143</v>
      </c>
      <c r="B75" s="96" t="s">
        <v>136</v>
      </c>
      <c r="C75" s="49">
        <v>13</v>
      </c>
      <c r="D75" s="50">
        <f ca="1">((100/H68)*C75)/100</f>
        <v>1</v>
      </c>
      <c r="E75" s="121"/>
      <c r="F75" s="122"/>
      <c r="G75" s="121"/>
      <c r="H75" s="126"/>
      <c r="I75" s="13" t="s">
        <v>152</v>
      </c>
      <c r="J75" s="26">
        <f>(IF(B68&gt;1,(H68/(B68+2)+J74),0))</f>
        <v>0</v>
      </c>
    </row>
    <row r="76" spans="1:10" ht="15" customHeight="1" x14ac:dyDescent="0.3">
      <c r="A76" s="95" t="s">
        <v>141</v>
      </c>
      <c r="B76" s="96" t="s">
        <v>138</v>
      </c>
      <c r="C76" s="49">
        <v>13</v>
      </c>
      <c r="D76" s="50">
        <f ca="1">((100/(H68))*C76)/100</f>
        <v>1</v>
      </c>
      <c r="E76" s="121"/>
      <c r="F76" s="122"/>
      <c r="G76" s="121"/>
      <c r="H76" s="126"/>
      <c r="I76" s="13" t="s">
        <v>149</v>
      </c>
      <c r="J76" s="26">
        <f>(IF(B68&gt;2,(H68/(B68+2)+J75),0))</f>
        <v>0</v>
      </c>
    </row>
    <row r="77" spans="1:10" ht="15.75" customHeight="1" x14ac:dyDescent="0.3">
      <c r="A77" s="95" t="s">
        <v>137</v>
      </c>
      <c r="B77" s="96" t="s">
        <v>137</v>
      </c>
      <c r="C77" s="49">
        <v>13</v>
      </c>
      <c r="D77" s="50">
        <f ca="1">((100/H68)*C77)/100</f>
        <v>1</v>
      </c>
      <c r="E77" s="121"/>
      <c r="F77" s="122"/>
      <c r="G77" s="121"/>
      <c r="H77" s="126"/>
      <c r="I77" s="13" t="s">
        <v>150</v>
      </c>
      <c r="J77" s="27">
        <f>(IF(B68&gt;3,(H68/(B68+2)+J76),0))</f>
        <v>0</v>
      </c>
    </row>
    <row r="78" spans="1:10" ht="15.75" customHeight="1" x14ac:dyDescent="0.3">
      <c r="A78" s="95" t="s">
        <v>144</v>
      </c>
      <c r="B78" s="96"/>
      <c r="C78" s="49">
        <v>12</v>
      </c>
      <c r="D78" s="50">
        <f ca="1">((100/H68)*C78)/100</f>
        <v>0.92307692307692302</v>
      </c>
      <c r="E78" s="121"/>
      <c r="F78" s="122"/>
      <c r="G78" s="121"/>
      <c r="H78" s="126"/>
      <c r="I78" s="13" t="s">
        <v>151</v>
      </c>
      <c r="J78" s="26">
        <f>(IF(B68&gt;4,(H68/(B68+2)+J77),0))</f>
        <v>0</v>
      </c>
    </row>
    <row r="79" spans="1:10" ht="15.75" customHeight="1" x14ac:dyDescent="0.3">
      <c r="A79" s="95" t="s">
        <v>139</v>
      </c>
      <c r="B79" s="96" t="s">
        <v>139</v>
      </c>
      <c r="C79" s="49">
        <v>7</v>
      </c>
      <c r="D79" s="50">
        <f ca="1">((100/(H68))*C79)/100</f>
        <v>0.53846153846153844</v>
      </c>
      <c r="E79" s="121"/>
      <c r="F79" s="122"/>
      <c r="G79" s="121"/>
      <c r="H79" s="126"/>
      <c r="I79" s="13" t="s">
        <v>153</v>
      </c>
      <c r="J79" s="26">
        <f ca="1">(IF(B68=1,(H68/(B68+3)+J74),IF(B68=0,(H68/4+J74),IF(B68&gt;1,0))))</f>
        <v>9.75</v>
      </c>
    </row>
    <row r="80" spans="1:10" ht="16.2" thickBot="1" x14ac:dyDescent="0.35">
      <c r="A80" s="128" t="s">
        <v>140</v>
      </c>
      <c r="B80" s="129"/>
      <c r="C80" s="51">
        <v>0</v>
      </c>
      <c r="D80" s="52">
        <f ca="1">((100/(H68))*C80)/100</f>
        <v>0</v>
      </c>
      <c r="E80" s="123"/>
      <c r="F80" s="124"/>
      <c r="G80" s="123"/>
      <c r="H80" s="127"/>
      <c r="I80" s="14" t="s">
        <v>108</v>
      </c>
      <c r="J80" s="28">
        <f ca="1">(IF(B68&gt;1.5,(H68/(B68+2)+J74+MAX(0,J75-J74)+MAX(0,J76-J75)+MAX(0,J77-J76)+MAX(0,J78-J77)+MAX(0,J79-J78)),IF(B68=1,(H68/(B68+3)+J79),IF(B68=0,H68/4+J79))))</f>
        <v>13</v>
      </c>
    </row>
    <row r="81" spans="1:13" x14ac:dyDescent="0.3">
      <c r="A81" s="109" t="s">
        <v>161</v>
      </c>
      <c r="B81" s="109"/>
      <c r="C81" s="109"/>
      <c r="D81" s="109"/>
      <c r="E81" s="109"/>
      <c r="F81" s="106" t="s">
        <v>165</v>
      </c>
      <c r="G81" s="106"/>
      <c r="H81" s="106"/>
    </row>
    <row r="82" spans="1:13" x14ac:dyDescent="0.3">
      <c r="A82" s="84" t="s">
        <v>215</v>
      </c>
      <c r="B82" s="84"/>
      <c r="C82" s="84"/>
      <c r="D82" s="84"/>
      <c r="E82" s="84"/>
      <c r="F82" s="90">
        <v>6250</v>
      </c>
      <c r="G82" s="90"/>
      <c r="H82" s="90"/>
      <c r="I82" s="61" t="s">
        <v>211</v>
      </c>
      <c r="J82" s="61" t="s">
        <v>212</v>
      </c>
      <c r="K82" s="61"/>
      <c r="L82" s="62">
        <v>44918</v>
      </c>
      <c r="M82" s="61" t="s">
        <v>213</v>
      </c>
    </row>
    <row r="83" spans="1:13" x14ac:dyDescent="0.3">
      <c r="A83" s="84" t="s">
        <v>163</v>
      </c>
      <c r="B83" s="84"/>
      <c r="C83" s="84"/>
      <c r="D83" s="84"/>
      <c r="E83" s="84"/>
      <c r="F83" s="90">
        <v>8000</v>
      </c>
      <c r="G83" s="90"/>
      <c r="H83" s="90"/>
    </row>
    <row r="84" spans="1:13" x14ac:dyDescent="0.3">
      <c r="A84" s="84" t="s">
        <v>164</v>
      </c>
      <c r="B84" s="84"/>
      <c r="C84" s="84"/>
      <c r="D84" s="84"/>
      <c r="E84" s="84"/>
      <c r="F84" s="90">
        <v>7000</v>
      </c>
      <c r="G84" s="90"/>
      <c r="H84" s="90"/>
      <c r="I84" s="61" t="s">
        <v>216</v>
      </c>
      <c r="J84" s="61" t="s">
        <v>217</v>
      </c>
      <c r="K84" s="61"/>
      <c r="L84" s="62">
        <v>45043</v>
      </c>
      <c r="M84" s="61" t="s">
        <v>218</v>
      </c>
    </row>
    <row r="85" spans="1:13" s="29" customFormat="1" hidden="1" x14ac:dyDescent="0.25">
      <c r="A85" s="84" t="s">
        <v>162</v>
      </c>
      <c r="B85" s="84"/>
      <c r="C85" s="84"/>
      <c r="D85" s="84"/>
      <c r="E85" s="84"/>
      <c r="F85" s="90"/>
      <c r="G85" s="90"/>
      <c r="H85" s="90"/>
    </row>
    <row r="86" spans="1:13" s="29" customFormat="1" hidden="1" x14ac:dyDescent="0.25">
      <c r="A86" s="84" t="s">
        <v>98</v>
      </c>
      <c r="B86" s="84"/>
      <c r="C86" s="84"/>
      <c r="D86" s="84"/>
      <c r="E86" s="84"/>
      <c r="F86" s="90"/>
      <c r="G86" s="90"/>
      <c r="H86" s="90"/>
    </row>
    <row r="87" spans="1:13" s="29" customFormat="1" hidden="1" x14ac:dyDescent="0.25">
      <c r="A87" s="84" t="s">
        <v>99</v>
      </c>
      <c r="B87" s="84"/>
      <c r="C87" s="84"/>
      <c r="D87" s="84"/>
      <c r="E87" s="84"/>
      <c r="F87" s="90"/>
      <c r="G87" s="90"/>
      <c r="H87" s="90"/>
    </row>
    <row r="88" spans="1:13" s="29" customFormat="1" hidden="1" x14ac:dyDescent="0.25">
      <c r="A88" s="84" t="s">
        <v>166</v>
      </c>
      <c r="B88" s="84"/>
      <c r="C88" s="84"/>
      <c r="D88" s="84"/>
      <c r="E88" s="84"/>
      <c r="F88" s="90">
        <v>25</v>
      </c>
      <c r="G88" s="90"/>
      <c r="H88" s="90"/>
    </row>
    <row r="89" spans="1:13" s="29" customFormat="1" hidden="1" x14ac:dyDescent="0.25">
      <c r="A89" s="84" t="s">
        <v>100</v>
      </c>
      <c r="B89" s="84"/>
      <c r="C89" s="84"/>
      <c r="D89" s="84"/>
      <c r="E89" s="84"/>
      <c r="F89" s="90"/>
      <c r="G89" s="90"/>
      <c r="H89" s="90"/>
    </row>
    <row r="90" spans="1:13" s="29" customFormat="1" hidden="1" x14ac:dyDescent="0.25">
      <c r="A90" s="84" t="s">
        <v>101</v>
      </c>
      <c r="B90" s="84"/>
      <c r="C90" s="84"/>
      <c r="D90" s="84"/>
      <c r="E90" s="84"/>
      <c r="F90" s="90"/>
      <c r="G90" s="90"/>
      <c r="H90" s="90"/>
    </row>
    <row r="91" spans="1:13" s="29" customFormat="1" hidden="1" x14ac:dyDescent="0.25">
      <c r="A91" s="84" t="s">
        <v>102</v>
      </c>
      <c r="B91" s="84"/>
      <c r="C91" s="84"/>
      <c r="D91" s="84"/>
      <c r="E91" s="84"/>
      <c r="F91" s="90"/>
      <c r="G91" s="90"/>
      <c r="H91" s="90"/>
    </row>
    <row r="92" spans="1:13" s="29" customFormat="1" hidden="1" x14ac:dyDescent="0.25">
      <c r="A92" s="84" t="s">
        <v>103</v>
      </c>
      <c r="B92" s="84"/>
      <c r="C92" s="84"/>
      <c r="D92" s="84"/>
      <c r="E92" s="84"/>
      <c r="F92" s="90"/>
      <c r="G92" s="90"/>
      <c r="H92" s="90"/>
    </row>
    <row r="93" spans="1:13" x14ac:dyDescent="0.3">
      <c r="A93" s="84" t="s">
        <v>52</v>
      </c>
      <c r="B93" s="84"/>
      <c r="C93" s="84"/>
      <c r="D93" s="84"/>
      <c r="E93" s="84"/>
      <c r="F93" s="90">
        <v>350000</v>
      </c>
      <c r="G93" s="90"/>
      <c r="H93" s="90"/>
    </row>
    <row r="94" spans="1:13" s="30" customFormat="1" x14ac:dyDescent="0.3">
      <c r="A94" s="92" t="s">
        <v>53</v>
      </c>
      <c r="B94" s="92"/>
      <c r="C94" s="92"/>
      <c r="D94" s="92"/>
      <c r="E94" s="92"/>
      <c r="F94" s="90">
        <f>F82*0.8</f>
        <v>5000</v>
      </c>
      <c r="G94" s="90"/>
      <c r="H94" s="90"/>
    </row>
    <row r="95" spans="1:13" s="31" customFormat="1" ht="15.75" customHeight="1" x14ac:dyDescent="0.3">
      <c r="A95" s="91" t="s">
        <v>78</v>
      </c>
      <c r="B95" s="91"/>
      <c r="C95" s="91"/>
      <c r="D95" s="91"/>
      <c r="E95" s="91"/>
      <c r="F95" s="91"/>
      <c r="G95" s="91"/>
      <c r="H95" s="91"/>
    </row>
    <row r="96" spans="1:13" s="31" customFormat="1" ht="15.75" customHeight="1" x14ac:dyDescent="0.3">
      <c r="A96" s="86" t="s">
        <v>54</v>
      </c>
      <c r="B96" s="86"/>
      <c r="C96" s="85" t="s">
        <v>81</v>
      </c>
      <c r="D96" s="85"/>
      <c r="E96" s="174" t="s">
        <v>55</v>
      </c>
      <c r="F96" s="174"/>
      <c r="G96" s="86" t="s">
        <v>56</v>
      </c>
      <c r="H96" s="86"/>
    </row>
    <row r="97" spans="1:15" s="31" customFormat="1" x14ac:dyDescent="0.3">
      <c r="A97" s="87" t="s">
        <v>189</v>
      </c>
      <c r="B97" s="87"/>
      <c r="C97" s="88">
        <f>COUNT(D109:D129)</f>
        <v>21</v>
      </c>
      <c r="D97" s="89"/>
      <c r="E97" s="88">
        <f>SUM(D109:D129)</f>
        <v>9762.9856739999977</v>
      </c>
      <c r="F97" s="89"/>
      <c r="G97" s="88">
        <f>SUM(F109:F129)</f>
        <v>21070</v>
      </c>
      <c r="H97" s="89"/>
    </row>
    <row r="98" spans="1:15" s="31" customFormat="1" x14ac:dyDescent="0.3">
      <c r="A98" s="87" t="s">
        <v>203</v>
      </c>
      <c r="B98" s="87"/>
      <c r="C98" s="88">
        <f>COUNT(D131:D153)</f>
        <v>23</v>
      </c>
      <c r="D98" s="89"/>
      <c r="E98" s="88">
        <f>SUM(D131:D153)</f>
        <v>4884.5417399999997</v>
      </c>
      <c r="F98" s="89"/>
      <c r="G98" s="88">
        <f>SUM(F131:F153)</f>
        <v>12055</v>
      </c>
      <c r="H98" s="89"/>
    </row>
    <row r="99" spans="1:15" s="31" customFormat="1" x14ac:dyDescent="0.3">
      <c r="A99" s="91" t="s">
        <v>231</v>
      </c>
      <c r="B99" s="91"/>
      <c r="C99" s="192">
        <f>SUM(C97:D98)</f>
        <v>44</v>
      </c>
      <c r="D99" s="174"/>
      <c r="E99" s="192">
        <f>SUM(E97:F98)</f>
        <v>14647.527413999996</v>
      </c>
      <c r="F99" s="174"/>
      <c r="G99" s="192">
        <f>SUM(G97:H98)</f>
        <v>33125</v>
      </c>
      <c r="H99" s="174"/>
    </row>
    <row r="100" spans="1:15" s="31" customFormat="1" x14ac:dyDescent="0.3">
      <c r="A100" s="91" t="s">
        <v>72</v>
      </c>
      <c r="B100" s="91"/>
      <c r="C100" s="91"/>
      <c r="D100" s="91"/>
      <c r="E100" s="91"/>
      <c r="F100" s="91"/>
      <c r="G100" s="91"/>
      <c r="H100" s="91"/>
    </row>
    <row r="101" spans="1:15" s="31" customFormat="1" ht="15.75" customHeight="1" x14ac:dyDescent="0.3">
      <c r="A101" s="86" t="s">
        <v>54</v>
      </c>
      <c r="B101" s="86"/>
      <c r="C101" s="85" t="s">
        <v>81</v>
      </c>
      <c r="D101" s="85"/>
      <c r="E101" s="174" t="s">
        <v>55</v>
      </c>
      <c r="F101" s="174"/>
      <c r="G101" s="86" t="s">
        <v>56</v>
      </c>
      <c r="H101" s="86"/>
    </row>
    <row r="102" spans="1:15" s="31" customFormat="1" ht="16.2" thickBot="1" x14ac:dyDescent="0.35">
      <c r="A102" s="177" t="s">
        <v>195</v>
      </c>
      <c r="B102" s="177"/>
      <c r="C102" s="110">
        <f>COUNT(D159:D163,D165)+COUNT(D170:D174,D176)+COUNT(D179:D189)*6+COUNT(D191:D196,D198:D201)+COUNT(D203:D208,D210:D213)+COUNT(D215:D225)</f>
        <v>109</v>
      </c>
      <c r="D102" s="110"/>
      <c r="E102" s="111">
        <f>SUM(D159:D163,D165)+SUM(D170:D174,D176)+SUM(D179:D189)*6+SUM(D191:D196,D198:D201)+SUM(D203:D208,D210:D213)+SUM(D215:D225)</f>
        <v>75678.673309199992</v>
      </c>
      <c r="F102" s="111"/>
      <c r="G102" s="111">
        <f>SUM(F159:F163,F165)+SUM(F170:F174,F176)+SUM(F179:F189)*6+SUM(F191:F196,F198:F201)+SUM(F203:F208,F210:F213)+SUM(F215:F225)</f>
        <v>128980.42119868001</v>
      </c>
      <c r="H102" s="111"/>
    </row>
    <row r="103" spans="1:15" s="31" customFormat="1" ht="16.2" thickBot="1" x14ac:dyDescent="0.35">
      <c r="A103" s="193" t="s">
        <v>232</v>
      </c>
      <c r="B103" s="194"/>
      <c r="C103" s="195">
        <f>C102+C99</f>
        <v>153</v>
      </c>
      <c r="D103" s="196"/>
      <c r="E103" s="195">
        <f>E102+E99</f>
        <v>90326.200723199989</v>
      </c>
      <c r="F103" s="196"/>
      <c r="G103" s="195">
        <f>G102+G99</f>
        <v>162105.42119868001</v>
      </c>
      <c r="H103" s="197"/>
    </row>
    <row r="104" spans="1:15" s="30" customFormat="1" x14ac:dyDescent="0.3">
      <c r="A104" s="106" t="s">
        <v>57</v>
      </c>
      <c r="B104" s="106"/>
      <c r="C104" s="106"/>
      <c r="D104" s="106"/>
      <c r="E104" s="106"/>
      <c r="F104" s="106"/>
      <c r="G104" s="106"/>
      <c r="H104" s="106"/>
    </row>
    <row r="105" spans="1:15" x14ac:dyDescent="0.3">
      <c r="A105" s="152" t="s">
        <v>58</v>
      </c>
      <c r="B105" s="152"/>
      <c r="C105" s="152"/>
      <c r="D105" s="152"/>
      <c r="E105" s="152"/>
      <c r="F105" s="152"/>
      <c r="G105" s="152"/>
      <c r="H105" s="152"/>
    </row>
    <row r="106" spans="1:15" ht="47.25" customHeight="1" x14ac:dyDescent="0.3">
      <c r="A106" s="38" t="s">
        <v>124</v>
      </c>
      <c r="B106" s="38" t="s">
        <v>123</v>
      </c>
      <c r="C106" s="38" t="s">
        <v>59</v>
      </c>
      <c r="D106" s="38" t="s">
        <v>60</v>
      </c>
      <c r="E106" s="38" t="s">
        <v>160</v>
      </c>
      <c r="F106" s="38" t="s">
        <v>193</v>
      </c>
      <c r="G106" s="104" t="s">
        <v>62</v>
      </c>
      <c r="H106" s="105"/>
    </row>
    <row r="107" spans="1:15" s="40" customFormat="1" x14ac:dyDescent="0.3">
      <c r="A107" s="101" t="s">
        <v>202</v>
      </c>
      <c r="B107" s="102"/>
      <c r="C107" s="102"/>
      <c r="D107" s="102"/>
      <c r="E107" s="102"/>
      <c r="F107" s="102"/>
      <c r="G107" s="102"/>
      <c r="H107" s="103"/>
      <c r="J107" s="32"/>
    </row>
    <row r="108" spans="1:15" s="40" customFormat="1" x14ac:dyDescent="0.3">
      <c r="A108" s="101" t="s">
        <v>238</v>
      </c>
      <c r="B108" s="102"/>
      <c r="C108" s="102"/>
      <c r="D108" s="102"/>
      <c r="E108" s="102"/>
      <c r="F108" s="102"/>
      <c r="G108" s="102"/>
      <c r="H108" s="103"/>
      <c r="J108" s="32"/>
    </row>
    <row r="109" spans="1:15" s="40" customFormat="1" ht="15.75" customHeight="1" x14ac:dyDescent="0.3">
      <c r="A109" s="112">
        <v>1</v>
      </c>
      <c r="B109" s="113"/>
      <c r="C109" s="37" t="s">
        <v>189</v>
      </c>
      <c r="D109" s="53">
        <f>30.37*10.764</f>
        <v>326.90267999999998</v>
      </c>
      <c r="E109" s="37">
        <v>0</v>
      </c>
      <c r="F109" s="37">
        <v>720</v>
      </c>
      <c r="G109" s="178" t="str">
        <f>A108</f>
        <v>Ground Floor for Commercial, Entrance Lobby &amp; Parking</v>
      </c>
      <c r="H109" s="179"/>
      <c r="I109" s="32"/>
      <c r="J109" s="40">
        <f>F109*8000</f>
        <v>5760000</v>
      </c>
      <c r="L109" s="114"/>
      <c r="M109" s="114"/>
      <c r="N109" s="32">
        <f>720/D109</f>
        <v>2.2024903558453546</v>
      </c>
      <c r="O109" s="40">
        <f>3.05*9.95</f>
        <v>30.347499999999997</v>
      </c>
    </row>
    <row r="110" spans="1:15" s="40" customFormat="1" ht="15.75" customHeight="1" x14ac:dyDescent="0.3">
      <c r="A110" s="112">
        <f t="shared" ref="A110:A129" si="0">A109+1</f>
        <v>2</v>
      </c>
      <c r="B110" s="113"/>
      <c r="C110" s="37" t="s">
        <v>189</v>
      </c>
      <c r="D110" s="53">
        <f>(32.841)*10.764</f>
        <v>353.50052399999998</v>
      </c>
      <c r="E110" s="37">
        <v>0</v>
      </c>
      <c r="F110" s="37">
        <v>775</v>
      </c>
      <c r="G110" s="180"/>
      <c r="H110" s="181"/>
      <c r="I110" s="32"/>
      <c r="J110" s="40">
        <f t="shared" ref="J110:J129" si="1">F110*8000</f>
        <v>6200000</v>
      </c>
      <c r="L110" s="114"/>
      <c r="M110" s="114"/>
      <c r="N110" s="32">
        <f>775/D110</f>
        <v>2.1923588435755756</v>
      </c>
    </row>
    <row r="111" spans="1:15" s="40" customFormat="1" ht="15.75" customHeight="1" x14ac:dyDescent="0.3">
      <c r="A111" s="112">
        <f t="shared" si="0"/>
        <v>3</v>
      </c>
      <c r="B111" s="113"/>
      <c r="C111" s="37" t="s">
        <v>189</v>
      </c>
      <c r="D111" s="53">
        <f>(43.864)*10.764</f>
        <v>472.15209599999991</v>
      </c>
      <c r="E111" s="37">
        <v>0</v>
      </c>
      <c r="F111" s="37">
        <v>1020</v>
      </c>
      <c r="G111" s="180"/>
      <c r="H111" s="181"/>
      <c r="I111" s="32"/>
      <c r="J111" s="40">
        <f t="shared" si="1"/>
        <v>8160000</v>
      </c>
      <c r="L111" s="114"/>
      <c r="M111" s="114"/>
      <c r="N111" s="32"/>
    </row>
    <row r="112" spans="1:15" s="40" customFormat="1" ht="15.75" customHeight="1" x14ac:dyDescent="0.3">
      <c r="A112" s="112">
        <f t="shared" si="0"/>
        <v>4</v>
      </c>
      <c r="B112" s="113"/>
      <c r="C112" s="37" t="s">
        <v>189</v>
      </c>
      <c r="D112" s="53">
        <f>(49.875)*10.764</f>
        <v>536.85449999999992</v>
      </c>
      <c r="E112" s="37">
        <v>0</v>
      </c>
      <c r="F112" s="37">
        <v>1150</v>
      </c>
      <c r="G112" s="180"/>
      <c r="H112" s="181"/>
      <c r="I112" s="32"/>
      <c r="J112" s="40">
        <f t="shared" si="1"/>
        <v>9200000</v>
      </c>
      <c r="L112" s="114"/>
      <c r="M112" s="114"/>
      <c r="N112" s="32"/>
    </row>
    <row r="113" spans="1:15" s="40" customFormat="1" ht="15.75" customHeight="1" x14ac:dyDescent="0.3">
      <c r="A113" s="112">
        <f t="shared" si="0"/>
        <v>5</v>
      </c>
      <c r="B113" s="113"/>
      <c r="C113" s="37" t="s">
        <v>189</v>
      </c>
      <c r="D113" s="53">
        <f>(45.461)*10.764</f>
        <v>489.34220399999998</v>
      </c>
      <c r="E113" s="37">
        <v>0</v>
      </c>
      <c r="F113" s="37">
        <v>1055</v>
      </c>
      <c r="G113" s="180"/>
      <c r="H113" s="181"/>
      <c r="I113" s="32"/>
      <c r="J113" s="40">
        <f t="shared" si="1"/>
        <v>8440000</v>
      </c>
      <c r="L113" s="114"/>
      <c r="M113" s="114"/>
      <c r="N113" s="32"/>
    </row>
    <row r="114" spans="1:15" s="40" customFormat="1" ht="15.75" customHeight="1" x14ac:dyDescent="0.3">
      <c r="A114" s="112">
        <f t="shared" si="0"/>
        <v>6</v>
      </c>
      <c r="B114" s="113"/>
      <c r="C114" s="37" t="s">
        <v>189</v>
      </c>
      <c r="D114" s="53">
        <f>(33.484)*10.764</f>
        <v>360.42177600000002</v>
      </c>
      <c r="E114" s="37">
        <v>0</v>
      </c>
      <c r="F114" s="37">
        <v>785</v>
      </c>
      <c r="G114" s="180"/>
      <c r="H114" s="181"/>
      <c r="I114" s="32"/>
      <c r="J114" s="40">
        <f t="shared" si="1"/>
        <v>6280000</v>
      </c>
      <c r="L114" s="114"/>
      <c r="M114" s="114"/>
      <c r="N114" s="32"/>
    </row>
    <row r="115" spans="1:15" s="40" customFormat="1" ht="15.75" customHeight="1" x14ac:dyDescent="0.3">
      <c r="A115" s="112">
        <f t="shared" si="0"/>
        <v>7</v>
      </c>
      <c r="B115" s="113"/>
      <c r="C115" s="37" t="s">
        <v>189</v>
      </c>
      <c r="D115" s="53">
        <f>(3.5*9.415+3.5*1.2)*10.764</f>
        <v>399.90951000000001</v>
      </c>
      <c r="E115" s="37">
        <v>0</v>
      </c>
      <c r="F115" s="37">
        <v>685</v>
      </c>
      <c r="G115" s="180"/>
      <c r="H115" s="181"/>
      <c r="I115" s="32"/>
      <c r="J115" s="40">
        <f t="shared" si="1"/>
        <v>5480000</v>
      </c>
      <c r="K115" s="40">
        <f>3.5*9.415</f>
        <v>32.952500000000001</v>
      </c>
      <c r="L115" s="114"/>
      <c r="M115" s="114"/>
      <c r="N115" s="32"/>
    </row>
    <row r="116" spans="1:15" s="40" customFormat="1" ht="15.75" customHeight="1" x14ac:dyDescent="0.3">
      <c r="A116" s="112">
        <f t="shared" si="0"/>
        <v>8</v>
      </c>
      <c r="B116" s="113"/>
      <c r="C116" s="37" t="s">
        <v>189</v>
      </c>
      <c r="D116" s="53">
        <f>(33.592)*10.764</f>
        <v>361.58428799999996</v>
      </c>
      <c r="E116" s="37">
        <v>0</v>
      </c>
      <c r="F116" s="37">
        <v>785</v>
      </c>
      <c r="G116" s="180"/>
      <c r="H116" s="181"/>
      <c r="I116" s="32"/>
      <c r="J116" s="40">
        <f t="shared" si="1"/>
        <v>6280000</v>
      </c>
      <c r="L116" s="114"/>
      <c r="M116" s="114"/>
      <c r="N116" s="32"/>
    </row>
    <row r="117" spans="1:15" s="40" customFormat="1" ht="15.75" customHeight="1" x14ac:dyDescent="0.3">
      <c r="A117" s="112">
        <f t="shared" si="0"/>
        <v>9</v>
      </c>
      <c r="B117" s="113"/>
      <c r="C117" s="37" t="s">
        <v>189</v>
      </c>
      <c r="D117" s="53">
        <f>(91.987)*10.764</f>
        <v>990.14806799999985</v>
      </c>
      <c r="E117" s="37">
        <v>0</v>
      </c>
      <c r="F117" s="37">
        <v>2330</v>
      </c>
      <c r="G117" s="180"/>
      <c r="H117" s="181"/>
      <c r="I117" s="32"/>
      <c r="J117" s="40">
        <f t="shared" si="1"/>
        <v>18640000</v>
      </c>
      <c r="L117" s="114"/>
      <c r="M117" s="114"/>
      <c r="N117" s="32"/>
    </row>
    <row r="118" spans="1:15" s="40" customFormat="1" ht="15.75" customHeight="1" x14ac:dyDescent="0.3">
      <c r="A118" s="112">
        <f t="shared" si="0"/>
        <v>10</v>
      </c>
      <c r="B118" s="113"/>
      <c r="C118" s="37" t="s">
        <v>189</v>
      </c>
      <c r="D118" s="53">
        <f>(35.83)*10.764</f>
        <v>385.67411999999996</v>
      </c>
      <c r="E118" s="37">
        <v>0</v>
      </c>
      <c r="F118" s="37">
        <v>835</v>
      </c>
      <c r="G118" s="180"/>
      <c r="H118" s="181"/>
      <c r="I118" s="32"/>
      <c r="J118" s="40">
        <f t="shared" si="1"/>
        <v>6680000</v>
      </c>
      <c r="L118" s="114"/>
      <c r="M118" s="114"/>
      <c r="N118" s="53">
        <v>10.763999999999999</v>
      </c>
    </row>
    <row r="119" spans="1:15" s="40" customFormat="1" ht="15.75" customHeight="1" x14ac:dyDescent="0.3">
      <c r="A119" s="112">
        <f t="shared" si="0"/>
        <v>11</v>
      </c>
      <c r="B119" s="113"/>
      <c r="C119" s="37" t="s">
        <v>189</v>
      </c>
      <c r="D119" s="53">
        <f>(39.241)*10.764</f>
        <v>422.39012399999996</v>
      </c>
      <c r="E119" s="37">
        <v>0</v>
      </c>
      <c r="F119" s="37">
        <v>910</v>
      </c>
      <c r="G119" s="180"/>
      <c r="H119" s="181"/>
      <c r="I119" s="32"/>
      <c r="J119" s="40">
        <f t="shared" si="1"/>
        <v>7280000</v>
      </c>
      <c r="L119" s="114"/>
      <c r="M119" s="114"/>
      <c r="N119" s="32"/>
    </row>
    <row r="120" spans="1:15" s="40" customFormat="1" ht="15.75" customHeight="1" x14ac:dyDescent="0.3">
      <c r="A120" s="112">
        <f t="shared" si="0"/>
        <v>12</v>
      </c>
      <c r="B120" s="113"/>
      <c r="C120" s="37" t="s">
        <v>189</v>
      </c>
      <c r="D120" s="53">
        <f>(44.438)*10.764</f>
        <v>478.33063199999998</v>
      </c>
      <c r="E120" s="37">
        <v>0</v>
      </c>
      <c r="F120" s="37">
        <v>1025</v>
      </c>
      <c r="G120" s="180"/>
      <c r="H120" s="181"/>
      <c r="I120" s="32"/>
      <c r="J120" s="40">
        <f t="shared" si="1"/>
        <v>8200000</v>
      </c>
      <c r="L120" s="114"/>
      <c r="M120" s="114"/>
      <c r="N120" s="32"/>
      <c r="O120" s="40">
        <f>607*10000</f>
        <v>6070000</v>
      </c>
    </row>
    <row r="121" spans="1:15" s="40" customFormat="1" ht="15.75" customHeight="1" x14ac:dyDescent="0.3">
      <c r="A121" s="112">
        <f t="shared" si="0"/>
        <v>13</v>
      </c>
      <c r="B121" s="113"/>
      <c r="C121" s="37" t="s">
        <v>189</v>
      </c>
      <c r="D121" s="53">
        <f>(50.602)*10.764</f>
        <v>544.6799279999999</v>
      </c>
      <c r="E121" s="37">
        <v>0</v>
      </c>
      <c r="F121" s="37">
        <v>1160</v>
      </c>
      <c r="G121" s="180"/>
      <c r="H121" s="181"/>
      <c r="I121" s="32"/>
      <c r="J121" s="40">
        <f t="shared" si="1"/>
        <v>9280000</v>
      </c>
      <c r="L121" s="114"/>
      <c r="M121" s="114"/>
      <c r="N121" s="32"/>
      <c r="O121" s="40">
        <f>O120/835</f>
        <v>7269.4610778443111</v>
      </c>
    </row>
    <row r="122" spans="1:15" s="40" customFormat="1" ht="15.75" customHeight="1" x14ac:dyDescent="0.3">
      <c r="A122" s="112">
        <f t="shared" si="0"/>
        <v>14</v>
      </c>
      <c r="B122" s="113"/>
      <c r="C122" s="37" t="s">
        <v>189</v>
      </c>
      <c r="D122" s="53">
        <f>(50.602)*10.764</f>
        <v>544.6799279999999</v>
      </c>
      <c r="E122" s="37">
        <v>0</v>
      </c>
      <c r="F122" s="37">
        <v>1160</v>
      </c>
      <c r="G122" s="180"/>
      <c r="H122" s="181"/>
      <c r="I122" s="32"/>
      <c r="J122" s="40">
        <f t="shared" si="1"/>
        <v>9280000</v>
      </c>
      <c r="L122" s="114"/>
      <c r="M122" s="114"/>
      <c r="N122" s="32"/>
    </row>
    <row r="123" spans="1:15" s="40" customFormat="1" ht="15.75" customHeight="1" x14ac:dyDescent="0.3">
      <c r="A123" s="112">
        <f t="shared" si="0"/>
        <v>15</v>
      </c>
      <c r="B123" s="113"/>
      <c r="C123" s="37" t="s">
        <v>189</v>
      </c>
      <c r="D123" s="53">
        <f>(50.859)*10.764</f>
        <v>547.44627600000001</v>
      </c>
      <c r="E123" s="37">
        <v>0</v>
      </c>
      <c r="F123" s="37">
        <v>1165</v>
      </c>
      <c r="G123" s="180"/>
      <c r="H123" s="181"/>
      <c r="I123" s="32"/>
      <c r="J123" s="40">
        <f t="shared" si="1"/>
        <v>9320000</v>
      </c>
      <c r="L123" s="114"/>
      <c r="M123" s="114"/>
      <c r="N123" s="32"/>
      <c r="O123" s="40">
        <f>8000*835</f>
        <v>6680000</v>
      </c>
    </row>
    <row r="124" spans="1:15" s="40" customFormat="1" ht="15.75" customHeight="1" x14ac:dyDescent="0.3">
      <c r="A124" s="112">
        <f t="shared" si="0"/>
        <v>16</v>
      </c>
      <c r="B124" s="113"/>
      <c r="C124" s="37" t="s">
        <v>189</v>
      </c>
      <c r="D124" s="53">
        <f>(34.628)*10.764</f>
        <v>372.735792</v>
      </c>
      <c r="E124" s="37">
        <v>0</v>
      </c>
      <c r="F124" s="37">
        <v>810</v>
      </c>
      <c r="G124" s="180"/>
      <c r="H124" s="181"/>
      <c r="I124" s="32"/>
      <c r="J124" s="40">
        <f t="shared" si="1"/>
        <v>6480000</v>
      </c>
      <c r="L124" s="114"/>
      <c r="M124" s="114"/>
      <c r="N124" s="32"/>
    </row>
    <row r="125" spans="1:15" s="40" customFormat="1" ht="15.75" customHeight="1" x14ac:dyDescent="0.3">
      <c r="A125" s="112">
        <f t="shared" si="0"/>
        <v>17</v>
      </c>
      <c r="B125" s="113"/>
      <c r="C125" s="37" t="s">
        <v>189</v>
      </c>
      <c r="D125" s="53">
        <f>(30.968)*10.764</f>
        <v>333.33955199999997</v>
      </c>
      <c r="E125" s="37">
        <v>0</v>
      </c>
      <c r="F125" s="37">
        <v>735</v>
      </c>
      <c r="G125" s="180"/>
      <c r="H125" s="181"/>
      <c r="I125" s="32"/>
      <c r="J125" s="40">
        <f t="shared" si="1"/>
        <v>5880000</v>
      </c>
      <c r="L125" s="114"/>
      <c r="M125" s="114"/>
      <c r="N125" s="32"/>
    </row>
    <row r="126" spans="1:15" s="40" customFormat="1" ht="15.75" customHeight="1" x14ac:dyDescent="0.3">
      <c r="A126" s="112">
        <f t="shared" si="0"/>
        <v>18</v>
      </c>
      <c r="B126" s="113"/>
      <c r="C126" s="37" t="s">
        <v>189</v>
      </c>
      <c r="D126" s="53">
        <f>(39.294)*10.764</f>
        <v>422.96061599999996</v>
      </c>
      <c r="E126" s="37">
        <v>0</v>
      </c>
      <c r="F126" s="37">
        <v>915</v>
      </c>
      <c r="G126" s="180"/>
      <c r="H126" s="181"/>
      <c r="I126" s="32"/>
      <c r="J126" s="40">
        <f t="shared" si="1"/>
        <v>7320000</v>
      </c>
      <c r="L126" s="114"/>
      <c r="M126" s="114"/>
      <c r="N126" s="32"/>
    </row>
    <row r="127" spans="1:15" s="40" customFormat="1" ht="15.75" customHeight="1" x14ac:dyDescent="0.3">
      <c r="A127" s="112">
        <f t="shared" si="0"/>
        <v>19</v>
      </c>
      <c r="B127" s="113"/>
      <c r="C127" s="37" t="s">
        <v>189</v>
      </c>
      <c r="D127" s="53">
        <f>(47.498)*10.764</f>
        <v>511.26847199999992</v>
      </c>
      <c r="E127" s="37">
        <v>0</v>
      </c>
      <c r="F127" s="37">
        <v>1095</v>
      </c>
      <c r="G127" s="180"/>
      <c r="H127" s="181"/>
      <c r="I127" s="32"/>
      <c r="J127" s="40">
        <f t="shared" si="1"/>
        <v>8760000</v>
      </c>
      <c r="L127" s="114"/>
      <c r="M127" s="114"/>
      <c r="N127" s="32"/>
    </row>
    <row r="128" spans="1:15" s="40" customFormat="1" ht="15.75" customHeight="1" x14ac:dyDescent="0.3">
      <c r="A128" s="112">
        <f t="shared" si="0"/>
        <v>20</v>
      </c>
      <c r="B128" s="113"/>
      <c r="C128" s="37" t="s">
        <v>189</v>
      </c>
      <c r="D128" s="53">
        <f>(47.498)*10.764</f>
        <v>511.26847199999992</v>
      </c>
      <c r="E128" s="37">
        <v>0</v>
      </c>
      <c r="F128" s="37">
        <v>1095</v>
      </c>
      <c r="G128" s="180"/>
      <c r="H128" s="181"/>
      <c r="I128" s="32"/>
      <c r="J128" s="40">
        <f t="shared" si="1"/>
        <v>8760000</v>
      </c>
      <c r="L128" s="114"/>
      <c r="M128" s="114"/>
      <c r="N128" s="32"/>
    </row>
    <row r="129" spans="1:15" s="40" customFormat="1" ht="15.75" customHeight="1" x14ac:dyDescent="0.3">
      <c r="A129" s="112">
        <f t="shared" si="0"/>
        <v>21</v>
      </c>
      <c r="B129" s="113"/>
      <c r="C129" s="37" t="s">
        <v>189</v>
      </c>
      <c r="D129" s="53">
        <f>(36.919)*10.764</f>
        <v>397.39611599999995</v>
      </c>
      <c r="E129" s="37">
        <v>0</v>
      </c>
      <c r="F129" s="37">
        <v>860</v>
      </c>
      <c r="G129" s="182"/>
      <c r="H129" s="183"/>
      <c r="I129" s="32"/>
      <c r="J129" s="40">
        <f t="shared" si="1"/>
        <v>6880000</v>
      </c>
      <c r="L129" s="114"/>
      <c r="M129" s="114"/>
      <c r="N129" s="32"/>
    </row>
    <row r="130" spans="1:15" s="40" customFormat="1" x14ac:dyDescent="0.3">
      <c r="A130" s="101" t="s">
        <v>239</v>
      </c>
      <c r="B130" s="102"/>
      <c r="C130" s="102"/>
      <c r="D130" s="102"/>
      <c r="E130" s="102"/>
      <c r="F130" s="102"/>
      <c r="G130" s="102"/>
      <c r="H130" s="103"/>
      <c r="J130" s="32"/>
    </row>
    <row r="131" spans="1:15" s="40" customFormat="1" ht="15.75" customHeight="1" x14ac:dyDescent="0.3">
      <c r="A131" s="112">
        <v>1</v>
      </c>
      <c r="B131" s="113"/>
      <c r="C131" s="37" t="s">
        <v>203</v>
      </c>
      <c r="D131" s="53">
        <f>(18.634)*10.764</f>
        <v>200.57637599999998</v>
      </c>
      <c r="E131" s="37">
        <v>0</v>
      </c>
      <c r="F131" s="37">
        <v>495</v>
      </c>
      <c r="G131" s="178" t="str">
        <f>A130</f>
        <v>1st Floor for Commercial &amp; Parking</v>
      </c>
      <c r="H131" s="179"/>
      <c r="I131" s="32"/>
      <c r="J131" s="32">
        <v>200.57637599999998</v>
      </c>
      <c r="L131" s="114"/>
      <c r="M131" s="114"/>
      <c r="N131" s="32">
        <f>720/D131</f>
        <v>3.5896550449191489</v>
      </c>
      <c r="O131" s="40">
        <f>3.05*9.95</f>
        <v>30.347499999999997</v>
      </c>
    </row>
    <row r="132" spans="1:15" s="40" customFormat="1" ht="15.75" customHeight="1" x14ac:dyDescent="0.3">
      <c r="A132" s="112">
        <f t="shared" ref="A132:A153" si="2">A131+1</f>
        <v>2</v>
      </c>
      <c r="B132" s="113"/>
      <c r="C132" s="37" t="s">
        <v>203</v>
      </c>
      <c r="D132" s="53">
        <f>(18.409)*10.764</f>
        <v>198.15447599999999</v>
      </c>
      <c r="E132" s="37">
        <v>0</v>
      </c>
      <c r="F132" s="37">
        <v>490</v>
      </c>
      <c r="G132" s="180"/>
      <c r="H132" s="181"/>
      <c r="I132" s="32"/>
      <c r="J132" s="32">
        <v>198.15447599999999</v>
      </c>
      <c r="L132" s="114"/>
      <c r="M132" s="114"/>
      <c r="N132" s="32">
        <f>775/D132</f>
        <v>3.9110900527929537</v>
      </c>
    </row>
    <row r="133" spans="1:15" s="40" customFormat="1" ht="15.75" customHeight="1" x14ac:dyDescent="0.3">
      <c r="A133" s="112">
        <f t="shared" si="2"/>
        <v>3</v>
      </c>
      <c r="B133" s="113"/>
      <c r="C133" s="37" t="s">
        <v>203</v>
      </c>
      <c r="D133" s="53">
        <f>(21.186)*10.764</f>
        <v>228.04610399999999</v>
      </c>
      <c r="E133" s="37">
        <v>0</v>
      </c>
      <c r="F133" s="37">
        <v>495</v>
      </c>
      <c r="G133" s="180"/>
      <c r="H133" s="181"/>
      <c r="I133" s="32"/>
      <c r="J133" s="32">
        <v>228.04610399999999</v>
      </c>
      <c r="L133" s="114"/>
      <c r="M133" s="114"/>
      <c r="N133" s="32"/>
    </row>
    <row r="134" spans="1:15" s="40" customFormat="1" ht="15.75" customHeight="1" x14ac:dyDescent="0.3">
      <c r="A134" s="112">
        <f t="shared" si="2"/>
        <v>4</v>
      </c>
      <c r="B134" s="113"/>
      <c r="C134" s="37" t="s">
        <v>203</v>
      </c>
      <c r="D134" s="53">
        <f>(21.298)*10.764</f>
        <v>229.25167199999996</v>
      </c>
      <c r="E134" s="37">
        <v>0</v>
      </c>
      <c r="F134" s="37">
        <v>565</v>
      </c>
      <c r="G134" s="180"/>
      <c r="H134" s="181"/>
      <c r="I134" s="32"/>
      <c r="J134" s="32">
        <v>229.25167199999996</v>
      </c>
      <c r="L134" s="114"/>
      <c r="M134" s="114"/>
      <c r="N134" s="32"/>
    </row>
    <row r="135" spans="1:15" s="40" customFormat="1" ht="15.75" customHeight="1" x14ac:dyDescent="0.3">
      <c r="A135" s="112">
        <f t="shared" si="2"/>
        <v>5</v>
      </c>
      <c r="B135" s="113"/>
      <c r="C135" s="37" t="s">
        <v>203</v>
      </c>
      <c r="D135" s="53">
        <f>(21.291)*10.764</f>
        <v>229.17632399999999</v>
      </c>
      <c r="E135" s="37">
        <v>0</v>
      </c>
      <c r="F135" s="37">
        <v>565</v>
      </c>
      <c r="G135" s="180"/>
      <c r="H135" s="181"/>
      <c r="I135" s="32"/>
      <c r="J135" s="32">
        <v>229.17632399999999</v>
      </c>
      <c r="L135" s="114"/>
      <c r="M135" s="114"/>
      <c r="N135" s="32"/>
    </row>
    <row r="136" spans="1:15" s="40" customFormat="1" ht="15.75" customHeight="1" x14ac:dyDescent="0.3">
      <c r="A136" s="112">
        <f t="shared" si="2"/>
        <v>6</v>
      </c>
      <c r="B136" s="113"/>
      <c r="C136" s="37" t="s">
        <v>203</v>
      </c>
      <c r="D136" s="53">
        <f>(18.028)*10.764</f>
        <v>194.05339199999997</v>
      </c>
      <c r="E136" s="37">
        <v>0</v>
      </c>
      <c r="F136" s="37">
        <v>485</v>
      </c>
      <c r="G136" s="180"/>
      <c r="H136" s="181"/>
      <c r="I136" s="32"/>
      <c r="J136" s="32">
        <v>194.05339199999997</v>
      </c>
      <c r="L136" s="114"/>
      <c r="M136" s="114"/>
      <c r="N136" s="32"/>
    </row>
    <row r="137" spans="1:15" s="40" customFormat="1" ht="15.75" customHeight="1" x14ac:dyDescent="0.3">
      <c r="A137" s="112">
        <f t="shared" si="2"/>
        <v>7</v>
      </c>
      <c r="B137" s="113"/>
      <c r="C137" s="37" t="s">
        <v>203</v>
      </c>
      <c r="D137" s="53">
        <f>(18.348)*10.764</f>
        <v>197.49787199999997</v>
      </c>
      <c r="E137" s="37">
        <v>0</v>
      </c>
      <c r="F137" s="37">
        <v>490</v>
      </c>
      <c r="G137" s="180"/>
      <c r="H137" s="181"/>
      <c r="I137" s="32"/>
      <c r="J137" s="32">
        <v>197.49787199999997</v>
      </c>
      <c r="L137" s="114"/>
      <c r="M137" s="114"/>
      <c r="N137" s="32"/>
    </row>
    <row r="138" spans="1:15" s="40" customFormat="1" ht="15.75" customHeight="1" x14ac:dyDescent="0.3">
      <c r="A138" s="112">
        <f t="shared" si="2"/>
        <v>8</v>
      </c>
      <c r="B138" s="113"/>
      <c r="C138" s="37" t="s">
        <v>203</v>
      </c>
      <c r="D138" s="53">
        <f>(18.755)*10.764</f>
        <v>201.87881999999999</v>
      </c>
      <c r="E138" s="37">
        <v>0</v>
      </c>
      <c r="F138" s="37">
        <v>495</v>
      </c>
      <c r="G138" s="180"/>
      <c r="H138" s="181"/>
      <c r="I138" s="32"/>
      <c r="J138" s="32">
        <v>201.87881999999999</v>
      </c>
      <c r="L138" s="114"/>
      <c r="M138" s="114"/>
      <c r="N138" s="32"/>
    </row>
    <row r="139" spans="1:15" s="40" customFormat="1" ht="15.75" customHeight="1" x14ac:dyDescent="0.3">
      <c r="A139" s="112">
        <f t="shared" si="2"/>
        <v>9</v>
      </c>
      <c r="B139" s="113"/>
      <c r="C139" s="37" t="s">
        <v>203</v>
      </c>
      <c r="D139" s="53">
        <f>(18.755)*10.764</f>
        <v>201.87881999999999</v>
      </c>
      <c r="E139" s="37">
        <v>0</v>
      </c>
      <c r="F139" s="37">
        <v>495</v>
      </c>
      <c r="G139" s="180"/>
      <c r="H139" s="181"/>
      <c r="I139" s="32"/>
      <c r="J139" s="32">
        <v>201.87881999999999</v>
      </c>
      <c r="L139" s="114"/>
      <c r="M139" s="114"/>
      <c r="N139" s="32"/>
    </row>
    <row r="140" spans="1:15" s="40" customFormat="1" ht="15.75" customHeight="1" x14ac:dyDescent="0.3">
      <c r="A140" s="112">
        <f t="shared" si="2"/>
        <v>10</v>
      </c>
      <c r="B140" s="113"/>
      <c r="C140" s="37" t="s">
        <v>203</v>
      </c>
      <c r="D140" s="53">
        <f>(28.798)*10.764</f>
        <v>309.98167199999995</v>
      </c>
      <c r="E140" s="37">
        <v>0</v>
      </c>
      <c r="F140" s="37">
        <v>820</v>
      </c>
      <c r="G140" s="180"/>
      <c r="H140" s="181"/>
      <c r="I140" s="32"/>
      <c r="J140" s="32">
        <v>309.98167199999995</v>
      </c>
      <c r="L140" s="114"/>
      <c r="M140" s="114"/>
      <c r="N140" s="53">
        <v>10.763999999999999</v>
      </c>
    </row>
    <row r="141" spans="1:15" s="40" customFormat="1" ht="15.75" customHeight="1" x14ac:dyDescent="0.3">
      <c r="A141" s="112">
        <f t="shared" si="2"/>
        <v>11</v>
      </c>
      <c r="B141" s="113"/>
      <c r="C141" s="37" t="s">
        <v>203</v>
      </c>
      <c r="D141" s="53">
        <f>(18.575)*10.764</f>
        <v>199.94129999999998</v>
      </c>
      <c r="E141" s="37">
        <v>0</v>
      </c>
      <c r="F141" s="37">
        <v>495</v>
      </c>
      <c r="G141" s="180"/>
      <c r="H141" s="181"/>
      <c r="I141" s="32"/>
      <c r="J141" s="32">
        <v>199.94129999999998</v>
      </c>
      <c r="L141" s="114"/>
      <c r="M141" s="114"/>
      <c r="N141" s="32"/>
    </row>
    <row r="142" spans="1:15" s="40" customFormat="1" ht="15.75" customHeight="1" x14ac:dyDescent="0.3">
      <c r="A142" s="112">
        <f t="shared" si="2"/>
        <v>12</v>
      </c>
      <c r="B142" s="113"/>
      <c r="C142" s="37" t="s">
        <v>203</v>
      </c>
      <c r="D142" s="53">
        <f>(18.345)*10.764</f>
        <v>197.46557999999999</v>
      </c>
      <c r="E142" s="37">
        <v>0</v>
      </c>
      <c r="F142" s="37">
        <v>490</v>
      </c>
      <c r="G142" s="180"/>
      <c r="H142" s="181"/>
      <c r="I142" s="32"/>
      <c r="J142" s="32">
        <v>197.46557999999999</v>
      </c>
      <c r="L142" s="114"/>
      <c r="M142" s="114"/>
      <c r="N142" s="32"/>
      <c r="O142" s="40">
        <f>607*10000</f>
        <v>6070000</v>
      </c>
    </row>
    <row r="143" spans="1:15" s="40" customFormat="1" ht="15.75" customHeight="1" x14ac:dyDescent="0.3">
      <c r="A143" s="112">
        <f t="shared" si="2"/>
        <v>13</v>
      </c>
      <c r="B143" s="113"/>
      <c r="C143" s="37" t="s">
        <v>203</v>
      </c>
      <c r="D143" s="53">
        <f>(18.404)*10.764</f>
        <v>198.10065599999999</v>
      </c>
      <c r="E143" s="37">
        <v>0</v>
      </c>
      <c r="F143" s="37">
        <v>490</v>
      </c>
      <c r="G143" s="180"/>
      <c r="H143" s="181"/>
      <c r="I143" s="32"/>
      <c r="J143" s="32">
        <v>198.10065599999999</v>
      </c>
      <c r="L143" s="114"/>
      <c r="M143" s="114"/>
      <c r="N143" s="32"/>
      <c r="O143" s="40">
        <f>O142/835</f>
        <v>7269.4610778443111</v>
      </c>
    </row>
    <row r="144" spans="1:15" s="40" customFormat="1" ht="15.75" customHeight="1" x14ac:dyDescent="0.3">
      <c r="A144" s="112">
        <f t="shared" si="2"/>
        <v>14</v>
      </c>
      <c r="B144" s="113"/>
      <c r="C144" s="37" t="s">
        <v>203</v>
      </c>
      <c r="D144" s="53">
        <f>(18.086)*10.764</f>
        <v>194.67770399999998</v>
      </c>
      <c r="E144" s="37">
        <v>0</v>
      </c>
      <c r="F144" s="37">
        <v>485</v>
      </c>
      <c r="G144" s="180"/>
      <c r="H144" s="181"/>
      <c r="I144" s="32"/>
      <c r="J144" s="32">
        <v>194.67770399999998</v>
      </c>
      <c r="L144" s="114"/>
      <c r="M144" s="114"/>
      <c r="N144" s="32"/>
    </row>
    <row r="145" spans="1:15" s="40" customFormat="1" ht="15.75" customHeight="1" x14ac:dyDescent="0.3">
      <c r="A145" s="112">
        <f t="shared" si="2"/>
        <v>15</v>
      </c>
      <c r="B145" s="113"/>
      <c r="C145" s="37" t="s">
        <v>203</v>
      </c>
      <c r="D145" s="53">
        <f>(20.952)*10.764</f>
        <v>225.52732800000001</v>
      </c>
      <c r="E145" s="37">
        <v>0</v>
      </c>
      <c r="F145" s="37">
        <v>555</v>
      </c>
      <c r="G145" s="180"/>
      <c r="H145" s="181"/>
      <c r="I145" s="32"/>
      <c r="J145" s="32">
        <v>225.52732800000001</v>
      </c>
      <c r="L145" s="114"/>
      <c r="M145" s="114"/>
      <c r="N145" s="32"/>
      <c r="O145" s="40">
        <f>8000*835</f>
        <v>6680000</v>
      </c>
    </row>
    <row r="146" spans="1:15" s="40" customFormat="1" ht="15.75" customHeight="1" x14ac:dyDescent="0.3">
      <c r="A146" s="112">
        <f t="shared" si="2"/>
        <v>16</v>
      </c>
      <c r="B146" s="113"/>
      <c r="C146" s="37" t="s">
        <v>203</v>
      </c>
      <c r="D146" s="53">
        <f>(20.812)*10.764</f>
        <v>224.02036799999999</v>
      </c>
      <c r="E146" s="37">
        <v>0</v>
      </c>
      <c r="F146" s="37">
        <v>555</v>
      </c>
      <c r="G146" s="180"/>
      <c r="H146" s="181"/>
      <c r="I146" s="32"/>
      <c r="J146" s="32">
        <v>224.02036799999999</v>
      </c>
      <c r="L146" s="114"/>
      <c r="M146" s="114"/>
      <c r="N146" s="32"/>
    </row>
    <row r="147" spans="1:15" s="40" customFormat="1" ht="15.75" customHeight="1" x14ac:dyDescent="0.3">
      <c r="A147" s="112">
        <f t="shared" si="2"/>
        <v>17</v>
      </c>
      <c r="B147" s="113"/>
      <c r="C147" s="37" t="s">
        <v>203</v>
      </c>
      <c r="D147" s="53">
        <f>(20.819)*10.764</f>
        <v>224.09571599999998</v>
      </c>
      <c r="E147" s="37">
        <v>0</v>
      </c>
      <c r="F147" s="37">
        <v>555</v>
      </c>
      <c r="G147" s="180"/>
      <c r="H147" s="181"/>
      <c r="I147" s="32"/>
      <c r="J147" s="32">
        <v>224.09571599999998</v>
      </c>
      <c r="L147" s="114"/>
      <c r="M147" s="114"/>
      <c r="N147" s="32"/>
    </row>
    <row r="148" spans="1:15" s="40" customFormat="1" ht="15.75" customHeight="1" x14ac:dyDescent="0.3">
      <c r="A148" s="112">
        <f t="shared" si="2"/>
        <v>18</v>
      </c>
      <c r="B148" s="113"/>
      <c r="C148" s="37" t="s">
        <v>203</v>
      </c>
      <c r="D148" s="53">
        <f>(18.288)*10.764</f>
        <v>196.85203199999998</v>
      </c>
      <c r="E148" s="37">
        <v>0</v>
      </c>
      <c r="F148" s="37">
        <v>490</v>
      </c>
      <c r="G148" s="180"/>
      <c r="H148" s="181"/>
      <c r="I148" s="32"/>
      <c r="J148" s="32">
        <v>196.85203199999998</v>
      </c>
      <c r="L148" s="114"/>
      <c r="M148" s="114"/>
      <c r="N148" s="32"/>
    </row>
    <row r="149" spans="1:15" s="40" customFormat="1" ht="15.75" customHeight="1" x14ac:dyDescent="0.3">
      <c r="A149" s="112">
        <f t="shared" si="2"/>
        <v>19</v>
      </c>
      <c r="B149" s="113"/>
      <c r="C149" s="37" t="s">
        <v>203</v>
      </c>
      <c r="D149" s="53">
        <f>(18.206)*10.764</f>
        <v>195.96938399999999</v>
      </c>
      <c r="E149" s="37">
        <v>0</v>
      </c>
      <c r="F149" s="37">
        <v>485</v>
      </c>
      <c r="G149" s="180"/>
      <c r="H149" s="181"/>
      <c r="I149" s="32"/>
      <c r="J149" s="32">
        <v>195.96938399999999</v>
      </c>
      <c r="L149" s="114"/>
      <c r="M149" s="114"/>
      <c r="N149" s="32"/>
    </row>
    <row r="150" spans="1:15" s="40" customFormat="1" ht="15.75" customHeight="1" x14ac:dyDescent="0.3">
      <c r="A150" s="112">
        <f t="shared" si="2"/>
        <v>20</v>
      </c>
      <c r="B150" s="113"/>
      <c r="C150" s="37" t="s">
        <v>203</v>
      </c>
      <c r="D150" s="53">
        <f>(18.145)*10.764</f>
        <v>195.31277999999998</v>
      </c>
      <c r="E150" s="37">
        <v>0</v>
      </c>
      <c r="F150" s="37">
        <v>485</v>
      </c>
      <c r="G150" s="180"/>
      <c r="H150" s="181"/>
      <c r="I150" s="32"/>
      <c r="J150" s="32">
        <v>195.31277999999998</v>
      </c>
      <c r="L150" s="114"/>
      <c r="M150" s="114"/>
      <c r="N150" s="32"/>
    </row>
    <row r="151" spans="1:15" s="40" customFormat="1" ht="15.75" customHeight="1" x14ac:dyDescent="0.3">
      <c r="A151" s="112">
        <f t="shared" si="2"/>
        <v>21</v>
      </c>
      <c r="B151" s="113"/>
      <c r="C151" s="37" t="s">
        <v>203</v>
      </c>
      <c r="D151" s="53">
        <f>(20.392)*10.764</f>
        <v>219.49948799999999</v>
      </c>
      <c r="E151" s="37">
        <v>0</v>
      </c>
      <c r="F151" s="37">
        <v>540</v>
      </c>
      <c r="G151" s="180"/>
      <c r="H151" s="181"/>
      <c r="I151" s="32"/>
      <c r="J151" s="32">
        <v>219.49948799999999</v>
      </c>
      <c r="L151" s="114"/>
      <c r="M151" s="114"/>
      <c r="N151" s="32"/>
    </row>
    <row r="152" spans="1:15" s="40" customFormat="1" ht="15.75" customHeight="1" x14ac:dyDescent="0.3">
      <c r="A152" s="112">
        <f t="shared" si="2"/>
        <v>22</v>
      </c>
      <c r="B152" s="113"/>
      <c r="C152" s="37" t="s">
        <v>203</v>
      </c>
      <c r="D152" s="53">
        <f>(20.331)*10.764</f>
        <v>218.84288399999997</v>
      </c>
      <c r="E152" s="37">
        <v>0</v>
      </c>
      <c r="F152" s="37">
        <v>540</v>
      </c>
      <c r="G152" s="180"/>
      <c r="H152" s="181"/>
      <c r="I152" s="32"/>
      <c r="J152" s="32">
        <v>218.84288399999997</v>
      </c>
      <c r="L152" s="114"/>
      <c r="M152" s="114"/>
      <c r="N152" s="32"/>
    </row>
    <row r="153" spans="1:15" s="40" customFormat="1" ht="15.75" customHeight="1" x14ac:dyDescent="0.3">
      <c r="A153" s="112">
        <f t="shared" si="2"/>
        <v>23</v>
      </c>
      <c r="B153" s="113"/>
      <c r="C153" s="37" t="s">
        <v>203</v>
      </c>
      <c r="D153" s="53">
        <f>(18.928)*10.764</f>
        <v>203.74099200000001</v>
      </c>
      <c r="E153" s="37">
        <v>0</v>
      </c>
      <c r="F153" s="37">
        <v>495</v>
      </c>
      <c r="G153" s="182"/>
      <c r="H153" s="183"/>
      <c r="I153" s="32"/>
      <c r="J153" s="32">
        <v>203.74099200000001</v>
      </c>
      <c r="L153" s="114"/>
      <c r="M153" s="114"/>
      <c r="N153" s="32"/>
    </row>
    <row r="154" spans="1:15" s="40" customFormat="1" x14ac:dyDescent="0.3">
      <c r="A154" s="112"/>
      <c r="B154" s="155"/>
      <c r="C154" s="155"/>
      <c r="D154" s="155"/>
      <c r="E154" s="155"/>
      <c r="F154" s="155"/>
      <c r="G154" s="155"/>
      <c r="H154" s="113"/>
      <c r="I154" s="32"/>
      <c r="N154" s="32"/>
    </row>
    <row r="155" spans="1:15" ht="47.25" customHeight="1" x14ac:dyDescent="0.3">
      <c r="A155" s="46" t="s">
        <v>125</v>
      </c>
      <c r="B155" s="46" t="s">
        <v>126</v>
      </c>
      <c r="C155" s="38" t="s">
        <v>59</v>
      </c>
      <c r="D155" s="38" t="s">
        <v>60</v>
      </c>
      <c r="E155" s="38" t="s">
        <v>61</v>
      </c>
      <c r="F155" s="38" t="s">
        <v>193</v>
      </c>
      <c r="G155" s="104" t="s">
        <v>62</v>
      </c>
      <c r="H155" s="105"/>
      <c r="I155" s="32"/>
    </row>
    <row r="156" spans="1:15" s="56" customFormat="1" x14ac:dyDescent="0.3">
      <c r="A156" s="157" t="s">
        <v>236</v>
      </c>
      <c r="B156" s="157"/>
      <c r="C156" s="157"/>
      <c r="D156" s="157"/>
      <c r="E156" s="157"/>
      <c r="F156" s="157"/>
      <c r="G156" s="157"/>
      <c r="H156" s="157"/>
      <c r="I156" s="55"/>
      <c r="L156" s="82"/>
      <c r="M156" s="82"/>
    </row>
    <row r="157" spans="1:15" s="56" customFormat="1" ht="15.75" customHeight="1" x14ac:dyDescent="0.3">
      <c r="A157" s="83" t="s">
        <v>227</v>
      </c>
      <c r="B157" s="83"/>
      <c r="C157" s="75" t="s">
        <v>226</v>
      </c>
      <c r="D157" s="184"/>
      <c r="E157" s="184"/>
      <c r="F157" s="76"/>
      <c r="G157" s="75" t="str">
        <f>A156</f>
        <v>2nd Floor for Residential &amp; Parking</v>
      </c>
      <c r="H157" s="76"/>
      <c r="I157" s="55"/>
      <c r="K157" s="55">
        <v>244.56884399999998</v>
      </c>
      <c r="N157" s="58">
        <v>10.763999999999999</v>
      </c>
    </row>
    <row r="158" spans="1:15" s="56" customFormat="1" x14ac:dyDescent="0.3">
      <c r="A158" s="83" t="s">
        <v>227</v>
      </c>
      <c r="B158" s="83"/>
      <c r="C158" s="79"/>
      <c r="D158" s="185"/>
      <c r="E158" s="185"/>
      <c r="F158" s="80"/>
      <c r="G158" s="77"/>
      <c r="H158" s="78"/>
      <c r="I158" s="55"/>
      <c r="K158" s="55">
        <v>244.56884399999998</v>
      </c>
      <c r="N158" s="58">
        <v>10.763999999999999</v>
      </c>
    </row>
    <row r="159" spans="1:15" s="56" customFormat="1" ht="15.75" customHeight="1" x14ac:dyDescent="0.3">
      <c r="A159" s="83">
        <v>3</v>
      </c>
      <c r="B159" s="83"/>
      <c r="C159" s="57" t="s">
        <v>190</v>
      </c>
      <c r="D159" s="58">
        <f>(77.793+0.75*4.165)*10.764</f>
        <v>870.98789699999998</v>
      </c>
      <c r="E159" s="58">
        <f>(22.721)*10.764</f>
        <v>244.56884399999998</v>
      </c>
      <c r="F159" s="57">
        <v>1736</v>
      </c>
      <c r="G159" s="77"/>
      <c r="H159" s="78"/>
      <c r="I159" s="55"/>
      <c r="K159" s="55">
        <v>244.56884399999998</v>
      </c>
      <c r="N159" s="58">
        <v>10.763999999999999</v>
      </c>
    </row>
    <row r="160" spans="1:15" s="56" customFormat="1" x14ac:dyDescent="0.3">
      <c r="A160" s="83">
        <f t="shared" ref="A160:A163" si="3">A159+1</f>
        <v>4</v>
      </c>
      <c r="B160" s="83"/>
      <c r="C160" s="57" t="s">
        <v>191</v>
      </c>
      <c r="D160" s="58">
        <f>(58.916)*10.764</f>
        <v>634.1718239999999</v>
      </c>
      <c r="E160" s="58">
        <f>(22.721)*10.764</f>
        <v>244.56884399999998</v>
      </c>
      <c r="F160" s="57">
        <v>1362</v>
      </c>
      <c r="G160" s="77"/>
      <c r="H160" s="78"/>
      <c r="I160" s="55"/>
      <c r="K160" s="55">
        <v>244.56884399999998</v>
      </c>
      <c r="N160" s="55"/>
    </row>
    <row r="161" spans="1:14" s="56" customFormat="1" x14ac:dyDescent="0.3">
      <c r="A161" s="83">
        <f t="shared" si="3"/>
        <v>5</v>
      </c>
      <c r="B161" s="83"/>
      <c r="C161" s="57" t="s">
        <v>190</v>
      </c>
      <c r="D161" s="58">
        <f>(74.715)*10.764</f>
        <v>804.23226</v>
      </c>
      <c r="E161" s="58">
        <f>(54.675)*10.764</f>
        <v>588.5216999999999</v>
      </c>
      <c r="F161" s="57">
        <v>1977</v>
      </c>
      <c r="G161" s="77"/>
      <c r="H161" s="78"/>
      <c r="I161" s="55"/>
      <c r="K161" s="55">
        <v>588.5216999999999</v>
      </c>
      <c r="N161" s="55"/>
    </row>
    <row r="162" spans="1:14" s="56" customFormat="1" x14ac:dyDescent="0.3">
      <c r="A162" s="83">
        <v>7</v>
      </c>
      <c r="B162" s="83"/>
      <c r="C162" s="57" t="s">
        <v>191</v>
      </c>
      <c r="D162" s="58">
        <f t="shared" ref="D162:D163" si="4">(58.916)*10.764</f>
        <v>634.1718239999999</v>
      </c>
      <c r="E162" s="58">
        <f>(27.027)*10.764</f>
        <v>290.91862800000001</v>
      </c>
      <c r="F162" s="57">
        <v>1402</v>
      </c>
      <c r="G162" s="77"/>
      <c r="H162" s="78"/>
      <c r="I162" s="55"/>
      <c r="K162" s="55">
        <v>290.91862800000001</v>
      </c>
      <c r="N162" s="55"/>
    </row>
    <row r="163" spans="1:14" s="56" customFormat="1" x14ac:dyDescent="0.3">
      <c r="A163" s="83">
        <f t="shared" si="3"/>
        <v>8</v>
      </c>
      <c r="B163" s="83"/>
      <c r="C163" s="57" t="s">
        <v>190</v>
      </c>
      <c r="D163" s="58">
        <f t="shared" si="4"/>
        <v>634.1718239999999</v>
      </c>
      <c r="E163" s="58">
        <f>(27.027)*10.764</f>
        <v>290.91862800000001</v>
      </c>
      <c r="F163" s="57">
        <v>1402</v>
      </c>
      <c r="G163" s="77"/>
      <c r="H163" s="78"/>
      <c r="I163" s="55"/>
      <c r="K163" s="55">
        <v>290.91862800000001</v>
      </c>
      <c r="N163" s="55"/>
    </row>
    <row r="164" spans="1:14" s="56" customFormat="1" x14ac:dyDescent="0.3">
      <c r="A164" s="83" t="s">
        <v>227</v>
      </c>
      <c r="B164" s="83"/>
      <c r="C164" s="73" t="s">
        <v>226</v>
      </c>
      <c r="D164" s="81"/>
      <c r="E164" s="81"/>
      <c r="F164" s="74"/>
      <c r="G164" s="77"/>
      <c r="H164" s="78"/>
      <c r="I164" s="55"/>
      <c r="K164" s="55">
        <v>302.43610799999999</v>
      </c>
      <c r="N164" s="55"/>
    </row>
    <row r="165" spans="1:14" s="56" customFormat="1" x14ac:dyDescent="0.3">
      <c r="A165" s="83">
        <v>10</v>
      </c>
      <c r="B165" s="83"/>
      <c r="C165" s="57" t="s">
        <v>190</v>
      </c>
      <c r="D165" s="58">
        <f>(77.219+0.75*3.05)*10.764</f>
        <v>855.80796599999985</v>
      </c>
      <c r="E165" s="58">
        <f>(28.097)*10.764</f>
        <v>302.43610799999999</v>
      </c>
      <c r="F165" s="57">
        <v>1794</v>
      </c>
      <c r="G165" s="77"/>
      <c r="H165" s="78"/>
      <c r="I165" s="55"/>
      <c r="K165" s="55">
        <v>302.43610799999999</v>
      </c>
      <c r="N165" s="55"/>
    </row>
    <row r="166" spans="1:14" s="56" customFormat="1" x14ac:dyDescent="0.3">
      <c r="A166" s="83" t="s">
        <v>227</v>
      </c>
      <c r="B166" s="83"/>
      <c r="C166" s="73" t="s">
        <v>226</v>
      </c>
      <c r="D166" s="81"/>
      <c r="E166" s="81"/>
      <c r="F166" s="74"/>
      <c r="G166" s="79"/>
      <c r="H166" s="80"/>
      <c r="I166" s="55"/>
      <c r="K166" s="55">
        <v>302.43610799999999</v>
      </c>
      <c r="N166" s="55"/>
    </row>
    <row r="167" spans="1:14" s="56" customFormat="1" x14ac:dyDescent="0.3">
      <c r="A167" s="157" t="s">
        <v>237</v>
      </c>
      <c r="B167" s="157"/>
      <c r="C167" s="157"/>
      <c r="D167" s="157"/>
      <c r="E167" s="157"/>
      <c r="F167" s="157"/>
      <c r="G167" s="157"/>
      <c r="H167" s="157"/>
      <c r="I167" s="55"/>
      <c r="L167" s="82"/>
      <c r="M167" s="82"/>
    </row>
    <row r="168" spans="1:14" s="56" customFormat="1" ht="15.75" customHeight="1" x14ac:dyDescent="0.3">
      <c r="A168" s="83" t="s">
        <v>227</v>
      </c>
      <c r="B168" s="83"/>
      <c r="C168" s="75" t="s">
        <v>234</v>
      </c>
      <c r="D168" s="184"/>
      <c r="E168" s="184"/>
      <c r="F168" s="76"/>
      <c r="G168" s="75" t="str">
        <f>A167</f>
        <v>3rd Floor for Residential, Club House, Society Office, Garden &amp; Swimming Pool</v>
      </c>
      <c r="H168" s="76"/>
      <c r="I168" s="55"/>
      <c r="K168" s="55">
        <v>244.56884399999998</v>
      </c>
      <c r="N168" s="58">
        <v>10.763999999999999</v>
      </c>
    </row>
    <row r="169" spans="1:14" s="56" customFormat="1" ht="15.75" customHeight="1" x14ac:dyDescent="0.3">
      <c r="A169" s="83" t="s">
        <v>227</v>
      </c>
      <c r="B169" s="83"/>
      <c r="C169" s="79"/>
      <c r="D169" s="185"/>
      <c r="E169" s="185"/>
      <c r="F169" s="80"/>
      <c r="G169" s="77"/>
      <c r="H169" s="78"/>
      <c r="I169" s="55"/>
      <c r="K169" s="55">
        <v>244.56884399999998</v>
      </c>
      <c r="N169" s="58">
        <v>10.763999999999999</v>
      </c>
    </row>
    <row r="170" spans="1:14" s="56" customFormat="1" ht="15.75" customHeight="1" x14ac:dyDescent="0.3">
      <c r="A170" s="83">
        <v>3</v>
      </c>
      <c r="B170" s="83"/>
      <c r="C170" s="57" t="s">
        <v>190</v>
      </c>
      <c r="D170" s="58">
        <f>(77.793+0.75*(5.1+3.05+3.035+2.3+3.05))*10.764</f>
        <v>970.85090700000001</v>
      </c>
      <c r="E170" s="53">
        <v>0</v>
      </c>
      <c r="F170" s="57">
        <v>1580</v>
      </c>
      <c r="G170" s="77"/>
      <c r="H170" s="78"/>
      <c r="I170" s="55"/>
      <c r="N170" s="58">
        <v>10.763999999999999</v>
      </c>
    </row>
    <row r="171" spans="1:14" s="56" customFormat="1" x14ac:dyDescent="0.3">
      <c r="A171" s="83">
        <f t="shared" ref="A171:A174" si="5">A170+1</f>
        <v>4</v>
      </c>
      <c r="B171" s="83"/>
      <c r="C171" s="57" t="s">
        <v>191</v>
      </c>
      <c r="D171" s="58">
        <f>(58.916+0.75*(3.05+3.05+2.14+2.9))*10.764</f>
        <v>724.10504400000002</v>
      </c>
      <c r="E171" s="53">
        <v>0</v>
      </c>
      <c r="F171" s="57">
        <v>1115</v>
      </c>
      <c r="G171" s="77"/>
      <c r="H171" s="78"/>
      <c r="I171" s="55"/>
      <c r="N171" s="55"/>
    </row>
    <row r="172" spans="1:14" s="56" customFormat="1" x14ac:dyDescent="0.3">
      <c r="A172" s="83">
        <f t="shared" si="5"/>
        <v>5</v>
      </c>
      <c r="B172" s="83"/>
      <c r="C172" s="57" t="s">
        <v>190</v>
      </c>
      <c r="D172" s="58">
        <f>(74.715+0.75*(3.65+3.05+3.035+2.3+3.035))*10.764</f>
        <v>925.89236999999991</v>
      </c>
      <c r="E172" s="53">
        <v>0</v>
      </c>
      <c r="F172" s="57">
        <v>1570</v>
      </c>
      <c r="G172" s="77"/>
      <c r="H172" s="78"/>
      <c r="I172" s="55"/>
      <c r="N172" s="55"/>
    </row>
    <row r="173" spans="1:14" s="56" customFormat="1" x14ac:dyDescent="0.3">
      <c r="A173" s="83">
        <v>7</v>
      </c>
      <c r="B173" s="83"/>
      <c r="C173" s="57" t="s">
        <v>191</v>
      </c>
      <c r="D173" s="58">
        <f>(58.916+0.75*(8.62+3.05))*10.764</f>
        <v>728.38373399999989</v>
      </c>
      <c r="E173" s="53">
        <v>0</v>
      </c>
      <c r="F173" s="57">
        <v>1210</v>
      </c>
      <c r="G173" s="77"/>
      <c r="H173" s="78"/>
      <c r="I173" s="55"/>
      <c r="N173" s="55"/>
    </row>
    <row r="174" spans="1:14" s="56" customFormat="1" x14ac:dyDescent="0.3">
      <c r="A174" s="83">
        <f t="shared" si="5"/>
        <v>8</v>
      </c>
      <c r="B174" s="83"/>
      <c r="C174" s="57" t="s">
        <v>190</v>
      </c>
      <c r="D174" s="58">
        <f>(58.916+0.75*(8.62+3.05))*10.764</f>
        <v>728.38373399999989</v>
      </c>
      <c r="E174" s="53">
        <v>0</v>
      </c>
      <c r="F174" s="57">
        <v>1210</v>
      </c>
      <c r="G174" s="77"/>
      <c r="H174" s="78"/>
      <c r="I174" s="55"/>
      <c r="N174" s="55"/>
    </row>
    <row r="175" spans="1:14" s="56" customFormat="1" x14ac:dyDescent="0.3">
      <c r="A175" s="83" t="s">
        <v>227</v>
      </c>
      <c r="B175" s="83"/>
      <c r="C175" s="73" t="s">
        <v>235</v>
      </c>
      <c r="D175" s="81"/>
      <c r="E175" s="81"/>
      <c r="F175" s="74"/>
      <c r="G175" s="77"/>
      <c r="H175" s="78"/>
      <c r="I175" s="55"/>
      <c r="K175" s="55">
        <v>302.43610799999999</v>
      </c>
      <c r="N175" s="55"/>
    </row>
    <row r="176" spans="1:14" s="56" customFormat="1" x14ac:dyDescent="0.3">
      <c r="A176" s="83">
        <v>10</v>
      </c>
      <c r="B176" s="83"/>
      <c r="C176" s="57" t="s">
        <v>190</v>
      </c>
      <c r="D176" s="58">
        <f>(77.219+0.75*(3.05*3+2.3+2.9))*10.764</f>
        <v>947.0328659999999</v>
      </c>
      <c r="E176" s="53">
        <v>0</v>
      </c>
      <c r="F176" s="57">
        <v>1565</v>
      </c>
      <c r="G176" s="77"/>
      <c r="H176" s="78"/>
      <c r="I176" s="55"/>
      <c r="N176" s="55"/>
    </row>
    <row r="177" spans="1:14" s="56" customFormat="1" x14ac:dyDescent="0.3">
      <c r="A177" s="83" t="s">
        <v>227</v>
      </c>
      <c r="B177" s="83"/>
      <c r="C177" s="73" t="s">
        <v>234</v>
      </c>
      <c r="D177" s="81"/>
      <c r="E177" s="81"/>
      <c r="F177" s="74"/>
      <c r="G177" s="79"/>
      <c r="H177" s="80"/>
      <c r="I177" s="55"/>
      <c r="K177" s="55">
        <v>302.43610799999999</v>
      </c>
      <c r="N177" s="55"/>
    </row>
    <row r="178" spans="1:14" s="56" customFormat="1" x14ac:dyDescent="0.3">
      <c r="A178" s="70" t="s">
        <v>204</v>
      </c>
      <c r="B178" s="71"/>
      <c r="C178" s="71"/>
      <c r="D178" s="71"/>
      <c r="E178" s="71"/>
      <c r="F178" s="71"/>
      <c r="G178" s="71"/>
      <c r="H178" s="72"/>
      <c r="I178" s="55"/>
    </row>
    <row r="179" spans="1:14" s="56" customFormat="1" x14ac:dyDescent="0.3">
      <c r="A179" s="73">
        <v>1</v>
      </c>
      <c r="B179" s="74"/>
      <c r="C179" s="57" t="s">
        <v>192</v>
      </c>
      <c r="D179" s="58">
        <f>(38.159+0.75*(2.9+2.14+3.1))*10.764</f>
        <v>476.45769599999994</v>
      </c>
      <c r="E179" s="57">
        <v>0</v>
      </c>
      <c r="F179" s="57">
        <v>815</v>
      </c>
      <c r="G179" s="75" t="str">
        <f>A178</f>
        <v>4th to 6th, 8th to 10th Floor</v>
      </c>
      <c r="H179" s="76"/>
      <c r="I179" s="55">
        <f>5600*F179</f>
        <v>4564000</v>
      </c>
      <c r="N179" s="59">
        <f>750/D179</f>
        <v>1.5741166661730239</v>
      </c>
    </row>
    <row r="180" spans="1:14" s="56" customFormat="1" x14ac:dyDescent="0.3">
      <c r="A180" s="73">
        <v>2</v>
      </c>
      <c r="B180" s="74"/>
      <c r="C180" s="57" t="s">
        <v>191</v>
      </c>
      <c r="D180" s="58">
        <f>(53.749+0.75*(3.05+2.9+3.05+2.16))*10.764</f>
        <v>668.64891599999999</v>
      </c>
      <c r="E180" s="57">
        <v>0</v>
      </c>
      <c r="F180" s="57">
        <v>1115</v>
      </c>
      <c r="G180" s="77"/>
      <c r="H180" s="78"/>
      <c r="I180" s="55">
        <f t="shared" ref="I180:I189" si="6">5600*F180</f>
        <v>6244000</v>
      </c>
      <c r="N180" s="59">
        <f>1055/D180</f>
        <v>1.5778085849764543</v>
      </c>
    </row>
    <row r="181" spans="1:14" s="56" customFormat="1" x14ac:dyDescent="0.3">
      <c r="A181" s="73">
        <v>3</v>
      </c>
      <c r="B181" s="74"/>
      <c r="C181" s="57" t="s">
        <v>190</v>
      </c>
      <c r="D181" s="58">
        <f>(77.793+0.75*(3.05+2.3+3.035+3.05+4.65))*10.764</f>
        <v>967.21805700000004</v>
      </c>
      <c r="E181" s="57">
        <v>0</v>
      </c>
      <c r="F181" s="57">
        <v>1580</v>
      </c>
      <c r="G181" s="77"/>
      <c r="H181" s="78"/>
      <c r="I181" s="55">
        <f t="shared" si="6"/>
        <v>8848000</v>
      </c>
      <c r="N181" s="59">
        <f>1517/D181</f>
        <v>1.568415714554841</v>
      </c>
    </row>
    <row r="182" spans="1:14" s="56" customFormat="1" x14ac:dyDescent="0.3">
      <c r="A182" s="73">
        <v>4</v>
      </c>
      <c r="B182" s="74"/>
      <c r="C182" s="57" t="s">
        <v>191</v>
      </c>
      <c r="D182" s="58">
        <f>(58.916+0.75*(3.05+2.14+2.9+3.05))*10.764</f>
        <v>724.10504400000002</v>
      </c>
      <c r="E182" s="57">
        <v>0</v>
      </c>
      <c r="F182" s="57">
        <v>1210</v>
      </c>
      <c r="G182" s="77"/>
      <c r="H182" s="78"/>
      <c r="I182" s="55">
        <f t="shared" si="6"/>
        <v>6776000</v>
      </c>
      <c r="N182" s="59"/>
    </row>
    <row r="183" spans="1:14" s="56" customFormat="1" x14ac:dyDescent="0.3">
      <c r="A183" s="73">
        <v>5</v>
      </c>
      <c r="B183" s="74"/>
      <c r="C183" s="57" t="s">
        <v>190</v>
      </c>
      <c r="D183" s="58">
        <f>(74.715+0.75*(3.05+2.3+3.035+3.035+3.085))*10.764</f>
        <v>921.33112499999993</v>
      </c>
      <c r="E183" s="57">
        <v>0</v>
      </c>
      <c r="F183" s="57">
        <v>1570</v>
      </c>
      <c r="G183" s="77"/>
      <c r="H183" s="78"/>
      <c r="I183" s="55">
        <f t="shared" si="6"/>
        <v>8792000</v>
      </c>
      <c r="N183" s="59"/>
    </row>
    <row r="184" spans="1:14" s="56" customFormat="1" x14ac:dyDescent="0.3">
      <c r="A184" s="73">
        <v>6</v>
      </c>
      <c r="B184" s="74"/>
      <c r="C184" s="57" t="s">
        <v>192</v>
      </c>
      <c r="D184" s="58">
        <f>(36.902+0.75*(2.9+2.14+3.035))*10.764</f>
        <v>462.40260299999994</v>
      </c>
      <c r="E184" s="57">
        <v>0</v>
      </c>
      <c r="F184" s="57">
        <v>775</v>
      </c>
      <c r="G184" s="77"/>
      <c r="H184" s="78"/>
      <c r="I184" s="55">
        <f t="shared" si="6"/>
        <v>4340000</v>
      </c>
      <c r="N184" s="59"/>
    </row>
    <row r="185" spans="1:14" s="56" customFormat="1" x14ac:dyDescent="0.3">
      <c r="A185" s="73">
        <v>7</v>
      </c>
      <c r="B185" s="74"/>
      <c r="C185" s="57" t="s">
        <v>191</v>
      </c>
      <c r="D185" s="58">
        <f>(58.916+0.75*(3.05+2.14+2.9+3.05))*10.764</f>
        <v>724.10504400000002</v>
      </c>
      <c r="E185" s="57">
        <v>0</v>
      </c>
      <c r="F185" s="57">
        <v>1210</v>
      </c>
      <c r="G185" s="77"/>
      <c r="H185" s="78"/>
      <c r="I185" s="55">
        <f t="shared" si="6"/>
        <v>6776000</v>
      </c>
      <c r="N185" s="59"/>
    </row>
    <row r="186" spans="1:14" s="56" customFormat="1" x14ac:dyDescent="0.3">
      <c r="A186" s="73">
        <v>8</v>
      </c>
      <c r="B186" s="74"/>
      <c r="C186" s="57" t="s">
        <v>191</v>
      </c>
      <c r="D186" s="58">
        <f>(58.916+0.75*(3.05+2.14+2.9+3.05))*10.764</f>
        <v>724.10504400000002</v>
      </c>
      <c r="E186" s="57">
        <v>0</v>
      </c>
      <c r="F186" s="57">
        <v>1210</v>
      </c>
      <c r="G186" s="77"/>
      <c r="H186" s="78"/>
      <c r="I186" s="55">
        <f t="shared" si="6"/>
        <v>6776000</v>
      </c>
      <c r="N186" s="59"/>
    </row>
    <row r="187" spans="1:14" s="56" customFormat="1" x14ac:dyDescent="0.3">
      <c r="A187" s="73">
        <v>9</v>
      </c>
      <c r="B187" s="74"/>
      <c r="C187" s="57" t="s">
        <v>192</v>
      </c>
      <c r="D187" s="58">
        <f>(36.902+0.75*(2.9+2.14+3.035))*10.764</f>
        <v>462.40260299999994</v>
      </c>
      <c r="E187" s="57">
        <v>0</v>
      </c>
      <c r="F187" s="57">
        <v>775</v>
      </c>
      <c r="G187" s="77"/>
      <c r="H187" s="78"/>
      <c r="I187" s="55">
        <f t="shared" si="6"/>
        <v>4340000</v>
      </c>
      <c r="K187" s="55">
        <f>6500000/F180</f>
        <v>5829.596412556054</v>
      </c>
      <c r="L187" s="56">
        <f>6000*F179</f>
        <v>4890000</v>
      </c>
      <c r="N187" s="59"/>
    </row>
    <row r="188" spans="1:14" s="56" customFormat="1" x14ac:dyDescent="0.3">
      <c r="A188" s="73">
        <v>10</v>
      </c>
      <c r="B188" s="74"/>
      <c r="C188" s="57" t="s">
        <v>190</v>
      </c>
      <c r="D188" s="58">
        <f>(77.219+0.75*(3.05+2.3+2.9+3.05+3.05))*10.764</f>
        <v>947.0328659999999</v>
      </c>
      <c r="E188" s="57">
        <v>0</v>
      </c>
      <c r="F188" s="57">
        <v>1565</v>
      </c>
      <c r="G188" s="77"/>
      <c r="H188" s="78"/>
      <c r="I188" s="55">
        <f t="shared" si="6"/>
        <v>8764000</v>
      </c>
      <c r="K188" s="55">
        <f>5200000/F179</f>
        <v>6380.3680981595089</v>
      </c>
      <c r="N188" s="59">
        <f>1505/D188</f>
        <v>1.5891739917714747</v>
      </c>
    </row>
    <row r="189" spans="1:14" s="56" customFormat="1" x14ac:dyDescent="0.3">
      <c r="A189" s="73">
        <v>11</v>
      </c>
      <c r="B189" s="74"/>
      <c r="C189" s="57" t="s">
        <v>192</v>
      </c>
      <c r="D189" s="58">
        <f>(36.437+0.75*(2.45+2.9+2.9))*10.764</f>
        <v>458.81011799999993</v>
      </c>
      <c r="E189" s="57">
        <v>0</v>
      </c>
      <c r="F189" s="57">
        <v>780</v>
      </c>
      <c r="G189" s="79"/>
      <c r="H189" s="80"/>
      <c r="I189" s="55">
        <f t="shared" si="6"/>
        <v>4368000</v>
      </c>
      <c r="L189" s="56">
        <f>35+6000*1055</f>
        <v>6330035</v>
      </c>
      <c r="N189" s="56">
        <f>725/D189</f>
        <v>1.5801743936257311</v>
      </c>
    </row>
    <row r="190" spans="1:14" s="56" customFormat="1" x14ac:dyDescent="0.3">
      <c r="A190" s="70" t="s">
        <v>205</v>
      </c>
      <c r="B190" s="71"/>
      <c r="C190" s="71"/>
      <c r="D190" s="71"/>
      <c r="E190" s="71"/>
      <c r="F190" s="71"/>
      <c r="G190" s="71"/>
      <c r="H190" s="72"/>
      <c r="I190" s="55"/>
    </row>
    <row r="191" spans="1:14" s="56" customFormat="1" x14ac:dyDescent="0.3">
      <c r="A191" s="73">
        <v>1</v>
      </c>
      <c r="B191" s="74"/>
      <c r="C191" s="57" t="s">
        <v>192</v>
      </c>
      <c r="D191" s="58">
        <f>(38.159+0.75*(2.9+2.14+3.1))*10.764</f>
        <v>476.45769599999994</v>
      </c>
      <c r="E191" s="57">
        <v>0</v>
      </c>
      <c r="F191" s="57">
        <v>815</v>
      </c>
      <c r="G191" s="75" t="str">
        <f>A190</f>
        <v>7th Floor (Part Refuge Area)</v>
      </c>
      <c r="H191" s="76"/>
      <c r="I191" s="55">
        <f>6000*F191</f>
        <v>4890000</v>
      </c>
      <c r="N191" s="59">
        <f>750/D191</f>
        <v>1.5741166661730239</v>
      </c>
    </row>
    <row r="192" spans="1:14" s="56" customFormat="1" x14ac:dyDescent="0.3">
      <c r="A192" s="73">
        <v>2</v>
      </c>
      <c r="B192" s="74"/>
      <c r="C192" s="57" t="s">
        <v>191</v>
      </c>
      <c r="D192" s="58">
        <f>(53.749+0.75*(3.05+2.9+3.05+2.16))*10.764</f>
        <v>668.64891599999999</v>
      </c>
      <c r="E192" s="57">
        <v>0</v>
      </c>
      <c r="F192" s="57">
        <v>1115</v>
      </c>
      <c r="G192" s="77"/>
      <c r="H192" s="78"/>
      <c r="I192" s="55">
        <f t="shared" ref="I192:I201" si="7">6000*F192</f>
        <v>6690000</v>
      </c>
      <c r="N192" s="59">
        <f>1055/D192</f>
        <v>1.5778085849764543</v>
      </c>
    </row>
    <row r="193" spans="1:14" s="56" customFormat="1" x14ac:dyDescent="0.3">
      <c r="A193" s="73">
        <v>3</v>
      </c>
      <c r="B193" s="74"/>
      <c r="C193" s="57" t="s">
        <v>190</v>
      </c>
      <c r="D193" s="58">
        <f>(77.793+0.75*(3.05+2.3+3.035+3.05+4.65))*10.764</f>
        <v>967.21805700000004</v>
      </c>
      <c r="E193" s="57">
        <v>0</v>
      </c>
      <c r="F193" s="57">
        <v>1580</v>
      </c>
      <c r="G193" s="77"/>
      <c r="H193" s="78"/>
      <c r="I193" s="55">
        <f t="shared" si="7"/>
        <v>9480000</v>
      </c>
      <c r="N193" s="59">
        <f>1517/D193</f>
        <v>1.568415714554841</v>
      </c>
    </row>
    <row r="194" spans="1:14" s="56" customFormat="1" x14ac:dyDescent="0.3">
      <c r="A194" s="73">
        <v>4</v>
      </c>
      <c r="B194" s="74"/>
      <c r="C194" s="57" t="s">
        <v>191</v>
      </c>
      <c r="D194" s="58">
        <f>(58.916+0.75*(3.05+2.14+2.9+3.05))*10.764</f>
        <v>724.10504400000002</v>
      </c>
      <c r="E194" s="57">
        <v>0</v>
      </c>
      <c r="F194" s="57">
        <v>1210</v>
      </c>
      <c r="G194" s="77"/>
      <c r="H194" s="78"/>
      <c r="I194" s="55">
        <f t="shared" si="7"/>
        <v>7260000</v>
      </c>
      <c r="N194" s="59"/>
    </row>
    <row r="195" spans="1:14" s="56" customFormat="1" x14ac:dyDescent="0.3">
      <c r="A195" s="73">
        <v>5</v>
      </c>
      <c r="B195" s="74"/>
      <c r="C195" s="57" t="s">
        <v>190</v>
      </c>
      <c r="D195" s="58">
        <f>(74.715+0.75*(3.05+2.3+3.035+3.035+3.085))*10.764</f>
        <v>921.33112499999993</v>
      </c>
      <c r="E195" s="57">
        <v>0</v>
      </c>
      <c r="F195" s="57">
        <v>1570</v>
      </c>
      <c r="G195" s="77"/>
      <c r="H195" s="78"/>
      <c r="I195" s="55">
        <f t="shared" si="7"/>
        <v>9420000</v>
      </c>
      <c r="N195" s="59"/>
    </row>
    <row r="196" spans="1:14" s="56" customFormat="1" x14ac:dyDescent="0.3">
      <c r="A196" s="73">
        <v>6</v>
      </c>
      <c r="B196" s="74"/>
      <c r="C196" s="57" t="s">
        <v>192</v>
      </c>
      <c r="D196" s="58">
        <f>(36.902+0.75*(2.9+2.14+3.035))*10.764</f>
        <v>462.40260299999994</v>
      </c>
      <c r="E196" s="57">
        <v>0</v>
      </c>
      <c r="F196" s="57">
        <v>775</v>
      </c>
      <c r="G196" s="77"/>
      <c r="H196" s="78"/>
      <c r="I196" s="55">
        <f t="shared" si="7"/>
        <v>4650000</v>
      </c>
      <c r="N196" s="59"/>
    </row>
    <row r="197" spans="1:14" s="56" customFormat="1" x14ac:dyDescent="0.3">
      <c r="A197" s="73">
        <v>7</v>
      </c>
      <c r="B197" s="74"/>
      <c r="C197" s="73" t="s">
        <v>206</v>
      </c>
      <c r="D197" s="81"/>
      <c r="E197" s="81"/>
      <c r="F197" s="74"/>
      <c r="G197" s="77"/>
      <c r="H197" s="78"/>
      <c r="I197" s="55">
        <f t="shared" si="7"/>
        <v>0</v>
      </c>
      <c r="N197" s="59"/>
    </row>
    <row r="198" spans="1:14" s="56" customFormat="1" x14ac:dyDescent="0.3">
      <c r="A198" s="73">
        <v>8</v>
      </c>
      <c r="B198" s="74"/>
      <c r="C198" s="57" t="s">
        <v>191</v>
      </c>
      <c r="D198" s="58">
        <f>(58.916+0.75*(3.05+2.14+2.9+3.05))*10.764</f>
        <v>724.10504400000002</v>
      </c>
      <c r="E198" s="57">
        <v>0</v>
      </c>
      <c r="F198" s="57">
        <v>1210</v>
      </c>
      <c r="G198" s="77"/>
      <c r="H198" s="78"/>
      <c r="I198" s="55">
        <f t="shared" si="7"/>
        <v>7260000</v>
      </c>
      <c r="N198" s="59"/>
    </row>
    <row r="199" spans="1:14" s="56" customFormat="1" x14ac:dyDescent="0.3">
      <c r="A199" s="73">
        <v>9</v>
      </c>
      <c r="B199" s="74"/>
      <c r="C199" s="57" t="s">
        <v>192</v>
      </c>
      <c r="D199" s="58">
        <f>(36.902+0.75*(2.9+2.14+3.035))*10.764</f>
        <v>462.40260299999994</v>
      </c>
      <c r="E199" s="57">
        <v>0</v>
      </c>
      <c r="F199" s="57">
        <v>775</v>
      </c>
      <c r="G199" s="77"/>
      <c r="H199" s="78"/>
      <c r="I199" s="55">
        <f t="shared" si="7"/>
        <v>4650000</v>
      </c>
      <c r="K199" s="55">
        <f>6500000/F192</f>
        <v>5829.596412556054</v>
      </c>
      <c r="L199" s="56">
        <f>6000*F191</f>
        <v>4890000</v>
      </c>
      <c r="N199" s="59"/>
    </row>
    <row r="200" spans="1:14" s="56" customFormat="1" x14ac:dyDescent="0.3">
      <c r="A200" s="73">
        <v>10</v>
      </c>
      <c r="B200" s="74"/>
      <c r="C200" s="57" t="s">
        <v>190</v>
      </c>
      <c r="D200" s="58">
        <f>(77.219+0.75*(3.05+2.3+2.9+3.05+3.05))*10.764</f>
        <v>947.0328659999999</v>
      </c>
      <c r="E200" s="57">
        <v>0</v>
      </c>
      <c r="F200" s="57">
        <v>1565</v>
      </c>
      <c r="G200" s="77"/>
      <c r="H200" s="78"/>
      <c r="I200" s="55">
        <f t="shared" si="7"/>
        <v>9390000</v>
      </c>
      <c r="K200" s="55">
        <f>5200000/F191</f>
        <v>6380.3680981595089</v>
      </c>
      <c r="N200" s="59">
        <f>1505/D200</f>
        <v>1.5891739917714747</v>
      </c>
    </row>
    <row r="201" spans="1:14" s="56" customFormat="1" x14ac:dyDescent="0.3">
      <c r="A201" s="73">
        <v>11</v>
      </c>
      <c r="B201" s="74"/>
      <c r="C201" s="57" t="s">
        <v>192</v>
      </c>
      <c r="D201" s="58">
        <f>(36.437+0.75*(2.45+2.9+2.9))*10.764</f>
        <v>458.81011799999993</v>
      </c>
      <c r="E201" s="57">
        <v>0</v>
      </c>
      <c r="F201" s="57">
        <v>780</v>
      </c>
      <c r="G201" s="79"/>
      <c r="H201" s="80"/>
      <c r="I201" s="55">
        <f t="shared" si="7"/>
        <v>4680000</v>
      </c>
      <c r="L201" s="56">
        <f>35+6000*1055</f>
        <v>6330035</v>
      </c>
      <c r="N201" s="56">
        <f>725/D201</f>
        <v>1.5801743936257311</v>
      </c>
    </row>
    <row r="202" spans="1:14" s="56" customFormat="1" x14ac:dyDescent="0.3">
      <c r="A202" s="70" t="s">
        <v>207</v>
      </c>
      <c r="B202" s="71"/>
      <c r="C202" s="71"/>
      <c r="D202" s="71"/>
      <c r="E202" s="71"/>
      <c r="F202" s="71"/>
      <c r="G202" s="71"/>
      <c r="H202" s="72"/>
      <c r="I202" s="55"/>
    </row>
    <row r="203" spans="1:14" s="56" customFormat="1" x14ac:dyDescent="0.3">
      <c r="A203" s="73">
        <v>1</v>
      </c>
      <c r="B203" s="74"/>
      <c r="C203" s="57" t="s">
        <v>192</v>
      </c>
      <c r="D203" s="58">
        <f>(38.159+0.75*(2.9+2.14+3.1))*10.764</f>
        <v>476.45769599999994</v>
      </c>
      <c r="E203" s="57">
        <v>0</v>
      </c>
      <c r="F203" s="57">
        <v>815</v>
      </c>
      <c r="G203" s="75" t="str">
        <f>A202</f>
        <v>11th Floor (Part Refuge Area)</v>
      </c>
      <c r="H203" s="76"/>
      <c r="I203" s="55">
        <f>6000*F203</f>
        <v>4890000</v>
      </c>
      <c r="N203" s="59">
        <f>750/D203</f>
        <v>1.5741166661730239</v>
      </c>
    </row>
    <row r="204" spans="1:14" s="56" customFormat="1" x14ac:dyDescent="0.3">
      <c r="A204" s="73">
        <v>2</v>
      </c>
      <c r="B204" s="74"/>
      <c r="C204" s="57" t="s">
        <v>191</v>
      </c>
      <c r="D204" s="58">
        <f>(53.749+0.75*(3.05+2.9+3.05+2.16))*10.764</f>
        <v>668.64891599999999</v>
      </c>
      <c r="E204" s="57">
        <v>0</v>
      </c>
      <c r="F204" s="57">
        <v>1115</v>
      </c>
      <c r="G204" s="77"/>
      <c r="H204" s="78"/>
      <c r="I204" s="55">
        <f t="shared" ref="I204:I213" si="8">6000*F204</f>
        <v>6690000</v>
      </c>
      <c r="N204" s="59">
        <f>1055/D204</f>
        <v>1.5778085849764543</v>
      </c>
    </row>
    <row r="205" spans="1:14" s="56" customFormat="1" x14ac:dyDescent="0.3">
      <c r="A205" s="73">
        <v>3</v>
      </c>
      <c r="B205" s="74"/>
      <c r="C205" s="57" t="s">
        <v>190</v>
      </c>
      <c r="D205" s="58">
        <f>(77.793+0.75*(3.05+2.3+3.035+3.05+4.65))*10.764</f>
        <v>967.21805700000004</v>
      </c>
      <c r="E205" s="57">
        <v>0</v>
      </c>
      <c r="F205" s="57">
        <v>1580</v>
      </c>
      <c r="G205" s="77"/>
      <c r="H205" s="78"/>
      <c r="I205" s="55">
        <f t="shared" si="8"/>
        <v>9480000</v>
      </c>
      <c r="N205" s="59">
        <f>1517/D205</f>
        <v>1.568415714554841</v>
      </c>
    </row>
    <row r="206" spans="1:14" s="56" customFormat="1" x14ac:dyDescent="0.3">
      <c r="A206" s="73">
        <v>4</v>
      </c>
      <c r="B206" s="74"/>
      <c r="C206" s="57" t="s">
        <v>191</v>
      </c>
      <c r="D206" s="58">
        <f>(58.916+0.75*(3.05+2.14+2.9+3.05))*10.764</f>
        <v>724.10504400000002</v>
      </c>
      <c r="E206" s="57">
        <v>0</v>
      </c>
      <c r="F206" s="57">
        <v>1210</v>
      </c>
      <c r="G206" s="77"/>
      <c r="H206" s="78"/>
      <c r="I206" s="55">
        <f t="shared" si="8"/>
        <v>7260000</v>
      </c>
      <c r="N206" s="59"/>
    </row>
    <row r="207" spans="1:14" s="56" customFormat="1" x14ac:dyDescent="0.3">
      <c r="A207" s="73">
        <v>5</v>
      </c>
      <c r="B207" s="74"/>
      <c r="C207" s="57" t="s">
        <v>190</v>
      </c>
      <c r="D207" s="58">
        <f>(74.715+0.75*(3.05+2.3+3.035+3.035+3.085))*10.764</f>
        <v>921.33112499999993</v>
      </c>
      <c r="E207" s="57">
        <v>0</v>
      </c>
      <c r="F207" s="57">
        <v>1570</v>
      </c>
      <c r="G207" s="77"/>
      <c r="H207" s="78"/>
      <c r="I207" s="55">
        <f t="shared" si="8"/>
        <v>9420000</v>
      </c>
      <c r="N207" s="59"/>
    </row>
    <row r="208" spans="1:14" s="56" customFormat="1" x14ac:dyDescent="0.3">
      <c r="A208" s="73">
        <v>6</v>
      </c>
      <c r="B208" s="74"/>
      <c r="C208" s="57" t="s">
        <v>192</v>
      </c>
      <c r="D208" s="58">
        <f>(36.902+0.75*(2.9+2.14+3.035))*10.764</f>
        <v>462.40260299999994</v>
      </c>
      <c r="E208" s="57">
        <v>0</v>
      </c>
      <c r="F208" s="57">
        <v>775</v>
      </c>
      <c r="G208" s="77"/>
      <c r="H208" s="78"/>
      <c r="I208" s="55">
        <f t="shared" si="8"/>
        <v>4650000</v>
      </c>
      <c r="N208" s="59"/>
    </row>
    <row r="209" spans="1:14" s="56" customFormat="1" x14ac:dyDescent="0.3">
      <c r="A209" s="73">
        <v>7</v>
      </c>
      <c r="B209" s="74"/>
      <c r="C209" s="73" t="s">
        <v>206</v>
      </c>
      <c r="D209" s="81"/>
      <c r="E209" s="81"/>
      <c r="F209" s="74"/>
      <c r="G209" s="77"/>
      <c r="H209" s="78"/>
      <c r="I209" s="55">
        <f t="shared" si="8"/>
        <v>0</v>
      </c>
      <c r="N209" s="59"/>
    </row>
    <row r="210" spans="1:14" s="56" customFormat="1" x14ac:dyDescent="0.3">
      <c r="A210" s="73">
        <v>8</v>
      </c>
      <c r="B210" s="74"/>
      <c r="C210" s="57" t="s">
        <v>191</v>
      </c>
      <c r="D210" s="58">
        <f>(58.916+0.75*(3.05+2.14+2.9+3.05))*10.764</f>
        <v>724.10504400000002</v>
      </c>
      <c r="E210" s="57">
        <v>0</v>
      </c>
      <c r="F210" s="57">
        <v>1210</v>
      </c>
      <c r="G210" s="77"/>
      <c r="H210" s="78"/>
      <c r="I210" s="55">
        <f t="shared" si="8"/>
        <v>7260000</v>
      </c>
      <c r="N210" s="59"/>
    </row>
    <row r="211" spans="1:14" s="56" customFormat="1" x14ac:dyDescent="0.3">
      <c r="A211" s="73">
        <v>9</v>
      </c>
      <c r="B211" s="74"/>
      <c r="C211" s="57" t="s">
        <v>192</v>
      </c>
      <c r="D211" s="58">
        <f>(36.902+0.75*(2.9+2.14+3.035))*10.764</f>
        <v>462.40260299999994</v>
      </c>
      <c r="E211" s="57">
        <v>0</v>
      </c>
      <c r="F211" s="57">
        <v>775</v>
      </c>
      <c r="G211" s="77"/>
      <c r="H211" s="78"/>
      <c r="I211" s="55">
        <f t="shared" si="8"/>
        <v>4650000</v>
      </c>
      <c r="K211" s="55">
        <f>6500000/F204</f>
        <v>5829.596412556054</v>
      </c>
      <c r="L211" s="56">
        <f>6000*F203</f>
        <v>4890000</v>
      </c>
      <c r="N211" s="59"/>
    </row>
    <row r="212" spans="1:14" s="56" customFormat="1" x14ac:dyDescent="0.3">
      <c r="A212" s="73">
        <v>10</v>
      </c>
      <c r="B212" s="74"/>
      <c r="C212" s="57" t="s">
        <v>190</v>
      </c>
      <c r="D212" s="58">
        <f>(77.219+0.75*(3.05+2.3+2.9+3.05+3.05))*10.764</f>
        <v>947.0328659999999</v>
      </c>
      <c r="E212" s="57">
        <v>0</v>
      </c>
      <c r="F212" s="57">
        <v>1565</v>
      </c>
      <c r="G212" s="77"/>
      <c r="H212" s="78"/>
      <c r="I212" s="55">
        <f t="shared" si="8"/>
        <v>9390000</v>
      </c>
      <c r="K212" s="55">
        <f>5200000/F203</f>
        <v>6380.3680981595089</v>
      </c>
      <c r="N212" s="59">
        <f>F212/D212</f>
        <v>1.6525297655298059</v>
      </c>
    </row>
    <row r="213" spans="1:14" s="56" customFormat="1" x14ac:dyDescent="0.3">
      <c r="A213" s="73">
        <v>11</v>
      </c>
      <c r="B213" s="74"/>
      <c r="C213" s="57" t="s">
        <v>192</v>
      </c>
      <c r="D213" s="58">
        <f>(36.437+0.75*(2.45+2.9+2.9))*10.764</f>
        <v>458.81011799999993</v>
      </c>
      <c r="E213" s="57">
        <v>0</v>
      </c>
      <c r="F213" s="57">
        <v>780</v>
      </c>
      <c r="G213" s="79"/>
      <c r="H213" s="80"/>
      <c r="I213" s="55">
        <f t="shared" si="8"/>
        <v>4680000</v>
      </c>
      <c r="L213" s="56">
        <f>35+6000*1055</f>
        <v>6330035</v>
      </c>
      <c r="N213" s="56">
        <f>725/D213</f>
        <v>1.5801743936257311</v>
      </c>
    </row>
    <row r="214" spans="1:14" s="56" customFormat="1" x14ac:dyDescent="0.3">
      <c r="A214" s="70" t="s">
        <v>228</v>
      </c>
      <c r="B214" s="71"/>
      <c r="C214" s="71"/>
      <c r="D214" s="71"/>
      <c r="E214" s="71"/>
      <c r="F214" s="71"/>
      <c r="G214" s="71"/>
      <c r="H214" s="72"/>
      <c r="I214" s="55"/>
    </row>
    <row r="215" spans="1:14" s="56" customFormat="1" x14ac:dyDescent="0.3">
      <c r="A215" s="73">
        <v>1</v>
      </c>
      <c r="B215" s="74"/>
      <c r="C215" s="57" t="s">
        <v>229</v>
      </c>
      <c r="D215" s="58">
        <f>(2.9*3.765+3.1*2.813+1.2*2.005+2.14*1.2+0.9*2.5+1.1*0.8+0.75*(2.1))*10.764</f>
        <v>315.57679919999998</v>
      </c>
      <c r="E215" s="57">
        <f>(2.1*2.3+0.6*2.9)*10.764</f>
        <v>70.719480000000004</v>
      </c>
      <c r="F215" s="57">
        <f>D215*1.65+E215</f>
        <v>591.42119867999997</v>
      </c>
      <c r="G215" s="75" t="str">
        <f>A214</f>
        <v>12th Floor</v>
      </c>
      <c r="H215" s="76"/>
      <c r="I215" s="55"/>
      <c r="J215" s="55">
        <f>D215+E215</f>
        <v>386.29627919999996</v>
      </c>
      <c r="N215" s="59"/>
    </row>
    <row r="216" spans="1:14" s="56" customFormat="1" x14ac:dyDescent="0.3">
      <c r="A216" s="73">
        <v>2</v>
      </c>
      <c r="B216" s="74"/>
      <c r="C216" s="57" t="s">
        <v>191</v>
      </c>
      <c r="D216" s="58">
        <f>(53.749+0.75*(3.05+2.9+3.05+2.16))*10.764</f>
        <v>668.64891599999999</v>
      </c>
      <c r="E216" s="57">
        <v>0</v>
      </c>
      <c r="F216" s="57">
        <v>1115</v>
      </c>
      <c r="G216" s="77"/>
      <c r="H216" s="78"/>
      <c r="I216" s="55"/>
      <c r="N216" s="59"/>
    </row>
    <row r="217" spans="1:14" s="56" customFormat="1" x14ac:dyDescent="0.3">
      <c r="A217" s="73">
        <v>3</v>
      </c>
      <c r="B217" s="74"/>
      <c r="C217" s="57" t="s">
        <v>190</v>
      </c>
      <c r="D217" s="58">
        <f>(77.793+0.75*(3.05+2.3+3.035+3.05+4.65))*10.764</f>
        <v>967.21805700000004</v>
      </c>
      <c r="E217" s="57">
        <v>0</v>
      </c>
      <c r="F217" s="57">
        <v>1580</v>
      </c>
      <c r="G217" s="77"/>
      <c r="H217" s="78"/>
      <c r="I217" s="55"/>
      <c r="N217" s="59"/>
    </row>
    <row r="218" spans="1:14" s="56" customFormat="1" x14ac:dyDescent="0.3">
      <c r="A218" s="73">
        <v>4</v>
      </c>
      <c r="B218" s="74"/>
      <c r="C218" s="57" t="s">
        <v>191</v>
      </c>
      <c r="D218" s="58">
        <f>(58.916+0.75*(3.05+2.14+2.9+3.05))*10.764</f>
        <v>724.10504400000002</v>
      </c>
      <c r="E218" s="57">
        <v>0</v>
      </c>
      <c r="F218" s="57">
        <v>1210</v>
      </c>
      <c r="G218" s="77"/>
      <c r="H218" s="78"/>
      <c r="I218" s="55"/>
      <c r="N218" s="59"/>
    </row>
    <row r="219" spans="1:14" s="56" customFormat="1" x14ac:dyDescent="0.3">
      <c r="A219" s="73">
        <v>5</v>
      </c>
      <c r="B219" s="74"/>
      <c r="C219" s="57" t="s">
        <v>190</v>
      </c>
      <c r="D219" s="58">
        <f>(74.715+0.75*(3.05+2.3+3.035+3.035+3.085))*10.764</f>
        <v>921.33112499999993</v>
      </c>
      <c r="E219" s="57">
        <v>0</v>
      </c>
      <c r="F219" s="57">
        <v>1826</v>
      </c>
      <c r="G219" s="77"/>
      <c r="H219" s="78"/>
      <c r="I219" s="55" t="s">
        <v>240</v>
      </c>
      <c r="N219" s="59"/>
    </row>
    <row r="220" spans="1:14" s="56" customFormat="1" x14ac:dyDescent="0.3">
      <c r="A220" s="73">
        <v>6</v>
      </c>
      <c r="B220" s="74"/>
      <c r="C220" s="57" t="s">
        <v>192</v>
      </c>
      <c r="D220" s="58">
        <f>(36.902+0.75*(2.9+2.14+3.035))*10.764</f>
        <v>462.40260299999994</v>
      </c>
      <c r="E220" s="57">
        <v>0</v>
      </c>
      <c r="F220" s="57">
        <v>775</v>
      </c>
      <c r="G220" s="77"/>
      <c r="H220" s="78"/>
      <c r="I220" s="55"/>
      <c r="N220" s="59"/>
    </row>
    <row r="221" spans="1:14" s="56" customFormat="1" x14ac:dyDescent="0.3">
      <c r="A221" s="73">
        <v>7</v>
      </c>
      <c r="B221" s="74"/>
      <c r="C221" s="57" t="s">
        <v>191</v>
      </c>
      <c r="D221" s="58">
        <f>(58.916+0.75*(3.05+2.14+2.9+3.05))*10.764</f>
        <v>724.10504400000002</v>
      </c>
      <c r="E221" s="57">
        <v>0</v>
      </c>
      <c r="F221" s="57">
        <v>1210</v>
      </c>
      <c r="G221" s="77"/>
      <c r="H221" s="78"/>
      <c r="I221" s="55"/>
      <c r="N221" s="59"/>
    </row>
    <row r="222" spans="1:14" s="56" customFormat="1" x14ac:dyDescent="0.3">
      <c r="A222" s="73">
        <v>8</v>
      </c>
      <c r="B222" s="74"/>
      <c r="C222" s="57" t="s">
        <v>191</v>
      </c>
      <c r="D222" s="58">
        <f>(58.916+0.75*(3.05+2.14+2.9+3.05))*10.764</f>
        <v>724.10504400000002</v>
      </c>
      <c r="E222" s="57">
        <v>0</v>
      </c>
      <c r="F222" s="57">
        <v>1210</v>
      </c>
      <c r="G222" s="77"/>
      <c r="H222" s="78"/>
      <c r="I222" s="55"/>
      <c r="N222" s="59"/>
    </row>
    <row r="223" spans="1:14" s="56" customFormat="1" x14ac:dyDescent="0.3">
      <c r="A223" s="73">
        <v>9</v>
      </c>
      <c r="B223" s="74"/>
      <c r="C223" s="57" t="s">
        <v>192</v>
      </c>
      <c r="D223" s="58">
        <f>(36.902+0.75*(2.9+2.14+3.035))*10.764</f>
        <v>462.40260299999994</v>
      </c>
      <c r="E223" s="57">
        <v>0</v>
      </c>
      <c r="F223" s="57">
        <v>775</v>
      </c>
      <c r="G223" s="77"/>
      <c r="H223" s="78"/>
      <c r="I223" s="55"/>
      <c r="K223" s="55"/>
      <c r="N223" s="59"/>
    </row>
    <row r="224" spans="1:14" s="56" customFormat="1" x14ac:dyDescent="0.3">
      <c r="A224" s="73">
        <v>10</v>
      </c>
      <c r="B224" s="74"/>
      <c r="C224" s="57" t="s">
        <v>190</v>
      </c>
      <c r="D224" s="58">
        <f>(77.219+0.75*(3.05+2.3+2.9+3.05+3.05))*10.764</f>
        <v>947.0328659999999</v>
      </c>
      <c r="E224" s="57">
        <v>0</v>
      </c>
      <c r="F224" s="57">
        <v>1565</v>
      </c>
      <c r="G224" s="77"/>
      <c r="H224" s="78"/>
      <c r="I224" s="55"/>
      <c r="K224" s="55"/>
      <c r="N224" s="59"/>
    </row>
    <row r="225" spans="1:11" s="56" customFormat="1" x14ac:dyDescent="0.3">
      <c r="A225" s="73">
        <v>11</v>
      </c>
      <c r="B225" s="74"/>
      <c r="C225" s="57" t="s">
        <v>192</v>
      </c>
      <c r="D225" s="58">
        <f>(36.437+0.75*(2.45+2.9+2.9))*10.764</f>
        <v>458.81011799999993</v>
      </c>
      <c r="E225" s="57">
        <v>0</v>
      </c>
      <c r="F225" s="57">
        <v>780</v>
      </c>
      <c r="G225" s="79"/>
      <c r="H225" s="80"/>
      <c r="I225" s="55"/>
    </row>
    <row r="226" spans="1:11" s="31" customFormat="1" x14ac:dyDescent="0.3">
      <c r="A226" s="176" t="s">
        <v>70</v>
      </c>
      <c r="B226" s="176"/>
      <c r="C226" s="176"/>
      <c r="D226" s="176"/>
      <c r="E226" s="176"/>
      <c r="F226" s="176"/>
      <c r="G226" s="176"/>
      <c r="H226" s="176"/>
    </row>
    <row r="227" spans="1:11" s="31" customFormat="1" x14ac:dyDescent="0.3">
      <c r="A227" s="39" t="s">
        <v>157</v>
      </c>
      <c r="B227" s="67" t="s">
        <v>244</v>
      </c>
      <c r="C227" s="68"/>
      <c r="D227" s="68"/>
      <c r="E227" s="68"/>
      <c r="F227" s="68"/>
      <c r="G227" s="68"/>
      <c r="H227" s="69"/>
    </row>
    <row r="228" spans="1:11" s="31" customFormat="1" x14ac:dyDescent="0.3">
      <c r="A228" s="39" t="s">
        <v>157</v>
      </c>
      <c r="B228" s="67" t="str">
        <f>(IF(F155="Saleable area Loading :","We have considered Saleable area of Flats as per our Calculation.","We considered Saleable area of Flat as per Builder area Sheet."))</f>
        <v>We considered Saleable area of Flat as per Builder area Sheet.</v>
      </c>
      <c r="C228" s="68"/>
      <c r="D228" s="68"/>
      <c r="E228" s="68"/>
      <c r="F228" s="68"/>
      <c r="G228" s="68"/>
      <c r="H228" s="69"/>
      <c r="K228" s="60"/>
    </row>
    <row r="229" spans="1:11" s="31" customFormat="1" x14ac:dyDescent="0.3">
      <c r="A229" s="39" t="s">
        <v>157</v>
      </c>
      <c r="B229" s="67" t="str">
        <f>(IF(F106="Saleable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9" s="68"/>
      <c r="D229" s="68"/>
      <c r="E229" s="68"/>
      <c r="F229" s="68"/>
      <c r="G229" s="68"/>
      <c r="H229" s="69"/>
      <c r="K229" s="60"/>
    </row>
    <row r="230" spans="1:11" s="31" customFormat="1" x14ac:dyDescent="0.3">
      <c r="A230" s="39" t="s">
        <v>157</v>
      </c>
      <c r="B230" s="64" t="s">
        <v>129</v>
      </c>
      <c r="C230" s="65"/>
      <c r="D230" s="65"/>
      <c r="E230" s="65"/>
      <c r="F230" s="65"/>
      <c r="G230" s="65"/>
      <c r="H230" s="66"/>
    </row>
    <row r="231" spans="1:11" s="31" customFormat="1" x14ac:dyDescent="0.3">
      <c r="A231" s="39" t="s">
        <v>157</v>
      </c>
      <c r="B231" s="64" t="s">
        <v>194</v>
      </c>
      <c r="C231" s="65"/>
      <c r="D231" s="65"/>
      <c r="E231" s="65"/>
      <c r="F231" s="65"/>
      <c r="G231" s="65"/>
      <c r="H231" s="66"/>
    </row>
    <row r="232" spans="1:11" s="31" customFormat="1" x14ac:dyDescent="0.3">
      <c r="A232" s="39" t="s">
        <v>157</v>
      </c>
      <c r="B232" s="64" t="s">
        <v>156</v>
      </c>
      <c r="C232" s="65"/>
      <c r="D232" s="65"/>
      <c r="E232" s="65"/>
      <c r="F232" s="65"/>
      <c r="G232" s="65"/>
      <c r="H232" s="66"/>
    </row>
    <row r="233" spans="1:11" s="31" customFormat="1" x14ac:dyDescent="0.3">
      <c r="A233" s="39" t="s">
        <v>157</v>
      </c>
      <c r="B233" s="64" t="s">
        <v>130</v>
      </c>
      <c r="C233" s="65"/>
      <c r="D233" s="65"/>
      <c r="E233" s="65"/>
      <c r="F233" s="65"/>
      <c r="G233" s="65"/>
      <c r="H233" s="66"/>
    </row>
    <row r="234" spans="1:11" s="31" customFormat="1" ht="34.5" customHeight="1" x14ac:dyDescent="0.3">
      <c r="A234" s="39" t="s">
        <v>157</v>
      </c>
      <c r="B234" s="64" t="s">
        <v>158</v>
      </c>
      <c r="C234" s="65"/>
      <c r="D234" s="65"/>
      <c r="E234" s="65"/>
      <c r="F234" s="65"/>
      <c r="G234" s="65"/>
      <c r="H234" s="66"/>
    </row>
    <row r="235" spans="1:11" s="31" customFormat="1" x14ac:dyDescent="0.3">
      <c r="A235" s="39" t="s">
        <v>157</v>
      </c>
      <c r="B235" s="64" t="s">
        <v>131</v>
      </c>
      <c r="C235" s="65"/>
      <c r="D235" s="65"/>
      <c r="E235" s="65"/>
      <c r="F235" s="65"/>
      <c r="G235" s="65"/>
      <c r="H235" s="66"/>
    </row>
    <row r="236" spans="1:11" s="31" customFormat="1" x14ac:dyDescent="0.3">
      <c r="A236" s="39" t="s">
        <v>157</v>
      </c>
      <c r="B236" s="64" t="s">
        <v>208</v>
      </c>
      <c r="C236" s="65"/>
      <c r="D236" s="65"/>
      <c r="E236" s="65"/>
      <c r="F236" s="65"/>
      <c r="G236" s="65"/>
      <c r="H236" s="66"/>
    </row>
    <row r="237" spans="1:11" s="31" customFormat="1" x14ac:dyDescent="0.3">
      <c r="A237" s="39" t="s">
        <v>157</v>
      </c>
      <c r="B237" s="64" t="s">
        <v>230</v>
      </c>
      <c r="C237" s="65"/>
      <c r="D237" s="65"/>
      <c r="E237" s="65"/>
      <c r="F237" s="65"/>
      <c r="G237" s="65"/>
      <c r="H237" s="66"/>
    </row>
    <row r="238" spans="1:11" s="31" customFormat="1" ht="35.25" customHeight="1" x14ac:dyDescent="0.3">
      <c r="A238" s="63" t="s">
        <v>157</v>
      </c>
      <c r="B238" s="189" t="s">
        <v>241</v>
      </c>
      <c r="C238" s="190"/>
      <c r="D238" s="190"/>
      <c r="E238" s="190"/>
      <c r="F238" s="190"/>
      <c r="G238" s="190"/>
      <c r="H238" s="191"/>
    </row>
    <row r="239" spans="1:11" s="31" customFormat="1" x14ac:dyDescent="0.3">
      <c r="A239" s="39" t="s">
        <v>157</v>
      </c>
      <c r="B239" s="64" t="s">
        <v>242</v>
      </c>
      <c r="C239" s="65"/>
      <c r="D239" s="65"/>
      <c r="E239" s="65"/>
      <c r="F239" s="65"/>
      <c r="G239" s="65"/>
      <c r="H239" s="66"/>
    </row>
    <row r="240" spans="1:11" x14ac:dyDescent="0.3">
      <c r="A240" s="156" t="s">
        <v>63</v>
      </c>
      <c r="B240" s="156"/>
      <c r="C240" s="156"/>
      <c r="D240" s="156"/>
      <c r="E240" s="156"/>
      <c r="F240" s="156"/>
      <c r="G240" s="156"/>
      <c r="H240" s="156"/>
    </row>
    <row r="241" spans="1:8" x14ac:dyDescent="0.3">
      <c r="A241" s="84" t="s">
        <v>64</v>
      </c>
      <c r="B241" s="84"/>
      <c r="C241" s="84"/>
      <c r="D241" s="84"/>
      <c r="E241" s="84"/>
      <c r="F241" s="84"/>
      <c r="G241" s="84"/>
      <c r="H241" s="84"/>
    </row>
    <row r="242" spans="1:8" ht="15.75" customHeight="1" x14ac:dyDescent="0.3">
      <c r="A242" s="175" t="s">
        <v>65</v>
      </c>
      <c r="B242" s="175"/>
      <c r="C242" s="175"/>
      <c r="D242" s="175"/>
      <c r="E242" s="175"/>
      <c r="F242" s="175"/>
      <c r="G242" s="175"/>
      <c r="H242" s="175"/>
    </row>
    <row r="243" spans="1:8" x14ac:dyDescent="0.3">
      <c r="A243" s="84" t="s">
        <v>66</v>
      </c>
      <c r="B243" s="84"/>
      <c r="C243" s="84"/>
      <c r="D243" s="84"/>
      <c r="E243" s="84"/>
      <c r="F243" s="84"/>
      <c r="G243" s="84"/>
      <c r="H243" s="84"/>
    </row>
    <row r="244" spans="1:8" x14ac:dyDescent="0.3">
      <c r="A244" s="84" t="s">
        <v>67</v>
      </c>
      <c r="B244" s="84"/>
      <c r="C244" s="84"/>
      <c r="D244" s="84"/>
      <c r="E244" s="84"/>
      <c r="F244" s="84"/>
      <c r="G244" s="84"/>
      <c r="H244" s="84"/>
    </row>
    <row r="245" spans="1:8" x14ac:dyDescent="0.3">
      <c r="A245" s="84" t="s">
        <v>132</v>
      </c>
      <c r="B245" s="84"/>
      <c r="C245" s="84"/>
      <c r="D245" s="84"/>
      <c r="E245" s="84"/>
      <c r="F245" s="84"/>
      <c r="G245" s="84"/>
      <c r="H245" s="84"/>
    </row>
    <row r="246" spans="1:8" x14ac:dyDescent="0.3">
      <c r="A246" s="98" t="s">
        <v>133</v>
      </c>
      <c r="B246" s="98"/>
      <c r="C246" s="98"/>
      <c r="D246" s="98"/>
      <c r="E246" s="98"/>
      <c r="F246" s="98"/>
      <c r="G246" s="98"/>
      <c r="H246" s="98"/>
    </row>
    <row r="247" spans="1:8" x14ac:dyDescent="0.3">
      <c r="A247" s="159" t="s">
        <v>80</v>
      </c>
      <c r="B247" s="159"/>
      <c r="C247" s="159" t="s">
        <v>245</v>
      </c>
      <c r="D247" s="159"/>
      <c r="E247" s="159" t="s">
        <v>110</v>
      </c>
      <c r="F247" s="159"/>
      <c r="G247" s="159" t="s">
        <v>246</v>
      </c>
      <c r="H247" s="159"/>
    </row>
    <row r="248" spans="1:8" x14ac:dyDescent="0.3">
      <c r="A248" s="158" t="s">
        <v>82</v>
      </c>
      <c r="B248" s="158"/>
      <c r="C248" s="158"/>
      <c r="D248" s="158"/>
      <c r="E248" s="158"/>
      <c r="F248" s="158"/>
      <c r="G248" s="158"/>
      <c r="H248" s="158"/>
    </row>
    <row r="249" spans="1:8" x14ac:dyDescent="0.3">
      <c r="A249" s="158"/>
      <c r="B249" s="158"/>
      <c r="C249" s="158"/>
      <c r="D249" s="158"/>
      <c r="E249" s="158"/>
      <c r="F249" s="158"/>
      <c r="G249" s="158"/>
      <c r="H249" s="158"/>
    </row>
    <row r="250" spans="1:8" x14ac:dyDescent="0.3">
      <c r="A250" s="158"/>
      <c r="B250" s="158"/>
      <c r="C250" s="158"/>
      <c r="D250" s="158"/>
      <c r="E250" s="158"/>
      <c r="F250" s="158"/>
      <c r="G250" s="158"/>
      <c r="H250" s="158"/>
    </row>
    <row r="251" spans="1:8" x14ac:dyDescent="0.3">
      <c r="A251" s="158"/>
      <c r="B251" s="158"/>
      <c r="C251" s="158"/>
      <c r="D251" s="158"/>
      <c r="E251" s="158"/>
      <c r="F251" s="158"/>
      <c r="G251" s="158"/>
      <c r="H251" s="158"/>
    </row>
    <row r="252" spans="1:8" x14ac:dyDescent="0.3">
      <c r="A252" s="33" t="s">
        <v>68</v>
      </c>
      <c r="B252" s="34"/>
      <c r="C252" s="34"/>
      <c r="D252" s="33" t="str">
        <f>E8</f>
        <v>Delta Elite</v>
      </c>
      <c r="F252" s="34"/>
      <c r="G252" s="34"/>
      <c r="H252" s="34"/>
    </row>
    <row r="253" spans="1:8" x14ac:dyDescent="0.3">
      <c r="A253" s="34"/>
      <c r="B253" s="34"/>
      <c r="C253" s="34"/>
      <c r="D253" s="34"/>
      <c r="E253" s="34"/>
      <c r="F253" s="34"/>
      <c r="G253" s="34"/>
      <c r="H253" s="34"/>
    </row>
    <row r="254" spans="1:8" x14ac:dyDescent="0.3">
      <c r="A254" s="34"/>
      <c r="B254" s="34"/>
      <c r="C254" s="34"/>
      <c r="D254" s="34"/>
      <c r="E254" s="34"/>
      <c r="F254" s="34"/>
      <c r="G254" s="34"/>
      <c r="H254" s="34"/>
    </row>
    <row r="255" spans="1:8" ht="15" customHeight="1" x14ac:dyDescent="0.3"/>
    <row r="296" spans="1:1" x14ac:dyDescent="0.3">
      <c r="A296" s="36" t="s">
        <v>171</v>
      </c>
    </row>
    <row r="325" spans="1:1" hidden="1" x14ac:dyDescent="0.3"/>
    <row r="326" spans="1:1" hidden="1" x14ac:dyDescent="0.3"/>
    <row r="327" spans="1:1" hidden="1" x14ac:dyDescent="0.3"/>
    <row r="328" spans="1:1" hidden="1" x14ac:dyDescent="0.3"/>
    <row r="329" spans="1:1" hidden="1" x14ac:dyDescent="0.3"/>
    <row r="330" spans="1:1" x14ac:dyDescent="0.3">
      <c r="A330" s="36" t="s">
        <v>69</v>
      </c>
    </row>
  </sheetData>
  <mergeCells count="427">
    <mergeCell ref="G157:H166"/>
    <mergeCell ref="A175:B175"/>
    <mergeCell ref="C175:F175"/>
    <mergeCell ref="B238:H238"/>
    <mergeCell ref="A223:B223"/>
    <mergeCell ref="A224:B224"/>
    <mergeCell ref="A225:B225"/>
    <mergeCell ref="A99:B99"/>
    <mergeCell ref="C99:D99"/>
    <mergeCell ref="E99:F99"/>
    <mergeCell ref="G99:H99"/>
    <mergeCell ref="A103:B103"/>
    <mergeCell ref="C103:D103"/>
    <mergeCell ref="E103:F103"/>
    <mergeCell ref="G103:H103"/>
    <mergeCell ref="A177:B177"/>
    <mergeCell ref="C177:F177"/>
    <mergeCell ref="G168:H177"/>
    <mergeCell ref="A157:B157"/>
    <mergeCell ref="A158:B158"/>
    <mergeCell ref="C157:F158"/>
    <mergeCell ref="A164:B164"/>
    <mergeCell ref="C164:F164"/>
    <mergeCell ref="A166:B166"/>
    <mergeCell ref="C166:F166"/>
    <mergeCell ref="A168:B168"/>
    <mergeCell ref="C168:F169"/>
    <mergeCell ref="A169:B169"/>
    <mergeCell ref="C37:H37"/>
    <mergeCell ref="L151:M151"/>
    <mergeCell ref="A152:B152"/>
    <mergeCell ref="L152:M152"/>
    <mergeCell ref="A165:B165"/>
    <mergeCell ref="A153:B153"/>
    <mergeCell ref="L153:M153"/>
    <mergeCell ref="A162:B162"/>
    <mergeCell ref="A163:B163"/>
    <mergeCell ref="L156:M156"/>
    <mergeCell ref="A156:H156"/>
    <mergeCell ref="A161:B161"/>
    <mergeCell ref="L147:M147"/>
    <mergeCell ref="A148:B148"/>
    <mergeCell ref="L148:M148"/>
    <mergeCell ref="A149:B149"/>
    <mergeCell ref="L149:M149"/>
    <mergeCell ref="A150:B150"/>
    <mergeCell ref="L150:M150"/>
    <mergeCell ref="L143:M143"/>
    <mergeCell ref="L145:M145"/>
    <mergeCell ref="A146:B146"/>
    <mergeCell ref="L146:M146"/>
    <mergeCell ref="G131:H153"/>
    <mergeCell ref="L136:M136"/>
    <mergeCell ref="A137:B137"/>
    <mergeCell ref="L137:M137"/>
    <mergeCell ref="L140:M140"/>
    <mergeCell ref="A141:B141"/>
    <mergeCell ref="L141:M141"/>
    <mergeCell ref="A142:B142"/>
    <mergeCell ref="L142:M142"/>
    <mergeCell ref="L138:M138"/>
    <mergeCell ref="A139:B139"/>
    <mergeCell ref="L139:M139"/>
    <mergeCell ref="A140:B140"/>
    <mergeCell ref="A138:B138"/>
    <mergeCell ref="A133:B133"/>
    <mergeCell ref="L133:M133"/>
    <mergeCell ref="A134:B134"/>
    <mergeCell ref="L134:M134"/>
    <mergeCell ref="A102:B102"/>
    <mergeCell ref="A135:B135"/>
    <mergeCell ref="L135:M135"/>
    <mergeCell ref="L125:M125"/>
    <mergeCell ref="A126:B126"/>
    <mergeCell ref="L126:M126"/>
    <mergeCell ref="L127:M127"/>
    <mergeCell ref="L112:M112"/>
    <mergeCell ref="L132:M132"/>
    <mergeCell ref="G109:H129"/>
    <mergeCell ref="L110:M110"/>
    <mergeCell ref="L109:M109"/>
    <mergeCell ref="A120:B120"/>
    <mergeCell ref="B235:H235"/>
    <mergeCell ref="A128:B128"/>
    <mergeCell ref="L128:M128"/>
    <mergeCell ref="A107:H107"/>
    <mergeCell ref="A130:H130"/>
    <mergeCell ref="A131:B131"/>
    <mergeCell ref="L131:M131"/>
    <mergeCell ref="L121:M121"/>
    <mergeCell ref="A122:B122"/>
    <mergeCell ref="L122:M122"/>
    <mergeCell ref="A123:B123"/>
    <mergeCell ref="L123:M123"/>
    <mergeCell ref="A124:B124"/>
    <mergeCell ref="L124:M124"/>
    <mergeCell ref="A143:B143"/>
    <mergeCell ref="A147:B147"/>
    <mergeCell ref="A151:B151"/>
    <mergeCell ref="A132:B132"/>
    <mergeCell ref="A136:B136"/>
    <mergeCell ref="A129:B129"/>
    <mergeCell ref="L129:M129"/>
    <mergeCell ref="A144:B144"/>
    <mergeCell ref="L144:M144"/>
    <mergeCell ref="A145:B145"/>
    <mergeCell ref="C51:H51"/>
    <mergeCell ref="C52:E53"/>
    <mergeCell ref="A75:B75"/>
    <mergeCell ref="E101:F101"/>
    <mergeCell ref="A245:H245"/>
    <mergeCell ref="A242:H242"/>
    <mergeCell ref="A101:B101"/>
    <mergeCell ref="G155:H155"/>
    <mergeCell ref="A76:B76"/>
    <mergeCell ref="F82:H82"/>
    <mergeCell ref="G97:H97"/>
    <mergeCell ref="A114:B114"/>
    <mergeCell ref="A115:B115"/>
    <mergeCell ref="A116:B116"/>
    <mergeCell ref="E97:F97"/>
    <mergeCell ref="F91:H91"/>
    <mergeCell ref="E96:F96"/>
    <mergeCell ref="A96:B96"/>
    <mergeCell ref="A189:B189"/>
    <mergeCell ref="A104:H104"/>
    <mergeCell ref="B227:H227"/>
    <mergeCell ref="B228:H228"/>
    <mergeCell ref="A226:H226"/>
    <mergeCell ref="A105:H105"/>
    <mergeCell ref="A46:H46"/>
    <mergeCell ref="G49:H49"/>
    <mergeCell ref="A50:B51"/>
    <mergeCell ref="A73:B73"/>
    <mergeCell ref="A69:B69"/>
    <mergeCell ref="A67:B67"/>
    <mergeCell ref="C67:H67"/>
    <mergeCell ref="A62:C62"/>
    <mergeCell ref="D62:H62"/>
    <mergeCell ref="C69:H69"/>
    <mergeCell ref="C50:E50"/>
    <mergeCell ref="A59:C59"/>
    <mergeCell ref="D59:H59"/>
    <mergeCell ref="C49:E49"/>
    <mergeCell ref="A55:H55"/>
    <mergeCell ref="A56:C56"/>
    <mergeCell ref="A49:B49"/>
    <mergeCell ref="A57:C57"/>
    <mergeCell ref="D57:H57"/>
    <mergeCell ref="G54:H54"/>
    <mergeCell ref="D58:H58"/>
    <mergeCell ref="A58:C58"/>
    <mergeCell ref="G52:H52"/>
    <mergeCell ref="G53:H53"/>
    <mergeCell ref="A248:H251"/>
    <mergeCell ref="A247:B247"/>
    <mergeCell ref="E247:F247"/>
    <mergeCell ref="C247:D247"/>
    <mergeCell ref="G247:H247"/>
    <mergeCell ref="A246:H246"/>
    <mergeCell ref="A244:H244"/>
    <mergeCell ref="A192:B192"/>
    <mergeCell ref="A193:B193"/>
    <mergeCell ref="A194:B194"/>
    <mergeCell ref="A196:B196"/>
    <mergeCell ref="A197:B197"/>
    <mergeCell ref="A198:B198"/>
    <mergeCell ref="A199:B199"/>
    <mergeCell ref="A200:B200"/>
    <mergeCell ref="A201:B201"/>
    <mergeCell ref="B236:H236"/>
    <mergeCell ref="B237:H237"/>
    <mergeCell ref="A214:H214"/>
    <mergeCell ref="A215:B215"/>
    <mergeCell ref="G215:H225"/>
    <mergeCell ref="A216:B216"/>
    <mergeCell ref="A217:B217"/>
    <mergeCell ref="A218:B218"/>
    <mergeCell ref="A243:H243"/>
    <mergeCell ref="A100:H100"/>
    <mergeCell ref="A154:H154"/>
    <mergeCell ref="A240:H240"/>
    <mergeCell ref="A113:B113"/>
    <mergeCell ref="A117:B117"/>
    <mergeCell ref="A121:B121"/>
    <mergeCell ref="A183:B183"/>
    <mergeCell ref="A184:B184"/>
    <mergeCell ref="A167:H167"/>
    <mergeCell ref="A190:H190"/>
    <mergeCell ref="A112:B112"/>
    <mergeCell ref="A188:B188"/>
    <mergeCell ref="A186:B186"/>
    <mergeCell ref="A187:B187"/>
    <mergeCell ref="A191:B191"/>
    <mergeCell ref="G191:H201"/>
    <mergeCell ref="A159:B159"/>
    <mergeCell ref="A160:B160"/>
    <mergeCell ref="C197:F197"/>
    <mergeCell ref="A127:B127"/>
    <mergeCell ref="A182:B182"/>
    <mergeCell ref="B234:H234"/>
    <mergeCell ref="A241:H24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0:C60"/>
    <mergeCell ref="A61:C61"/>
    <mergeCell ref="D60:H6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A38:B38"/>
    <mergeCell ref="A48:B48"/>
    <mergeCell ref="C48:E48"/>
    <mergeCell ref="G48:H48"/>
    <mergeCell ref="G50:H50"/>
    <mergeCell ref="D56:H56"/>
    <mergeCell ref="C38:H38"/>
    <mergeCell ref="C47:H47"/>
    <mergeCell ref="A52:B53"/>
    <mergeCell ref="A36:H36"/>
    <mergeCell ref="A35:B35"/>
    <mergeCell ref="C35:E35"/>
    <mergeCell ref="F92:H92"/>
    <mergeCell ref="F90:H90"/>
    <mergeCell ref="G96:H96"/>
    <mergeCell ref="A91:E91"/>
    <mergeCell ref="A64:C64"/>
    <mergeCell ref="D64:H64"/>
    <mergeCell ref="A65:C65"/>
    <mergeCell ref="D65:H65"/>
    <mergeCell ref="A71:B71"/>
    <mergeCell ref="G70:H70"/>
    <mergeCell ref="A77:B77"/>
    <mergeCell ref="A70:B70"/>
    <mergeCell ref="E71:F80"/>
    <mergeCell ref="G71:H80"/>
    <mergeCell ref="A79:B79"/>
    <mergeCell ref="A80:B80"/>
    <mergeCell ref="A72:B72"/>
    <mergeCell ref="E41:H41"/>
    <mergeCell ref="A41:D41"/>
    <mergeCell ref="A54:B54"/>
    <mergeCell ref="C54:E54"/>
    <mergeCell ref="A78:B78"/>
    <mergeCell ref="C102:D102"/>
    <mergeCell ref="E102:F102"/>
    <mergeCell ref="G102:H102"/>
    <mergeCell ref="F88:H88"/>
    <mergeCell ref="A82:E82"/>
    <mergeCell ref="A125:B125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11:M111"/>
    <mergeCell ref="A118:B118"/>
    <mergeCell ref="A119:B119"/>
    <mergeCell ref="F83:H83"/>
    <mergeCell ref="A83:E83"/>
    <mergeCell ref="A85:E85"/>
    <mergeCell ref="A109:B109"/>
    <mergeCell ref="A110:B110"/>
    <mergeCell ref="A111:B111"/>
    <mergeCell ref="A40:D40"/>
    <mergeCell ref="E40:H40"/>
    <mergeCell ref="A74:B74"/>
    <mergeCell ref="E70:F70"/>
    <mergeCell ref="A63:C63"/>
    <mergeCell ref="D63:H63"/>
    <mergeCell ref="A66:C66"/>
    <mergeCell ref="D66:H66"/>
    <mergeCell ref="A108:H108"/>
    <mergeCell ref="G106:H106"/>
    <mergeCell ref="F81:H81"/>
    <mergeCell ref="F86:H86"/>
    <mergeCell ref="A87:E87"/>
    <mergeCell ref="F87:H87"/>
    <mergeCell ref="A88:E88"/>
    <mergeCell ref="A90:E90"/>
    <mergeCell ref="F84:H84"/>
    <mergeCell ref="A47:B47"/>
    <mergeCell ref="A89:E89"/>
    <mergeCell ref="A84:E84"/>
    <mergeCell ref="A81:E81"/>
    <mergeCell ref="F85:H85"/>
    <mergeCell ref="A44:D44"/>
    <mergeCell ref="A45:D45"/>
    <mergeCell ref="A86:E86"/>
    <mergeCell ref="A92:E92"/>
    <mergeCell ref="C101:D101"/>
    <mergeCell ref="G101:H101"/>
    <mergeCell ref="A98:B98"/>
    <mergeCell ref="C98:D98"/>
    <mergeCell ref="E98:F98"/>
    <mergeCell ref="G98:H98"/>
    <mergeCell ref="F89:H89"/>
    <mergeCell ref="C97:D97"/>
    <mergeCell ref="A95:H95"/>
    <mergeCell ref="A93:E93"/>
    <mergeCell ref="F93:H93"/>
    <mergeCell ref="A94:E94"/>
    <mergeCell ref="F94:H94"/>
    <mergeCell ref="A97:B97"/>
    <mergeCell ref="C96:D96"/>
    <mergeCell ref="L167:M167"/>
    <mergeCell ref="A170:B170"/>
    <mergeCell ref="A171:B171"/>
    <mergeCell ref="A172:B172"/>
    <mergeCell ref="A173:B173"/>
    <mergeCell ref="A174:B174"/>
    <mergeCell ref="A176:B176"/>
    <mergeCell ref="A181:B181"/>
    <mergeCell ref="A195:B195"/>
    <mergeCell ref="A185:B185"/>
    <mergeCell ref="G179:H189"/>
    <mergeCell ref="A178:H178"/>
    <mergeCell ref="A179:B179"/>
    <mergeCell ref="A180:B180"/>
    <mergeCell ref="B239:H239"/>
    <mergeCell ref="B232:H232"/>
    <mergeCell ref="B230:H230"/>
    <mergeCell ref="B231:H231"/>
    <mergeCell ref="B233:H233"/>
    <mergeCell ref="B229:H229"/>
    <mergeCell ref="A202:H202"/>
    <mergeCell ref="A203:B203"/>
    <mergeCell ref="G203:H213"/>
    <mergeCell ref="A204:B204"/>
    <mergeCell ref="A205:B205"/>
    <mergeCell ref="A206:B206"/>
    <mergeCell ref="A207:B207"/>
    <mergeCell ref="A208:B208"/>
    <mergeCell ref="A209:B209"/>
    <mergeCell ref="C209:F209"/>
    <mergeCell ref="A210:B210"/>
    <mergeCell ref="A211:B211"/>
    <mergeCell ref="A212:B212"/>
    <mergeCell ref="A213:B213"/>
    <mergeCell ref="A219:B219"/>
    <mergeCell ref="A220:B220"/>
    <mergeCell ref="A221:B221"/>
    <mergeCell ref="A222:B222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51" max="16383" man="1"/>
    <brk id="295" max="16383" man="1"/>
    <brk id="32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111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G6:H6"/>
  <sheetViews>
    <sheetView zoomScale="70" zoomScaleNormal="70" workbookViewId="0">
      <selection activeCell="I14" sqref="I14"/>
    </sheetView>
  </sheetViews>
  <sheetFormatPr defaultRowHeight="14.4" x14ac:dyDescent="0.3"/>
  <sheetData>
    <row r="6" spans="7:8" x14ac:dyDescent="0.3">
      <c r="G6" s="54">
        <v>301</v>
      </c>
      <c r="H6" s="54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2025-09-10T11:47:13Z</cp:lastPrinted>
  <dcterms:created xsi:type="dcterms:W3CDTF">2019-07-16T09:29:46Z</dcterms:created>
  <dcterms:modified xsi:type="dcterms:W3CDTF">2025-09-10T11:50:49Z</dcterms:modified>
</cp:coreProperties>
</file>