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533FBE8A-D9E5-4145-AEA3-0C6D6AA006BA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9" i="1" l="1"/>
  <c r="F91" i="1" l="1"/>
  <c r="G107" i="1"/>
  <c r="D114" i="1"/>
  <c r="J114" i="1" s="1"/>
  <c r="D113" i="1"/>
  <c r="J113" i="1" s="1"/>
  <c r="D112" i="1"/>
  <c r="J112" i="1" s="1"/>
  <c r="D111" i="1"/>
  <c r="J111" i="1" s="1"/>
  <c r="D110" i="1"/>
  <c r="J110" i="1" s="1"/>
  <c r="D109" i="1"/>
  <c r="J109" i="1" s="1"/>
  <c r="D108" i="1"/>
  <c r="J108" i="1" s="1"/>
  <c r="D107" i="1"/>
  <c r="J107" i="1" s="1"/>
  <c r="A108" i="1"/>
  <c r="A109" i="1" s="1"/>
  <c r="A110" i="1" s="1"/>
  <c r="A111" i="1" s="1"/>
  <c r="A112" i="1" s="1"/>
  <c r="A113" i="1" s="1"/>
  <c r="A114" i="1" s="1"/>
  <c r="E7" i="1"/>
  <c r="D182" i="1"/>
  <c r="D181" i="1"/>
  <c r="D180" i="1"/>
  <c r="D179" i="1"/>
  <c r="D178" i="1"/>
  <c r="D177" i="1"/>
  <c r="D176" i="1"/>
  <c r="D175" i="1"/>
  <c r="D174" i="1"/>
  <c r="D173" i="1"/>
  <c r="D171" i="1"/>
  <c r="D170" i="1"/>
  <c r="D167" i="1"/>
  <c r="D168" i="1"/>
  <c r="D169" i="1"/>
  <c r="D166" i="1"/>
  <c r="D165" i="1"/>
  <c r="D164" i="1"/>
  <c r="D163" i="1"/>
  <c r="D160" i="1"/>
  <c r="D159" i="1"/>
  <c r="D156" i="1"/>
  <c r="D157" i="1"/>
  <c r="D158" i="1"/>
  <c r="D155" i="1"/>
  <c r="D154" i="1"/>
  <c r="D153" i="1"/>
  <c r="D152" i="1"/>
  <c r="D151" i="1"/>
  <c r="D149" i="1"/>
  <c r="J149" i="1" s="1"/>
  <c r="D148" i="1"/>
  <c r="J148" i="1" s="1"/>
  <c r="D147" i="1"/>
  <c r="J147" i="1" s="1"/>
  <c r="D146" i="1"/>
  <c r="J146" i="1" s="1"/>
  <c r="D145" i="1"/>
  <c r="J145" i="1" s="1"/>
  <c r="D144" i="1"/>
  <c r="J144" i="1" s="1"/>
  <c r="D143" i="1"/>
  <c r="J143" i="1" s="1"/>
  <c r="D142" i="1"/>
  <c r="J142" i="1" s="1"/>
  <c r="D141" i="1"/>
  <c r="J141" i="1" s="1"/>
  <c r="D140" i="1"/>
  <c r="J140" i="1" s="1"/>
  <c r="D138" i="1"/>
  <c r="J138" i="1" s="1"/>
  <c r="D137" i="1"/>
  <c r="J137" i="1" s="1"/>
  <c r="D132" i="1"/>
  <c r="J132" i="1" s="1"/>
  <c r="D133" i="1"/>
  <c r="J133" i="1" s="1"/>
  <c r="D134" i="1"/>
  <c r="J134" i="1" s="1"/>
  <c r="D135" i="1"/>
  <c r="J135" i="1" s="1"/>
  <c r="D136" i="1"/>
  <c r="J136" i="1" s="1"/>
  <c r="D131" i="1"/>
  <c r="J131" i="1" s="1"/>
  <c r="D130" i="1"/>
  <c r="J130" i="1" s="1"/>
  <c r="D129" i="1"/>
  <c r="J129" i="1" s="1"/>
  <c r="D127" i="1"/>
  <c r="J121" i="1" s="1"/>
  <c r="D126" i="1"/>
  <c r="D121" i="1"/>
  <c r="D122" i="1"/>
  <c r="D123" i="1"/>
  <c r="D124" i="1"/>
  <c r="D125" i="1"/>
  <c r="D120" i="1"/>
  <c r="D119" i="1"/>
  <c r="K121" i="1"/>
  <c r="A174" i="1"/>
  <c r="A175" i="1" s="1"/>
  <c r="A176" i="1" s="1"/>
  <c r="A177" i="1" s="1"/>
  <c r="A178" i="1" s="1"/>
  <c r="A179" i="1" s="1"/>
  <c r="A180" i="1" s="1"/>
  <c r="A181" i="1" s="1"/>
  <c r="A182" i="1" s="1"/>
  <c r="G173" i="1"/>
  <c r="A163" i="1"/>
  <c r="A164" i="1" s="1"/>
  <c r="A165" i="1" s="1"/>
  <c r="A166" i="1" s="1"/>
  <c r="A167" i="1" s="1"/>
  <c r="A168" i="1" s="1"/>
  <c r="A169" i="1" s="1"/>
  <c r="A170" i="1" s="1"/>
  <c r="A171" i="1" s="1"/>
  <c r="G162" i="1"/>
  <c r="A152" i="1"/>
  <c r="A153" i="1" s="1"/>
  <c r="A154" i="1" s="1"/>
  <c r="A155" i="1" s="1"/>
  <c r="A156" i="1" s="1"/>
  <c r="A157" i="1" s="1"/>
  <c r="A158" i="1" s="1"/>
  <c r="A159" i="1" s="1"/>
  <c r="A160" i="1" s="1"/>
  <c r="G151" i="1"/>
  <c r="A141" i="1"/>
  <c r="A142" i="1" s="1"/>
  <c r="A143" i="1" s="1"/>
  <c r="A144" i="1" s="1"/>
  <c r="A145" i="1" s="1"/>
  <c r="A146" i="1" s="1"/>
  <c r="A147" i="1" s="1"/>
  <c r="A148" i="1" s="1"/>
  <c r="A149" i="1" s="1"/>
  <c r="G140" i="1"/>
  <c r="A130" i="1"/>
  <c r="A131" i="1" s="1"/>
  <c r="A132" i="1" s="1"/>
  <c r="A133" i="1" s="1"/>
  <c r="A134" i="1" s="1"/>
  <c r="A135" i="1" s="1"/>
  <c r="A136" i="1" s="1"/>
  <c r="A137" i="1" s="1"/>
  <c r="A138" i="1" s="1"/>
  <c r="G129" i="1"/>
  <c r="E94" i="1" l="1"/>
  <c r="G101" i="1"/>
  <c r="C101" i="1"/>
  <c r="E100" i="1"/>
  <c r="E101" i="1"/>
  <c r="G100" i="1"/>
  <c r="C94" i="1"/>
  <c r="C100" i="1"/>
  <c r="F214" i="1"/>
  <c r="E102" i="1" l="1"/>
  <c r="C102" i="1"/>
  <c r="K120" i="1"/>
  <c r="K122" i="1" s="1"/>
  <c r="B217" i="1"/>
  <c r="A201" i="1"/>
  <c r="A208" i="1"/>
  <c r="A194" i="1"/>
  <c r="C14" i="1" l="1"/>
  <c r="A202" i="1"/>
  <c r="A195" i="1"/>
  <c r="A209" i="1"/>
  <c r="E28" i="1" l="1"/>
  <c r="A203" i="1"/>
  <c r="A210" i="1"/>
  <c r="A196" i="1"/>
  <c r="F213" i="1" l="1"/>
  <c r="F212" i="1"/>
  <c r="F211" i="1"/>
  <c r="F210" i="1"/>
  <c r="F209" i="1"/>
  <c r="F208" i="1"/>
  <c r="F206" i="1"/>
  <c r="F205" i="1"/>
  <c r="F204" i="1"/>
  <c r="F203" i="1"/>
  <c r="F202" i="1"/>
  <c r="F201" i="1"/>
  <c r="F199" i="1"/>
  <c r="F198" i="1"/>
  <c r="F197" i="1"/>
  <c r="F196" i="1"/>
  <c r="F195" i="1"/>
  <c r="F194" i="1"/>
  <c r="F192" i="1"/>
  <c r="F191" i="1"/>
  <c r="F190" i="1"/>
  <c r="F188" i="1"/>
  <c r="F187" i="1"/>
  <c r="F189" i="1"/>
  <c r="A197" i="1"/>
  <c r="A211" i="1"/>
  <c r="A204" i="1"/>
  <c r="J120" i="1" l="1"/>
  <c r="J122" i="1" s="1"/>
  <c r="G94" i="1"/>
  <c r="G102" i="1" s="1"/>
  <c r="B218" i="1"/>
  <c r="A205" i="1"/>
  <c r="A198" i="1"/>
  <c r="A21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42" i="1"/>
  <c r="G208" i="1"/>
  <c r="G209" i="1" s="1"/>
  <c r="G210" i="1" s="1"/>
  <c r="G211" i="1" s="1"/>
  <c r="G212" i="1" s="1"/>
  <c r="G213" i="1" s="1"/>
  <c r="G214" i="1" s="1"/>
  <c r="G201" i="1"/>
  <c r="G202" i="1" s="1"/>
  <c r="G203" i="1" s="1"/>
  <c r="G204" i="1" s="1"/>
  <c r="G205" i="1" s="1"/>
  <c r="G206" i="1" s="1"/>
  <c r="G194" i="1"/>
  <c r="G195" i="1" s="1"/>
  <c r="G196" i="1" s="1"/>
  <c r="G197" i="1" s="1"/>
  <c r="G198" i="1" s="1"/>
  <c r="G199" i="1" s="1"/>
  <c r="G187" i="1"/>
  <c r="G188" i="1" s="1"/>
  <c r="G189" i="1" s="1"/>
  <c r="G190" i="1" s="1"/>
  <c r="G191" i="1" s="1"/>
  <c r="G192" i="1" s="1"/>
  <c r="A187" i="1"/>
  <c r="A188" i="1" s="1"/>
  <c r="A189" i="1" s="1"/>
  <c r="A190" i="1" s="1"/>
  <c r="A191" i="1" s="1"/>
  <c r="A192" i="1" s="1"/>
  <c r="A119" i="1"/>
  <c r="A120" i="1" s="1"/>
  <c r="A121" i="1" s="1"/>
  <c r="A122" i="1" s="1"/>
  <c r="A123" i="1" s="1"/>
  <c r="A124" i="1" s="1"/>
  <c r="A125" i="1" s="1"/>
  <c r="A126" i="1" s="1"/>
  <c r="A127" i="1" s="1"/>
  <c r="G118" i="1"/>
  <c r="J75" i="1"/>
  <c r="J74" i="1"/>
  <c r="J73" i="1"/>
  <c r="J72" i="1"/>
  <c r="C64" i="1"/>
  <c r="D53" i="1"/>
  <c r="G48" i="1"/>
  <c r="E41" i="1"/>
  <c r="E42" i="1" s="1"/>
  <c r="E25" i="1"/>
  <c r="E23" i="1"/>
  <c r="E3" i="1"/>
  <c r="D58" i="1" s="1"/>
  <c r="A206" i="1"/>
  <c r="H65" i="1"/>
  <c r="A199" i="1"/>
  <c r="A213" i="1"/>
  <c r="D70" i="1" l="1"/>
  <c r="J68" i="1"/>
  <c r="D77" i="1"/>
  <c r="D75" i="1"/>
  <c r="D73" i="1"/>
  <c r="D71" i="1"/>
  <c r="J69" i="1"/>
  <c r="C68" i="1" s="1"/>
  <c r="D68" i="1" s="1"/>
  <c r="J67" i="1"/>
  <c r="J70" i="1"/>
  <c r="J71" i="1" s="1"/>
  <c r="J76" i="1" s="1"/>
  <c r="J77" i="1" s="1"/>
  <c r="C69" i="1" s="1"/>
  <c r="D76" i="1"/>
  <c r="D72" i="1"/>
  <c r="D74" i="1"/>
  <c r="A214" i="1"/>
  <c r="E68" i="1" l="1"/>
  <c r="D69" i="1"/>
  <c r="G68" i="1"/>
  <c r="D62" i="1" s="1"/>
  <c r="I64" i="1" l="1"/>
  <c r="C66" i="1" s="1"/>
  <c r="F63" i="1"/>
  <c r="D63" i="1"/>
</calcChain>
</file>

<file path=xl/sharedStrings.xml><?xml version="1.0" encoding="utf-8"?>
<sst xmlns="http://schemas.openxmlformats.org/spreadsheetml/2006/main" count="354" uniqueCount="241">
  <si>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</si>
  <si>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</si>
  <si>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</si>
  <si>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</si>
  <si>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</si>
  <si>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</si>
  <si>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</si>
  <si>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</si>
  <si>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</si>
  <si>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</si>
  <si>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</si>
  <si>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</si>
  <si>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</si>
  <si>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</si>
  <si>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</si>
  <si>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</si>
  <si>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</si>
  <si>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</si>
  <si>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</si>
  <si>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</si>
  <si>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</si>
  <si>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</si>
  <si>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</si>
  <si>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</si>
  <si>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</si>
  <si>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</si>
  <si>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</si>
  <si>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</si>
  <si>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</si>
  <si>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</si>
  <si>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</si>
  <si>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</si>
  <si>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</si>
  <si>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</si>
  <si>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</si>
  <si>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</si>
  <si>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</si>
  <si>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</si>
  <si>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</si>
  <si>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</si>
  <si>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</si>
  <si>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</si>
  <si>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</si>
  <si>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</si>
  <si>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</si>
  <si>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</si>
  <si>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</si>
  <si>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</si>
  <si>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</si>
  <si>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</si>
  <si>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</si>
  <si>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</si>
  <si>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</si>
  <si>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</si>
  <si>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</si>
  <si>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</si>
  <si>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</si>
  <si>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</si>
  <si>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</si>
  <si>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</si>
  <si>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</si>
  <si>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</si>
  <si>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</si>
  <si>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</si>
  <si>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</si>
  <si>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</si>
  <si>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</si>
  <si>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</si>
  <si>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</si>
  <si>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</si>
  <si>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</si>
  <si>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</si>
  <si>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</si>
  <si>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</si>
  <si>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</si>
  <si>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</si>
  <si>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</si>
  <si>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</si>
  <si>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</si>
  <si>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</si>
  <si>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</si>
  <si>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</si>
  <si>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</si>
  <si>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</si>
  <si>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</si>
  <si>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</si>
  <si>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</si>
  <si>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</si>
  <si>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</si>
  <si>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</si>
  <si>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</si>
  <si>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</si>
  <si>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</si>
  <si>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</si>
  <si>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</si>
  <si>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</si>
  <si>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</si>
  <si>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</si>
  <si>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</si>
  <si>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</si>
  <si>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</si>
  <si>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</si>
  <si>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</si>
  <si>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</si>
  <si>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</si>
  <si>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</si>
  <si>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</si>
  <si>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</si>
  <si>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</si>
  <si>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</si>
  <si>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</si>
  <si>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</si>
  <si>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</si>
  <si>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</si>
  <si>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</si>
  <si>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</si>
  <si>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</si>
  <si>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</si>
  <si>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</si>
  <si>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</si>
  <si>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</si>
  <si>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</si>
  <si>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</si>
  <si>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</si>
  <si>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</si>
  <si>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</si>
  <si>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</si>
  <si>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</si>
  <si>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</si>
  <si>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</si>
  <si>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</si>
  <si>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</si>
  <si>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</si>
  <si>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</si>
  <si>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</si>
  <si>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</si>
  <si>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</si>
  <si>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</si>
  <si>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</si>
  <si>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</si>
  <si>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</si>
  <si>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</si>
  <si>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</si>
  <si>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</si>
  <si>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</si>
  <si>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</si>
  <si>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</si>
  <si>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</si>
  <si>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</si>
  <si>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</si>
  <si>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</si>
  <si>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</si>
  <si>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</si>
  <si>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</si>
  <si>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</si>
  <si>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</si>
  <si>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</si>
  <si>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</si>
  <si>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</si>
  <si>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</si>
  <si>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</si>
  <si>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</si>
  <si>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</si>
  <si>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</si>
  <si>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</si>
  <si>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</si>
  <si>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</si>
  <si>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</si>
  <si>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</si>
  <si>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</si>
  <si>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</si>
  <si>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Recommended rate should be considered as all inclusive rate if other charges are not mentioned. (Excluding GST &amp; other government Taxes)</t>
  </si>
  <si>
    <t>P51700022442</t>
  </si>
  <si>
    <t>Axis Sanpada</t>
  </si>
  <si>
    <t>Cyber Code</t>
  </si>
  <si>
    <t xml:space="preserve">022-27810762/27810763/65174310 </t>
  </si>
  <si>
    <t>Plot No</t>
  </si>
  <si>
    <t>D-107</t>
  </si>
  <si>
    <t>Shiravane (Navi Mumbai)</t>
  </si>
  <si>
    <t>Thane</t>
  </si>
  <si>
    <t>Dr. D.Y. Patil Sports Academy</t>
  </si>
  <si>
    <t>MIDC Service Road</t>
  </si>
  <si>
    <t>3.8KM from Nerul Railway Station</t>
  </si>
  <si>
    <t>Nerul</t>
  </si>
  <si>
    <t>Open Plot</t>
  </si>
  <si>
    <t>Under Construction Building</t>
  </si>
  <si>
    <t>Maharashtra Industrial Development Corporation (MIDC)</t>
  </si>
  <si>
    <t>SWC/14/523/20190503/630158</t>
  </si>
  <si>
    <t>Valid Up to:  Gr/St + 1st to 25th Floor</t>
  </si>
  <si>
    <t>Gr/St + 6P + 7th to 25th Floor</t>
  </si>
  <si>
    <t>EE/DN.II/MHP/SPA/C79031/of 2019</t>
  </si>
  <si>
    <t>1st to 5th Podium Floor for Parking</t>
  </si>
  <si>
    <t>6th Floor for Amenity Area</t>
  </si>
  <si>
    <t>8th Floor</t>
  </si>
  <si>
    <t>9th, 10th, 12th to 14th, 16th to 18th, 20th &amp; 21st Floor</t>
  </si>
  <si>
    <t>22nd Foor</t>
  </si>
  <si>
    <t>24th Floor</t>
  </si>
  <si>
    <t>I.T Office</t>
  </si>
  <si>
    <t>Refuge Area</t>
  </si>
  <si>
    <t>IT Support Services</t>
  </si>
  <si>
    <t>25th Floor for Terrace Area (Part Amenity Area)</t>
  </si>
  <si>
    <t>23rd Floor (Part Refuge Area)</t>
  </si>
  <si>
    <t xml:space="preserve">IT Office </t>
  </si>
  <si>
    <t xml:space="preserve"> IT Support Services</t>
  </si>
  <si>
    <t>Squre Yard</t>
  </si>
  <si>
    <t>MI</t>
  </si>
  <si>
    <t>Ground Floor for Commercial &amp; Parking</t>
  </si>
  <si>
    <t>7th, 11th, 15th &amp; 19th Floor (Part Refuge Area)</t>
  </si>
  <si>
    <t>IT Support Services (Shop)</t>
  </si>
  <si>
    <t>Shop</t>
  </si>
  <si>
    <t>IT Office -149,  IT Support Services - 26, Shop - 8</t>
  </si>
  <si>
    <t>1 Building</t>
  </si>
  <si>
    <t>We considered Gross carpet area = Net carpet + Enclose balcony.</t>
  </si>
  <si>
    <t>On Site, we meet Mr.Kunal (7208761403).</t>
  </si>
  <si>
    <t>Gaurav</t>
  </si>
  <si>
    <t>Cost Sheet</t>
  </si>
  <si>
    <t>Builder Saleable area Loading :</t>
  </si>
  <si>
    <t>7000 to 8250</t>
  </si>
  <si>
    <t>Location Link</t>
  </si>
  <si>
    <t>https://goo.gl/maps/UV1rbYPPEWXvfbEe8</t>
  </si>
  <si>
    <t>Office No. 1031, Wing J, Akshar Business Park, Plot No. 03 Sector 25, Near APMC Market, 
Vashi, Navi Mumbai, Maharashtra 400703 TEL: 022-46090378/79/8
E mail : vsjcapf@gmail.com. Web site : www.vsjadon.com</t>
  </si>
  <si>
    <t>M/s.Greenscape Realty</t>
  </si>
  <si>
    <t>EE/DN.II/SPA/MHP/IFMS/B85927/2023
Approved upto : Gr/St + 1st to 8th Floor</t>
  </si>
  <si>
    <t>We have updated part OC (on 28/10/2023)</t>
  </si>
  <si>
    <t>Approved Plans, CC, Part OC</t>
  </si>
  <si>
    <t xml:space="preserve">Part O. Certificate No.: </t>
  </si>
  <si>
    <t>Site Meet Person Contact Details ( Name &amp; Contact No.)</t>
  </si>
  <si>
    <t>8500 to 10000</t>
  </si>
  <si>
    <t>smith</t>
  </si>
  <si>
    <t>Recommended Rates/Other Charges of the Property have been revised on 27/01/2024.</t>
  </si>
  <si>
    <t>Latitude,Longitude</t>
  </si>
  <si>
    <t>19.0407793,73.0268606</t>
  </si>
  <si>
    <t>Mr. Mohsin 9328145677</t>
  </si>
  <si>
    <t>Facade &amp; Plumbing</t>
  </si>
  <si>
    <t>The project has received CC on 22/08/2019, But construction work is not yet completed.</t>
  </si>
  <si>
    <t>Construction work is in process at the time of visit (Internal Visit not allowed).</t>
  </si>
  <si>
    <t>Gr/St + 6P + 7th to 27th Floor</t>
  </si>
  <si>
    <t>Construction work goes beyond approved no of floors and CC. Please provide revised approved plan and CC.</t>
  </si>
  <si>
    <t>As per RERA - 31/12/2025</t>
  </si>
  <si>
    <t>Kunal Kadam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</si>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</sst>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10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3" xfId="0" applyFont="1" applyBorder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0" fontId="13" fillId="0" borderId="1" xfId="1" applyFont="1" applyBorder="1" applyAlignment="1" applyProtection="1">
      <alignment horizontal="left" vertical="top"/>
      <protection locked="0"/>
    </xf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11" xfId="1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12" xfId="1" applyFont="1" applyBorder="1" applyProtection="1"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7" fillId="0" borderId="12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2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1" fontId="0" fillId="0" borderId="14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3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0" fontId="8" fillId="0" borderId="20" xfId="1" applyFont="1" applyBorder="1" applyAlignment="1" applyProtection="1">
      <alignment horizontal="center" vertical="center" wrapText="1"/>
      <protection locked="0"/>
    </xf>
    <xf numFmtId="0" fontId="8" fillId="0" borderId="27" xfId="1" applyFont="1" applyBorder="1" applyAlignment="1" applyProtection="1">
      <alignment horizontal="center" vertical="center" wrapText="1"/>
      <protection locked="0"/>
    </xf>
    <xf numFmtId="0" fontId="8" fillId="0" borderId="28" xfId="1" applyFont="1" applyBorder="1" applyAlignment="1" applyProtection="1">
      <alignment horizontal="center" vertical="center" wrapText="1"/>
      <protection locked="0"/>
    </xf>
    <xf numFmtId="0" fontId="8" fillId="0" borderId="21" xfId="1" applyFont="1" applyBorder="1" applyAlignment="1" applyProtection="1">
      <alignment horizontal="center" vertical="center" wrapText="1"/>
      <protection locked="0"/>
    </xf>
    <xf numFmtId="0" fontId="8" fillId="0" borderId="22" xfId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3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3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4" fillId="0" borderId="8" xfId="10" applyFill="1" applyBorder="1" applyAlignment="1" applyProtection="1">
      <alignment vertical="top"/>
      <protection locked="0"/>
    </xf>
    <xf numFmtId="0" fontId="12" fillId="0" borderId="23" xfId="1" applyFont="1" applyBorder="1" applyAlignment="1" applyProtection="1">
      <alignment vertical="top"/>
      <protection locked="0"/>
    </xf>
    <xf numFmtId="0" fontId="12" fillId="0" borderId="9" xfId="1" applyFont="1" applyBorder="1" applyAlignment="1" applyProtection="1">
      <alignment vertical="top"/>
      <protection locked="0"/>
    </xf>
    <xf numFmtId="0" fontId="13" fillId="0" borderId="8" xfId="1" applyFont="1" applyBorder="1" applyProtection="1">
      <protection locked="0"/>
    </xf>
    <xf numFmtId="0" fontId="13" fillId="0" borderId="23" xfId="1" applyFont="1" applyBorder="1" applyProtection="1">
      <protection locked="0"/>
    </xf>
    <xf numFmtId="0" fontId="13" fillId="0" borderId="9" xfId="1" applyFont="1" applyBorder="1" applyProtection="1"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67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6" xfId="1" applyNumberFormat="1" applyFont="1" applyBorder="1" applyAlignment="1" applyProtection="1">
      <alignment horizontal="center" vertical="center" wrapText="1"/>
      <protection hidden="1"/>
    </xf>
    <xf numFmtId="9" fontId="12" fillId="0" borderId="4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8" fillId="0" borderId="8" xfId="1" applyFont="1" applyBorder="1" applyAlignment="1" applyProtection="1">
      <alignment horizontal="center" vertical="top"/>
      <protection locked="0"/>
    </xf>
    <xf numFmtId="0" fontId="8" fillId="0" borderId="23" xfId="1" applyFont="1" applyBorder="1" applyAlignment="1" applyProtection="1">
      <alignment horizontal="center" vertical="top"/>
      <protection locked="0"/>
    </xf>
    <xf numFmtId="0" fontId="8" fillId="0" borderId="9" xfId="1" applyFont="1" applyBorder="1" applyAlignment="1" applyProtection="1">
      <alignment horizontal="center" vertical="top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1" fontId="7" fillId="0" borderId="9" xfId="0" applyNumberFormat="1" applyFont="1" applyBorder="1" applyAlignment="1" applyProtection="1">
      <alignment horizontal="center" vertical="center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643143</xdr:colOff>
      <xdr:row>287</xdr:row>
      <xdr:rowOff>10774</xdr:rowOff>
    </xdr:from>
    <xdr:to>
      <xdr:col>7</xdr:col>
      <xdr:colOff>211240</xdr:colOff>
      <xdr:row>305</xdr:row>
      <xdr:rowOff>10324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143" y="58179535"/>
          <a:ext cx="5680662" cy="35776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651426</xdr:colOff>
      <xdr:row>305</xdr:row>
      <xdr:rowOff>191748</xdr:rowOff>
    </xdr:from>
    <xdr:to>
      <xdr:col>7</xdr:col>
      <xdr:colOff>219523</xdr:colOff>
      <xdr:row>323</xdr:row>
      <xdr:rowOff>191298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1426" y="61938596"/>
          <a:ext cx="5680662" cy="357763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177165</xdr:colOff>
      <xdr:row>65</xdr:row>
      <xdr:rowOff>47626</xdr:rowOff>
    </xdr:from>
    <xdr:to>
      <xdr:col>16</xdr:col>
      <xdr:colOff>94665</xdr:colOff>
      <xdr:row>90</xdr:row>
      <xdr:rowOff>53289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5AF04-254E-4DE0-AEF6-00B87C5F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6345" y="14327506"/>
          <a:ext cx="4680000" cy="3625163"/>
        </a:xfrm>
        <a:prstGeom prst="rect">
          <a:avLst/>
        </a:prstGeom>
      </xdr:spPr>
    </xdr:pic>
    <xdr:clientData/>
  </xdr:twoCellAnchor>
  <xdr:twoCellAnchor>
    <xdr:from>
      <xdr:col>10</xdr:col>
      <xdr:colOff>356235</xdr:colOff>
      <xdr:row>241</xdr:row>
      <xdr:rowOff>135255</xdr:rowOff>
    </xdr:from>
    <xdr:to>
      <xdr:col>17</xdr:col>
      <xdr:colOff>598460</xdr:colOff>
      <xdr:row>277</xdr:row>
      <xdr:rowOff>96602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4A19A665-A541-4CEC-881E-6C232367D5D6}"/>
            </a:ext>
          </a:extLst>
        </xdr:cNvPr>
        <xdr:cNvGrpSpPr/>
      </xdr:nvGrpSpPr>
      <xdr:grpSpPr>
        <a:xfrm>
          <a:off x="9035415" y="49520475"/>
          <a:ext cx="5629565" cy="7086047"/>
          <a:chOff x="585581" y="412376"/>
          <a:chExt cx="5480975" cy="7152722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363AD6DE-2FE6-4421-B4E1-6F28C75F09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5582" y="412376"/>
            <a:ext cx="2637556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536FBE7A-FC66-4AAD-9988-9923CE6A7F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412376"/>
            <a:ext cx="2637556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5A82022E-2B1A-41EA-8FB3-EAB2695CBD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5581" y="3808737"/>
            <a:ext cx="2637556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34855ED5-9FC9-4FF9-8ED2-49045D7480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65137" y="5945098"/>
            <a:ext cx="2158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FCC0456-499B-462A-AB6F-18CCE01397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3808737"/>
            <a:ext cx="2637556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CF83C391-ADA6-4ED9-B104-0C0BB12DA6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5945098"/>
            <a:ext cx="2158000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327660</xdr:colOff>
      <xdr:row>243</xdr:row>
      <xdr:rowOff>22860</xdr:rowOff>
    </xdr:from>
    <xdr:to>
      <xdr:col>7</xdr:col>
      <xdr:colOff>507453</xdr:colOff>
      <xdr:row>279</xdr:row>
      <xdr:rowOff>98160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8E3BD957-5BED-C0E9-B749-70100A94F139}"/>
            </a:ext>
          </a:extLst>
        </xdr:cNvPr>
        <xdr:cNvGrpSpPr/>
      </xdr:nvGrpSpPr>
      <xdr:grpSpPr>
        <a:xfrm>
          <a:off x="327660" y="49804320"/>
          <a:ext cx="6024333" cy="7200000"/>
          <a:chOff x="199733" y="188243"/>
          <a:chExt cx="6024333" cy="7200000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7E330369-C086-7E08-81DE-46518F9E39C3}"/>
              </a:ext>
            </a:extLst>
          </xdr:cNvPr>
          <xdr:cNvGrpSpPr/>
        </xdr:nvGrpSpPr>
        <xdr:grpSpPr>
          <a:xfrm>
            <a:off x="1239728" y="5588243"/>
            <a:ext cx="3944343" cy="1800000"/>
            <a:chOff x="1738037" y="5588243"/>
            <a:chExt cx="3944343" cy="180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FC82115D-1252-D0AF-082F-FEA33C9056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28161" y="5588243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43F67157-D5E8-2904-92F2-2A3E2B65643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38037" y="5588243"/>
              <a:ext cx="238893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C0846FA-62F5-154D-0B29-094A7008017A}"/>
              </a:ext>
            </a:extLst>
          </xdr:cNvPr>
          <xdr:cNvGrpSpPr/>
        </xdr:nvGrpSpPr>
        <xdr:grpSpPr>
          <a:xfrm>
            <a:off x="199733" y="188243"/>
            <a:ext cx="6024333" cy="5220000"/>
            <a:chOff x="199733" y="188243"/>
            <a:chExt cx="6024333" cy="522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5FA7F297-D134-F1A4-6D0B-69224856CF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28160" y="288824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306EC9CA-8149-0899-170F-FCE1523B4FE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28160" y="18824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44963D7B-E1E5-323C-D42C-481B145F6CB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9733" y="188243"/>
              <a:ext cx="3927234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2</xdr:row>
      <xdr:rowOff>0</xdr:rowOff>
    </xdr:from>
    <xdr:to>
      <xdr:col>12</xdr:col>
      <xdr:colOff>355560</xdr:colOff>
      <xdr:row>20</xdr:row>
      <xdr:rowOff>37667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5" y="381000"/>
          <a:ext cx="7580952" cy="34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585108</xdr:colOff>
      <xdr:row>2</xdr:row>
      <xdr:rowOff>81643</xdr:rowOff>
    </xdr:from>
    <xdr:to>
      <xdr:col>21</xdr:col>
      <xdr:colOff>264691</xdr:colOff>
      <xdr:row>18</xdr:row>
      <xdr:rowOff>71738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965" y="462643"/>
          <a:ext cx="5190476" cy="30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UV1rbYPPEWXvfbEe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85"/>
  <sheetViews>
    <sheetView tabSelected="1" view="pageBreakPreview" topLeftCell="A247" zoomScaleNormal="100" zoomScaleSheetLayoutView="100" zoomScalePageLayoutView="85" workbookViewId="0">
      <selection activeCell="I232" sqref="I232"/>
    </sheetView>
  </sheetViews>
  <sheetFormatPr defaultColWidth="9.109375" defaultRowHeight="15.6" x14ac:dyDescent="0.3"/>
  <cols>
    <col min="1" max="1" width="11.44140625" style="53" customWidth="1"/>
    <col min="2" max="2" width="12" style="53" customWidth="1"/>
    <col min="3" max="3" width="12.6640625" style="53" customWidth="1"/>
    <col min="4" max="4" width="14.109375" style="53" customWidth="1"/>
    <col min="5" max="7" width="11.6640625" style="53" customWidth="1"/>
    <col min="8" max="8" width="12.44140625" style="53" customWidth="1"/>
    <col min="9" max="9" width="17.44140625" style="22" customWidth="1"/>
    <col min="10" max="10" width="11.44140625" style="22" customWidth="1"/>
    <col min="11" max="11" width="11.5546875" style="22" bestFit="1" customWidth="1"/>
    <col min="12" max="12" width="11.88671875" style="22" bestFit="1" customWidth="1"/>
    <col min="13" max="13" width="11.88671875" style="22" customWidth="1"/>
    <col min="14" max="14" width="12.5546875" style="22" customWidth="1"/>
    <col min="15" max="15" width="9.88671875" style="22" customWidth="1"/>
    <col min="16" max="16" width="11.6640625" style="22" customWidth="1"/>
    <col min="17" max="247" width="9.109375" style="22"/>
    <col min="248" max="248" width="8.6640625" style="22" customWidth="1"/>
    <col min="249" max="249" width="9.88671875" style="22" customWidth="1"/>
    <col min="250" max="250" width="14.44140625" style="22" customWidth="1"/>
    <col min="251" max="251" width="7.33203125" style="22" customWidth="1"/>
    <col min="252" max="252" width="5.5546875" style="22" customWidth="1"/>
    <col min="253" max="253" width="9" style="22" customWidth="1"/>
    <col min="254" max="255" width="9.88671875" style="22" customWidth="1"/>
    <col min="256" max="256" width="11.109375" style="22" customWidth="1"/>
    <col min="257" max="257" width="2.88671875" style="22" customWidth="1"/>
    <col min="258" max="258" width="3.5546875" style="22" customWidth="1"/>
    <col min="259" max="503" width="9.109375" style="22"/>
    <col min="504" max="504" width="8.6640625" style="22" customWidth="1"/>
    <col min="505" max="505" width="9.88671875" style="22" customWidth="1"/>
    <col min="506" max="506" width="14.44140625" style="22" customWidth="1"/>
    <col min="507" max="507" width="7.33203125" style="22" customWidth="1"/>
    <col min="508" max="508" width="5.5546875" style="22" customWidth="1"/>
    <col min="509" max="509" width="9" style="22" customWidth="1"/>
    <col min="510" max="511" width="9.88671875" style="22" customWidth="1"/>
    <col min="512" max="512" width="11.109375" style="22" customWidth="1"/>
    <col min="513" max="513" width="2.88671875" style="22" customWidth="1"/>
    <col min="514" max="514" width="3.5546875" style="22" customWidth="1"/>
    <col min="515" max="759" width="9.109375" style="22"/>
    <col min="760" max="760" width="8.6640625" style="22" customWidth="1"/>
    <col min="761" max="761" width="9.88671875" style="22" customWidth="1"/>
    <col min="762" max="762" width="14.44140625" style="22" customWidth="1"/>
    <col min="763" max="763" width="7.33203125" style="22" customWidth="1"/>
    <col min="764" max="764" width="5.5546875" style="22" customWidth="1"/>
    <col min="765" max="765" width="9" style="22" customWidth="1"/>
    <col min="766" max="767" width="9.88671875" style="22" customWidth="1"/>
    <col min="768" max="768" width="11.109375" style="22" customWidth="1"/>
    <col min="769" max="769" width="2.88671875" style="22" customWidth="1"/>
    <col min="770" max="770" width="3.5546875" style="22" customWidth="1"/>
    <col min="771" max="1015" width="9.109375" style="22"/>
    <col min="1016" max="1016" width="8.6640625" style="22" customWidth="1"/>
    <col min="1017" max="1017" width="9.88671875" style="22" customWidth="1"/>
    <col min="1018" max="1018" width="14.44140625" style="22" customWidth="1"/>
    <col min="1019" max="1019" width="7.33203125" style="22" customWidth="1"/>
    <col min="1020" max="1020" width="5.5546875" style="22" customWidth="1"/>
    <col min="1021" max="1021" width="9" style="22" customWidth="1"/>
    <col min="1022" max="1023" width="9.88671875" style="22" customWidth="1"/>
    <col min="1024" max="1024" width="11.109375" style="22" customWidth="1"/>
    <col min="1025" max="1025" width="2.88671875" style="22" customWidth="1"/>
    <col min="1026" max="1026" width="3.5546875" style="22" customWidth="1"/>
    <col min="1027" max="1271" width="9.109375" style="22"/>
    <col min="1272" max="1272" width="8.6640625" style="22" customWidth="1"/>
    <col min="1273" max="1273" width="9.88671875" style="22" customWidth="1"/>
    <col min="1274" max="1274" width="14.44140625" style="22" customWidth="1"/>
    <col min="1275" max="1275" width="7.33203125" style="22" customWidth="1"/>
    <col min="1276" max="1276" width="5.5546875" style="22" customWidth="1"/>
    <col min="1277" max="1277" width="9" style="22" customWidth="1"/>
    <col min="1278" max="1279" width="9.88671875" style="22" customWidth="1"/>
    <col min="1280" max="1280" width="11.109375" style="22" customWidth="1"/>
    <col min="1281" max="1281" width="2.88671875" style="22" customWidth="1"/>
    <col min="1282" max="1282" width="3.5546875" style="22" customWidth="1"/>
    <col min="1283" max="1527" width="9.109375" style="22"/>
    <col min="1528" max="1528" width="8.6640625" style="22" customWidth="1"/>
    <col min="1529" max="1529" width="9.88671875" style="22" customWidth="1"/>
    <col min="1530" max="1530" width="14.44140625" style="22" customWidth="1"/>
    <col min="1531" max="1531" width="7.33203125" style="22" customWidth="1"/>
    <col min="1532" max="1532" width="5.5546875" style="22" customWidth="1"/>
    <col min="1533" max="1533" width="9" style="22" customWidth="1"/>
    <col min="1534" max="1535" width="9.88671875" style="22" customWidth="1"/>
    <col min="1536" max="1536" width="11.109375" style="22" customWidth="1"/>
    <col min="1537" max="1537" width="2.88671875" style="22" customWidth="1"/>
    <col min="1538" max="1538" width="3.5546875" style="22" customWidth="1"/>
    <col min="1539" max="1783" width="9.109375" style="22"/>
    <col min="1784" max="1784" width="8.6640625" style="22" customWidth="1"/>
    <col min="1785" max="1785" width="9.88671875" style="22" customWidth="1"/>
    <col min="1786" max="1786" width="14.44140625" style="22" customWidth="1"/>
    <col min="1787" max="1787" width="7.33203125" style="22" customWidth="1"/>
    <col min="1788" max="1788" width="5.5546875" style="22" customWidth="1"/>
    <col min="1789" max="1789" width="9" style="22" customWidth="1"/>
    <col min="1790" max="1791" width="9.88671875" style="22" customWidth="1"/>
    <col min="1792" max="1792" width="11.109375" style="22" customWidth="1"/>
    <col min="1793" max="1793" width="2.88671875" style="22" customWidth="1"/>
    <col min="1794" max="1794" width="3.5546875" style="22" customWidth="1"/>
    <col min="1795" max="2039" width="9.109375" style="22"/>
    <col min="2040" max="2040" width="8.6640625" style="22" customWidth="1"/>
    <col min="2041" max="2041" width="9.88671875" style="22" customWidth="1"/>
    <col min="2042" max="2042" width="14.44140625" style="22" customWidth="1"/>
    <col min="2043" max="2043" width="7.33203125" style="22" customWidth="1"/>
    <col min="2044" max="2044" width="5.5546875" style="22" customWidth="1"/>
    <col min="2045" max="2045" width="9" style="22" customWidth="1"/>
    <col min="2046" max="2047" width="9.88671875" style="22" customWidth="1"/>
    <col min="2048" max="2048" width="11.109375" style="22" customWidth="1"/>
    <col min="2049" max="2049" width="2.88671875" style="22" customWidth="1"/>
    <col min="2050" max="2050" width="3.5546875" style="22" customWidth="1"/>
    <col min="2051" max="2295" width="9.109375" style="22"/>
    <col min="2296" max="2296" width="8.6640625" style="22" customWidth="1"/>
    <col min="2297" max="2297" width="9.88671875" style="22" customWidth="1"/>
    <col min="2298" max="2298" width="14.44140625" style="22" customWidth="1"/>
    <col min="2299" max="2299" width="7.33203125" style="22" customWidth="1"/>
    <col min="2300" max="2300" width="5.5546875" style="22" customWidth="1"/>
    <col min="2301" max="2301" width="9" style="22" customWidth="1"/>
    <col min="2302" max="2303" width="9.88671875" style="22" customWidth="1"/>
    <col min="2304" max="2304" width="11.109375" style="22" customWidth="1"/>
    <col min="2305" max="2305" width="2.88671875" style="22" customWidth="1"/>
    <col min="2306" max="2306" width="3.5546875" style="22" customWidth="1"/>
    <col min="2307" max="2551" width="9.109375" style="22"/>
    <col min="2552" max="2552" width="8.6640625" style="22" customWidth="1"/>
    <col min="2553" max="2553" width="9.88671875" style="22" customWidth="1"/>
    <col min="2554" max="2554" width="14.44140625" style="22" customWidth="1"/>
    <col min="2555" max="2555" width="7.33203125" style="22" customWidth="1"/>
    <col min="2556" max="2556" width="5.5546875" style="22" customWidth="1"/>
    <col min="2557" max="2557" width="9" style="22" customWidth="1"/>
    <col min="2558" max="2559" width="9.88671875" style="22" customWidth="1"/>
    <col min="2560" max="2560" width="11.109375" style="22" customWidth="1"/>
    <col min="2561" max="2561" width="2.88671875" style="22" customWidth="1"/>
    <col min="2562" max="2562" width="3.5546875" style="22" customWidth="1"/>
    <col min="2563" max="2807" width="9.109375" style="22"/>
    <col min="2808" max="2808" width="8.6640625" style="22" customWidth="1"/>
    <col min="2809" max="2809" width="9.88671875" style="22" customWidth="1"/>
    <col min="2810" max="2810" width="14.44140625" style="22" customWidth="1"/>
    <col min="2811" max="2811" width="7.33203125" style="22" customWidth="1"/>
    <col min="2812" max="2812" width="5.5546875" style="22" customWidth="1"/>
    <col min="2813" max="2813" width="9" style="22" customWidth="1"/>
    <col min="2814" max="2815" width="9.88671875" style="22" customWidth="1"/>
    <col min="2816" max="2816" width="11.109375" style="22" customWidth="1"/>
    <col min="2817" max="2817" width="2.88671875" style="22" customWidth="1"/>
    <col min="2818" max="2818" width="3.5546875" style="22" customWidth="1"/>
    <col min="2819" max="3063" width="9.109375" style="22"/>
    <col min="3064" max="3064" width="8.6640625" style="22" customWidth="1"/>
    <col min="3065" max="3065" width="9.88671875" style="22" customWidth="1"/>
    <col min="3066" max="3066" width="14.44140625" style="22" customWidth="1"/>
    <col min="3067" max="3067" width="7.33203125" style="22" customWidth="1"/>
    <col min="3068" max="3068" width="5.5546875" style="22" customWidth="1"/>
    <col min="3069" max="3069" width="9" style="22" customWidth="1"/>
    <col min="3070" max="3071" width="9.88671875" style="22" customWidth="1"/>
    <col min="3072" max="3072" width="11.109375" style="22" customWidth="1"/>
    <col min="3073" max="3073" width="2.88671875" style="22" customWidth="1"/>
    <col min="3074" max="3074" width="3.5546875" style="22" customWidth="1"/>
    <col min="3075" max="3319" width="9.109375" style="22"/>
    <col min="3320" max="3320" width="8.6640625" style="22" customWidth="1"/>
    <col min="3321" max="3321" width="9.88671875" style="22" customWidth="1"/>
    <col min="3322" max="3322" width="14.44140625" style="22" customWidth="1"/>
    <col min="3323" max="3323" width="7.33203125" style="22" customWidth="1"/>
    <col min="3324" max="3324" width="5.5546875" style="22" customWidth="1"/>
    <col min="3325" max="3325" width="9" style="22" customWidth="1"/>
    <col min="3326" max="3327" width="9.88671875" style="22" customWidth="1"/>
    <col min="3328" max="3328" width="11.109375" style="22" customWidth="1"/>
    <col min="3329" max="3329" width="2.88671875" style="22" customWidth="1"/>
    <col min="3330" max="3330" width="3.5546875" style="22" customWidth="1"/>
    <col min="3331" max="3575" width="9.109375" style="22"/>
    <col min="3576" max="3576" width="8.6640625" style="22" customWidth="1"/>
    <col min="3577" max="3577" width="9.88671875" style="22" customWidth="1"/>
    <col min="3578" max="3578" width="14.44140625" style="22" customWidth="1"/>
    <col min="3579" max="3579" width="7.33203125" style="22" customWidth="1"/>
    <col min="3580" max="3580" width="5.5546875" style="22" customWidth="1"/>
    <col min="3581" max="3581" width="9" style="22" customWidth="1"/>
    <col min="3582" max="3583" width="9.88671875" style="22" customWidth="1"/>
    <col min="3584" max="3584" width="11.109375" style="22" customWidth="1"/>
    <col min="3585" max="3585" width="2.88671875" style="22" customWidth="1"/>
    <col min="3586" max="3586" width="3.5546875" style="22" customWidth="1"/>
    <col min="3587" max="3831" width="9.109375" style="22"/>
    <col min="3832" max="3832" width="8.6640625" style="22" customWidth="1"/>
    <col min="3833" max="3833" width="9.88671875" style="22" customWidth="1"/>
    <col min="3834" max="3834" width="14.44140625" style="22" customWidth="1"/>
    <col min="3835" max="3835" width="7.33203125" style="22" customWidth="1"/>
    <col min="3836" max="3836" width="5.5546875" style="22" customWidth="1"/>
    <col min="3837" max="3837" width="9" style="22" customWidth="1"/>
    <col min="3838" max="3839" width="9.88671875" style="22" customWidth="1"/>
    <col min="3840" max="3840" width="11.109375" style="22" customWidth="1"/>
    <col min="3841" max="3841" width="2.88671875" style="22" customWidth="1"/>
    <col min="3842" max="3842" width="3.5546875" style="22" customWidth="1"/>
    <col min="3843" max="4087" width="9.109375" style="22"/>
    <col min="4088" max="4088" width="8.6640625" style="22" customWidth="1"/>
    <col min="4089" max="4089" width="9.88671875" style="22" customWidth="1"/>
    <col min="4090" max="4090" width="14.44140625" style="22" customWidth="1"/>
    <col min="4091" max="4091" width="7.33203125" style="22" customWidth="1"/>
    <col min="4092" max="4092" width="5.5546875" style="22" customWidth="1"/>
    <col min="4093" max="4093" width="9" style="22" customWidth="1"/>
    <col min="4094" max="4095" width="9.88671875" style="22" customWidth="1"/>
    <col min="4096" max="4096" width="11.109375" style="22" customWidth="1"/>
    <col min="4097" max="4097" width="2.88671875" style="22" customWidth="1"/>
    <col min="4098" max="4098" width="3.5546875" style="22" customWidth="1"/>
    <col min="4099" max="4343" width="9.109375" style="22"/>
    <col min="4344" max="4344" width="8.6640625" style="22" customWidth="1"/>
    <col min="4345" max="4345" width="9.88671875" style="22" customWidth="1"/>
    <col min="4346" max="4346" width="14.44140625" style="22" customWidth="1"/>
    <col min="4347" max="4347" width="7.33203125" style="22" customWidth="1"/>
    <col min="4348" max="4348" width="5.5546875" style="22" customWidth="1"/>
    <col min="4349" max="4349" width="9" style="22" customWidth="1"/>
    <col min="4350" max="4351" width="9.88671875" style="22" customWidth="1"/>
    <col min="4352" max="4352" width="11.109375" style="22" customWidth="1"/>
    <col min="4353" max="4353" width="2.88671875" style="22" customWidth="1"/>
    <col min="4354" max="4354" width="3.5546875" style="22" customWidth="1"/>
    <col min="4355" max="4599" width="9.109375" style="22"/>
    <col min="4600" max="4600" width="8.6640625" style="22" customWidth="1"/>
    <col min="4601" max="4601" width="9.88671875" style="22" customWidth="1"/>
    <col min="4602" max="4602" width="14.44140625" style="22" customWidth="1"/>
    <col min="4603" max="4603" width="7.33203125" style="22" customWidth="1"/>
    <col min="4604" max="4604" width="5.5546875" style="22" customWidth="1"/>
    <col min="4605" max="4605" width="9" style="22" customWidth="1"/>
    <col min="4606" max="4607" width="9.88671875" style="22" customWidth="1"/>
    <col min="4608" max="4608" width="11.109375" style="22" customWidth="1"/>
    <col min="4609" max="4609" width="2.88671875" style="22" customWidth="1"/>
    <col min="4610" max="4610" width="3.5546875" style="22" customWidth="1"/>
    <col min="4611" max="4855" width="9.109375" style="22"/>
    <col min="4856" max="4856" width="8.6640625" style="22" customWidth="1"/>
    <col min="4857" max="4857" width="9.88671875" style="22" customWidth="1"/>
    <col min="4858" max="4858" width="14.44140625" style="22" customWidth="1"/>
    <col min="4859" max="4859" width="7.33203125" style="22" customWidth="1"/>
    <col min="4860" max="4860" width="5.5546875" style="22" customWidth="1"/>
    <col min="4861" max="4861" width="9" style="22" customWidth="1"/>
    <col min="4862" max="4863" width="9.88671875" style="22" customWidth="1"/>
    <col min="4864" max="4864" width="11.109375" style="22" customWidth="1"/>
    <col min="4865" max="4865" width="2.88671875" style="22" customWidth="1"/>
    <col min="4866" max="4866" width="3.5546875" style="22" customWidth="1"/>
    <col min="4867" max="5111" width="9.109375" style="22"/>
    <col min="5112" max="5112" width="8.6640625" style="22" customWidth="1"/>
    <col min="5113" max="5113" width="9.88671875" style="22" customWidth="1"/>
    <col min="5114" max="5114" width="14.44140625" style="22" customWidth="1"/>
    <col min="5115" max="5115" width="7.33203125" style="22" customWidth="1"/>
    <col min="5116" max="5116" width="5.5546875" style="22" customWidth="1"/>
    <col min="5117" max="5117" width="9" style="22" customWidth="1"/>
    <col min="5118" max="5119" width="9.88671875" style="22" customWidth="1"/>
    <col min="5120" max="5120" width="11.109375" style="22" customWidth="1"/>
    <col min="5121" max="5121" width="2.88671875" style="22" customWidth="1"/>
    <col min="5122" max="5122" width="3.5546875" style="22" customWidth="1"/>
    <col min="5123" max="5367" width="9.109375" style="22"/>
    <col min="5368" max="5368" width="8.6640625" style="22" customWidth="1"/>
    <col min="5369" max="5369" width="9.88671875" style="22" customWidth="1"/>
    <col min="5370" max="5370" width="14.44140625" style="22" customWidth="1"/>
    <col min="5371" max="5371" width="7.33203125" style="22" customWidth="1"/>
    <col min="5372" max="5372" width="5.5546875" style="22" customWidth="1"/>
    <col min="5373" max="5373" width="9" style="22" customWidth="1"/>
    <col min="5374" max="5375" width="9.88671875" style="22" customWidth="1"/>
    <col min="5376" max="5376" width="11.109375" style="22" customWidth="1"/>
    <col min="5377" max="5377" width="2.88671875" style="22" customWidth="1"/>
    <col min="5378" max="5378" width="3.5546875" style="22" customWidth="1"/>
    <col min="5379" max="5623" width="9.109375" style="22"/>
    <col min="5624" max="5624" width="8.6640625" style="22" customWidth="1"/>
    <col min="5625" max="5625" width="9.88671875" style="22" customWidth="1"/>
    <col min="5626" max="5626" width="14.44140625" style="22" customWidth="1"/>
    <col min="5627" max="5627" width="7.33203125" style="22" customWidth="1"/>
    <col min="5628" max="5628" width="5.5546875" style="22" customWidth="1"/>
    <col min="5629" max="5629" width="9" style="22" customWidth="1"/>
    <col min="5630" max="5631" width="9.88671875" style="22" customWidth="1"/>
    <col min="5632" max="5632" width="11.109375" style="22" customWidth="1"/>
    <col min="5633" max="5633" width="2.88671875" style="22" customWidth="1"/>
    <col min="5634" max="5634" width="3.5546875" style="22" customWidth="1"/>
    <col min="5635" max="5879" width="9.109375" style="22"/>
    <col min="5880" max="5880" width="8.6640625" style="22" customWidth="1"/>
    <col min="5881" max="5881" width="9.88671875" style="22" customWidth="1"/>
    <col min="5882" max="5882" width="14.44140625" style="22" customWidth="1"/>
    <col min="5883" max="5883" width="7.33203125" style="22" customWidth="1"/>
    <col min="5884" max="5884" width="5.5546875" style="22" customWidth="1"/>
    <col min="5885" max="5885" width="9" style="22" customWidth="1"/>
    <col min="5886" max="5887" width="9.88671875" style="22" customWidth="1"/>
    <col min="5888" max="5888" width="11.109375" style="22" customWidth="1"/>
    <col min="5889" max="5889" width="2.88671875" style="22" customWidth="1"/>
    <col min="5890" max="5890" width="3.5546875" style="22" customWidth="1"/>
    <col min="5891" max="6135" width="9.109375" style="22"/>
    <col min="6136" max="6136" width="8.6640625" style="22" customWidth="1"/>
    <col min="6137" max="6137" width="9.88671875" style="22" customWidth="1"/>
    <col min="6138" max="6138" width="14.44140625" style="22" customWidth="1"/>
    <col min="6139" max="6139" width="7.33203125" style="22" customWidth="1"/>
    <col min="6140" max="6140" width="5.5546875" style="22" customWidth="1"/>
    <col min="6141" max="6141" width="9" style="22" customWidth="1"/>
    <col min="6142" max="6143" width="9.88671875" style="22" customWidth="1"/>
    <col min="6144" max="6144" width="11.109375" style="22" customWidth="1"/>
    <col min="6145" max="6145" width="2.88671875" style="22" customWidth="1"/>
    <col min="6146" max="6146" width="3.5546875" style="22" customWidth="1"/>
    <col min="6147" max="6391" width="9.109375" style="22"/>
    <col min="6392" max="6392" width="8.6640625" style="22" customWidth="1"/>
    <col min="6393" max="6393" width="9.88671875" style="22" customWidth="1"/>
    <col min="6394" max="6394" width="14.44140625" style="22" customWidth="1"/>
    <col min="6395" max="6395" width="7.33203125" style="22" customWidth="1"/>
    <col min="6396" max="6396" width="5.5546875" style="22" customWidth="1"/>
    <col min="6397" max="6397" width="9" style="22" customWidth="1"/>
    <col min="6398" max="6399" width="9.88671875" style="22" customWidth="1"/>
    <col min="6400" max="6400" width="11.109375" style="22" customWidth="1"/>
    <col min="6401" max="6401" width="2.88671875" style="22" customWidth="1"/>
    <col min="6402" max="6402" width="3.5546875" style="22" customWidth="1"/>
    <col min="6403" max="6647" width="9.109375" style="22"/>
    <col min="6648" max="6648" width="8.6640625" style="22" customWidth="1"/>
    <col min="6649" max="6649" width="9.88671875" style="22" customWidth="1"/>
    <col min="6650" max="6650" width="14.44140625" style="22" customWidth="1"/>
    <col min="6651" max="6651" width="7.33203125" style="22" customWidth="1"/>
    <col min="6652" max="6652" width="5.5546875" style="22" customWidth="1"/>
    <col min="6653" max="6653" width="9" style="22" customWidth="1"/>
    <col min="6654" max="6655" width="9.88671875" style="22" customWidth="1"/>
    <col min="6656" max="6656" width="11.109375" style="22" customWidth="1"/>
    <col min="6657" max="6657" width="2.88671875" style="22" customWidth="1"/>
    <col min="6658" max="6658" width="3.5546875" style="22" customWidth="1"/>
    <col min="6659" max="6903" width="9.109375" style="22"/>
    <col min="6904" max="6904" width="8.6640625" style="22" customWidth="1"/>
    <col min="6905" max="6905" width="9.88671875" style="22" customWidth="1"/>
    <col min="6906" max="6906" width="14.44140625" style="22" customWidth="1"/>
    <col min="6907" max="6907" width="7.33203125" style="22" customWidth="1"/>
    <col min="6908" max="6908" width="5.5546875" style="22" customWidth="1"/>
    <col min="6909" max="6909" width="9" style="22" customWidth="1"/>
    <col min="6910" max="6911" width="9.88671875" style="22" customWidth="1"/>
    <col min="6912" max="6912" width="11.109375" style="22" customWidth="1"/>
    <col min="6913" max="6913" width="2.88671875" style="22" customWidth="1"/>
    <col min="6914" max="6914" width="3.5546875" style="22" customWidth="1"/>
    <col min="6915" max="7159" width="9.109375" style="22"/>
    <col min="7160" max="7160" width="8.6640625" style="22" customWidth="1"/>
    <col min="7161" max="7161" width="9.88671875" style="22" customWidth="1"/>
    <col min="7162" max="7162" width="14.44140625" style="22" customWidth="1"/>
    <col min="7163" max="7163" width="7.33203125" style="22" customWidth="1"/>
    <col min="7164" max="7164" width="5.5546875" style="22" customWidth="1"/>
    <col min="7165" max="7165" width="9" style="22" customWidth="1"/>
    <col min="7166" max="7167" width="9.88671875" style="22" customWidth="1"/>
    <col min="7168" max="7168" width="11.109375" style="22" customWidth="1"/>
    <col min="7169" max="7169" width="2.88671875" style="22" customWidth="1"/>
    <col min="7170" max="7170" width="3.5546875" style="22" customWidth="1"/>
    <col min="7171" max="7415" width="9.109375" style="22"/>
    <col min="7416" max="7416" width="8.6640625" style="22" customWidth="1"/>
    <col min="7417" max="7417" width="9.88671875" style="22" customWidth="1"/>
    <col min="7418" max="7418" width="14.44140625" style="22" customWidth="1"/>
    <col min="7419" max="7419" width="7.33203125" style="22" customWidth="1"/>
    <col min="7420" max="7420" width="5.5546875" style="22" customWidth="1"/>
    <col min="7421" max="7421" width="9" style="22" customWidth="1"/>
    <col min="7422" max="7423" width="9.88671875" style="22" customWidth="1"/>
    <col min="7424" max="7424" width="11.109375" style="22" customWidth="1"/>
    <col min="7425" max="7425" width="2.88671875" style="22" customWidth="1"/>
    <col min="7426" max="7426" width="3.5546875" style="22" customWidth="1"/>
    <col min="7427" max="7671" width="9.109375" style="22"/>
    <col min="7672" max="7672" width="8.6640625" style="22" customWidth="1"/>
    <col min="7673" max="7673" width="9.88671875" style="22" customWidth="1"/>
    <col min="7674" max="7674" width="14.44140625" style="22" customWidth="1"/>
    <col min="7675" max="7675" width="7.33203125" style="22" customWidth="1"/>
    <col min="7676" max="7676" width="5.5546875" style="22" customWidth="1"/>
    <col min="7677" max="7677" width="9" style="22" customWidth="1"/>
    <col min="7678" max="7679" width="9.88671875" style="22" customWidth="1"/>
    <col min="7680" max="7680" width="11.109375" style="22" customWidth="1"/>
    <col min="7681" max="7681" width="2.88671875" style="22" customWidth="1"/>
    <col min="7682" max="7682" width="3.5546875" style="22" customWidth="1"/>
    <col min="7683" max="7927" width="9.109375" style="22"/>
    <col min="7928" max="7928" width="8.6640625" style="22" customWidth="1"/>
    <col min="7929" max="7929" width="9.88671875" style="22" customWidth="1"/>
    <col min="7930" max="7930" width="14.44140625" style="22" customWidth="1"/>
    <col min="7931" max="7931" width="7.33203125" style="22" customWidth="1"/>
    <col min="7932" max="7932" width="5.5546875" style="22" customWidth="1"/>
    <col min="7933" max="7933" width="9" style="22" customWidth="1"/>
    <col min="7934" max="7935" width="9.88671875" style="22" customWidth="1"/>
    <col min="7936" max="7936" width="11.109375" style="22" customWidth="1"/>
    <col min="7937" max="7937" width="2.88671875" style="22" customWidth="1"/>
    <col min="7938" max="7938" width="3.5546875" style="22" customWidth="1"/>
    <col min="7939" max="8183" width="9.109375" style="22"/>
    <col min="8184" max="8184" width="8.6640625" style="22" customWidth="1"/>
    <col min="8185" max="8185" width="9.88671875" style="22" customWidth="1"/>
    <col min="8186" max="8186" width="14.44140625" style="22" customWidth="1"/>
    <col min="8187" max="8187" width="7.33203125" style="22" customWidth="1"/>
    <col min="8188" max="8188" width="5.5546875" style="22" customWidth="1"/>
    <col min="8189" max="8189" width="9" style="22" customWidth="1"/>
    <col min="8190" max="8191" width="9.88671875" style="22" customWidth="1"/>
    <col min="8192" max="8192" width="11.109375" style="22" customWidth="1"/>
    <col min="8193" max="8193" width="2.88671875" style="22" customWidth="1"/>
    <col min="8194" max="8194" width="3.5546875" style="22" customWidth="1"/>
    <col min="8195" max="8439" width="9.109375" style="22"/>
    <col min="8440" max="8440" width="8.6640625" style="22" customWidth="1"/>
    <col min="8441" max="8441" width="9.88671875" style="22" customWidth="1"/>
    <col min="8442" max="8442" width="14.44140625" style="22" customWidth="1"/>
    <col min="8443" max="8443" width="7.33203125" style="22" customWidth="1"/>
    <col min="8444" max="8444" width="5.5546875" style="22" customWidth="1"/>
    <col min="8445" max="8445" width="9" style="22" customWidth="1"/>
    <col min="8446" max="8447" width="9.88671875" style="22" customWidth="1"/>
    <col min="8448" max="8448" width="11.109375" style="22" customWidth="1"/>
    <col min="8449" max="8449" width="2.88671875" style="22" customWidth="1"/>
    <col min="8450" max="8450" width="3.5546875" style="22" customWidth="1"/>
    <col min="8451" max="8695" width="9.109375" style="22"/>
    <col min="8696" max="8696" width="8.6640625" style="22" customWidth="1"/>
    <col min="8697" max="8697" width="9.88671875" style="22" customWidth="1"/>
    <col min="8698" max="8698" width="14.44140625" style="22" customWidth="1"/>
    <col min="8699" max="8699" width="7.33203125" style="22" customWidth="1"/>
    <col min="8700" max="8700" width="5.5546875" style="22" customWidth="1"/>
    <col min="8701" max="8701" width="9" style="22" customWidth="1"/>
    <col min="8702" max="8703" width="9.88671875" style="22" customWidth="1"/>
    <col min="8704" max="8704" width="11.109375" style="22" customWidth="1"/>
    <col min="8705" max="8705" width="2.88671875" style="22" customWidth="1"/>
    <col min="8706" max="8706" width="3.5546875" style="22" customWidth="1"/>
    <col min="8707" max="8951" width="9.109375" style="22"/>
    <col min="8952" max="8952" width="8.6640625" style="22" customWidth="1"/>
    <col min="8953" max="8953" width="9.88671875" style="22" customWidth="1"/>
    <col min="8954" max="8954" width="14.44140625" style="22" customWidth="1"/>
    <col min="8955" max="8955" width="7.33203125" style="22" customWidth="1"/>
    <col min="8956" max="8956" width="5.5546875" style="22" customWidth="1"/>
    <col min="8957" max="8957" width="9" style="22" customWidth="1"/>
    <col min="8958" max="8959" width="9.88671875" style="22" customWidth="1"/>
    <col min="8960" max="8960" width="11.109375" style="22" customWidth="1"/>
    <col min="8961" max="8961" width="2.88671875" style="22" customWidth="1"/>
    <col min="8962" max="8962" width="3.5546875" style="22" customWidth="1"/>
    <col min="8963" max="9207" width="9.109375" style="22"/>
    <col min="9208" max="9208" width="8.6640625" style="22" customWidth="1"/>
    <col min="9209" max="9209" width="9.88671875" style="22" customWidth="1"/>
    <col min="9210" max="9210" width="14.44140625" style="22" customWidth="1"/>
    <col min="9211" max="9211" width="7.33203125" style="22" customWidth="1"/>
    <col min="9212" max="9212" width="5.5546875" style="22" customWidth="1"/>
    <col min="9213" max="9213" width="9" style="22" customWidth="1"/>
    <col min="9214" max="9215" width="9.88671875" style="22" customWidth="1"/>
    <col min="9216" max="9216" width="11.109375" style="22" customWidth="1"/>
    <col min="9217" max="9217" width="2.88671875" style="22" customWidth="1"/>
    <col min="9218" max="9218" width="3.5546875" style="22" customWidth="1"/>
    <col min="9219" max="9463" width="9.109375" style="22"/>
    <col min="9464" max="9464" width="8.6640625" style="22" customWidth="1"/>
    <col min="9465" max="9465" width="9.88671875" style="22" customWidth="1"/>
    <col min="9466" max="9466" width="14.44140625" style="22" customWidth="1"/>
    <col min="9467" max="9467" width="7.33203125" style="22" customWidth="1"/>
    <col min="9468" max="9468" width="5.5546875" style="22" customWidth="1"/>
    <col min="9469" max="9469" width="9" style="22" customWidth="1"/>
    <col min="9470" max="9471" width="9.88671875" style="22" customWidth="1"/>
    <col min="9472" max="9472" width="11.109375" style="22" customWidth="1"/>
    <col min="9473" max="9473" width="2.88671875" style="22" customWidth="1"/>
    <col min="9474" max="9474" width="3.5546875" style="22" customWidth="1"/>
    <col min="9475" max="9719" width="9.109375" style="22"/>
    <col min="9720" max="9720" width="8.6640625" style="22" customWidth="1"/>
    <col min="9721" max="9721" width="9.88671875" style="22" customWidth="1"/>
    <col min="9722" max="9722" width="14.44140625" style="22" customWidth="1"/>
    <col min="9723" max="9723" width="7.33203125" style="22" customWidth="1"/>
    <col min="9724" max="9724" width="5.5546875" style="22" customWidth="1"/>
    <col min="9725" max="9725" width="9" style="22" customWidth="1"/>
    <col min="9726" max="9727" width="9.88671875" style="22" customWidth="1"/>
    <col min="9728" max="9728" width="11.109375" style="22" customWidth="1"/>
    <col min="9729" max="9729" width="2.88671875" style="22" customWidth="1"/>
    <col min="9730" max="9730" width="3.5546875" style="22" customWidth="1"/>
    <col min="9731" max="9975" width="9.109375" style="22"/>
    <col min="9976" max="9976" width="8.6640625" style="22" customWidth="1"/>
    <col min="9977" max="9977" width="9.88671875" style="22" customWidth="1"/>
    <col min="9978" max="9978" width="14.44140625" style="22" customWidth="1"/>
    <col min="9979" max="9979" width="7.33203125" style="22" customWidth="1"/>
    <col min="9980" max="9980" width="5.5546875" style="22" customWidth="1"/>
    <col min="9981" max="9981" width="9" style="22" customWidth="1"/>
    <col min="9982" max="9983" width="9.88671875" style="22" customWidth="1"/>
    <col min="9984" max="9984" width="11.109375" style="22" customWidth="1"/>
    <col min="9985" max="9985" width="2.88671875" style="22" customWidth="1"/>
    <col min="9986" max="9986" width="3.5546875" style="22" customWidth="1"/>
    <col min="9987" max="10231" width="9.109375" style="22"/>
    <col min="10232" max="10232" width="8.6640625" style="22" customWidth="1"/>
    <col min="10233" max="10233" width="9.88671875" style="22" customWidth="1"/>
    <col min="10234" max="10234" width="14.44140625" style="22" customWidth="1"/>
    <col min="10235" max="10235" width="7.33203125" style="22" customWidth="1"/>
    <col min="10236" max="10236" width="5.5546875" style="22" customWidth="1"/>
    <col min="10237" max="10237" width="9" style="22" customWidth="1"/>
    <col min="10238" max="10239" width="9.88671875" style="22" customWidth="1"/>
    <col min="10240" max="10240" width="11.109375" style="22" customWidth="1"/>
    <col min="10241" max="10241" width="2.88671875" style="22" customWidth="1"/>
    <col min="10242" max="10242" width="3.5546875" style="22" customWidth="1"/>
    <col min="10243" max="10487" width="9.109375" style="22"/>
    <col min="10488" max="10488" width="8.6640625" style="22" customWidth="1"/>
    <col min="10489" max="10489" width="9.88671875" style="22" customWidth="1"/>
    <col min="10490" max="10490" width="14.44140625" style="22" customWidth="1"/>
    <col min="10491" max="10491" width="7.33203125" style="22" customWidth="1"/>
    <col min="10492" max="10492" width="5.5546875" style="22" customWidth="1"/>
    <col min="10493" max="10493" width="9" style="22" customWidth="1"/>
    <col min="10494" max="10495" width="9.88671875" style="22" customWidth="1"/>
    <col min="10496" max="10496" width="11.109375" style="22" customWidth="1"/>
    <col min="10497" max="10497" width="2.88671875" style="22" customWidth="1"/>
    <col min="10498" max="10498" width="3.5546875" style="22" customWidth="1"/>
    <col min="10499" max="10743" width="9.109375" style="22"/>
    <col min="10744" max="10744" width="8.6640625" style="22" customWidth="1"/>
    <col min="10745" max="10745" width="9.88671875" style="22" customWidth="1"/>
    <col min="10746" max="10746" width="14.44140625" style="22" customWidth="1"/>
    <col min="10747" max="10747" width="7.33203125" style="22" customWidth="1"/>
    <col min="10748" max="10748" width="5.5546875" style="22" customWidth="1"/>
    <col min="10749" max="10749" width="9" style="22" customWidth="1"/>
    <col min="10750" max="10751" width="9.88671875" style="22" customWidth="1"/>
    <col min="10752" max="10752" width="11.109375" style="22" customWidth="1"/>
    <col min="10753" max="10753" width="2.88671875" style="22" customWidth="1"/>
    <col min="10754" max="10754" width="3.5546875" style="22" customWidth="1"/>
    <col min="10755" max="10999" width="9.109375" style="22"/>
    <col min="11000" max="11000" width="8.6640625" style="22" customWidth="1"/>
    <col min="11001" max="11001" width="9.88671875" style="22" customWidth="1"/>
    <col min="11002" max="11002" width="14.44140625" style="22" customWidth="1"/>
    <col min="11003" max="11003" width="7.33203125" style="22" customWidth="1"/>
    <col min="11004" max="11004" width="5.5546875" style="22" customWidth="1"/>
    <col min="11005" max="11005" width="9" style="22" customWidth="1"/>
    <col min="11006" max="11007" width="9.88671875" style="22" customWidth="1"/>
    <col min="11008" max="11008" width="11.109375" style="22" customWidth="1"/>
    <col min="11009" max="11009" width="2.88671875" style="22" customWidth="1"/>
    <col min="11010" max="11010" width="3.5546875" style="22" customWidth="1"/>
    <col min="11011" max="11255" width="9.109375" style="22"/>
    <col min="11256" max="11256" width="8.6640625" style="22" customWidth="1"/>
    <col min="11257" max="11257" width="9.88671875" style="22" customWidth="1"/>
    <col min="11258" max="11258" width="14.44140625" style="22" customWidth="1"/>
    <col min="11259" max="11259" width="7.33203125" style="22" customWidth="1"/>
    <col min="11260" max="11260" width="5.5546875" style="22" customWidth="1"/>
    <col min="11261" max="11261" width="9" style="22" customWidth="1"/>
    <col min="11262" max="11263" width="9.88671875" style="22" customWidth="1"/>
    <col min="11264" max="11264" width="11.109375" style="22" customWidth="1"/>
    <col min="11265" max="11265" width="2.88671875" style="22" customWidth="1"/>
    <col min="11266" max="11266" width="3.5546875" style="22" customWidth="1"/>
    <col min="11267" max="11511" width="9.109375" style="22"/>
    <col min="11512" max="11512" width="8.6640625" style="22" customWidth="1"/>
    <col min="11513" max="11513" width="9.88671875" style="22" customWidth="1"/>
    <col min="11514" max="11514" width="14.44140625" style="22" customWidth="1"/>
    <col min="11515" max="11515" width="7.33203125" style="22" customWidth="1"/>
    <col min="11516" max="11516" width="5.5546875" style="22" customWidth="1"/>
    <col min="11517" max="11517" width="9" style="22" customWidth="1"/>
    <col min="11518" max="11519" width="9.88671875" style="22" customWidth="1"/>
    <col min="11520" max="11520" width="11.109375" style="22" customWidth="1"/>
    <col min="11521" max="11521" width="2.88671875" style="22" customWidth="1"/>
    <col min="11522" max="11522" width="3.5546875" style="22" customWidth="1"/>
    <col min="11523" max="11767" width="9.109375" style="22"/>
    <col min="11768" max="11768" width="8.6640625" style="22" customWidth="1"/>
    <col min="11769" max="11769" width="9.88671875" style="22" customWidth="1"/>
    <col min="11770" max="11770" width="14.44140625" style="22" customWidth="1"/>
    <col min="11771" max="11771" width="7.33203125" style="22" customWidth="1"/>
    <col min="11772" max="11772" width="5.5546875" style="22" customWidth="1"/>
    <col min="11773" max="11773" width="9" style="22" customWidth="1"/>
    <col min="11774" max="11775" width="9.88671875" style="22" customWidth="1"/>
    <col min="11776" max="11776" width="11.109375" style="22" customWidth="1"/>
    <col min="11777" max="11777" width="2.88671875" style="22" customWidth="1"/>
    <col min="11778" max="11778" width="3.5546875" style="22" customWidth="1"/>
    <col min="11779" max="12023" width="9.109375" style="22"/>
    <col min="12024" max="12024" width="8.6640625" style="22" customWidth="1"/>
    <col min="12025" max="12025" width="9.88671875" style="22" customWidth="1"/>
    <col min="12026" max="12026" width="14.44140625" style="22" customWidth="1"/>
    <col min="12027" max="12027" width="7.33203125" style="22" customWidth="1"/>
    <col min="12028" max="12028" width="5.5546875" style="22" customWidth="1"/>
    <col min="12029" max="12029" width="9" style="22" customWidth="1"/>
    <col min="12030" max="12031" width="9.88671875" style="22" customWidth="1"/>
    <col min="12032" max="12032" width="11.109375" style="22" customWidth="1"/>
    <col min="12033" max="12033" width="2.88671875" style="22" customWidth="1"/>
    <col min="12034" max="12034" width="3.5546875" style="22" customWidth="1"/>
    <col min="12035" max="12279" width="9.109375" style="22"/>
    <col min="12280" max="12280" width="8.6640625" style="22" customWidth="1"/>
    <col min="12281" max="12281" width="9.88671875" style="22" customWidth="1"/>
    <col min="12282" max="12282" width="14.44140625" style="22" customWidth="1"/>
    <col min="12283" max="12283" width="7.33203125" style="22" customWidth="1"/>
    <col min="12284" max="12284" width="5.5546875" style="22" customWidth="1"/>
    <col min="12285" max="12285" width="9" style="22" customWidth="1"/>
    <col min="12286" max="12287" width="9.88671875" style="22" customWidth="1"/>
    <col min="12288" max="12288" width="11.109375" style="22" customWidth="1"/>
    <col min="12289" max="12289" width="2.88671875" style="22" customWidth="1"/>
    <col min="12290" max="12290" width="3.5546875" style="22" customWidth="1"/>
    <col min="12291" max="12535" width="9.109375" style="22"/>
    <col min="12536" max="12536" width="8.6640625" style="22" customWidth="1"/>
    <col min="12537" max="12537" width="9.88671875" style="22" customWidth="1"/>
    <col min="12538" max="12538" width="14.44140625" style="22" customWidth="1"/>
    <col min="12539" max="12539" width="7.33203125" style="22" customWidth="1"/>
    <col min="12540" max="12540" width="5.5546875" style="22" customWidth="1"/>
    <col min="12541" max="12541" width="9" style="22" customWidth="1"/>
    <col min="12542" max="12543" width="9.88671875" style="22" customWidth="1"/>
    <col min="12544" max="12544" width="11.109375" style="22" customWidth="1"/>
    <col min="12545" max="12545" width="2.88671875" style="22" customWidth="1"/>
    <col min="12546" max="12546" width="3.5546875" style="22" customWidth="1"/>
    <col min="12547" max="12791" width="9.109375" style="22"/>
    <col min="12792" max="12792" width="8.6640625" style="22" customWidth="1"/>
    <col min="12793" max="12793" width="9.88671875" style="22" customWidth="1"/>
    <col min="12794" max="12794" width="14.44140625" style="22" customWidth="1"/>
    <col min="12795" max="12795" width="7.33203125" style="22" customWidth="1"/>
    <col min="12796" max="12796" width="5.5546875" style="22" customWidth="1"/>
    <col min="12797" max="12797" width="9" style="22" customWidth="1"/>
    <col min="12798" max="12799" width="9.88671875" style="22" customWidth="1"/>
    <col min="12800" max="12800" width="11.109375" style="22" customWidth="1"/>
    <col min="12801" max="12801" width="2.88671875" style="22" customWidth="1"/>
    <col min="12802" max="12802" width="3.5546875" style="22" customWidth="1"/>
    <col min="12803" max="13047" width="9.109375" style="22"/>
    <col min="13048" max="13048" width="8.6640625" style="22" customWidth="1"/>
    <col min="13049" max="13049" width="9.88671875" style="22" customWidth="1"/>
    <col min="13050" max="13050" width="14.44140625" style="22" customWidth="1"/>
    <col min="13051" max="13051" width="7.33203125" style="22" customWidth="1"/>
    <col min="13052" max="13052" width="5.5546875" style="22" customWidth="1"/>
    <col min="13053" max="13053" width="9" style="22" customWidth="1"/>
    <col min="13054" max="13055" width="9.88671875" style="22" customWidth="1"/>
    <col min="13056" max="13056" width="11.109375" style="22" customWidth="1"/>
    <col min="13057" max="13057" width="2.88671875" style="22" customWidth="1"/>
    <col min="13058" max="13058" width="3.5546875" style="22" customWidth="1"/>
    <col min="13059" max="13303" width="9.109375" style="22"/>
    <col min="13304" max="13304" width="8.6640625" style="22" customWidth="1"/>
    <col min="13305" max="13305" width="9.88671875" style="22" customWidth="1"/>
    <col min="13306" max="13306" width="14.44140625" style="22" customWidth="1"/>
    <col min="13307" max="13307" width="7.33203125" style="22" customWidth="1"/>
    <col min="13308" max="13308" width="5.5546875" style="22" customWidth="1"/>
    <col min="13309" max="13309" width="9" style="22" customWidth="1"/>
    <col min="13310" max="13311" width="9.88671875" style="22" customWidth="1"/>
    <col min="13312" max="13312" width="11.109375" style="22" customWidth="1"/>
    <col min="13313" max="13313" width="2.88671875" style="22" customWidth="1"/>
    <col min="13314" max="13314" width="3.5546875" style="22" customWidth="1"/>
    <col min="13315" max="13559" width="9.109375" style="22"/>
    <col min="13560" max="13560" width="8.6640625" style="22" customWidth="1"/>
    <col min="13561" max="13561" width="9.88671875" style="22" customWidth="1"/>
    <col min="13562" max="13562" width="14.44140625" style="22" customWidth="1"/>
    <col min="13563" max="13563" width="7.33203125" style="22" customWidth="1"/>
    <col min="13564" max="13564" width="5.5546875" style="22" customWidth="1"/>
    <col min="13565" max="13565" width="9" style="22" customWidth="1"/>
    <col min="13566" max="13567" width="9.88671875" style="22" customWidth="1"/>
    <col min="13568" max="13568" width="11.109375" style="22" customWidth="1"/>
    <col min="13569" max="13569" width="2.88671875" style="22" customWidth="1"/>
    <col min="13570" max="13570" width="3.5546875" style="22" customWidth="1"/>
    <col min="13571" max="13815" width="9.109375" style="22"/>
    <col min="13816" max="13816" width="8.6640625" style="22" customWidth="1"/>
    <col min="13817" max="13817" width="9.88671875" style="22" customWidth="1"/>
    <col min="13818" max="13818" width="14.44140625" style="22" customWidth="1"/>
    <col min="13819" max="13819" width="7.33203125" style="22" customWidth="1"/>
    <col min="13820" max="13820" width="5.5546875" style="22" customWidth="1"/>
    <col min="13821" max="13821" width="9" style="22" customWidth="1"/>
    <col min="13822" max="13823" width="9.88671875" style="22" customWidth="1"/>
    <col min="13824" max="13824" width="11.109375" style="22" customWidth="1"/>
    <col min="13825" max="13825" width="2.88671875" style="22" customWidth="1"/>
    <col min="13826" max="13826" width="3.5546875" style="22" customWidth="1"/>
    <col min="13827" max="14071" width="9.109375" style="22"/>
    <col min="14072" max="14072" width="8.6640625" style="22" customWidth="1"/>
    <col min="14073" max="14073" width="9.88671875" style="22" customWidth="1"/>
    <col min="14074" max="14074" width="14.44140625" style="22" customWidth="1"/>
    <col min="14075" max="14075" width="7.33203125" style="22" customWidth="1"/>
    <col min="14076" max="14076" width="5.5546875" style="22" customWidth="1"/>
    <col min="14077" max="14077" width="9" style="22" customWidth="1"/>
    <col min="14078" max="14079" width="9.88671875" style="22" customWidth="1"/>
    <col min="14080" max="14080" width="11.109375" style="22" customWidth="1"/>
    <col min="14081" max="14081" width="2.88671875" style="22" customWidth="1"/>
    <col min="14082" max="14082" width="3.5546875" style="22" customWidth="1"/>
    <col min="14083" max="14327" width="9.109375" style="22"/>
    <col min="14328" max="14328" width="8.6640625" style="22" customWidth="1"/>
    <col min="14329" max="14329" width="9.88671875" style="22" customWidth="1"/>
    <col min="14330" max="14330" width="14.44140625" style="22" customWidth="1"/>
    <col min="14331" max="14331" width="7.33203125" style="22" customWidth="1"/>
    <col min="14332" max="14332" width="5.5546875" style="22" customWidth="1"/>
    <col min="14333" max="14333" width="9" style="22" customWidth="1"/>
    <col min="14334" max="14335" width="9.88671875" style="22" customWidth="1"/>
    <col min="14336" max="14336" width="11.109375" style="22" customWidth="1"/>
    <col min="14337" max="14337" width="2.88671875" style="22" customWidth="1"/>
    <col min="14338" max="14338" width="3.5546875" style="22" customWidth="1"/>
    <col min="14339" max="14583" width="9.109375" style="22"/>
    <col min="14584" max="14584" width="8.6640625" style="22" customWidth="1"/>
    <col min="14585" max="14585" width="9.88671875" style="22" customWidth="1"/>
    <col min="14586" max="14586" width="14.44140625" style="22" customWidth="1"/>
    <col min="14587" max="14587" width="7.33203125" style="22" customWidth="1"/>
    <col min="14588" max="14588" width="5.5546875" style="22" customWidth="1"/>
    <col min="14589" max="14589" width="9" style="22" customWidth="1"/>
    <col min="14590" max="14591" width="9.88671875" style="22" customWidth="1"/>
    <col min="14592" max="14592" width="11.109375" style="22" customWidth="1"/>
    <col min="14593" max="14593" width="2.88671875" style="22" customWidth="1"/>
    <col min="14594" max="14594" width="3.5546875" style="22" customWidth="1"/>
    <col min="14595" max="14839" width="9.109375" style="22"/>
    <col min="14840" max="14840" width="8.6640625" style="22" customWidth="1"/>
    <col min="14841" max="14841" width="9.88671875" style="22" customWidth="1"/>
    <col min="14842" max="14842" width="14.44140625" style="22" customWidth="1"/>
    <col min="14843" max="14843" width="7.33203125" style="22" customWidth="1"/>
    <col min="14844" max="14844" width="5.5546875" style="22" customWidth="1"/>
    <col min="14845" max="14845" width="9" style="22" customWidth="1"/>
    <col min="14846" max="14847" width="9.88671875" style="22" customWidth="1"/>
    <col min="14848" max="14848" width="11.109375" style="22" customWidth="1"/>
    <col min="14849" max="14849" width="2.88671875" style="22" customWidth="1"/>
    <col min="14850" max="14850" width="3.5546875" style="22" customWidth="1"/>
    <col min="14851" max="15095" width="9.109375" style="22"/>
    <col min="15096" max="15096" width="8.6640625" style="22" customWidth="1"/>
    <col min="15097" max="15097" width="9.88671875" style="22" customWidth="1"/>
    <col min="15098" max="15098" width="14.44140625" style="22" customWidth="1"/>
    <col min="15099" max="15099" width="7.33203125" style="22" customWidth="1"/>
    <col min="15100" max="15100" width="5.5546875" style="22" customWidth="1"/>
    <col min="15101" max="15101" width="9" style="22" customWidth="1"/>
    <col min="15102" max="15103" width="9.88671875" style="22" customWidth="1"/>
    <col min="15104" max="15104" width="11.109375" style="22" customWidth="1"/>
    <col min="15105" max="15105" width="2.88671875" style="22" customWidth="1"/>
    <col min="15106" max="15106" width="3.5546875" style="22" customWidth="1"/>
    <col min="15107" max="15351" width="9.109375" style="22"/>
    <col min="15352" max="15352" width="8.6640625" style="22" customWidth="1"/>
    <col min="15353" max="15353" width="9.88671875" style="22" customWidth="1"/>
    <col min="15354" max="15354" width="14.44140625" style="22" customWidth="1"/>
    <col min="15355" max="15355" width="7.33203125" style="22" customWidth="1"/>
    <col min="15356" max="15356" width="5.5546875" style="22" customWidth="1"/>
    <col min="15357" max="15357" width="9" style="22" customWidth="1"/>
    <col min="15358" max="15359" width="9.88671875" style="22" customWidth="1"/>
    <col min="15360" max="15360" width="11.109375" style="22" customWidth="1"/>
    <col min="15361" max="15361" width="2.88671875" style="22" customWidth="1"/>
    <col min="15362" max="15362" width="3.5546875" style="22" customWidth="1"/>
    <col min="15363" max="15607" width="9.109375" style="22"/>
    <col min="15608" max="15608" width="8.6640625" style="22" customWidth="1"/>
    <col min="15609" max="15609" width="9.88671875" style="22" customWidth="1"/>
    <col min="15610" max="15610" width="14.44140625" style="22" customWidth="1"/>
    <col min="15611" max="15611" width="7.33203125" style="22" customWidth="1"/>
    <col min="15612" max="15612" width="5.5546875" style="22" customWidth="1"/>
    <col min="15613" max="15613" width="9" style="22" customWidth="1"/>
    <col min="15614" max="15615" width="9.88671875" style="22" customWidth="1"/>
    <col min="15616" max="15616" width="11.109375" style="22" customWidth="1"/>
    <col min="15617" max="15617" width="2.88671875" style="22" customWidth="1"/>
    <col min="15618" max="15618" width="3.5546875" style="22" customWidth="1"/>
    <col min="15619" max="15863" width="9.109375" style="22"/>
    <col min="15864" max="15864" width="8.6640625" style="22" customWidth="1"/>
    <col min="15865" max="15865" width="9.88671875" style="22" customWidth="1"/>
    <col min="15866" max="15866" width="14.44140625" style="22" customWidth="1"/>
    <col min="15867" max="15867" width="7.33203125" style="22" customWidth="1"/>
    <col min="15868" max="15868" width="5.5546875" style="22" customWidth="1"/>
    <col min="15869" max="15869" width="9" style="22" customWidth="1"/>
    <col min="15870" max="15871" width="9.88671875" style="22" customWidth="1"/>
    <col min="15872" max="15872" width="11.109375" style="22" customWidth="1"/>
    <col min="15873" max="15873" width="2.88671875" style="22" customWidth="1"/>
    <col min="15874" max="15874" width="3.5546875" style="22" customWidth="1"/>
    <col min="15875" max="16119" width="9.109375" style="22"/>
    <col min="16120" max="16120" width="8.6640625" style="22" customWidth="1"/>
    <col min="16121" max="16121" width="9.88671875" style="22" customWidth="1"/>
    <col min="16122" max="16122" width="14.44140625" style="22" customWidth="1"/>
    <col min="16123" max="16123" width="7.33203125" style="22" customWidth="1"/>
    <col min="16124" max="16124" width="5.5546875" style="22" customWidth="1"/>
    <col min="16125" max="16125" width="9" style="22" customWidth="1"/>
    <col min="16126" max="16127" width="9.88671875" style="22" customWidth="1"/>
    <col min="16128" max="16128" width="11.109375" style="22" customWidth="1"/>
    <col min="16129" max="16129" width="2.88671875" style="22" customWidth="1"/>
    <col min="16130" max="16130" width="3.5546875" style="22" customWidth="1"/>
    <col min="16131" max="16384" width="9.109375" style="22"/>
  </cols>
  <sheetData>
    <row r="1" spans="1:12" ht="46.5" customHeight="1" x14ac:dyDescent="0.3">
      <c r="A1" s="124" t="s">
        <v>220</v>
      </c>
      <c r="B1" s="124"/>
      <c r="C1" s="124"/>
      <c r="D1" s="124"/>
      <c r="E1" s="124"/>
      <c r="F1" s="124"/>
      <c r="G1" s="124"/>
      <c r="H1" s="124"/>
    </row>
    <row r="2" spans="1:12" ht="16.5" customHeight="1" x14ac:dyDescent="0.3">
      <c r="A2" s="79" t="s">
        <v>0</v>
      </c>
      <c r="B2" s="79"/>
      <c r="C2" s="79"/>
      <c r="D2" s="79"/>
      <c r="E2" s="79"/>
      <c r="F2" s="79"/>
      <c r="G2" s="79"/>
      <c r="H2" s="79"/>
    </row>
    <row r="3" spans="1:12" x14ac:dyDescent="0.3">
      <c r="A3" s="64" t="s">
        <v>1</v>
      </c>
      <c r="B3" s="64"/>
      <c r="C3" s="64"/>
      <c r="D3" s="64"/>
      <c r="E3" s="123" t="str">
        <f ca="1">TEXT(TODAY(),"DD/MM/YYYY")</f>
        <v>10/09/2025</v>
      </c>
      <c r="F3" s="123"/>
      <c r="G3" s="123"/>
      <c r="H3" s="123"/>
    </row>
    <row r="4" spans="1:12" ht="15" customHeight="1" x14ac:dyDescent="0.3">
      <c r="A4" s="64" t="s">
        <v>2</v>
      </c>
      <c r="B4" s="64"/>
      <c r="C4" s="64"/>
      <c r="D4" s="64"/>
      <c r="E4" s="121" t="s">
        <v>173</v>
      </c>
      <c r="F4" s="121"/>
      <c r="G4" s="121"/>
      <c r="H4" s="121"/>
    </row>
    <row r="5" spans="1:12" x14ac:dyDescent="0.3">
      <c r="A5" s="64" t="s">
        <v>3</v>
      </c>
      <c r="B5" s="64"/>
      <c r="C5" s="64"/>
      <c r="D5" s="64"/>
      <c r="E5" s="123">
        <v>45909</v>
      </c>
      <c r="F5" s="123"/>
      <c r="G5" s="123"/>
      <c r="H5" s="123"/>
    </row>
    <row r="6" spans="1:12" ht="16.5" customHeight="1" x14ac:dyDescent="0.3">
      <c r="A6" s="64" t="s">
        <v>4</v>
      </c>
      <c r="B6" s="64"/>
      <c r="C6" s="64"/>
      <c r="D6" s="64"/>
      <c r="E6" s="120" t="s">
        <v>221</v>
      </c>
      <c r="F6" s="120"/>
      <c r="G6" s="120"/>
      <c r="H6" s="120"/>
    </row>
    <row r="7" spans="1:12" ht="15" customHeight="1" x14ac:dyDescent="0.3">
      <c r="A7" s="64" t="s">
        <v>5</v>
      </c>
      <c r="B7" s="64"/>
      <c r="C7" s="64"/>
      <c r="D7" s="64"/>
      <c r="E7" s="120" t="str">
        <f>E6</f>
        <v>M/s.Greenscape Realty</v>
      </c>
      <c r="F7" s="120"/>
      <c r="G7" s="120"/>
      <c r="H7" s="120"/>
    </row>
    <row r="8" spans="1:12" x14ac:dyDescent="0.3">
      <c r="A8" s="64" t="s">
        <v>6</v>
      </c>
      <c r="B8" s="64"/>
      <c r="C8" s="64"/>
      <c r="D8" s="64"/>
      <c r="E8" s="125" t="s">
        <v>174</v>
      </c>
      <c r="F8" s="126"/>
      <c r="G8" s="126"/>
      <c r="H8" s="126"/>
    </row>
    <row r="9" spans="1:12" x14ac:dyDescent="0.3">
      <c r="A9" s="64" t="s">
        <v>132</v>
      </c>
      <c r="B9" s="64"/>
      <c r="C9" s="64"/>
      <c r="D9" s="64"/>
      <c r="E9" s="64" t="s">
        <v>175</v>
      </c>
      <c r="F9" s="64"/>
      <c r="G9" s="64"/>
      <c r="H9" s="64"/>
    </row>
    <row r="10" spans="1:12" x14ac:dyDescent="0.3">
      <c r="A10" s="64" t="s">
        <v>226</v>
      </c>
      <c r="B10" s="64"/>
      <c r="C10" s="64"/>
      <c r="D10" s="64"/>
      <c r="E10" s="64" t="s">
        <v>30</v>
      </c>
      <c r="F10" s="64"/>
      <c r="G10" s="64"/>
      <c r="H10" s="64"/>
      <c r="I10" s="64" t="s">
        <v>232</v>
      </c>
      <c r="J10" s="64"/>
      <c r="K10" s="64"/>
      <c r="L10" s="64"/>
    </row>
    <row r="11" spans="1:12" x14ac:dyDescent="0.3">
      <c r="A11" s="64" t="s">
        <v>7</v>
      </c>
      <c r="B11" s="64"/>
      <c r="C11" s="64"/>
      <c r="D11" s="64"/>
      <c r="E11" s="64" t="s">
        <v>211</v>
      </c>
      <c r="F11" s="64"/>
      <c r="G11" s="64"/>
      <c r="H11" s="64"/>
    </row>
    <row r="12" spans="1:12" ht="18" customHeight="1" x14ac:dyDescent="0.3">
      <c r="A12" s="64" t="s">
        <v>8</v>
      </c>
      <c r="B12" s="64"/>
      <c r="C12" s="64"/>
      <c r="D12" s="64"/>
      <c r="E12" s="120" t="s">
        <v>224</v>
      </c>
      <c r="F12" s="120"/>
      <c r="G12" s="120"/>
      <c r="H12" s="120"/>
    </row>
    <row r="13" spans="1:12" x14ac:dyDescent="0.3">
      <c r="A13" s="64" t="s">
        <v>9</v>
      </c>
      <c r="B13" s="64"/>
      <c r="C13" s="64"/>
      <c r="D13" s="64"/>
      <c r="E13" s="120" t="s">
        <v>172</v>
      </c>
      <c r="F13" s="64"/>
      <c r="G13" s="64"/>
      <c r="H13" s="64"/>
    </row>
    <row r="14" spans="1:12" ht="33.75" customHeight="1" x14ac:dyDescent="0.3">
      <c r="A14" s="120" t="s">
        <v>10</v>
      </c>
      <c r="B14" s="120"/>
      <c r="C14" s="120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Cyber Code, Plot No.D-107, near Dr. D.Y. Patil Sports Academy, MIDC Service Road, Shiravane (Navi Mumbai), Nerul, Thane, Thane - 400706.</v>
      </c>
      <c r="D14" s="120"/>
      <c r="E14" s="120"/>
      <c r="F14" s="120"/>
      <c r="G14" s="120"/>
      <c r="H14" s="120"/>
    </row>
    <row r="15" spans="1:12" x14ac:dyDescent="0.3">
      <c r="A15" s="120" t="s">
        <v>176</v>
      </c>
      <c r="B15" s="120"/>
      <c r="C15" s="120" t="s">
        <v>177</v>
      </c>
      <c r="D15" s="120"/>
      <c r="E15" s="120"/>
      <c r="F15" s="120"/>
      <c r="G15" s="120"/>
      <c r="H15" s="120"/>
    </row>
    <row r="16" spans="1:12" ht="15.75" customHeight="1" x14ac:dyDescent="0.3">
      <c r="A16" s="120" t="s">
        <v>11</v>
      </c>
      <c r="B16" s="120"/>
      <c r="C16" s="64" t="s">
        <v>181</v>
      </c>
      <c r="D16" s="64"/>
      <c r="E16" s="120" t="s">
        <v>77</v>
      </c>
      <c r="F16" s="120"/>
      <c r="G16" s="120" t="s">
        <v>178</v>
      </c>
      <c r="H16" s="120"/>
    </row>
    <row r="17" spans="1:8" x14ac:dyDescent="0.3">
      <c r="A17" s="64" t="s">
        <v>13</v>
      </c>
      <c r="B17" s="64"/>
      <c r="C17" s="120" t="s">
        <v>183</v>
      </c>
      <c r="D17" s="120"/>
      <c r="E17" s="120" t="s">
        <v>12</v>
      </c>
      <c r="F17" s="120"/>
      <c r="G17" s="122" t="s">
        <v>179</v>
      </c>
      <c r="H17" s="122"/>
    </row>
    <row r="18" spans="1:8" x14ac:dyDescent="0.3">
      <c r="A18" s="64" t="s">
        <v>78</v>
      </c>
      <c r="B18" s="64"/>
      <c r="C18" s="120" t="s">
        <v>179</v>
      </c>
      <c r="D18" s="120"/>
      <c r="E18" s="120" t="s">
        <v>14</v>
      </c>
      <c r="F18" s="120"/>
      <c r="G18" s="120">
        <v>400706</v>
      </c>
      <c r="H18" s="120"/>
    </row>
    <row r="19" spans="1:8" ht="32.25" customHeight="1" x14ac:dyDescent="0.3">
      <c r="A19" s="64" t="s">
        <v>133</v>
      </c>
      <c r="B19" s="64"/>
      <c r="C19" s="120" t="s">
        <v>180</v>
      </c>
      <c r="D19" s="120"/>
      <c r="E19" s="120" t="s">
        <v>15</v>
      </c>
      <c r="F19" s="120"/>
      <c r="G19" s="120" t="s">
        <v>182</v>
      </c>
      <c r="H19" s="120"/>
    </row>
    <row r="20" spans="1:8" ht="15" customHeight="1" x14ac:dyDescent="0.3">
      <c r="A20" s="120" t="s">
        <v>81</v>
      </c>
      <c r="B20" s="120"/>
      <c r="C20" s="120"/>
      <c r="D20" s="120"/>
      <c r="E20" s="64" t="s">
        <v>16</v>
      </c>
      <c r="F20" s="64"/>
      <c r="G20" s="64"/>
      <c r="H20" s="64"/>
    </row>
    <row r="21" spans="1:8" ht="18.75" customHeight="1" x14ac:dyDescent="0.3">
      <c r="A21" s="120"/>
      <c r="B21" s="120"/>
      <c r="C21" s="120"/>
      <c r="D21" s="120"/>
      <c r="E21" s="64"/>
      <c r="F21" s="64"/>
      <c r="G21" s="64"/>
      <c r="H21" s="64"/>
    </row>
    <row r="22" spans="1:8" ht="15" customHeight="1" x14ac:dyDescent="0.3">
      <c r="A22" s="120" t="s">
        <v>17</v>
      </c>
      <c r="B22" s="120"/>
      <c r="C22" s="120"/>
      <c r="D22" s="120"/>
      <c r="E22" s="120" t="s">
        <v>18</v>
      </c>
      <c r="F22" s="120"/>
      <c r="G22" s="120"/>
      <c r="H22" s="120"/>
    </row>
    <row r="23" spans="1:8" ht="15" customHeight="1" x14ac:dyDescent="0.3">
      <c r="A23" s="64" t="s">
        <v>19</v>
      </c>
      <c r="B23" s="64"/>
      <c r="C23" s="64"/>
      <c r="D23" s="64"/>
      <c r="E23" s="120" t="str">
        <f>IF(AND(G17="Mumbai"),"Upper Class","Middle Class")</f>
        <v>Middle Class</v>
      </c>
      <c r="F23" s="120"/>
      <c r="G23" s="120"/>
      <c r="H23" s="120"/>
    </row>
    <row r="24" spans="1:8" x14ac:dyDescent="0.3">
      <c r="A24" s="64" t="s">
        <v>20</v>
      </c>
      <c r="B24" s="64"/>
      <c r="C24" s="64"/>
      <c r="D24" s="64"/>
      <c r="E24" s="120" t="s">
        <v>21</v>
      </c>
      <c r="F24" s="120"/>
      <c r="G24" s="120"/>
      <c r="H24" s="120"/>
    </row>
    <row r="25" spans="1:8" ht="15.75" customHeight="1" x14ac:dyDescent="0.3">
      <c r="A25" s="64" t="s">
        <v>22</v>
      </c>
      <c r="B25" s="64"/>
      <c r="C25" s="64"/>
      <c r="D25" s="64"/>
      <c r="E25" s="120" t="str">
        <f>IF(AND(G17="Mumbai"),"Developed","Developing")</f>
        <v>Developing</v>
      </c>
      <c r="F25" s="120"/>
      <c r="G25" s="120"/>
      <c r="H25" s="120"/>
    </row>
    <row r="26" spans="1:8" x14ac:dyDescent="0.3">
      <c r="A26" s="64" t="s">
        <v>23</v>
      </c>
      <c r="B26" s="64"/>
      <c r="C26" s="64"/>
      <c r="D26" s="64"/>
      <c r="E26" s="120" t="s">
        <v>24</v>
      </c>
      <c r="F26" s="120"/>
      <c r="G26" s="120"/>
      <c r="H26" s="120"/>
    </row>
    <row r="27" spans="1:8" x14ac:dyDescent="0.3">
      <c r="A27" s="64" t="s">
        <v>86</v>
      </c>
      <c r="B27" s="64"/>
      <c r="C27" s="64"/>
      <c r="D27" s="64"/>
      <c r="E27" s="120" t="s">
        <v>87</v>
      </c>
      <c r="F27" s="120"/>
      <c r="G27" s="120"/>
      <c r="H27" s="120"/>
    </row>
    <row r="28" spans="1:8" ht="15" customHeight="1" x14ac:dyDescent="0.3">
      <c r="A28" s="120" t="s">
        <v>33</v>
      </c>
      <c r="B28" s="120"/>
      <c r="C28" s="120"/>
      <c r="D28" s="120"/>
      <c r="E28" s="121" t="str">
        <f>IF(ISNUMBER(SEARCH("Shop",D54)),"Residential + Commercial",IF(ISNUMBER(SEARCH("Office",D54)),"Residential + Commercial",IF(SEARCH("Flats",D54),"Residential","")))</f>
        <v>Residential + Commercial</v>
      </c>
      <c r="F28" s="121"/>
      <c r="G28" s="121"/>
      <c r="H28" s="121"/>
    </row>
    <row r="29" spans="1:8" x14ac:dyDescent="0.3">
      <c r="A29" s="120" t="s">
        <v>98</v>
      </c>
      <c r="B29" s="120"/>
      <c r="C29" s="120"/>
      <c r="D29" s="120"/>
      <c r="E29" s="120" t="s">
        <v>34</v>
      </c>
      <c r="F29" s="120"/>
      <c r="G29" s="120"/>
      <c r="H29" s="120"/>
    </row>
    <row r="30" spans="1:8" s="23" customFormat="1" x14ac:dyDescent="0.3">
      <c r="A30" s="112" t="s">
        <v>99</v>
      </c>
      <c r="B30" s="112"/>
      <c r="C30" s="110" t="s">
        <v>29</v>
      </c>
      <c r="D30" s="110"/>
      <c r="E30" s="110"/>
      <c r="F30" s="110" t="s">
        <v>31</v>
      </c>
      <c r="G30" s="110"/>
      <c r="H30" s="110"/>
    </row>
    <row r="31" spans="1:8" s="23" customFormat="1" x14ac:dyDescent="0.3">
      <c r="A31" s="111" t="s">
        <v>25</v>
      </c>
      <c r="B31" s="111" t="s">
        <v>30</v>
      </c>
      <c r="C31" s="109" t="s">
        <v>30</v>
      </c>
      <c r="D31" s="109"/>
      <c r="E31" s="109"/>
      <c r="F31" s="109" t="s">
        <v>181</v>
      </c>
      <c r="G31" s="109"/>
      <c r="H31" s="109"/>
    </row>
    <row r="32" spans="1:8" x14ac:dyDescent="0.3">
      <c r="A32" s="111" t="s">
        <v>26</v>
      </c>
      <c r="B32" s="111" t="s">
        <v>30</v>
      </c>
      <c r="C32" s="109" t="s">
        <v>30</v>
      </c>
      <c r="D32" s="109"/>
      <c r="E32" s="109"/>
      <c r="F32" s="109" t="s">
        <v>185</v>
      </c>
      <c r="G32" s="109"/>
      <c r="H32" s="109"/>
    </row>
    <row r="33" spans="1:8" s="23" customFormat="1" x14ac:dyDescent="0.3">
      <c r="A33" s="111" t="s">
        <v>28</v>
      </c>
      <c r="B33" s="111" t="s">
        <v>30</v>
      </c>
      <c r="C33" s="109" t="s">
        <v>30</v>
      </c>
      <c r="D33" s="109"/>
      <c r="E33" s="109"/>
      <c r="F33" s="109" t="s">
        <v>184</v>
      </c>
      <c r="G33" s="109"/>
      <c r="H33" s="109"/>
    </row>
    <row r="34" spans="1:8" x14ac:dyDescent="0.3">
      <c r="A34" s="111" t="s">
        <v>27</v>
      </c>
      <c r="B34" s="111" t="s">
        <v>30</v>
      </c>
      <c r="C34" s="109" t="s">
        <v>30</v>
      </c>
      <c r="D34" s="109"/>
      <c r="E34" s="109"/>
      <c r="F34" s="109" t="s">
        <v>184</v>
      </c>
      <c r="G34" s="109"/>
      <c r="H34" s="109"/>
    </row>
    <row r="35" spans="1:8" x14ac:dyDescent="0.3">
      <c r="A35" s="64" t="s">
        <v>32</v>
      </c>
      <c r="B35" s="64"/>
      <c r="C35" s="64"/>
      <c r="D35" s="64"/>
      <c r="E35" s="64"/>
      <c r="F35" s="64"/>
      <c r="G35" s="64"/>
      <c r="H35" s="64"/>
    </row>
    <row r="36" spans="1:8" ht="15.75" customHeight="1" x14ac:dyDescent="0.3">
      <c r="A36" s="64" t="s">
        <v>230</v>
      </c>
      <c r="B36" s="64"/>
      <c r="C36" s="117" t="s">
        <v>231</v>
      </c>
      <c r="D36" s="118"/>
      <c r="E36" s="118"/>
      <c r="F36" s="118"/>
      <c r="G36" s="118"/>
      <c r="H36" s="119"/>
    </row>
    <row r="37" spans="1:8" ht="15.75" customHeight="1" x14ac:dyDescent="0.3">
      <c r="A37" s="64" t="s">
        <v>218</v>
      </c>
      <c r="B37" s="64"/>
      <c r="C37" s="114" t="s">
        <v>219</v>
      </c>
      <c r="D37" s="115"/>
      <c r="E37" s="115"/>
      <c r="F37" s="115"/>
      <c r="G37" s="115"/>
      <c r="H37" s="116"/>
    </row>
    <row r="38" spans="1:8" x14ac:dyDescent="0.3">
      <c r="A38" s="113" t="s">
        <v>35</v>
      </c>
      <c r="B38" s="113"/>
      <c r="C38" s="113"/>
      <c r="D38" s="113"/>
      <c r="E38" s="113"/>
      <c r="F38" s="113"/>
      <c r="G38" s="113"/>
      <c r="H38" s="113"/>
    </row>
    <row r="39" spans="1:8" x14ac:dyDescent="0.3">
      <c r="A39" s="64" t="s">
        <v>36</v>
      </c>
      <c r="B39" s="64"/>
      <c r="C39" s="64"/>
      <c r="D39" s="64"/>
      <c r="E39" s="108">
        <v>5400</v>
      </c>
      <c r="F39" s="108"/>
      <c r="G39" s="108"/>
      <c r="H39" s="108"/>
    </row>
    <row r="40" spans="1:8" x14ac:dyDescent="0.3">
      <c r="A40" s="64" t="s">
        <v>37</v>
      </c>
      <c r="B40" s="64"/>
      <c r="C40" s="64"/>
      <c r="D40" s="64"/>
      <c r="E40" s="135">
        <v>3</v>
      </c>
      <c r="F40" s="135"/>
      <c r="G40" s="135"/>
      <c r="H40" s="135"/>
    </row>
    <row r="41" spans="1:8" x14ac:dyDescent="0.3">
      <c r="A41" s="64" t="s">
        <v>38</v>
      </c>
      <c r="B41" s="64"/>
      <c r="C41" s="64"/>
      <c r="D41" s="64"/>
      <c r="E41" s="135">
        <f>E43/E39-E40</f>
        <v>0</v>
      </c>
      <c r="F41" s="135"/>
      <c r="G41" s="135"/>
      <c r="H41" s="135"/>
    </row>
    <row r="42" spans="1:8" x14ac:dyDescent="0.3">
      <c r="A42" s="64" t="s">
        <v>39</v>
      </c>
      <c r="B42" s="64"/>
      <c r="C42" s="64"/>
      <c r="D42" s="64"/>
      <c r="E42" s="135">
        <f>E40+E41</f>
        <v>3</v>
      </c>
      <c r="F42" s="135"/>
      <c r="G42" s="135"/>
      <c r="H42" s="135"/>
    </row>
    <row r="43" spans="1:8" x14ac:dyDescent="0.3">
      <c r="A43" s="64" t="s">
        <v>97</v>
      </c>
      <c r="B43" s="64"/>
      <c r="C43" s="64"/>
      <c r="D43" s="64"/>
      <c r="E43" s="136">
        <v>16200</v>
      </c>
      <c r="F43" s="136"/>
      <c r="G43" s="136"/>
      <c r="H43" s="136"/>
    </row>
    <row r="44" spans="1:8" x14ac:dyDescent="0.3">
      <c r="A44" s="64" t="s">
        <v>40</v>
      </c>
      <c r="B44" s="64"/>
      <c r="C44" s="64"/>
      <c r="D44" s="64"/>
      <c r="E44" s="64" t="s">
        <v>211</v>
      </c>
      <c r="F44" s="64"/>
      <c r="G44" s="64"/>
      <c r="H44" s="64"/>
    </row>
    <row r="45" spans="1:8" x14ac:dyDescent="0.3">
      <c r="A45" s="113" t="s">
        <v>41</v>
      </c>
      <c r="B45" s="113"/>
      <c r="C45" s="113"/>
      <c r="D45" s="113"/>
      <c r="E45" s="113"/>
      <c r="F45" s="113"/>
      <c r="G45" s="113"/>
      <c r="H45" s="113"/>
    </row>
    <row r="46" spans="1:8" ht="33.75" customHeight="1" x14ac:dyDescent="0.3">
      <c r="A46" s="83" t="s">
        <v>165</v>
      </c>
      <c r="B46" s="84"/>
      <c r="C46" s="85" t="s">
        <v>186</v>
      </c>
      <c r="D46" s="86"/>
      <c r="E46" s="86"/>
      <c r="F46" s="86"/>
      <c r="G46" s="86"/>
      <c r="H46" s="87"/>
    </row>
    <row r="47" spans="1:8" x14ac:dyDescent="0.3">
      <c r="A47" s="151" t="s">
        <v>42</v>
      </c>
      <c r="B47" s="151"/>
      <c r="C47" s="120" t="s">
        <v>190</v>
      </c>
      <c r="D47" s="120"/>
      <c r="E47" s="120"/>
      <c r="F47" s="21" t="s">
        <v>43</v>
      </c>
      <c r="G47" s="141">
        <v>43699</v>
      </c>
      <c r="H47" s="141"/>
    </row>
    <row r="48" spans="1:8" x14ac:dyDescent="0.3">
      <c r="A48" s="103" t="s">
        <v>44</v>
      </c>
      <c r="B48" s="103"/>
      <c r="C48" s="120" t="s">
        <v>190</v>
      </c>
      <c r="D48" s="120"/>
      <c r="E48" s="120"/>
      <c r="F48" s="21" t="s">
        <v>43</v>
      </c>
      <c r="G48" s="141">
        <f>G47</f>
        <v>43699</v>
      </c>
      <c r="H48" s="141"/>
    </row>
    <row r="49" spans="1:14" s="25" customFormat="1" x14ac:dyDescent="0.3">
      <c r="A49" s="120" t="s">
        <v>45</v>
      </c>
      <c r="B49" s="120"/>
      <c r="C49" s="120" t="s">
        <v>187</v>
      </c>
      <c r="D49" s="64"/>
      <c r="E49" s="64"/>
      <c r="F49" s="24" t="s">
        <v>43</v>
      </c>
      <c r="G49" s="141">
        <v>43699</v>
      </c>
      <c r="H49" s="141"/>
    </row>
    <row r="50" spans="1:14" s="25" customFormat="1" ht="17.25" customHeight="1" x14ac:dyDescent="0.3">
      <c r="A50" s="120"/>
      <c r="B50" s="120"/>
      <c r="C50" s="171" t="s">
        <v>188</v>
      </c>
      <c r="D50" s="172"/>
      <c r="E50" s="172"/>
      <c r="F50" s="172"/>
      <c r="G50" s="172"/>
      <c r="H50" s="173"/>
    </row>
    <row r="51" spans="1:14" ht="36.6" customHeight="1" x14ac:dyDescent="0.3">
      <c r="A51" s="169" t="s">
        <v>225</v>
      </c>
      <c r="B51" s="169"/>
      <c r="C51" s="125" t="s">
        <v>222</v>
      </c>
      <c r="D51" s="126"/>
      <c r="E51" s="126" t="s">
        <v>46</v>
      </c>
      <c r="F51" s="26" t="s">
        <v>43</v>
      </c>
      <c r="G51" s="170">
        <v>45134</v>
      </c>
      <c r="H51" s="170"/>
    </row>
    <row r="52" spans="1:14" x14ac:dyDescent="0.3">
      <c r="A52" s="158" t="s">
        <v>48</v>
      </c>
      <c r="B52" s="158"/>
      <c r="C52" s="158"/>
      <c r="D52" s="158"/>
      <c r="E52" s="158"/>
      <c r="F52" s="158"/>
      <c r="G52" s="158"/>
      <c r="H52" s="158"/>
    </row>
    <row r="53" spans="1:14" x14ac:dyDescent="0.3">
      <c r="A53" s="151" t="s">
        <v>96</v>
      </c>
      <c r="B53" s="151"/>
      <c r="C53" s="151"/>
      <c r="D53" s="103">
        <f>E43</f>
        <v>16200</v>
      </c>
      <c r="E53" s="103"/>
      <c r="F53" s="103"/>
      <c r="G53" s="103"/>
      <c r="H53" s="103"/>
    </row>
    <row r="54" spans="1:14" x14ac:dyDescent="0.3">
      <c r="A54" s="120" t="s">
        <v>49</v>
      </c>
      <c r="B54" s="64"/>
      <c r="C54" s="64"/>
      <c r="D54" s="64" t="s">
        <v>210</v>
      </c>
      <c r="E54" s="64"/>
      <c r="F54" s="64"/>
      <c r="G54" s="64"/>
      <c r="H54" s="64"/>
      <c r="I54" s="27"/>
    </row>
    <row r="55" spans="1:14" ht="15.75" customHeight="1" x14ac:dyDescent="0.3">
      <c r="A55" s="138" t="s">
        <v>50</v>
      </c>
      <c r="B55" s="139"/>
      <c r="C55" s="140"/>
      <c r="D55" s="137" t="s">
        <v>189</v>
      </c>
      <c r="E55" s="137"/>
      <c r="F55" s="137"/>
      <c r="G55" s="137"/>
      <c r="H55" s="137"/>
    </row>
    <row r="56" spans="1:14" ht="15.75" customHeight="1" x14ac:dyDescent="0.3">
      <c r="A56" s="138" t="s">
        <v>94</v>
      </c>
      <c r="B56" s="139"/>
      <c r="C56" s="139"/>
      <c r="D56" s="166" t="s">
        <v>236</v>
      </c>
      <c r="E56" s="167"/>
      <c r="F56" s="167"/>
      <c r="G56" s="167"/>
      <c r="H56" s="168"/>
    </row>
    <row r="57" spans="1:14" ht="15.75" customHeight="1" x14ac:dyDescent="0.3">
      <c r="A57" s="103" t="s">
        <v>47</v>
      </c>
      <c r="B57" s="103"/>
      <c r="C57" s="103"/>
      <c r="D57" s="127" t="s">
        <v>238</v>
      </c>
      <c r="E57" s="127"/>
      <c r="F57" s="127"/>
      <c r="G57" s="127"/>
      <c r="H57" s="127"/>
      <c r="J57" s="28"/>
      <c r="K57" s="27"/>
      <c r="N57" s="27"/>
    </row>
    <row r="58" spans="1:14" ht="15.75" customHeight="1" x14ac:dyDescent="0.3">
      <c r="A58" s="103" t="s">
        <v>92</v>
      </c>
      <c r="B58" s="103"/>
      <c r="C58" s="103"/>
      <c r="D58" s="134" t="str">
        <f ca="1">(IF(G51="NA","60 Years After Completion",IF(G51&lt;&gt;"NA",""&amp;60-ROUNDDOWN((E3-G51)/360,0)&amp;" Years"," ")))</f>
        <v>58 Years</v>
      </c>
      <c r="E58" s="134"/>
      <c r="F58" s="134"/>
      <c r="G58" s="134"/>
      <c r="H58" s="134"/>
      <c r="N58" s="27"/>
    </row>
    <row r="59" spans="1:14" ht="15.75" customHeight="1" x14ac:dyDescent="0.3">
      <c r="A59" s="103" t="s">
        <v>93</v>
      </c>
      <c r="B59" s="103"/>
      <c r="C59" s="103"/>
      <c r="D59" s="151" t="s">
        <v>24</v>
      </c>
      <c r="E59" s="151"/>
      <c r="F59" s="151"/>
      <c r="G59" s="151"/>
      <c r="H59" s="151"/>
      <c r="J59" s="16"/>
      <c r="K59" s="16"/>
    </row>
    <row r="60" spans="1:14" ht="15" hidden="1" customHeight="1" x14ac:dyDescent="0.3">
      <c r="A60" s="103" t="s">
        <v>79</v>
      </c>
      <c r="B60" s="103"/>
      <c r="C60" s="103"/>
      <c r="D60" s="120" t="s">
        <v>160</v>
      </c>
      <c r="E60" s="151"/>
      <c r="F60" s="151"/>
      <c r="G60" s="151"/>
      <c r="H60" s="151"/>
    </row>
    <row r="61" spans="1:14" x14ac:dyDescent="0.3">
      <c r="A61" s="151" t="s">
        <v>161</v>
      </c>
      <c r="B61" s="151"/>
      <c r="C61" s="151"/>
      <c r="D61" s="151" t="s">
        <v>30</v>
      </c>
      <c r="E61" s="151"/>
      <c r="F61" s="151"/>
      <c r="G61" s="151"/>
      <c r="H61" s="151"/>
      <c r="I61" s="29"/>
      <c r="J61" s="29"/>
      <c r="K61" s="29"/>
      <c r="L61" s="29"/>
      <c r="M61" s="29"/>
      <c r="N61" s="29"/>
    </row>
    <row r="62" spans="1:14" ht="15.75" customHeight="1" x14ac:dyDescent="0.3">
      <c r="A62" s="142" t="s">
        <v>91</v>
      </c>
      <c r="B62" s="142"/>
      <c r="C62" s="142"/>
      <c r="D62" s="143" t="str">
        <f ca="1">(IF(G68&gt;95%,"Nothing",IF(G68&gt;0%,"Cement, Aggregate, Steel, etc",IF(G68=0%,"Work not yet Started"))))</f>
        <v>Cement, Aggregate, Steel, etc</v>
      </c>
      <c r="E62" s="143"/>
      <c r="F62" s="143"/>
      <c r="G62" s="143"/>
      <c r="H62" s="143"/>
      <c r="J62" s="16"/>
    </row>
    <row r="63" spans="1:14" ht="33.75" customHeight="1" thickBot="1" x14ac:dyDescent="0.35">
      <c r="A63" s="153" t="s">
        <v>126</v>
      </c>
      <c r="B63" s="153"/>
      <c r="C63" s="153"/>
      <c r="D63" s="143" t="str">
        <f ca="1">(IF(D62="Nothing","Yes",IF(D62="Cement, Aggregate, Steel, etc","Under Construction",IF(D62="Work not yet Started","Work not yet Started"))))</f>
        <v>Under Construction</v>
      </c>
      <c r="E63" s="143"/>
      <c r="F63" s="143" t="str">
        <f ca="1">(IF(D62="Nothing","Yes",IF(D62="Cement, Aggregate, Steel, etc","Under Construction",IF(D62="Work not yet Started","Work not yet Started"))))</f>
        <v>Under Construction</v>
      </c>
      <c r="G63" s="143"/>
      <c r="H63" s="143"/>
    </row>
    <row r="64" spans="1:14" ht="15.75" customHeight="1" x14ac:dyDescent="0.3">
      <c r="A64" s="146" t="s">
        <v>150</v>
      </c>
      <c r="B64" s="147"/>
      <c r="C64" s="148" t="str">
        <f>D56</f>
        <v>Gr/St + 6P + 7th to 27th Floor</v>
      </c>
      <c r="D64" s="149"/>
      <c r="E64" s="149"/>
      <c r="F64" s="149"/>
      <c r="G64" s="149"/>
      <c r="H64" s="150"/>
      <c r="I64" s="15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Facade Completed",IF(C73&gt;0,", External Facade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Excavation work Completed. Plinth work completed, RCC upto 27 Slab Completed, Brickwork upto 18 Floor Completed, Internal Plaster upto 15 Floor Completed, External Facade upto 20 Floor Completed.</v>
      </c>
      <c r="J64" s="30"/>
    </row>
    <row r="65" spans="1:10" x14ac:dyDescent="0.3">
      <c r="A65" s="31" t="s">
        <v>152</v>
      </c>
      <c r="B65" s="32">
        <v>0</v>
      </c>
      <c r="C65" s="32" t="s">
        <v>76</v>
      </c>
      <c r="D65" s="32">
        <v>1</v>
      </c>
      <c r="E65" s="32" t="s">
        <v>75</v>
      </c>
      <c r="F65" s="32">
        <v>0</v>
      </c>
      <c r="G65" s="32" t="s">
        <v>85</v>
      </c>
      <c r="H65" s="33">
        <f ca="1">--TRIM(RIGHT(SUBSTITUTE(LEFT(C64,_xlfn.AGGREGATE(16,6,FIND({0,1,2,3,4,5,6,7,8,9},C64,ROW(INDIRECT("1:"&amp;LEN(C64)))),1))," ",REPT(" ",LEN(C64))),LEN(C64)))</f>
        <v>27</v>
      </c>
      <c r="I65" s="16"/>
      <c r="J65" s="34"/>
    </row>
    <row r="66" spans="1:10" ht="51" customHeight="1" x14ac:dyDescent="0.3">
      <c r="A66" s="145" t="s">
        <v>95</v>
      </c>
      <c r="B66" s="126"/>
      <c r="C66" s="125" t="str">
        <f ca="1">I64</f>
        <v>Excavation work Completed. Plinth work completed, RCC upto 27 Slab Completed, Brickwork upto 18 Floor Completed, Internal Plaster upto 15 Floor Completed, External Facade upto 20 Floor Completed.</v>
      </c>
      <c r="D66" s="125"/>
      <c r="E66" s="125"/>
      <c r="F66" s="125"/>
      <c r="G66" s="125"/>
      <c r="H66" s="152"/>
      <c r="I66" s="16" t="s">
        <v>113</v>
      </c>
      <c r="J66" s="34"/>
    </row>
    <row r="67" spans="1:10" ht="15.75" customHeight="1" x14ac:dyDescent="0.3">
      <c r="A67" s="101" t="s">
        <v>51</v>
      </c>
      <c r="B67" s="102"/>
      <c r="C67" s="35" t="s">
        <v>149</v>
      </c>
      <c r="D67" s="35" t="s">
        <v>88</v>
      </c>
      <c r="E67" s="102" t="s">
        <v>90</v>
      </c>
      <c r="F67" s="102"/>
      <c r="G67" s="102" t="s">
        <v>89</v>
      </c>
      <c r="H67" s="144"/>
      <c r="I67" s="14" t="s">
        <v>151</v>
      </c>
      <c r="J67" s="36">
        <f ca="1">H65*25%</f>
        <v>6.75</v>
      </c>
    </row>
    <row r="68" spans="1:10" x14ac:dyDescent="0.3">
      <c r="A68" s="101" t="s">
        <v>139</v>
      </c>
      <c r="B68" s="102"/>
      <c r="C68" s="37">
        <f ca="1">J69</f>
        <v>27</v>
      </c>
      <c r="D68" s="38">
        <f ca="1">((100/H65)*C68)/100</f>
        <v>1</v>
      </c>
      <c r="E68" s="128">
        <f ca="1">(((C69/H65*10)+(40/(D65+F65+H65)*C70)+(7.5/(H65)*C71)+(7.5/(H65)*C72)+(10/H65*C73)+(10/H65*C74)+(5/H65*C75)+(5/H65*C76)+(5/H65*C77))/100)</f>
        <v>0.65145502645502651</v>
      </c>
      <c r="F68" s="128"/>
      <c r="G68" s="128">
        <f ca="1">((((C68/H65)*20)+((C69/H65)*25)+(30/(H65+F65+D65)*C70)+(5/H65*C71)+(5/H65*C72)+(5/H65*C73)+(5/H65*C74)+(0/H65*C75)+(0/H65*C76)+(5/H65*C77))/100)</f>
        <v>0.83743386243386242</v>
      </c>
      <c r="H68" s="130"/>
      <c r="I68" s="14" t="s">
        <v>108</v>
      </c>
      <c r="J68" s="39">
        <f ca="1">H65*50%</f>
        <v>13.5</v>
      </c>
    </row>
    <row r="69" spans="1:10" x14ac:dyDescent="0.3">
      <c r="A69" s="101" t="s">
        <v>52</v>
      </c>
      <c r="B69" s="102"/>
      <c r="C69" s="40">
        <f ca="1">J77</f>
        <v>27</v>
      </c>
      <c r="D69" s="38">
        <f ca="1">((100/H65)*C69)/100</f>
        <v>1</v>
      </c>
      <c r="E69" s="128"/>
      <c r="F69" s="128"/>
      <c r="G69" s="128"/>
      <c r="H69" s="130"/>
      <c r="I69" s="14" t="s">
        <v>109</v>
      </c>
      <c r="J69" s="39">
        <f ca="1">H65</f>
        <v>27</v>
      </c>
    </row>
    <row r="70" spans="1:10" ht="15.75" customHeight="1" x14ac:dyDescent="0.3">
      <c r="A70" s="101" t="s">
        <v>140</v>
      </c>
      <c r="B70" s="102"/>
      <c r="C70" s="40">
        <v>27</v>
      </c>
      <c r="D70" s="38">
        <f ca="1">((100/(D65+F65+H65))*C70)/100</f>
        <v>0.9642857142857143</v>
      </c>
      <c r="E70" s="128"/>
      <c r="F70" s="128"/>
      <c r="G70" s="128"/>
      <c r="H70" s="130"/>
      <c r="I70" s="14" t="s">
        <v>110</v>
      </c>
      <c r="J70" s="41">
        <f ca="1">(IF(B65&gt;1,(H65/(B65+2)),H65/4))</f>
        <v>6.75</v>
      </c>
    </row>
    <row r="71" spans="1:10" ht="15.75" customHeight="1" x14ac:dyDescent="0.3">
      <c r="A71" s="101" t="s">
        <v>146</v>
      </c>
      <c r="B71" s="102" t="s">
        <v>141</v>
      </c>
      <c r="C71" s="37">
        <v>18</v>
      </c>
      <c r="D71" s="38">
        <f ca="1">((100/H65)*C71)/100</f>
        <v>0.66666666666666674</v>
      </c>
      <c r="E71" s="128"/>
      <c r="F71" s="128"/>
      <c r="G71" s="128"/>
      <c r="H71" s="130"/>
      <c r="I71" s="14" t="s">
        <v>111</v>
      </c>
      <c r="J71" s="41">
        <f ca="1">(IF(B65&gt;1,(H65/(B65+2)+J70),H65/4+J70))</f>
        <v>13.5</v>
      </c>
    </row>
    <row r="72" spans="1:10" ht="15.75" customHeight="1" x14ac:dyDescent="0.3">
      <c r="A72" s="101" t="s">
        <v>147</v>
      </c>
      <c r="B72" s="102" t="s">
        <v>141</v>
      </c>
      <c r="C72" s="37">
        <v>15</v>
      </c>
      <c r="D72" s="38">
        <f ca="1">((100/H65)*C72)/100</f>
        <v>0.55555555555555558</v>
      </c>
      <c r="E72" s="128"/>
      <c r="F72" s="128"/>
      <c r="G72" s="128"/>
      <c r="H72" s="130"/>
      <c r="I72" s="14" t="s">
        <v>158</v>
      </c>
      <c r="J72" s="41">
        <f>(IF(B65&gt;1,(H65/(B65+2)+J71),0))</f>
        <v>0</v>
      </c>
    </row>
    <row r="73" spans="1:10" ht="15" customHeight="1" x14ac:dyDescent="0.3">
      <c r="A73" s="101" t="s">
        <v>233</v>
      </c>
      <c r="B73" s="102" t="s">
        <v>143</v>
      </c>
      <c r="C73" s="37">
        <v>20</v>
      </c>
      <c r="D73" s="38">
        <f ca="1">((100/(H65))*C73)/100</f>
        <v>0.74074074074074081</v>
      </c>
      <c r="E73" s="128"/>
      <c r="F73" s="128"/>
      <c r="G73" s="128"/>
      <c r="H73" s="130"/>
      <c r="I73" s="14" t="s">
        <v>153</v>
      </c>
      <c r="J73" s="41">
        <f>(IF(B65&gt;2,(H65/(B65+2)+J72),0))</f>
        <v>0</v>
      </c>
    </row>
    <row r="74" spans="1:10" ht="15.75" customHeight="1" x14ac:dyDescent="0.3">
      <c r="A74" s="101" t="s">
        <v>142</v>
      </c>
      <c r="B74" s="102" t="s">
        <v>142</v>
      </c>
      <c r="C74" s="37">
        <v>0</v>
      </c>
      <c r="D74" s="38">
        <f ca="1">((100/H65)*C74)/100</f>
        <v>0</v>
      </c>
      <c r="E74" s="128"/>
      <c r="F74" s="128"/>
      <c r="G74" s="128"/>
      <c r="H74" s="130"/>
      <c r="I74" s="14" t="s">
        <v>154</v>
      </c>
      <c r="J74" s="42">
        <f>(IF(B65&gt;3,(H65/(B65+2)+J73),0))</f>
        <v>0</v>
      </c>
    </row>
    <row r="75" spans="1:10" ht="15.75" customHeight="1" x14ac:dyDescent="0.3">
      <c r="A75" s="101" t="s">
        <v>148</v>
      </c>
      <c r="B75" s="102"/>
      <c r="C75" s="37">
        <v>0</v>
      </c>
      <c r="D75" s="38">
        <f ca="1">((100/H65)*C75)/100</f>
        <v>0</v>
      </c>
      <c r="E75" s="128"/>
      <c r="F75" s="128"/>
      <c r="G75" s="128"/>
      <c r="H75" s="130"/>
      <c r="I75" s="14" t="s">
        <v>155</v>
      </c>
      <c r="J75" s="41">
        <f>(IF(B65&gt;4,(H65/(B65+2)+J74),0))</f>
        <v>0</v>
      </c>
    </row>
    <row r="76" spans="1:10" ht="15.75" customHeight="1" x14ac:dyDescent="0.3">
      <c r="A76" s="101" t="s">
        <v>144</v>
      </c>
      <c r="B76" s="102" t="s">
        <v>144</v>
      </c>
      <c r="C76" s="37">
        <v>0</v>
      </c>
      <c r="D76" s="38">
        <f ca="1">((100/(H65))*C76)/100</f>
        <v>0</v>
      </c>
      <c r="E76" s="128"/>
      <c r="F76" s="128"/>
      <c r="G76" s="128"/>
      <c r="H76" s="130"/>
      <c r="I76" s="14" t="s">
        <v>159</v>
      </c>
      <c r="J76" s="41">
        <f ca="1">(IF(B65=1,(H65/(B65+3)+J71),IF(B65=0,(H65/4+J71),IF(B65&gt;1,0))))</f>
        <v>20.25</v>
      </c>
    </row>
    <row r="77" spans="1:10" ht="16.2" thickBot="1" x14ac:dyDescent="0.35">
      <c r="A77" s="132" t="s">
        <v>145</v>
      </c>
      <c r="B77" s="133"/>
      <c r="C77" s="43">
        <v>0</v>
      </c>
      <c r="D77" s="44">
        <f ca="1">((100/(H65))*C77)/100</f>
        <v>0</v>
      </c>
      <c r="E77" s="129"/>
      <c r="F77" s="129"/>
      <c r="G77" s="129"/>
      <c r="H77" s="131"/>
      <c r="I77" s="17" t="s">
        <v>112</v>
      </c>
      <c r="J77" s="45">
        <f ca="1">(IF(B65&gt;1.5,(H65/(B65+2)+J71+MAX(0,J72-J71)+MAX(0,J73-J72)+MAX(0,J74-J73)+MAX(0,J75-J74)+MAX(0,J76-J75)),IF(B65=1,(H65/(B65+3)+J76),IF(B65=0,H65/4+J76))))</f>
        <v>27</v>
      </c>
    </row>
    <row r="78" spans="1:10" x14ac:dyDescent="0.3">
      <c r="A78" s="113" t="s">
        <v>53</v>
      </c>
      <c r="B78" s="113"/>
      <c r="C78" s="113"/>
      <c r="D78" s="113"/>
      <c r="E78" s="113"/>
      <c r="F78" s="113"/>
      <c r="G78" s="113"/>
      <c r="H78" s="113"/>
    </row>
    <row r="79" spans="1:10" hidden="1" x14ac:dyDescent="0.3">
      <c r="A79" s="103" t="s">
        <v>168</v>
      </c>
      <c r="B79" s="103"/>
      <c r="C79" s="103"/>
      <c r="D79" s="103"/>
      <c r="E79" s="103"/>
      <c r="F79" s="72"/>
      <c r="G79" s="72"/>
      <c r="H79" s="72"/>
    </row>
    <row r="80" spans="1:10" x14ac:dyDescent="0.3">
      <c r="A80" s="64" t="s">
        <v>169</v>
      </c>
      <c r="B80" s="64"/>
      <c r="C80" s="64"/>
      <c r="D80" s="64"/>
      <c r="E80" s="64"/>
      <c r="F80" s="72">
        <v>10000</v>
      </c>
      <c r="G80" s="72"/>
      <c r="H80" s="72"/>
    </row>
    <row r="81" spans="1:12" x14ac:dyDescent="0.3">
      <c r="A81" s="64" t="s">
        <v>170</v>
      </c>
      <c r="B81" s="64"/>
      <c r="C81" s="64"/>
      <c r="D81" s="64"/>
      <c r="E81" s="64"/>
      <c r="F81" s="72">
        <v>10000</v>
      </c>
      <c r="G81" s="72"/>
      <c r="H81" s="72"/>
      <c r="I81" s="22" t="s">
        <v>227</v>
      </c>
      <c r="J81" s="22" t="s">
        <v>228</v>
      </c>
      <c r="K81" s="28">
        <v>45318</v>
      </c>
    </row>
    <row r="82" spans="1:12" s="46" customFormat="1" hidden="1" x14ac:dyDescent="0.25">
      <c r="A82" s="64" t="s">
        <v>100</v>
      </c>
      <c r="B82" s="64"/>
      <c r="C82" s="64"/>
      <c r="D82" s="64"/>
      <c r="E82" s="64"/>
      <c r="F82" s="72"/>
      <c r="G82" s="72"/>
      <c r="H82" s="72"/>
    </row>
    <row r="83" spans="1:12" s="46" customFormat="1" hidden="1" x14ac:dyDescent="0.25">
      <c r="A83" s="64" t="s">
        <v>101</v>
      </c>
      <c r="B83" s="64"/>
      <c r="C83" s="64"/>
      <c r="D83" s="64"/>
      <c r="E83" s="64"/>
      <c r="F83" s="72"/>
      <c r="G83" s="72"/>
      <c r="H83" s="72"/>
    </row>
    <row r="84" spans="1:12" s="46" customFormat="1" hidden="1" x14ac:dyDescent="0.25">
      <c r="A84" s="64" t="s">
        <v>102</v>
      </c>
      <c r="B84" s="64"/>
      <c r="C84" s="64"/>
      <c r="D84" s="64"/>
      <c r="E84" s="64"/>
      <c r="F84" s="72"/>
      <c r="G84" s="72"/>
      <c r="H84" s="72"/>
    </row>
    <row r="85" spans="1:12" s="46" customFormat="1" hidden="1" x14ac:dyDescent="0.25">
      <c r="A85" s="64" t="s">
        <v>103</v>
      </c>
      <c r="B85" s="64"/>
      <c r="C85" s="64"/>
      <c r="D85" s="64"/>
      <c r="E85" s="64"/>
      <c r="F85" s="72"/>
      <c r="G85" s="72"/>
      <c r="H85" s="72"/>
    </row>
    <row r="86" spans="1:12" s="46" customFormat="1" hidden="1" x14ac:dyDescent="0.25">
      <c r="A86" s="64" t="s">
        <v>104</v>
      </c>
      <c r="B86" s="64"/>
      <c r="C86" s="64"/>
      <c r="D86" s="64"/>
      <c r="E86" s="64"/>
      <c r="F86" s="72"/>
      <c r="G86" s="72"/>
      <c r="H86" s="72"/>
    </row>
    <row r="87" spans="1:12" s="46" customFormat="1" hidden="1" x14ac:dyDescent="0.25">
      <c r="A87" s="64" t="s">
        <v>105</v>
      </c>
      <c r="B87" s="64"/>
      <c r="C87" s="64"/>
      <c r="D87" s="64"/>
      <c r="E87" s="64"/>
      <c r="F87" s="72"/>
      <c r="G87" s="72"/>
      <c r="H87" s="72"/>
    </row>
    <row r="88" spans="1:12" s="46" customFormat="1" hidden="1" x14ac:dyDescent="0.25">
      <c r="A88" s="64" t="s">
        <v>106</v>
      </c>
      <c r="B88" s="64"/>
      <c r="C88" s="64"/>
      <c r="D88" s="64"/>
      <c r="E88" s="64"/>
      <c r="F88" s="72"/>
      <c r="G88" s="72"/>
      <c r="H88" s="72"/>
    </row>
    <row r="89" spans="1:12" s="46" customFormat="1" hidden="1" x14ac:dyDescent="0.25">
      <c r="A89" s="64" t="s">
        <v>107</v>
      </c>
      <c r="B89" s="64"/>
      <c r="C89" s="64"/>
      <c r="D89" s="64"/>
      <c r="E89" s="64"/>
      <c r="F89" s="72"/>
      <c r="G89" s="72"/>
      <c r="H89" s="72"/>
    </row>
    <row r="90" spans="1:12" x14ac:dyDescent="0.3">
      <c r="A90" s="64" t="s">
        <v>54</v>
      </c>
      <c r="B90" s="64"/>
      <c r="C90" s="64"/>
      <c r="D90" s="64"/>
      <c r="E90" s="64"/>
      <c r="F90" s="72">
        <v>700000</v>
      </c>
      <c r="G90" s="72"/>
      <c r="H90" s="72"/>
      <c r="I90" s="56" t="s">
        <v>217</v>
      </c>
      <c r="J90" s="56" t="s">
        <v>214</v>
      </c>
      <c r="K90" s="56" t="s">
        <v>215</v>
      </c>
      <c r="L90" s="57">
        <v>44854</v>
      </c>
    </row>
    <row r="91" spans="1:12" s="47" customFormat="1" x14ac:dyDescent="0.3">
      <c r="A91" s="126" t="s">
        <v>55</v>
      </c>
      <c r="B91" s="126"/>
      <c r="C91" s="126"/>
      <c r="D91" s="126"/>
      <c r="E91" s="126"/>
      <c r="F91" s="72">
        <f>F80*0.8</f>
        <v>8000</v>
      </c>
      <c r="G91" s="72"/>
      <c r="H91" s="72"/>
    </row>
    <row r="92" spans="1:12" s="48" customFormat="1" ht="15.75" customHeight="1" x14ac:dyDescent="0.3">
      <c r="A92" s="97" t="s">
        <v>80</v>
      </c>
      <c r="B92" s="97"/>
      <c r="C92" s="97"/>
      <c r="D92" s="97"/>
      <c r="E92" s="97"/>
      <c r="F92" s="97"/>
      <c r="G92" s="97"/>
      <c r="H92" s="97"/>
    </row>
    <row r="93" spans="1:12" s="48" customFormat="1" ht="15.75" customHeight="1" x14ac:dyDescent="0.3">
      <c r="A93" s="96" t="s">
        <v>56</v>
      </c>
      <c r="B93" s="96"/>
      <c r="C93" s="95" t="s">
        <v>83</v>
      </c>
      <c r="D93" s="95"/>
      <c r="E93" s="107" t="s">
        <v>57</v>
      </c>
      <c r="F93" s="107"/>
      <c r="G93" s="96" t="s">
        <v>58</v>
      </c>
      <c r="H93" s="96"/>
    </row>
    <row r="94" spans="1:12" s="48" customFormat="1" x14ac:dyDescent="0.3">
      <c r="A94" s="105" t="s">
        <v>202</v>
      </c>
      <c r="B94" s="105"/>
      <c r="C94" s="162">
        <f>COUNT(D119:D127)*4+COUNT(D129:D138)+COUNT(D140:D149)*10+COUNT(D151:D153)</f>
        <v>149</v>
      </c>
      <c r="D94" s="163"/>
      <c r="E94" s="162">
        <f>SUM(D119:D127)*4+SUM(D129:D138)+SUM(D140:D149)*10+SUM(D151:D153)</f>
        <v>138741.71687999999</v>
      </c>
      <c r="F94" s="163"/>
      <c r="G94" s="162">
        <f>SUM(F119:F127)*4+SUM(F129:F138)+SUM(F140:F149)*10+SUM(F151:F153)</f>
        <v>279123</v>
      </c>
      <c r="H94" s="163"/>
    </row>
    <row r="95" spans="1:12" s="48" customFormat="1" hidden="1" x14ac:dyDescent="0.3">
      <c r="A95" s="97" t="s">
        <v>74</v>
      </c>
      <c r="B95" s="97"/>
      <c r="C95" s="97"/>
      <c r="D95" s="97"/>
      <c r="E95" s="97"/>
      <c r="F95" s="97"/>
      <c r="G95" s="97"/>
      <c r="H95" s="97"/>
    </row>
    <row r="96" spans="1:12" s="48" customFormat="1" ht="15.75" hidden="1" customHeight="1" x14ac:dyDescent="0.3">
      <c r="A96" s="96" t="s">
        <v>56</v>
      </c>
      <c r="B96" s="96"/>
      <c r="C96" s="95" t="s">
        <v>83</v>
      </c>
      <c r="D96" s="95"/>
      <c r="E96" s="107" t="s">
        <v>57</v>
      </c>
      <c r="F96" s="107"/>
      <c r="G96" s="96" t="s">
        <v>58</v>
      </c>
      <c r="H96" s="96"/>
    </row>
    <row r="97" spans="1:14" s="48" customFormat="1" hidden="1" x14ac:dyDescent="0.3">
      <c r="A97" s="105"/>
      <c r="B97" s="105"/>
      <c r="C97" s="92"/>
      <c r="D97" s="92"/>
      <c r="E97" s="93"/>
      <c r="F97" s="93"/>
      <c r="G97" s="94"/>
      <c r="H97" s="94"/>
    </row>
    <row r="98" spans="1:14" s="48" customFormat="1" hidden="1" x14ac:dyDescent="0.3">
      <c r="A98" s="105"/>
      <c r="B98" s="105"/>
      <c r="C98" s="92"/>
      <c r="D98" s="92"/>
      <c r="E98" s="93"/>
      <c r="F98" s="93"/>
      <c r="G98" s="94"/>
      <c r="H98" s="94"/>
    </row>
    <row r="99" spans="1:14" s="48" customFormat="1" hidden="1" x14ac:dyDescent="0.3">
      <c r="A99" s="97" t="s">
        <v>164</v>
      </c>
      <c r="B99" s="97"/>
      <c r="C99" s="95"/>
      <c r="D99" s="95"/>
      <c r="E99" s="107"/>
      <c r="F99" s="107"/>
      <c r="G99" s="96"/>
      <c r="H99" s="96"/>
    </row>
    <row r="100" spans="1:14" s="48" customFormat="1" x14ac:dyDescent="0.3">
      <c r="A100" s="105" t="s">
        <v>203</v>
      </c>
      <c r="B100" s="105"/>
      <c r="C100" s="106">
        <f>COUNT(D154:D160)+COUNT(D163:D171)+COUNT(D173:D182)</f>
        <v>26</v>
      </c>
      <c r="D100" s="106"/>
      <c r="E100" s="106">
        <f>SUM(D154:D160)+SUM(D163:D171)+SUM(D173:D182)</f>
        <v>24240.958559999995</v>
      </c>
      <c r="F100" s="106"/>
      <c r="G100" s="106">
        <f>SUM(F154:F160)+SUM(F163:F171)+SUM(F173:F182)</f>
        <v>48794</v>
      </c>
      <c r="H100" s="106"/>
    </row>
    <row r="101" spans="1:14" s="48" customFormat="1" x14ac:dyDescent="0.3">
      <c r="A101" s="105" t="s">
        <v>209</v>
      </c>
      <c r="B101" s="105"/>
      <c r="C101" s="106">
        <f>COUNT(D107:D114)</f>
        <v>8</v>
      </c>
      <c r="D101" s="106"/>
      <c r="E101" s="106">
        <f>SUM(D107:D114)</f>
        <v>5525.1611999999986</v>
      </c>
      <c r="F101" s="106"/>
      <c r="G101" s="106">
        <f>SUM(F107:F114)</f>
        <v>12196</v>
      </c>
      <c r="H101" s="106"/>
    </row>
    <row r="102" spans="1:14" s="48" customFormat="1" x14ac:dyDescent="0.3">
      <c r="A102" s="97" t="s">
        <v>164</v>
      </c>
      <c r="B102" s="97"/>
      <c r="C102" s="98">
        <f>SUM(C94:C101)</f>
        <v>183</v>
      </c>
      <c r="D102" s="98"/>
      <c r="E102" s="98">
        <f>SUM(E94:E101)</f>
        <v>168507.83663999999</v>
      </c>
      <c r="F102" s="98"/>
      <c r="G102" s="98">
        <f>SUM(G94:G101)</f>
        <v>340113</v>
      </c>
      <c r="H102" s="98"/>
    </row>
    <row r="103" spans="1:14" s="47" customFormat="1" x14ac:dyDescent="0.3">
      <c r="A103" s="159" t="s">
        <v>59</v>
      </c>
      <c r="B103" s="160"/>
      <c r="C103" s="160"/>
      <c r="D103" s="160"/>
      <c r="E103" s="160"/>
      <c r="F103" s="160"/>
      <c r="G103" s="160"/>
      <c r="H103" s="161"/>
    </row>
    <row r="104" spans="1:14" x14ac:dyDescent="0.3">
      <c r="A104" s="79" t="s">
        <v>60</v>
      </c>
      <c r="B104" s="79"/>
      <c r="C104" s="79"/>
      <c r="D104" s="79"/>
      <c r="E104" s="79"/>
      <c r="F104" s="79"/>
      <c r="G104" s="79"/>
      <c r="H104" s="79"/>
    </row>
    <row r="105" spans="1:14" ht="47.25" customHeight="1" x14ac:dyDescent="0.3">
      <c r="A105" s="19" t="s">
        <v>129</v>
      </c>
      <c r="B105" s="19" t="s">
        <v>128</v>
      </c>
      <c r="C105" s="19" t="s">
        <v>61</v>
      </c>
      <c r="D105" s="19" t="s">
        <v>62</v>
      </c>
      <c r="E105" s="55" t="s">
        <v>63</v>
      </c>
      <c r="F105" s="19" t="s">
        <v>216</v>
      </c>
      <c r="G105" s="99" t="s">
        <v>64</v>
      </c>
      <c r="H105" s="104"/>
    </row>
    <row r="106" spans="1:14" s="49" customFormat="1" x14ac:dyDescent="0.3">
      <c r="A106" s="80" t="s">
        <v>206</v>
      </c>
      <c r="B106" s="81"/>
      <c r="C106" s="81"/>
      <c r="D106" s="81"/>
      <c r="E106" s="81"/>
      <c r="F106" s="81"/>
      <c r="G106" s="81"/>
      <c r="H106" s="82"/>
      <c r="J106" s="50"/>
    </row>
    <row r="107" spans="1:14" s="49" customFormat="1" ht="46.5" customHeight="1" x14ac:dyDescent="0.3">
      <c r="A107" s="62">
        <v>1</v>
      </c>
      <c r="B107" s="63"/>
      <c r="C107" s="18" t="s">
        <v>208</v>
      </c>
      <c r="D107" s="18">
        <f>84.42*10.764</f>
        <v>908.69687999999996</v>
      </c>
      <c r="E107" s="18">
        <v>0</v>
      </c>
      <c r="F107" s="18">
        <v>2002</v>
      </c>
      <c r="G107" s="73" t="str">
        <f>A106</f>
        <v>Ground Floor for Commercial &amp; Parking</v>
      </c>
      <c r="H107" s="74"/>
      <c r="I107" s="50"/>
      <c r="J107" s="49">
        <f>F107/D107</f>
        <v>2.2031549178423502</v>
      </c>
      <c r="L107" s="61"/>
      <c r="M107" s="61"/>
      <c r="N107" s="50"/>
    </row>
    <row r="108" spans="1:14" s="49" customFormat="1" ht="48.75" customHeight="1" x14ac:dyDescent="0.3">
      <c r="A108" s="62">
        <f t="shared" ref="A108:A114" si="0">A107+1</f>
        <v>2</v>
      </c>
      <c r="B108" s="63"/>
      <c r="C108" s="18" t="s">
        <v>208</v>
      </c>
      <c r="D108" s="18">
        <f>48.53*10.764</f>
        <v>522.37691999999993</v>
      </c>
      <c r="E108" s="18">
        <v>0</v>
      </c>
      <c r="F108" s="18">
        <v>1155</v>
      </c>
      <c r="G108" s="75"/>
      <c r="H108" s="76"/>
      <c r="I108" s="50"/>
      <c r="J108" s="49">
        <f t="shared" ref="J108:J114" si="1">F108/D108</f>
        <v>2.2110471496328747</v>
      </c>
      <c r="K108" s="50"/>
      <c r="L108" s="61"/>
      <c r="M108" s="61"/>
      <c r="N108" s="50"/>
    </row>
    <row r="109" spans="1:14" s="49" customFormat="1" ht="52.5" customHeight="1" x14ac:dyDescent="0.3">
      <c r="A109" s="62">
        <f t="shared" si="0"/>
        <v>3</v>
      </c>
      <c r="B109" s="63"/>
      <c r="C109" s="18" t="s">
        <v>208</v>
      </c>
      <c r="D109" s="18">
        <f>48.53*10.764</f>
        <v>522.37691999999993</v>
      </c>
      <c r="E109" s="18">
        <v>0</v>
      </c>
      <c r="F109" s="18">
        <v>1155</v>
      </c>
      <c r="G109" s="75"/>
      <c r="H109" s="76"/>
      <c r="I109" s="50"/>
      <c r="J109" s="49">
        <f t="shared" si="1"/>
        <v>2.2110471496328747</v>
      </c>
      <c r="K109" s="50"/>
      <c r="L109" s="61"/>
      <c r="M109" s="61"/>
      <c r="N109" s="50"/>
    </row>
    <row r="110" spans="1:14" s="49" customFormat="1" ht="45.75" customHeight="1" x14ac:dyDescent="0.3">
      <c r="A110" s="62">
        <f t="shared" si="0"/>
        <v>4</v>
      </c>
      <c r="B110" s="63"/>
      <c r="C110" s="18" t="s">
        <v>208</v>
      </c>
      <c r="D110" s="18">
        <f>48.53*10.764</f>
        <v>522.37691999999993</v>
      </c>
      <c r="E110" s="18">
        <v>0</v>
      </c>
      <c r="F110" s="18">
        <v>1155</v>
      </c>
      <c r="G110" s="75"/>
      <c r="H110" s="76"/>
      <c r="I110" s="50"/>
      <c r="J110" s="49">
        <f t="shared" si="1"/>
        <v>2.2110471496328747</v>
      </c>
      <c r="K110" s="50"/>
      <c r="L110" s="61"/>
      <c r="M110" s="61"/>
      <c r="N110" s="50"/>
    </row>
    <row r="111" spans="1:14" s="49" customFormat="1" ht="51" customHeight="1" x14ac:dyDescent="0.3">
      <c r="A111" s="62">
        <f t="shared" si="0"/>
        <v>5</v>
      </c>
      <c r="B111" s="63"/>
      <c r="C111" s="18" t="s">
        <v>208</v>
      </c>
      <c r="D111" s="18">
        <f>49.27*10.764</f>
        <v>530.34227999999996</v>
      </c>
      <c r="E111" s="18">
        <v>0</v>
      </c>
      <c r="F111" s="18">
        <v>1172</v>
      </c>
      <c r="G111" s="75"/>
      <c r="H111" s="76"/>
      <c r="I111" s="50"/>
      <c r="J111" s="49">
        <f t="shared" si="1"/>
        <v>2.2098935804250797</v>
      </c>
      <c r="L111" s="61"/>
      <c r="M111" s="61"/>
      <c r="N111" s="50"/>
    </row>
    <row r="112" spans="1:14" s="49" customFormat="1" ht="51.75" customHeight="1" x14ac:dyDescent="0.3">
      <c r="A112" s="62">
        <f t="shared" si="0"/>
        <v>6</v>
      </c>
      <c r="B112" s="63"/>
      <c r="C112" s="18" t="s">
        <v>208</v>
      </c>
      <c r="D112" s="18">
        <f>67.77*10.764</f>
        <v>729.47627999999986</v>
      </c>
      <c r="E112" s="18">
        <v>0</v>
      </c>
      <c r="F112" s="18">
        <v>1611</v>
      </c>
      <c r="G112" s="75"/>
      <c r="H112" s="76"/>
      <c r="I112" s="50"/>
      <c r="J112" s="49">
        <f t="shared" si="1"/>
        <v>2.2084336998593024</v>
      </c>
      <c r="L112" s="61"/>
      <c r="M112" s="61"/>
      <c r="N112" s="50"/>
    </row>
    <row r="113" spans="1:14" s="49" customFormat="1" ht="51.75" customHeight="1" x14ac:dyDescent="0.3">
      <c r="A113" s="62">
        <f t="shared" si="0"/>
        <v>7</v>
      </c>
      <c r="B113" s="63"/>
      <c r="C113" s="18" t="s">
        <v>208</v>
      </c>
      <c r="D113" s="18">
        <f>90.34*10.764</f>
        <v>972.41976</v>
      </c>
      <c r="E113" s="18">
        <v>0</v>
      </c>
      <c r="F113" s="18">
        <v>2146</v>
      </c>
      <c r="G113" s="75"/>
      <c r="H113" s="76"/>
      <c r="I113" s="50"/>
      <c r="J113" s="49">
        <f t="shared" si="1"/>
        <v>2.2068658909193699</v>
      </c>
      <c r="L113" s="61"/>
      <c r="M113" s="61"/>
      <c r="N113" s="50"/>
    </row>
    <row r="114" spans="1:14" s="49" customFormat="1" ht="50.25" customHeight="1" x14ac:dyDescent="0.3">
      <c r="A114" s="62">
        <f t="shared" si="0"/>
        <v>8</v>
      </c>
      <c r="B114" s="63"/>
      <c r="C114" s="18" t="s">
        <v>208</v>
      </c>
      <c r="D114" s="18">
        <f>75.91*10.764</f>
        <v>817.09523999999988</v>
      </c>
      <c r="E114" s="18">
        <v>0</v>
      </c>
      <c r="F114" s="18">
        <v>1800</v>
      </c>
      <c r="G114" s="77"/>
      <c r="H114" s="78"/>
      <c r="I114" s="50"/>
      <c r="J114" s="49">
        <f t="shared" si="1"/>
        <v>2.2029255732783368</v>
      </c>
      <c r="L114" s="61"/>
      <c r="M114" s="61"/>
      <c r="N114" s="50"/>
    </row>
    <row r="115" spans="1:14" s="47" customFormat="1" x14ac:dyDescent="0.3">
      <c r="A115" s="79" t="s">
        <v>191</v>
      </c>
      <c r="B115" s="79"/>
      <c r="C115" s="79"/>
      <c r="D115" s="79"/>
      <c r="E115" s="79"/>
      <c r="F115" s="79"/>
      <c r="G115" s="79"/>
      <c r="H115" s="79"/>
    </row>
    <row r="116" spans="1:14" s="47" customFormat="1" x14ac:dyDescent="0.3">
      <c r="A116" s="79" t="s">
        <v>192</v>
      </c>
      <c r="B116" s="79"/>
      <c r="C116" s="79"/>
      <c r="D116" s="79"/>
      <c r="E116" s="79"/>
      <c r="F116" s="79"/>
      <c r="G116" s="79"/>
      <c r="H116" s="79"/>
    </row>
    <row r="117" spans="1:14" s="49" customFormat="1" x14ac:dyDescent="0.3">
      <c r="A117" s="80" t="s">
        <v>207</v>
      </c>
      <c r="B117" s="81"/>
      <c r="C117" s="81"/>
      <c r="D117" s="81"/>
      <c r="E117" s="81"/>
      <c r="F117" s="81"/>
      <c r="G117" s="81"/>
      <c r="H117" s="82"/>
      <c r="J117" s="50"/>
    </row>
    <row r="118" spans="1:14" s="49" customFormat="1" ht="15.75" customHeight="1" x14ac:dyDescent="0.3">
      <c r="A118" s="62">
        <v>1</v>
      </c>
      <c r="B118" s="63"/>
      <c r="C118" s="62" t="s">
        <v>198</v>
      </c>
      <c r="D118" s="65"/>
      <c r="E118" s="65"/>
      <c r="F118" s="63"/>
      <c r="G118" s="66" t="str">
        <f>A117</f>
        <v>7th, 11th, 15th &amp; 19th Floor (Part Refuge Area)</v>
      </c>
      <c r="H118" s="67"/>
      <c r="I118" s="50"/>
      <c r="L118" s="61"/>
      <c r="M118" s="61"/>
      <c r="N118" s="50"/>
    </row>
    <row r="119" spans="1:14" s="49" customFormat="1" ht="15.75" customHeight="1" x14ac:dyDescent="0.3">
      <c r="A119" s="62">
        <f t="shared" ref="A119:A127" si="2">A118+1</f>
        <v>2</v>
      </c>
      <c r="B119" s="63"/>
      <c r="C119" s="18" t="s">
        <v>197</v>
      </c>
      <c r="D119" s="18">
        <f>(115.43+15.8)*10.764</f>
        <v>1412.5597200000002</v>
      </c>
      <c r="E119" s="18">
        <v>0</v>
      </c>
      <c r="F119" s="18">
        <v>2832</v>
      </c>
      <c r="G119" s="68"/>
      <c r="H119" s="69"/>
      <c r="I119" s="50" t="s">
        <v>205</v>
      </c>
      <c r="J119" s="49" t="s">
        <v>121</v>
      </c>
      <c r="K119" s="49" t="s">
        <v>204</v>
      </c>
      <c r="L119" s="61"/>
      <c r="M119" s="61"/>
      <c r="N119" s="50"/>
    </row>
    <row r="120" spans="1:14" s="49" customFormat="1" ht="15.75" customHeight="1" x14ac:dyDescent="0.3">
      <c r="A120" s="62">
        <f t="shared" si="2"/>
        <v>3</v>
      </c>
      <c r="B120" s="63"/>
      <c r="C120" s="18" t="s">
        <v>197</v>
      </c>
      <c r="D120" s="18">
        <f>(54.1+5.7)*10.764</f>
        <v>643.68719999999996</v>
      </c>
      <c r="E120" s="18">
        <v>0</v>
      </c>
      <c r="F120" s="18">
        <v>1295</v>
      </c>
      <c r="G120" s="68"/>
      <c r="H120" s="69"/>
      <c r="I120" s="50"/>
      <c r="J120" s="50">
        <f>8900000/F120</f>
        <v>6872.5868725868722</v>
      </c>
      <c r="K120" s="50">
        <f>22300000/F119</f>
        <v>7874.2937853107342</v>
      </c>
      <c r="L120" s="61"/>
      <c r="M120" s="61"/>
      <c r="N120" s="50"/>
    </row>
    <row r="121" spans="1:14" s="49" customFormat="1" ht="15.75" customHeight="1" x14ac:dyDescent="0.3">
      <c r="A121" s="62">
        <f t="shared" si="2"/>
        <v>4</v>
      </c>
      <c r="B121" s="63"/>
      <c r="C121" s="18" t="s">
        <v>197</v>
      </c>
      <c r="D121" s="18">
        <f t="shared" ref="D121:D125" si="3">(54.1+5.7)*10.764</f>
        <v>643.68719999999996</v>
      </c>
      <c r="E121" s="18">
        <v>0</v>
      </c>
      <c r="F121" s="18">
        <v>1295</v>
      </c>
      <c r="G121" s="68"/>
      <c r="H121" s="69"/>
      <c r="I121" s="50"/>
      <c r="J121" s="50">
        <f xml:space="preserve"> 12900000/F127</f>
        <v>4862.4199019977386</v>
      </c>
      <c r="K121" s="50">
        <f>10300000/F125</f>
        <v>7953.667953667954</v>
      </c>
      <c r="L121" s="61"/>
      <c r="M121" s="61"/>
      <c r="N121" s="50"/>
    </row>
    <row r="122" spans="1:14" s="49" customFormat="1" ht="15.75" customHeight="1" x14ac:dyDescent="0.3">
      <c r="A122" s="62">
        <f t="shared" si="2"/>
        <v>5</v>
      </c>
      <c r="B122" s="63"/>
      <c r="C122" s="18" t="s">
        <v>197</v>
      </c>
      <c r="D122" s="18">
        <f t="shared" si="3"/>
        <v>643.68719999999996</v>
      </c>
      <c r="E122" s="18">
        <v>0</v>
      </c>
      <c r="F122" s="18">
        <v>1295</v>
      </c>
      <c r="G122" s="68"/>
      <c r="H122" s="69"/>
      <c r="I122" s="50"/>
      <c r="J122" s="50">
        <f>AVERAGE(J120:J121)</f>
        <v>5867.503387292305</v>
      </c>
      <c r="K122" s="50">
        <f>AVERAGE(K120:K121)</f>
        <v>7913.9808694893436</v>
      </c>
      <c r="L122" s="61"/>
      <c r="M122" s="61"/>
      <c r="N122" s="50"/>
    </row>
    <row r="123" spans="1:14" s="49" customFormat="1" ht="15.75" customHeight="1" x14ac:dyDescent="0.3">
      <c r="A123" s="62">
        <f t="shared" si="2"/>
        <v>6</v>
      </c>
      <c r="B123" s="63"/>
      <c r="C123" s="18" t="s">
        <v>197</v>
      </c>
      <c r="D123" s="18">
        <f t="shared" si="3"/>
        <v>643.68719999999996</v>
      </c>
      <c r="E123" s="18">
        <v>0</v>
      </c>
      <c r="F123" s="18">
        <v>1295</v>
      </c>
      <c r="G123" s="68"/>
      <c r="H123" s="69"/>
      <c r="I123" s="50"/>
      <c r="L123" s="61"/>
      <c r="M123" s="61"/>
      <c r="N123" s="50"/>
    </row>
    <row r="124" spans="1:14" s="49" customFormat="1" ht="15.75" customHeight="1" x14ac:dyDescent="0.3">
      <c r="A124" s="62">
        <f t="shared" si="2"/>
        <v>7</v>
      </c>
      <c r="B124" s="63"/>
      <c r="C124" s="18" t="s">
        <v>197</v>
      </c>
      <c r="D124" s="18">
        <f t="shared" si="3"/>
        <v>643.68719999999996</v>
      </c>
      <c r="E124" s="18">
        <v>0</v>
      </c>
      <c r="F124" s="18">
        <v>1295</v>
      </c>
      <c r="G124" s="68"/>
      <c r="H124" s="69"/>
      <c r="I124" s="50"/>
      <c r="L124" s="61"/>
      <c r="M124" s="61"/>
      <c r="N124" s="50"/>
    </row>
    <row r="125" spans="1:14" s="49" customFormat="1" ht="15.75" customHeight="1" x14ac:dyDescent="0.3">
      <c r="A125" s="62">
        <f t="shared" si="2"/>
        <v>8</v>
      </c>
      <c r="B125" s="63"/>
      <c r="C125" s="18" t="s">
        <v>197</v>
      </c>
      <c r="D125" s="18">
        <f t="shared" si="3"/>
        <v>643.68719999999996</v>
      </c>
      <c r="E125" s="18">
        <v>0</v>
      </c>
      <c r="F125" s="18">
        <v>1295</v>
      </c>
      <c r="G125" s="68"/>
      <c r="H125" s="69"/>
      <c r="I125" s="50"/>
      <c r="L125" s="61"/>
      <c r="M125" s="61"/>
      <c r="N125" s="50"/>
    </row>
    <row r="126" spans="1:14" s="49" customFormat="1" ht="15.75" customHeight="1" x14ac:dyDescent="0.3">
      <c r="A126" s="62">
        <f t="shared" si="2"/>
        <v>9</v>
      </c>
      <c r="B126" s="63"/>
      <c r="C126" s="18" t="s">
        <v>197</v>
      </c>
      <c r="D126" s="18">
        <f>(108.81+15.8)*10.764</f>
        <v>1341.3020399999998</v>
      </c>
      <c r="E126" s="18">
        <v>0</v>
      </c>
      <c r="F126" s="18">
        <v>2721</v>
      </c>
      <c r="G126" s="68"/>
      <c r="H126" s="69"/>
      <c r="I126" s="50"/>
      <c r="L126" s="61"/>
      <c r="M126" s="61"/>
      <c r="N126" s="50"/>
    </row>
    <row r="127" spans="1:14" s="49" customFormat="1" ht="15.75" customHeight="1" x14ac:dyDescent="0.3">
      <c r="A127" s="62">
        <f t="shared" si="2"/>
        <v>10</v>
      </c>
      <c r="B127" s="63"/>
      <c r="C127" s="18" t="s">
        <v>197</v>
      </c>
      <c r="D127" s="18">
        <f>(111.94+10.3)*10.764</f>
        <v>1315.7913599999999</v>
      </c>
      <c r="E127" s="18">
        <v>0</v>
      </c>
      <c r="F127" s="18">
        <v>2653</v>
      </c>
      <c r="G127" s="70"/>
      <c r="H127" s="71"/>
      <c r="I127" s="50"/>
      <c r="L127" s="61"/>
      <c r="M127" s="61"/>
      <c r="N127" s="50"/>
    </row>
    <row r="128" spans="1:14" s="49" customFormat="1" x14ac:dyDescent="0.3">
      <c r="A128" s="80" t="s">
        <v>193</v>
      </c>
      <c r="B128" s="81"/>
      <c r="C128" s="81"/>
      <c r="D128" s="81"/>
      <c r="E128" s="81"/>
      <c r="F128" s="81"/>
      <c r="G128" s="81"/>
      <c r="H128" s="82"/>
      <c r="J128" s="50"/>
    </row>
    <row r="129" spans="1:14" s="49" customFormat="1" x14ac:dyDescent="0.3">
      <c r="A129" s="62">
        <v>1</v>
      </c>
      <c r="B129" s="63"/>
      <c r="C129" s="18" t="s">
        <v>197</v>
      </c>
      <c r="D129" s="18">
        <f>(111.94+10.3)*10.764</f>
        <v>1315.7913599999999</v>
      </c>
      <c r="E129" s="18">
        <v>0</v>
      </c>
      <c r="F129" s="18">
        <v>2653</v>
      </c>
      <c r="G129" s="66" t="str">
        <f>A128</f>
        <v>8th Floor</v>
      </c>
      <c r="H129" s="67"/>
      <c r="I129" s="50"/>
      <c r="J129" s="49">
        <f>F129/D129</f>
        <v>2.0162771094651362</v>
      </c>
      <c r="L129" s="61"/>
      <c r="M129" s="61"/>
      <c r="N129" s="50"/>
    </row>
    <row r="130" spans="1:14" s="49" customFormat="1" x14ac:dyDescent="0.3">
      <c r="A130" s="62">
        <f t="shared" ref="A130:A138" si="4">A129+1</f>
        <v>2</v>
      </c>
      <c r="B130" s="63"/>
      <c r="C130" s="18" t="s">
        <v>197</v>
      </c>
      <c r="D130" s="18">
        <f>(115.43+15.8)*10.764</f>
        <v>1412.5597200000002</v>
      </c>
      <c r="E130" s="18">
        <v>0</v>
      </c>
      <c r="F130" s="18">
        <v>2832</v>
      </c>
      <c r="G130" s="68"/>
      <c r="H130" s="69"/>
      <c r="I130" s="50"/>
      <c r="J130" s="49">
        <f t="shared" ref="J130:J149" si="5">F130/D130</f>
        <v>2.0048709869767487</v>
      </c>
      <c r="L130" s="61"/>
      <c r="M130" s="61"/>
      <c r="N130" s="50"/>
    </row>
    <row r="131" spans="1:14" s="49" customFormat="1" x14ac:dyDescent="0.3">
      <c r="A131" s="62">
        <f t="shared" si="4"/>
        <v>3</v>
      </c>
      <c r="B131" s="63"/>
      <c r="C131" s="18" t="s">
        <v>197</v>
      </c>
      <c r="D131" s="18">
        <f>(54.1+5.7)*10.764</f>
        <v>643.68719999999996</v>
      </c>
      <c r="E131" s="18">
        <v>0</v>
      </c>
      <c r="F131" s="18">
        <v>1295</v>
      </c>
      <c r="G131" s="68"/>
      <c r="H131" s="69"/>
      <c r="I131" s="50"/>
      <c r="J131" s="49">
        <f t="shared" si="5"/>
        <v>2.0118467479235256</v>
      </c>
      <c r="L131" s="61"/>
      <c r="M131" s="61"/>
      <c r="N131" s="50"/>
    </row>
    <row r="132" spans="1:14" s="49" customFormat="1" x14ac:dyDescent="0.3">
      <c r="A132" s="62">
        <f t="shared" si="4"/>
        <v>4</v>
      </c>
      <c r="B132" s="63"/>
      <c r="C132" s="18" t="s">
        <v>197</v>
      </c>
      <c r="D132" s="18">
        <f t="shared" ref="D132:D136" si="6">(54.1+5.7)*10.764</f>
        <v>643.68719999999996</v>
      </c>
      <c r="E132" s="18">
        <v>0</v>
      </c>
      <c r="F132" s="18">
        <v>1295</v>
      </c>
      <c r="G132" s="68"/>
      <c r="H132" s="69"/>
      <c r="I132" s="50"/>
      <c r="J132" s="49">
        <f t="shared" si="5"/>
        <v>2.0118467479235256</v>
      </c>
      <c r="L132" s="61"/>
      <c r="M132" s="61"/>
      <c r="N132" s="50"/>
    </row>
    <row r="133" spans="1:14" s="49" customFormat="1" x14ac:dyDescent="0.3">
      <c r="A133" s="62">
        <f t="shared" si="4"/>
        <v>5</v>
      </c>
      <c r="B133" s="63"/>
      <c r="C133" s="18" t="s">
        <v>197</v>
      </c>
      <c r="D133" s="18">
        <f t="shared" si="6"/>
        <v>643.68719999999996</v>
      </c>
      <c r="E133" s="18">
        <v>0</v>
      </c>
      <c r="F133" s="18">
        <v>1295</v>
      </c>
      <c r="G133" s="68"/>
      <c r="H133" s="69"/>
      <c r="I133" s="50"/>
      <c r="J133" s="49">
        <f t="shared" si="5"/>
        <v>2.0118467479235256</v>
      </c>
      <c r="L133" s="61"/>
      <c r="M133" s="61"/>
      <c r="N133" s="50"/>
    </row>
    <row r="134" spans="1:14" s="49" customFormat="1" x14ac:dyDescent="0.3">
      <c r="A134" s="62">
        <f t="shared" si="4"/>
        <v>6</v>
      </c>
      <c r="B134" s="63"/>
      <c r="C134" s="18" t="s">
        <v>197</v>
      </c>
      <c r="D134" s="18">
        <f t="shared" si="6"/>
        <v>643.68719999999996</v>
      </c>
      <c r="E134" s="18">
        <v>0</v>
      </c>
      <c r="F134" s="18">
        <v>1295</v>
      </c>
      <c r="G134" s="68"/>
      <c r="H134" s="69"/>
      <c r="I134" s="50"/>
      <c r="J134" s="49">
        <f t="shared" si="5"/>
        <v>2.0118467479235256</v>
      </c>
      <c r="L134" s="61"/>
      <c r="M134" s="61"/>
      <c r="N134" s="50"/>
    </row>
    <row r="135" spans="1:14" s="49" customFormat="1" x14ac:dyDescent="0.3">
      <c r="A135" s="62">
        <f t="shared" si="4"/>
        <v>7</v>
      </c>
      <c r="B135" s="63"/>
      <c r="C135" s="18" t="s">
        <v>197</v>
      </c>
      <c r="D135" s="18">
        <f t="shared" si="6"/>
        <v>643.68719999999996</v>
      </c>
      <c r="E135" s="18">
        <v>0</v>
      </c>
      <c r="F135" s="18">
        <v>1295</v>
      </c>
      <c r="G135" s="68"/>
      <c r="H135" s="69"/>
      <c r="I135" s="50"/>
      <c r="J135" s="49">
        <f t="shared" si="5"/>
        <v>2.0118467479235256</v>
      </c>
      <c r="L135" s="61"/>
      <c r="M135" s="61"/>
      <c r="N135" s="50"/>
    </row>
    <row r="136" spans="1:14" s="49" customFormat="1" x14ac:dyDescent="0.3">
      <c r="A136" s="62">
        <f t="shared" si="4"/>
        <v>8</v>
      </c>
      <c r="B136" s="63"/>
      <c r="C136" s="18" t="s">
        <v>197</v>
      </c>
      <c r="D136" s="18">
        <f t="shared" si="6"/>
        <v>643.68719999999996</v>
      </c>
      <c r="E136" s="18">
        <v>0</v>
      </c>
      <c r="F136" s="18">
        <v>1295</v>
      </c>
      <c r="G136" s="68"/>
      <c r="H136" s="69"/>
      <c r="I136" s="50"/>
      <c r="J136" s="49">
        <f t="shared" si="5"/>
        <v>2.0118467479235256</v>
      </c>
      <c r="L136" s="61"/>
      <c r="M136" s="61"/>
      <c r="N136" s="50"/>
    </row>
    <row r="137" spans="1:14" s="49" customFormat="1" x14ac:dyDescent="0.3">
      <c r="A137" s="62">
        <f t="shared" si="4"/>
        <v>9</v>
      </c>
      <c r="B137" s="63"/>
      <c r="C137" s="18" t="s">
        <v>197</v>
      </c>
      <c r="D137" s="18">
        <f>(124.37+16.45)*10.764</f>
        <v>1515.7864799999998</v>
      </c>
      <c r="E137" s="18">
        <v>0</v>
      </c>
      <c r="F137" s="18">
        <v>3041</v>
      </c>
      <c r="G137" s="68"/>
      <c r="H137" s="69"/>
      <c r="I137" s="50"/>
      <c r="J137" s="49">
        <f t="shared" si="5"/>
        <v>2.0062192400607772</v>
      </c>
      <c r="L137" s="61"/>
      <c r="M137" s="61"/>
      <c r="N137" s="50"/>
    </row>
    <row r="138" spans="1:14" s="49" customFormat="1" x14ac:dyDescent="0.3">
      <c r="A138" s="62">
        <f t="shared" si="4"/>
        <v>10</v>
      </c>
      <c r="B138" s="63"/>
      <c r="C138" s="18" t="s">
        <v>197</v>
      </c>
      <c r="D138" s="18">
        <f>(111.94+10.3)*10.764</f>
        <v>1315.7913599999999</v>
      </c>
      <c r="E138" s="18">
        <v>0</v>
      </c>
      <c r="F138" s="18">
        <v>2653</v>
      </c>
      <c r="G138" s="70"/>
      <c r="H138" s="71"/>
      <c r="I138" s="50"/>
      <c r="J138" s="49">
        <f t="shared" si="5"/>
        <v>2.0162771094651362</v>
      </c>
      <c r="L138" s="61"/>
      <c r="M138" s="61"/>
      <c r="N138" s="50"/>
    </row>
    <row r="139" spans="1:14" s="49" customFormat="1" x14ac:dyDescent="0.3">
      <c r="A139" s="80" t="s">
        <v>194</v>
      </c>
      <c r="B139" s="81"/>
      <c r="C139" s="81"/>
      <c r="D139" s="81"/>
      <c r="E139" s="81"/>
      <c r="F139" s="81"/>
      <c r="G139" s="81"/>
      <c r="H139" s="82"/>
      <c r="J139" s="49" t="e">
        <f t="shared" si="5"/>
        <v>#DIV/0!</v>
      </c>
    </row>
    <row r="140" spans="1:14" s="49" customFormat="1" ht="15.75" customHeight="1" x14ac:dyDescent="0.3">
      <c r="A140" s="62">
        <v>1</v>
      </c>
      <c r="B140" s="63"/>
      <c r="C140" s="18" t="s">
        <v>197</v>
      </c>
      <c r="D140" s="18">
        <f>(111.94+10.3)*10.764</f>
        <v>1315.7913599999999</v>
      </c>
      <c r="E140" s="18">
        <v>0</v>
      </c>
      <c r="F140" s="18">
        <v>2653</v>
      </c>
      <c r="G140" s="66" t="str">
        <f>A139</f>
        <v>9th, 10th, 12th to 14th, 16th to 18th, 20th &amp; 21st Floor</v>
      </c>
      <c r="H140" s="67"/>
      <c r="I140" s="50"/>
      <c r="J140" s="49">
        <f t="shared" si="5"/>
        <v>2.0162771094651362</v>
      </c>
      <c r="L140" s="61"/>
      <c r="M140" s="61"/>
      <c r="N140" s="50"/>
    </row>
    <row r="141" spans="1:14" s="49" customFormat="1" ht="15.75" customHeight="1" x14ac:dyDescent="0.3">
      <c r="A141" s="62">
        <f t="shared" ref="A141:A149" si="7">A140+1</f>
        <v>2</v>
      </c>
      <c r="B141" s="63"/>
      <c r="C141" s="18" t="s">
        <v>197</v>
      </c>
      <c r="D141" s="18">
        <f>(115.43+15.8)*10.764</f>
        <v>1412.5597200000002</v>
      </c>
      <c r="E141" s="18">
        <v>0</v>
      </c>
      <c r="F141" s="18">
        <v>2832</v>
      </c>
      <c r="G141" s="68"/>
      <c r="H141" s="69"/>
      <c r="I141" s="50"/>
      <c r="J141" s="49">
        <f t="shared" si="5"/>
        <v>2.0048709869767487</v>
      </c>
      <c r="L141" s="61"/>
      <c r="M141" s="61"/>
      <c r="N141" s="50"/>
    </row>
    <row r="142" spans="1:14" s="49" customFormat="1" ht="15.75" customHeight="1" x14ac:dyDescent="0.3">
      <c r="A142" s="62">
        <f t="shared" si="7"/>
        <v>3</v>
      </c>
      <c r="B142" s="63"/>
      <c r="C142" s="18" t="s">
        <v>197</v>
      </c>
      <c r="D142" s="18">
        <f>(54.1+5.7)*10.764</f>
        <v>643.68719999999996</v>
      </c>
      <c r="E142" s="18">
        <v>0</v>
      </c>
      <c r="F142" s="18">
        <v>1295</v>
      </c>
      <c r="G142" s="68"/>
      <c r="H142" s="69"/>
      <c r="I142" s="50"/>
      <c r="J142" s="49">
        <f t="shared" si="5"/>
        <v>2.0118467479235256</v>
      </c>
      <c r="L142" s="61"/>
      <c r="M142" s="61"/>
      <c r="N142" s="50"/>
    </row>
    <row r="143" spans="1:14" s="49" customFormat="1" ht="15.75" customHeight="1" x14ac:dyDescent="0.3">
      <c r="A143" s="62">
        <f t="shared" si="7"/>
        <v>4</v>
      </c>
      <c r="B143" s="63"/>
      <c r="C143" s="18" t="s">
        <v>197</v>
      </c>
      <c r="D143" s="18">
        <f t="shared" ref="D143:D147" si="8">(54.1+5.7)*10.764</f>
        <v>643.68719999999996</v>
      </c>
      <c r="E143" s="18">
        <v>0</v>
      </c>
      <c r="F143" s="18">
        <v>1295</v>
      </c>
      <c r="G143" s="68"/>
      <c r="H143" s="69"/>
      <c r="I143" s="50"/>
      <c r="J143" s="49">
        <f t="shared" si="5"/>
        <v>2.0118467479235256</v>
      </c>
      <c r="L143" s="61"/>
      <c r="M143" s="61"/>
      <c r="N143" s="50"/>
    </row>
    <row r="144" spans="1:14" s="49" customFormat="1" ht="15.75" customHeight="1" x14ac:dyDescent="0.3">
      <c r="A144" s="62">
        <f t="shared" si="7"/>
        <v>5</v>
      </c>
      <c r="B144" s="63"/>
      <c r="C144" s="18" t="s">
        <v>197</v>
      </c>
      <c r="D144" s="18">
        <f t="shared" si="8"/>
        <v>643.68719999999996</v>
      </c>
      <c r="E144" s="18">
        <v>0</v>
      </c>
      <c r="F144" s="18">
        <v>1295</v>
      </c>
      <c r="G144" s="68"/>
      <c r="H144" s="69"/>
      <c r="I144" s="50"/>
      <c r="J144" s="49">
        <f t="shared" si="5"/>
        <v>2.0118467479235256</v>
      </c>
      <c r="L144" s="61"/>
      <c r="M144" s="61"/>
      <c r="N144" s="50"/>
    </row>
    <row r="145" spans="1:14" s="49" customFormat="1" ht="15.75" customHeight="1" x14ac:dyDescent="0.3">
      <c r="A145" s="62">
        <f t="shared" si="7"/>
        <v>6</v>
      </c>
      <c r="B145" s="63"/>
      <c r="C145" s="18" t="s">
        <v>197</v>
      </c>
      <c r="D145" s="18">
        <f t="shared" si="8"/>
        <v>643.68719999999996</v>
      </c>
      <c r="E145" s="18">
        <v>0</v>
      </c>
      <c r="F145" s="18">
        <v>1295</v>
      </c>
      <c r="G145" s="68"/>
      <c r="H145" s="69"/>
      <c r="I145" s="50"/>
      <c r="J145" s="49">
        <f t="shared" si="5"/>
        <v>2.0118467479235256</v>
      </c>
      <c r="L145" s="61"/>
      <c r="M145" s="61"/>
      <c r="N145" s="50"/>
    </row>
    <row r="146" spans="1:14" s="49" customFormat="1" ht="15.75" customHeight="1" x14ac:dyDescent="0.3">
      <c r="A146" s="62">
        <f t="shared" si="7"/>
        <v>7</v>
      </c>
      <c r="B146" s="63"/>
      <c r="C146" s="18" t="s">
        <v>197</v>
      </c>
      <c r="D146" s="18">
        <f t="shared" si="8"/>
        <v>643.68719999999996</v>
      </c>
      <c r="E146" s="18">
        <v>0</v>
      </c>
      <c r="F146" s="18">
        <v>1295</v>
      </c>
      <c r="G146" s="68"/>
      <c r="H146" s="69"/>
      <c r="I146" s="50"/>
      <c r="J146" s="49">
        <f t="shared" si="5"/>
        <v>2.0118467479235256</v>
      </c>
      <c r="L146" s="61"/>
      <c r="M146" s="61"/>
      <c r="N146" s="50"/>
    </row>
    <row r="147" spans="1:14" s="49" customFormat="1" ht="15.75" customHeight="1" x14ac:dyDescent="0.3">
      <c r="A147" s="62">
        <f t="shared" si="7"/>
        <v>8</v>
      </c>
      <c r="B147" s="63"/>
      <c r="C147" s="18" t="s">
        <v>197</v>
      </c>
      <c r="D147" s="18">
        <f t="shared" si="8"/>
        <v>643.68719999999996</v>
      </c>
      <c r="E147" s="18">
        <v>0</v>
      </c>
      <c r="F147" s="18">
        <v>1295</v>
      </c>
      <c r="G147" s="68"/>
      <c r="H147" s="69"/>
      <c r="I147" s="50"/>
      <c r="J147" s="49">
        <f t="shared" si="5"/>
        <v>2.0118467479235256</v>
      </c>
      <c r="L147" s="61"/>
      <c r="M147" s="61"/>
      <c r="N147" s="50"/>
    </row>
    <row r="148" spans="1:14" s="49" customFormat="1" ht="15.75" customHeight="1" x14ac:dyDescent="0.3">
      <c r="A148" s="62">
        <f t="shared" si="7"/>
        <v>9</v>
      </c>
      <c r="B148" s="63"/>
      <c r="C148" s="18" t="s">
        <v>197</v>
      </c>
      <c r="D148" s="18">
        <f>(124.37+16.45)*10.764</f>
        <v>1515.7864799999998</v>
      </c>
      <c r="E148" s="18">
        <v>0</v>
      </c>
      <c r="F148" s="18">
        <v>3041</v>
      </c>
      <c r="G148" s="68"/>
      <c r="H148" s="69"/>
      <c r="I148" s="50"/>
      <c r="J148" s="49">
        <f t="shared" si="5"/>
        <v>2.0062192400607772</v>
      </c>
      <c r="L148" s="61"/>
      <c r="M148" s="61"/>
      <c r="N148" s="50"/>
    </row>
    <row r="149" spans="1:14" s="49" customFormat="1" ht="15.75" customHeight="1" x14ac:dyDescent="0.3">
      <c r="A149" s="62">
        <f t="shared" si="7"/>
        <v>10</v>
      </c>
      <c r="B149" s="63"/>
      <c r="C149" s="18" t="s">
        <v>197</v>
      </c>
      <c r="D149" s="18">
        <f>(111.94+10.3)*10.764</f>
        <v>1315.7913599999999</v>
      </c>
      <c r="E149" s="18">
        <v>0</v>
      </c>
      <c r="F149" s="18">
        <v>2653</v>
      </c>
      <c r="G149" s="70"/>
      <c r="H149" s="71"/>
      <c r="I149" s="50"/>
      <c r="J149" s="49">
        <f t="shared" si="5"/>
        <v>2.0162771094651362</v>
      </c>
      <c r="L149" s="61"/>
      <c r="M149" s="61"/>
      <c r="N149" s="50"/>
    </row>
    <row r="150" spans="1:14" s="49" customFormat="1" x14ac:dyDescent="0.3">
      <c r="A150" s="80" t="s">
        <v>195</v>
      </c>
      <c r="B150" s="81"/>
      <c r="C150" s="81"/>
      <c r="D150" s="81"/>
      <c r="E150" s="81"/>
      <c r="F150" s="81"/>
      <c r="G150" s="81"/>
      <c r="H150" s="82"/>
      <c r="J150" s="50"/>
    </row>
    <row r="151" spans="1:14" s="49" customFormat="1" x14ac:dyDescent="0.3">
      <c r="A151" s="62">
        <v>1</v>
      </c>
      <c r="B151" s="63"/>
      <c r="C151" s="18" t="s">
        <v>197</v>
      </c>
      <c r="D151" s="18">
        <f>(111.94+10.3)*10.764</f>
        <v>1315.7913599999999</v>
      </c>
      <c r="E151" s="18">
        <v>0</v>
      </c>
      <c r="F151" s="18">
        <v>2653</v>
      </c>
      <c r="G151" s="66" t="str">
        <f>A150</f>
        <v>22nd Foor</v>
      </c>
      <c r="H151" s="67"/>
      <c r="I151" s="50"/>
      <c r="L151" s="61"/>
      <c r="M151" s="61"/>
      <c r="N151" s="50"/>
    </row>
    <row r="152" spans="1:14" s="49" customFormat="1" x14ac:dyDescent="0.3">
      <c r="A152" s="62">
        <f t="shared" ref="A152:A159" si="9">A151+1</f>
        <v>2</v>
      </c>
      <c r="B152" s="63"/>
      <c r="C152" s="18" t="s">
        <v>197</v>
      </c>
      <c r="D152" s="18">
        <f>(115.43+15.8)*10.764</f>
        <v>1412.5597200000002</v>
      </c>
      <c r="E152" s="18">
        <v>0</v>
      </c>
      <c r="F152" s="18">
        <v>2832</v>
      </c>
      <c r="G152" s="68"/>
      <c r="H152" s="69"/>
      <c r="I152" s="50"/>
      <c r="L152" s="61"/>
      <c r="M152" s="61"/>
      <c r="N152" s="50"/>
    </row>
    <row r="153" spans="1:14" s="49" customFormat="1" x14ac:dyDescent="0.3">
      <c r="A153" s="62">
        <f t="shared" si="9"/>
        <v>3</v>
      </c>
      <c r="B153" s="63"/>
      <c r="C153" s="18" t="s">
        <v>197</v>
      </c>
      <c r="D153" s="18">
        <f>(54.1+5.7)*10.764</f>
        <v>643.68719999999996</v>
      </c>
      <c r="E153" s="18">
        <v>0</v>
      </c>
      <c r="F153" s="18">
        <v>1295</v>
      </c>
      <c r="G153" s="68"/>
      <c r="H153" s="69"/>
      <c r="I153" s="50"/>
      <c r="L153" s="61"/>
      <c r="M153" s="61"/>
      <c r="N153" s="50"/>
    </row>
    <row r="154" spans="1:14" s="49" customFormat="1" ht="31.2" x14ac:dyDescent="0.3">
      <c r="A154" s="62">
        <f t="shared" si="9"/>
        <v>4</v>
      </c>
      <c r="B154" s="63"/>
      <c r="C154" s="18" t="s">
        <v>199</v>
      </c>
      <c r="D154" s="18">
        <f>(54.1+5.7)*10.764</f>
        <v>643.68719999999996</v>
      </c>
      <c r="E154" s="18">
        <v>0</v>
      </c>
      <c r="F154" s="18">
        <v>1295</v>
      </c>
      <c r="G154" s="68"/>
      <c r="H154" s="69"/>
      <c r="I154" s="50"/>
      <c r="L154" s="61"/>
      <c r="M154" s="61"/>
      <c r="N154" s="50"/>
    </row>
    <row r="155" spans="1:14" s="49" customFormat="1" ht="31.2" x14ac:dyDescent="0.3">
      <c r="A155" s="62">
        <f t="shared" si="9"/>
        <v>5</v>
      </c>
      <c r="B155" s="63"/>
      <c r="C155" s="18" t="s">
        <v>199</v>
      </c>
      <c r="D155" s="18">
        <f>(59.23+5.7)*10.764</f>
        <v>698.90651999999989</v>
      </c>
      <c r="E155" s="18">
        <v>0</v>
      </c>
      <c r="F155" s="18">
        <v>1410</v>
      </c>
      <c r="G155" s="68"/>
      <c r="H155" s="69"/>
      <c r="I155" s="50"/>
      <c r="L155" s="61"/>
      <c r="M155" s="61"/>
      <c r="N155" s="50"/>
    </row>
    <row r="156" spans="1:14" s="49" customFormat="1" ht="31.2" x14ac:dyDescent="0.3">
      <c r="A156" s="62">
        <f t="shared" si="9"/>
        <v>6</v>
      </c>
      <c r="B156" s="63"/>
      <c r="C156" s="18" t="s">
        <v>199</v>
      </c>
      <c r="D156" s="18">
        <f t="shared" ref="D156:D158" si="10">(59.23+5.7)*10.764</f>
        <v>698.90651999999989</v>
      </c>
      <c r="E156" s="18">
        <v>0</v>
      </c>
      <c r="F156" s="18">
        <v>1410</v>
      </c>
      <c r="G156" s="68"/>
      <c r="H156" s="69"/>
      <c r="I156" s="50"/>
      <c r="L156" s="61"/>
      <c r="M156" s="61"/>
      <c r="N156" s="50"/>
    </row>
    <row r="157" spans="1:14" s="49" customFormat="1" ht="31.2" x14ac:dyDescent="0.3">
      <c r="A157" s="62">
        <f t="shared" si="9"/>
        <v>7</v>
      </c>
      <c r="B157" s="63"/>
      <c r="C157" s="18" t="s">
        <v>199</v>
      </c>
      <c r="D157" s="18">
        <f t="shared" si="10"/>
        <v>698.90651999999989</v>
      </c>
      <c r="E157" s="18">
        <v>0</v>
      </c>
      <c r="F157" s="18">
        <v>1410</v>
      </c>
      <c r="G157" s="68"/>
      <c r="H157" s="69"/>
      <c r="I157" s="50"/>
      <c r="L157" s="61"/>
      <c r="M157" s="61"/>
      <c r="N157" s="50"/>
    </row>
    <row r="158" spans="1:14" s="49" customFormat="1" ht="31.2" x14ac:dyDescent="0.3">
      <c r="A158" s="62">
        <f t="shared" si="9"/>
        <v>8</v>
      </c>
      <c r="B158" s="63"/>
      <c r="C158" s="18" t="s">
        <v>199</v>
      </c>
      <c r="D158" s="18">
        <f t="shared" si="10"/>
        <v>698.90651999999989</v>
      </c>
      <c r="E158" s="18">
        <v>0</v>
      </c>
      <c r="F158" s="18">
        <v>1410</v>
      </c>
      <c r="G158" s="68"/>
      <c r="H158" s="69"/>
      <c r="I158" s="50"/>
      <c r="L158" s="61"/>
      <c r="M158" s="61"/>
      <c r="N158" s="50"/>
    </row>
    <row r="159" spans="1:14" s="49" customFormat="1" ht="31.2" x14ac:dyDescent="0.3">
      <c r="A159" s="62">
        <f t="shared" si="9"/>
        <v>9</v>
      </c>
      <c r="B159" s="63"/>
      <c r="C159" s="18" t="s">
        <v>199</v>
      </c>
      <c r="D159" s="18">
        <f>(124.37+16.45)*10.764</f>
        <v>1515.7864799999998</v>
      </c>
      <c r="E159" s="18">
        <v>0</v>
      </c>
      <c r="F159" s="18">
        <v>3041</v>
      </c>
      <c r="G159" s="68"/>
      <c r="H159" s="69"/>
      <c r="I159" s="50"/>
      <c r="L159" s="61"/>
      <c r="M159" s="61"/>
      <c r="N159" s="50"/>
    </row>
    <row r="160" spans="1:14" s="49" customFormat="1" ht="31.2" x14ac:dyDescent="0.3">
      <c r="A160" s="62">
        <f>A159+1</f>
        <v>10</v>
      </c>
      <c r="B160" s="63"/>
      <c r="C160" s="18" t="s">
        <v>199</v>
      </c>
      <c r="D160" s="18">
        <f>(111.94+10.3)*10.764</f>
        <v>1315.7913599999999</v>
      </c>
      <c r="E160" s="18">
        <v>0</v>
      </c>
      <c r="F160" s="18">
        <v>2653</v>
      </c>
      <c r="G160" s="70"/>
      <c r="H160" s="71"/>
      <c r="I160" s="50"/>
      <c r="L160" s="61"/>
      <c r="M160" s="61"/>
      <c r="N160" s="50"/>
    </row>
    <row r="161" spans="1:14" s="49" customFormat="1" x14ac:dyDescent="0.3">
      <c r="A161" s="80" t="s">
        <v>201</v>
      </c>
      <c r="B161" s="81"/>
      <c r="C161" s="81"/>
      <c r="D161" s="81"/>
      <c r="E161" s="81"/>
      <c r="F161" s="81"/>
      <c r="G161" s="81"/>
      <c r="H161" s="82"/>
      <c r="J161" s="50"/>
    </row>
    <row r="162" spans="1:14" s="49" customFormat="1" ht="15.75" customHeight="1" x14ac:dyDescent="0.3">
      <c r="A162" s="62">
        <v>1</v>
      </c>
      <c r="B162" s="63"/>
      <c r="C162" s="62" t="s">
        <v>198</v>
      </c>
      <c r="D162" s="65"/>
      <c r="E162" s="65"/>
      <c r="F162" s="63"/>
      <c r="G162" s="66" t="str">
        <f>A161</f>
        <v>23rd Floor (Part Refuge Area)</v>
      </c>
      <c r="H162" s="67"/>
      <c r="I162" s="50"/>
      <c r="L162" s="61"/>
      <c r="M162" s="61"/>
      <c r="N162" s="50"/>
    </row>
    <row r="163" spans="1:14" s="49" customFormat="1" ht="31.5" customHeight="1" x14ac:dyDescent="0.3">
      <c r="A163" s="62">
        <f t="shared" ref="A163:A171" si="11">A162+1</f>
        <v>2</v>
      </c>
      <c r="B163" s="63"/>
      <c r="C163" s="18" t="s">
        <v>199</v>
      </c>
      <c r="D163" s="18">
        <f>(115.43+15.8)*10.764</f>
        <v>1412.5597200000002</v>
      </c>
      <c r="E163" s="18">
        <v>0</v>
      </c>
      <c r="F163" s="18">
        <v>2832</v>
      </c>
      <c r="G163" s="68"/>
      <c r="H163" s="69"/>
      <c r="I163" s="50"/>
      <c r="L163" s="61"/>
      <c r="M163" s="61"/>
      <c r="N163" s="50"/>
    </row>
    <row r="164" spans="1:14" s="49" customFormat="1" ht="31.5" customHeight="1" x14ac:dyDescent="0.3">
      <c r="A164" s="62">
        <f t="shared" si="11"/>
        <v>3</v>
      </c>
      <c r="B164" s="63"/>
      <c r="C164" s="18" t="s">
        <v>199</v>
      </c>
      <c r="D164" s="18">
        <f>(54.1+5.7)*10.764</f>
        <v>643.68719999999996</v>
      </c>
      <c r="E164" s="18">
        <v>0</v>
      </c>
      <c r="F164" s="18">
        <v>1295</v>
      </c>
      <c r="G164" s="68"/>
      <c r="H164" s="69"/>
      <c r="I164" s="50"/>
      <c r="L164" s="61"/>
      <c r="M164" s="61"/>
      <c r="N164" s="50"/>
    </row>
    <row r="165" spans="1:14" s="49" customFormat="1" ht="31.5" customHeight="1" x14ac:dyDescent="0.3">
      <c r="A165" s="62">
        <f t="shared" si="11"/>
        <v>4</v>
      </c>
      <c r="B165" s="63"/>
      <c r="C165" s="18" t="s">
        <v>199</v>
      </c>
      <c r="D165" s="18">
        <f>(54.1+5.7)*10.764</f>
        <v>643.68719999999996</v>
      </c>
      <c r="E165" s="18">
        <v>0</v>
      </c>
      <c r="F165" s="18">
        <v>1295</v>
      </c>
      <c r="G165" s="68"/>
      <c r="H165" s="69"/>
      <c r="I165" s="50"/>
      <c r="L165" s="61"/>
      <c r="M165" s="61"/>
      <c r="N165" s="50"/>
    </row>
    <row r="166" spans="1:14" s="49" customFormat="1" ht="31.5" customHeight="1" x14ac:dyDescent="0.3">
      <c r="A166" s="62">
        <f t="shared" si="11"/>
        <v>5</v>
      </c>
      <c r="B166" s="63"/>
      <c r="C166" s="18" t="s">
        <v>199</v>
      </c>
      <c r="D166" s="18">
        <f>(59.23+5.7)*10.764</f>
        <v>698.90651999999989</v>
      </c>
      <c r="E166" s="18">
        <v>0</v>
      </c>
      <c r="F166" s="18">
        <v>1410</v>
      </c>
      <c r="G166" s="68"/>
      <c r="H166" s="69"/>
      <c r="I166" s="50"/>
      <c r="L166" s="61"/>
      <c r="M166" s="61"/>
      <c r="N166" s="50"/>
    </row>
    <row r="167" spans="1:14" s="49" customFormat="1" ht="31.5" customHeight="1" x14ac:dyDescent="0.3">
      <c r="A167" s="62">
        <f t="shared" si="11"/>
        <v>6</v>
      </c>
      <c r="B167" s="63"/>
      <c r="C167" s="18" t="s">
        <v>199</v>
      </c>
      <c r="D167" s="18">
        <f t="shared" ref="D167:D169" si="12">(59.23+5.7)*10.764</f>
        <v>698.90651999999989</v>
      </c>
      <c r="E167" s="18">
        <v>0</v>
      </c>
      <c r="F167" s="18">
        <v>1410</v>
      </c>
      <c r="G167" s="68"/>
      <c r="H167" s="69"/>
      <c r="I167" s="50"/>
      <c r="L167" s="61"/>
      <c r="M167" s="61"/>
      <c r="N167" s="50"/>
    </row>
    <row r="168" spans="1:14" s="49" customFormat="1" ht="31.5" customHeight="1" x14ac:dyDescent="0.3">
      <c r="A168" s="62">
        <f t="shared" si="11"/>
        <v>7</v>
      </c>
      <c r="B168" s="63"/>
      <c r="C168" s="18" t="s">
        <v>199</v>
      </c>
      <c r="D168" s="18">
        <f t="shared" si="12"/>
        <v>698.90651999999989</v>
      </c>
      <c r="E168" s="18">
        <v>0</v>
      </c>
      <c r="F168" s="18">
        <v>1410</v>
      </c>
      <c r="G168" s="68"/>
      <c r="H168" s="69"/>
      <c r="I168" s="50"/>
      <c r="L168" s="61"/>
      <c r="M168" s="61"/>
      <c r="N168" s="50"/>
    </row>
    <row r="169" spans="1:14" s="49" customFormat="1" ht="31.5" customHeight="1" x14ac:dyDescent="0.3">
      <c r="A169" s="62">
        <f t="shared" si="11"/>
        <v>8</v>
      </c>
      <c r="B169" s="63"/>
      <c r="C169" s="18" t="s">
        <v>199</v>
      </c>
      <c r="D169" s="18">
        <f t="shared" si="12"/>
        <v>698.90651999999989</v>
      </c>
      <c r="E169" s="18">
        <v>0</v>
      </c>
      <c r="F169" s="18">
        <v>1410</v>
      </c>
      <c r="G169" s="68"/>
      <c r="H169" s="69"/>
      <c r="I169" s="50"/>
      <c r="L169" s="61"/>
      <c r="M169" s="61"/>
      <c r="N169" s="50"/>
    </row>
    <row r="170" spans="1:14" s="49" customFormat="1" ht="31.5" customHeight="1" x14ac:dyDescent="0.3">
      <c r="A170" s="62">
        <f t="shared" si="11"/>
        <v>9</v>
      </c>
      <c r="B170" s="63"/>
      <c r="C170" s="18" t="s">
        <v>199</v>
      </c>
      <c r="D170" s="18">
        <f>(124.37+16.45)*10.764</f>
        <v>1515.7864799999998</v>
      </c>
      <c r="E170" s="18">
        <v>0</v>
      </c>
      <c r="F170" s="18">
        <v>3041</v>
      </c>
      <c r="G170" s="68"/>
      <c r="H170" s="69"/>
      <c r="I170" s="50"/>
      <c r="L170" s="61"/>
      <c r="M170" s="61"/>
      <c r="N170" s="50"/>
    </row>
    <row r="171" spans="1:14" s="49" customFormat="1" ht="31.5" customHeight="1" x14ac:dyDescent="0.3">
      <c r="A171" s="62">
        <f t="shared" si="11"/>
        <v>10</v>
      </c>
      <c r="B171" s="63"/>
      <c r="C171" s="18" t="s">
        <v>199</v>
      </c>
      <c r="D171" s="18">
        <f>(111.94+10.3)*10.764</f>
        <v>1315.7913599999999</v>
      </c>
      <c r="E171" s="18">
        <v>0</v>
      </c>
      <c r="F171" s="18">
        <v>2653</v>
      </c>
      <c r="G171" s="70"/>
      <c r="H171" s="71"/>
      <c r="I171" s="50"/>
      <c r="L171" s="61"/>
      <c r="M171" s="61"/>
      <c r="N171" s="50"/>
    </row>
    <row r="172" spans="1:14" s="49" customFormat="1" x14ac:dyDescent="0.3">
      <c r="A172" s="80" t="s">
        <v>196</v>
      </c>
      <c r="B172" s="81"/>
      <c r="C172" s="81"/>
      <c r="D172" s="81"/>
      <c r="E172" s="81"/>
      <c r="F172" s="81"/>
      <c r="G172" s="81"/>
      <c r="H172" s="82"/>
      <c r="J172" s="50"/>
    </row>
    <row r="173" spans="1:14" s="49" customFormat="1" ht="31.2" x14ac:dyDescent="0.3">
      <c r="A173" s="62">
        <v>1</v>
      </c>
      <c r="B173" s="63"/>
      <c r="C173" s="18" t="s">
        <v>199</v>
      </c>
      <c r="D173" s="18">
        <f>(111.94+10.3)*10.764</f>
        <v>1315.7913599999999</v>
      </c>
      <c r="E173" s="18">
        <v>0</v>
      </c>
      <c r="F173" s="18">
        <v>2653</v>
      </c>
      <c r="G173" s="66" t="str">
        <f>A172</f>
        <v>24th Floor</v>
      </c>
      <c r="H173" s="67"/>
      <c r="I173" s="50"/>
      <c r="L173" s="61"/>
      <c r="M173" s="61"/>
      <c r="N173" s="50"/>
    </row>
    <row r="174" spans="1:14" s="49" customFormat="1" ht="31.2" x14ac:dyDescent="0.3">
      <c r="A174" s="62">
        <f t="shared" ref="A174:A182" si="13">A173+1</f>
        <v>2</v>
      </c>
      <c r="B174" s="63"/>
      <c r="C174" s="18" t="s">
        <v>199</v>
      </c>
      <c r="D174" s="18">
        <f>(115.43+15.8)*10.764</f>
        <v>1412.5597200000002</v>
      </c>
      <c r="E174" s="18">
        <v>0</v>
      </c>
      <c r="F174" s="18">
        <v>2832</v>
      </c>
      <c r="G174" s="68"/>
      <c r="H174" s="69"/>
      <c r="I174" s="50"/>
      <c r="L174" s="61"/>
      <c r="M174" s="61"/>
      <c r="N174" s="50"/>
    </row>
    <row r="175" spans="1:14" s="49" customFormat="1" ht="31.2" x14ac:dyDescent="0.3">
      <c r="A175" s="62">
        <f t="shared" si="13"/>
        <v>3</v>
      </c>
      <c r="B175" s="63"/>
      <c r="C175" s="18" t="s">
        <v>199</v>
      </c>
      <c r="D175" s="18">
        <f>(54.1+5.7)*10.764</f>
        <v>643.68719999999996</v>
      </c>
      <c r="E175" s="18">
        <v>0</v>
      </c>
      <c r="F175" s="18">
        <v>1295</v>
      </c>
      <c r="G175" s="68"/>
      <c r="H175" s="69"/>
      <c r="I175" s="50"/>
      <c r="L175" s="61"/>
      <c r="M175" s="61"/>
      <c r="N175" s="50"/>
    </row>
    <row r="176" spans="1:14" s="49" customFormat="1" ht="31.2" x14ac:dyDescent="0.3">
      <c r="A176" s="62">
        <f t="shared" si="13"/>
        <v>4</v>
      </c>
      <c r="B176" s="63"/>
      <c r="C176" s="18" t="s">
        <v>199</v>
      </c>
      <c r="D176" s="18">
        <f>(54.1+5.7)*10.764</f>
        <v>643.68719999999996</v>
      </c>
      <c r="E176" s="18">
        <v>0</v>
      </c>
      <c r="F176" s="18">
        <v>1295</v>
      </c>
      <c r="G176" s="68"/>
      <c r="H176" s="69"/>
      <c r="I176" s="50"/>
      <c r="L176" s="61"/>
      <c r="M176" s="61"/>
      <c r="N176" s="50"/>
    </row>
    <row r="177" spans="1:14" s="49" customFormat="1" ht="31.2" x14ac:dyDescent="0.3">
      <c r="A177" s="62">
        <f t="shared" si="13"/>
        <v>5</v>
      </c>
      <c r="B177" s="63"/>
      <c r="C177" s="18" t="s">
        <v>199</v>
      </c>
      <c r="D177" s="18">
        <f>(59.23+5.7)*10.764</f>
        <v>698.90651999999989</v>
      </c>
      <c r="E177" s="18">
        <v>0</v>
      </c>
      <c r="F177" s="18">
        <v>1410</v>
      </c>
      <c r="G177" s="68"/>
      <c r="H177" s="69"/>
      <c r="I177" s="50"/>
      <c r="L177" s="61"/>
      <c r="M177" s="61"/>
      <c r="N177" s="50"/>
    </row>
    <row r="178" spans="1:14" s="49" customFormat="1" ht="31.2" x14ac:dyDescent="0.3">
      <c r="A178" s="62">
        <f t="shared" si="13"/>
        <v>6</v>
      </c>
      <c r="B178" s="63"/>
      <c r="C178" s="18" t="s">
        <v>199</v>
      </c>
      <c r="D178" s="18">
        <f t="shared" ref="D178:D180" si="14">(59.23+5.7)*10.764</f>
        <v>698.90651999999989</v>
      </c>
      <c r="E178" s="18">
        <v>0</v>
      </c>
      <c r="F178" s="18">
        <v>1410</v>
      </c>
      <c r="G178" s="68"/>
      <c r="H178" s="69"/>
      <c r="I178" s="50"/>
      <c r="L178" s="61"/>
      <c r="M178" s="61"/>
      <c r="N178" s="50"/>
    </row>
    <row r="179" spans="1:14" s="49" customFormat="1" ht="31.2" x14ac:dyDescent="0.3">
      <c r="A179" s="62">
        <f t="shared" si="13"/>
        <v>7</v>
      </c>
      <c r="B179" s="63"/>
      <c r="C179" s="18" t="s">
        <v>199</v>
      </c>
      <c r="D179" s="18">
        <f t="shared" si="14"/>
        <v>698.90651999999989</v>
      </c>
      <c r="E179" s="18">
        <v>0</v>
      </c>
      <c r="F179" s="18">
        <v>1410</v>
      </c>
      <c r="G179" s="68"/>
      <c r="H179" s="69"/>
      <c r="I179" s="50"/>
      <c r="L179" s="61"/>
      <c r="M179" s="61"/>
      <c r="N179" s="50"/>
    </row>
    <row r="180" spans="1:14" s="49" customFormat="1" ht="31.2" x14ac:dyDescent="0.3">
      <c r="A180" s="62">
        <f t="shared" si="13"/>
        <v>8</v>
      </c>
      <c r="B180" s="63"/>
      <c r="C180" s="18" t="s">
        <v>199</v>
      </c>
      <c r="D180" s="18">
        <f t="shared" si="14"/>
        <v>698.90651999999989</v>
      </c>
      <c r="E180" s="18">
        <v>0</v>
      </c>
      <c r="F180" s="18">
        <v>1410</v>
      </c>
      <c r="G180" s="68"/>
      <c r="H180" s="69"/>
      <c r="I180" s="50"/>
      <c r="L180" s="61"/>
      <c r="M180" s="61"/>
      <c r="N180" s="50"/>
    </row>
    <row r="181" spans="1:14" s="49" customFormat="1" ht="31.2" x14ac:dyDescent="0.3">
      <c r="A181" s="62">
        <f t="shared" si="13"/>
        <v>9</v>
      </c>
      <c r="B181" s="63"/>
      <c r="C181" s="18" t="s">
        <v>199</v>
      </c>
      <c r="D181" s="18">
        <f>(124.37+16.45)*10.764</f>
        <v>1515.7864799999998</v>
      </c>
      <c r="E181" s="18">
        <v>0</v>
      </c>
      <c r="F181" s="18">
        <v>3041</v>
      </c>
      <c r="G181" s="68"/>
      <c r="H181" s="69"/>
      <c r="I181" s="50"/>
      <c r="L181" s="61"/>
      <c r="M181" s="61"/>
      <c r="N181" s="50"/>
    </row>
    <row r="182" spans="1:14" s="49" customFormat="1" ht="31.2" x14ac:dyDescent="0.3">
      <c r="A182" s="62">
        <f t="shared" si="13"/>
        <v>10</v>
      </c>
      <c r="B182" s="63"/>
      <c r="C182" s="18" t="s">
        <v>199</v>
      </c>
      <c r="D182" s="18">
        <f>(111.94+10.3)*10.764</f>
        <v>1315.7913599999999</v>
      </c>
      <c r="E182" s="18">
        <v>0</v>
      </c>
      <c r="F182" s="18">
        <v>2653</v>
      </c>
      <c r="G182" s="70"/>
      <c r="H182" s="71"/>
      <c r="I182" s="50"/>
      <c r="L182" s="61"/>
      <c r="M182" s="61"/>
      <c r="N182" s="50"/>
    </row>
    <row r="183" spans="1:14" s="47" customFormat="1" x14ac:dyDescent="0.3">
      <c r="A183" s="79" t="s">
        <v>200</v>
      </c>
      <c r="B183" s="79"/>
      <c r="C183" s="79"/>
      <c r="D183" s="79"/>
      <c r="E183" s="79"/>
      <c r="F183" s="79"/>
      <c r="G183" s="79"/>
      <c r="H183" s="79"/>
    </row>
    <row r="184" spans="1:14" ht="47.25" hidden="1" customHeight="1" x14ac:dyDescent="0.3">
      <c r="A184" s="99" t="s">
        <v>130</v>
      </c>
      <c r="B184" s="99" t="s">
        <v>131</v>
      </c>
      <c r="C184" s="164" t="s">
        <v>61</v>
      </c>
      <c r="D184" s="164" t="s">
        <v>62</v>
      </c>
      <c r="E184" s="175" t="s">
        <v>63</v>
      </c>
      <c r="F184" s="19" t="s">
        <v>162</v>
      </c>
      <c r="G184" s="99" t="s">
        <v>64</v>
      </c>
      <c r="H184" s="104"/>
      <c r="I184" s="50"/>
    </row>
    <row r="185" spans="1:14" s="49" customFormat="1" hidden="1" x14ac:dyDescent="0.3">
      <c r="A185" s="100"/>
      <c r="B185" s="100"/>
      <c r="C185" s="165"/>
      <c r="D185" s="165"/>
      <c r="E185" s="176"/>
      <c r="F185" s="13">
        <v>0.5</v>
      </c>
      <c r="G185" s="100"/>
      <c r="H185" s="177"/>
      <c r="I185" s="50"/>
    </row>
    <row r="186" spans="1:14" s="49" customFormat="1" hidden="1" x14ac:dyDescent="0.3">
      <c r="A186" s="156" t="s">
        <v>127</v>
      </c>
      <c r="B186" s="156"/>
      <c r="C186" s="156"/>
      <c r="D186" s="156"/>
      <c r="E186" s="156"/>
      <c r="F186" s="156"/>
      <c r="G186" s="156"/>
      <c r="H186" s="156"/>
      <c r="I186" s="50"/>
      <c r="L186" s="61"/>
      <c r="M186" s="61"/>
    </row>
    <row r="187" spans="1:14" s="49" customFormat="1" hidden="1" x14ac:dyDescent="0.3">
      <c r="A187" s="91">
        <f>LEFT(A186,SUM(LEN(A186)-LEN(SUBSTITUTE(A186,{"0","1","2","3","4","5","6","7","8","9"},""))))*100+1</f>
        <v>201</v>
      </c>
      <c r="B187" s="91"/>
      <c r="C187" s="18"/>
      <c r="D187" s="18"/>
      <c r="E187" s="18">
        <v>0</v>
      </c>
      <c r="F187" s="18">
        <f t="shared" ref="F187:F188" si="15">D187*(($F$185)+1)+(IF(E187&lt;101,E187,IF(E187&lt;201,E187/2,IF(E187&lt;=301,E187/3,E187/4))))</f>
        <v>0</v>
      </c>
      <c r="G187" s="91" t="str">
        <f>A186</f>
        <v>2nd Floor</v>
      </c>
      <c r="H187" s="91"/>
      <c r="I187" s="50"/>
      <c r="N187" s="50"/>
    </row>
    <row r="188" spans="1:14" s="49" customFormat="1" hidden="1" x14ac:dyDescent="0.3">
      <c r="A188" s="91">
        <f>A187+1</f>
        <v>202</v>
      </c>
      <c r="B188" s="91"/>
      <c r="C188" s="18"/>
      <c r="D188" s="18"/>
      <c r="E188" s="18">
        <v>0</v>
      </c>
      <c r="F188" s="18">
        <f t="shared" si="15"/>
        <v>0</v>
      </c>
      <c r="G188" s="91" t="str">
        <f>G187</f>
        <v>2nd Floor</v>
      </c>
      <c r="H188" s="91"/>
      <c r="I188" s="50"/>
      <c r="N188" s="50"/>
    </row>
    <row r="189" spans="1:14" s="49" customFormat="1" hidden="1" x14ac:dyDescent="0.3">
      <c r="A189" s="91">
        <f>A188+1</f>
        <v>203</v>
      </c>
      <c r="B189" s="91"/>
      <c r="C189" s="18"/>
      <c r="D189" s="18"/>
      <c r="E189" s="18">
        <v>0</v>
      </c>
      <c r="F189" s="18">
        <f>D189*(($F$185)+1)+(IF(E189&lt;101,E189,IF(E189&lt;201,E189/2,IF(E189&lt;=301,E189/3,E189/4))))</f>
        <v>0</v>
      </c>
      <c r="G189" s="91" t="str">
        <f>G188</f>
        <v>2nd Floor</v>
      </c>
      <c r="H189" s="91"/>
      <c r="I189" s="50"/>
      <c r="N189" s="50"/>
    </row>
    <row r="190" spans="1:14" s="49" customFormat="1" hidden="1" x14ac:dyDescent="0.3">
      <c r="A190" s="91">
        <f>A189+1</f>
        <v>204</v>
      </c>
      <c r="B190" s="91"/>
      <c r="C190" s="18"/>
      <c r="D190" s="18"/>
      <c r="E190" s="18">
        <v>0</v>
      </c>
      <c r="F190" s="18">
        <f t="shared" ref="F190:F192" si="16">D190*(($F$185)+1)+(IF(E190&lt;101,E190,IF(E190&lt;201,E190/2,IF(E190&lt;=301,E190/3,E190/4))))</f>
        <v>0</v>
      </c>
      <c r="G190" s="91" t="str">
        <f>G189</f>
        <v>2nd Floor</v>
      </c>
      <c r="H190" s="91"/>
      <c r="I190" s="50"/>
      <c r="N190" s="50"/>
    </row>
    <row r="191" spans="1:14" s="49" customFormat="1" hidden="1" x14ac:dyDescent="0.3">
      <c r="A191" s="91">
        <f>A190+1</f>
        <v>205</v>
      </c>
      <c r="B191" s="91"/>
      <c r="C191" s="18"/>
      <c r="D191" s="18"/>
      <c r="E191" s="18">
        <v>0</v>
      </c>
      <c r="F191" s="18">
        <f t="shared" si="16"/>
        <v>0</v>
      </c>
      <c r="G191" s="91" t="str">
        <f>G190</f>
        <v>2nd Floor</v>
      </c>
      <c r="H191" s="91"/>
      <c r="I191" s="50"/>
      <c r="N191" s="50"/>
    </row>
    <row r="192" spans="1:14" s="49" customFormat="1" hidden="1" x14ac:dyDescent="0.3">
      <c r="A192" s="91">
        <f>A191+1</f>
        <v>206</v>
      </c>
      <c r="B192" s="91"/>
      <c r="C192" s="18"/>
      <c r="D192" s="18"/>
      <c r="E192" s="18">
        <v>0</v>
      </c>
      <c r="F192" s="18">
        <f t="shared" si="16"/>
        <v>0</v>
      </c>
      <c r="G192" s="91" t="str">
        <f>G191</f>
        <v>2nd Floor</v>
      </c>
      <c r="H192" s="91"/>
      <c r="I192" s="50"/>
      <c r="N192" s="50"/>
    </row>
    <row r="193" spans="1:9" s="49" customFormat="1" ht="15.75" hidden="1" customHeight="1" x14ac:dyDescent="0.3">
      <c r="A193" s="80" t="s">
        <v>163</v>
      </c>
      <c r="B193" s="81"/>
      <c r="C193" s="81"/>
      <c r="D193" s="81"/>
      <c r="E193" s="81"/>
      <c r="F193" s="81"/>
      <c r="G193" s="81"/>
      <c r="H193" s="82"/>
      <c r="I193" s="50"/>
    </row>
    <row r="194" spans="1:9" s="49" customFormat="1" hidden="1" x14ac:dyDescent="0.3">
      <c r="A194" s="62" t="str">
        <f ca="1">(SUMPRODUCT(MID(0&amp;(LEFT(A193,SUM(LEN(A193)-LEN(SUBSTITUTE(A193,{"0","1","2"},""))))), LARGE(INDEX(ISNUMBER(--MID((LEFT(A193,SUM(LEN(A193)-LEN(SUBSTITUTE(A193,{"0","1","2"},""))))), ROW(INDIRECT("1:"&amp;LEN((LEFT(A193,SUM(LEN(A193)-LEN(SUBSTITUTE(A193,{"0","1","2"},"")))))))), 1)) * ROW(INDIRECT("1:"&amp;LEN((LEFT(A193,SUM(LEN(A193)-LEN(SUBSTITUTE(A193,{"0","1","2"},"")))))))), 0), ROW(INDIRECT("1:"&amp;LEN((LEFT(A193,SUM(LEN(A193)-LEN(SUBSTITUTE(A193,{"0","1","2"},"")))))))))+1, 1) * 10^ROW(INDIRECT("1:"&amp;LEN((LEFT(A193,SUM(LEN(A193)-LEN(SUBSTITUTE(A193,{"0","1","2"},""))))))))/10))*100+1&amp;""&amp;" ,.., "&amp;""&amp;(SUMPRODUCT(MID(0&amp;(--TRIM(RIGHT(SUBSTITUTE(LEFT(A193,_xlfn.AGGREGATE(16,6,FIND({0,1,2,3,4,5,6,7,8,9},A193,ROW(INDIRECT("1:"&amp;LEN(A193)))),1))," ",REPT(" ",LEN(A193))),LEN(A193)))), LARGE(INDEX(ISNUMBER(--MID((--TRIM(RIGHT(SUBSTITUTE(LEFT(A193,_xlfn.AGGREGATE(16,6,FIND({0,1,2,3,4,5,6,7,8,9},A193,ROW(INDIRECT("1:"&amp;LEN(A193)))),1))," ",REPT(" ",LEN(A193))),LEN(A193)))), ROW(INDIRECT("1:"&amp;LEN((--TRIM(RIGHT(SUBSTITUTE(LEFT(A193,_xlfn.AGGREGATE(16,6,FIND({0,1,2,3,4,5,6,7,8,9},A193,ROW(INDIRECT("1:"&amp;LEN(A193)))),1))," ",REPT(" ",LEN(A193))),LEN(A193))))))), 1)) * ROW(INDIRECT("1:"&amp;LEN((--TRIM(RIGHT(SUBSTITUTE(LEFT(A193,_xlfn.AGGREGATE(16,6,FIND({0,1,2,3,4,5,6,7,8,9},A193,ROW(INDIRECT("1:"&amp;LEN(A193)))),1))," ",REPT(" ",LEN(A193))),LEN(A193))))))), 0), ROW(INDIRECT("1:"&amp;LEN((--TRIM(RIGHT(SUBSTITUTE(LEFT(A193,_xlfn.AGGREGATE(16,6,FIND({0,1,2,3,4,5,6,7,8,9},A193,ROW(INDIRECT("1:"&amp;LEN(A193)))),1))," ",REPT(" ",LEN(A193))),LEN(A193))))))))+1, 1) * 10^ROW(INDIRECT("1:"&amp;LEN((--TRIM(RIGHT(SUBSTITUTE(LEFT(A193,_xlfn.AGGREGATE(16,6,FIND({0,1,2,3,4,5,6,7,8,9},A193,ROW(INDIRECT("1:"&amp;LEN(A193)))),1))," ",REPT(" ",LEN(A193))),LEN(A193)))))))/10))*100+1</f>
        <v>301 ,.., 1501</v>
      </c>
      <c r="B194" s="63"/>
      <c r="C194" s="18"/>
      <c r="D194" s="18"/>
      <c r="E194" s="18">
        <v>0</v>
      </c>
      <c r="F194" s="18">
        <f t="shared" ref="F194:F199" si="17">D194*(($F$185)+1)+(IF(E194&lt;101,E194,IF(E194&lt;201,E194/2,IF(E194&lt;=301,E194/3,E194/4))))</f>
        <v>0</v>
      </c>
      <c r="G194" s="62" t="str">
        <f>A193</f>
        <v>3rd, 5th, 7th, 9th, 11th, 13th, 15th Floor</v>
      </c>
      <c r="H194" s="63"/>
      <c r="I194" s="50"/>
    </row>
    <row r="195" spans="1:9" s="49" customFormat="1" hidden="1" x14ac:dyDescent="0.3">
      <c r="A195" s="62" t="str">
        <f ca="1">(SUMPRODUCT(MID(0&amp;(LEFT(A194,SUM(LEN(A194)-LEN(SUBSTITUTE(A194,{"0","1","2"},""))))), LARGE(INDEX(ISNUMBER(--MID((LEFT(A194,SUM(LEN(A194)-LEN(SUBSTITUTE(A194,{"0","1","2"},""))))), ROW(INDIRECT("1:"&amp;LEN((LEFT(A194,SUM(LEN(A194)-LEN(SUBSTITUTE(A194,{"0","1","2"},"")))))))), 1)) * ROW(INDIRECT("1:"&amp;LEN((LEFT(A194,SUM(LEN(A194)-LEN(SUBSTITUTE(A194,{"0","1","2"},"")))))))), 0), ROW(INDIRECT("1:"&amp;LEN((LEFT(A194,SUM(LEN(A194)-LEN(SUBSTITUTE(A194,{"0","1","2"},"")))))))))+1, 1) * 10^ROW(INDIRECT("1:"&amp;LEN((LEFT(A194,SUM(LEN(A194)-LEN(SUBSTITUTE(A194,{"0","1","2"},""))))))))/10))*1+1&amp;""&amp;" ,.., "&amp;""&amp;(SUMPRODUCT(MID(0&amp;(--TRIM(RIGHT(SUBSTITUTE(LEFT(A194,_xlfn.AGGREGATE(16,6,FIND({0,1,2,3,4,5,6,7,8,9},A194,ROW(INDIRECT("1:"&amp;LEN(A194)))),1))," ",REPT(" ",LEN(A194))),LEN(A194)))), LARGE(INDEX(ISNUMBER(--MID((--TRIM(RIGHT(SUBSTITUTE(LEFT(A194,_xlfn.AGGREGATE(16,6,FIND({0,1,2,3,4,5,6,7,8,9},A194,ROW(INDIRECT("1:"&amp;LEN(A194)))),1))," ",REPT(" ",LEN(A194))),LEN(A194)))), ROW(INDIRECT("1:"&amp;LEN((--TRIM(RIGHT(SUBSTITUTE(LEFT(A194,_xlfn.AGGREGATE(16,6,FIND({0,1,2,3,4,5,6,7,8,9},A194,ROW(INDIRECT("1:"&amp;LEN(A194)))),1))," ",REPT(" ",LEN(A194))),LEN(A194))))))), 1)) * ROW(INDIRECT("1:"&amp;LEN((--TRIM(RIGHT(SUBSTITUTE(LEFT(A194,_xlfn.AGGREGATE(16,6,FIND({0,1,2,3,4,5,6,7,8,9},A194,ROW(INDIRECT("1:"&amp;LEN(A194)))),1))," ",REPT(" ",LEN(A194))),LEN(A194))))))), 0), ROW(INDIRECT("1:"&amp;LEN((--TRIM(RIGHT(SUBSTITUTE(LEFT(A194,_xlfn.AGGREGATE(16,6,FIND({0,1,2,3,4,5,6,7,8,9},A194,ROW(INDIRECT("1:"&amp;LEN(A194)))),1))," ",REPT(" ",LEN(A194))),LEN(A194))))))))+1, 1) * 10^ROW(INDIRECT("1:"&amp;LEN((--TRIM(RIGHT(SUBSTITUTE(LEFT(A194,_xlfn.AGGREGATE(16,6,FIND({0,1,2,3,4,5,6,7,8,9},A194,ROW(INDIRECT("1:"&amp;LEN(A194)))),1))," ",REPT(" ",LEN(A194))),LEN(A194)))))))/10))*1+1</f>
        <v>302 ,.., 1502</v>
      </c>
      <c r="B195" s="63"/>
      <c r="C195" s="18"/>
      <c r="D195" s="18"/>
      <c r="E195" s="18">
        <v>0</v>
      </c>
      <c r="F195" s="18">
        <f t="shared" si="17"/>
        <v>0</v>
      </c>
      <c r="G195" s="62" t="str">
        <f>G194</f>
        <v>3rd, 5th, 7th, 9th, 11th, 13th, 15th Floor</v>
      </c>
      <c r="H195" s="63"/>
      <c r="I195" s="50"/>
    </row>
    <row r="196" spans="1:9" s="49" customFormat="1" ht="15.75" hidden="1" customHeight="1" x14ac:dyDescent="0.3">
      <c r="A196" s="62" t="str">
        <f ca="1">(SUMPRODUCT(MID(0&amp;(LEFT(A195,SUM(LEN(A195)-LEN(SUBSTITUTE(A195,{"0","1","2"},""))))), LARGE(INDEX(ISNUMBER(--MID((LEFT(A195,SUM(LEN(A195)-LEN(SUBSTITUTE(A195,{"0","1","2"},""))))), ROW(INDIRECT("1:"&amp;LEN((LEFT(A195,SUM(LEN(A195)-LEN(SUBSTITUTE(A195,{"0","1","2"},"")))))))), 1)) * ROW(INDIRECT("1:"&amp;LEN((LEFT(A195,SUM(LEN(A195)-LEN(SUBSTITUTE(A195,{"0","1","2"},"")))))))), 0), ROW(INDIRECT("1:"&amp;LEN((LEFT(A195,SUM(LEN(A195)-LEN(SUBSTITUTE(A195,{"0","1","2"},"")))))))))+1, 1) * 10^ROW(INDIRECT("1:"&amp;LEN((LEFT(A195,SUM(LEN(A195)-LEN(SUBSTITUTE(A195,{"0","1","2"},""))))))))/10))*1+1&amp;""&amp;" ,.., "&amp;""&amp;(SUMPRODUCT(MID(0&amp;(--TRIM(RIGHT(SUBSTITUTE(LEFT(A195,_xlfn.AGGREGATE(16,6,FIND({0,1,2,3,4,5,6,7,8,9},A195,ROW(INDIRECT("1:"&amp;LEN(A195)))),1))," ",REPT(" ",LEN(A195))),LEN(A195)))), LARGE(INDEX(ISNUMBER(--MID((--TRIM(RIGHT(SUBSTITUTE(LEFT(A195,_xlfn.AGGREGATE(16,6,FIND({0,1,2,3,4,5,6,7,8,9},A195,ROW(INDIRECT("1:"&amp;LEN(A195)))),1))," ",REPT(" ",LEN(A195))),LEN(A195)))), ROW(INDIRECT("1:"&amp;LEN((--TRIM(RIGHT(SUBSTITUTE(LEFT(A195,_xlfn.AGGREGATE(16,6,FIND({0,1,2,3,4,5,6,7,8,9},A195,ROW(INDIRECT("1:"&amp;LEN(A195)))),1))," ",REPT(" ",LEN(A195))),LEN(A195))))))), 1)) * ROW(INDIRECT("1:"&amp;LEN((--TRIM(RIGHT(SUBSTITUTE(LEFT(A195,_xlfn.AGGREGATE(16,6,FIND({0,1,2,3,4,5,6,7,8,9},A195,ROW(INDIRECT("1:"&amp;LEN(A195)))),1))," ",REPT(" ",LEN(A195))),LEN(A195))))))), 0), ROW(INDIRECT("1:"&amp;LEN((--TRIM(RIGHT(SUBSTITUTE(LEFT(A195,_xlfn.AGGREGATE(16,6,FIND({0,1,2,3,4,5,6,7,8,9},A195,ROW(INDIRECT("1:"&amp;LEN(A195)))),1))," ",REPT(" ",LEN(A195))),LEN(A195))))))))+1, 1) * 10^ROW(INDIRECT("1:"&amp;LEN((--TRIM(RIGHT(SUBSTITUTE(LEFT(A195,_xlfn.AGGREGATE(16,6,FIND({0,1,2,3,4,5,6,7,8,9},A195,ROW(INDIRECT("1:"&amp;LEN(A195)))),1))," ",REPT(" ",LEN(A195))),LEN(A195)))))))/10))*1+1</f>
        <v>303 ,.., 1503</v>
      </c>
      <c r="B196" s="63"/>
      <c r="C196" s="18"/>
      <c r="D196" s="18"/>
      <c r="E196" s="18">
        <v>0</v>
      </c>
      <c r="F196" s="18">
        <f t="shared" si="17"/>
        <v>0</v>
      </c>
      <c r="G196" s="62" t="str">
        <f>G195</f>
        <v>3rd, 5th, 7th, 9th, 11th, 13th, 15th Floor</v>
      </c>
      <c r="H196" s="63"/>
      <c r="I196" s="50"/>
    </row>
    <row r="197" spans="1:9" s="49" customFormat="1" ht="15.75" hidden="1" customHeight="1" x14ac:dyDescent="0.3">
      <c r="A197" s="62" t="str">
        <f ca="1">(SUMPRODUCT(MID(0&amp;(LEFT(A196,SUM(LEN(A196)-LEN(SUBSTITUTE(A196,{"0","1","2"},""))))), LARGE(INDEX(ISNUMBER(--MID((LEFT(A196,SUM(LEN(A196)-LEN(SUBSTITUTE(A196,{"0","1","2"},""))))), ROW(INDIRECT("1:"&amp;LEN((LEFT(A196,SUM(LEN(A196)-LEN(SUBSTITUTE(A196,{"0","1","2"},"")))))))), 1)) * ROW(INDIRECT("1:"&amp;LEN((LEFT(A196,SUM(LEN(A196)-LEN(SUBSTITUTE(A196,{"0","1","2"},"")))))))), 0), ROW(INDIRECT("1:"&amp;LEN((LEFT(A196,SUM(LEN(A196)-LEN(SUBSTITUTE(A196,{"0","1","2"},"")))))))))+1, 1) * 10^ROW(INDIRECT("1:"&amp;LEN((LEFT(A196,SUM(LEN(A196)-LEN(SUBSTITUTE(A196,{"0","1","2"},""))))))))/10))*1+1&amp;""&amp;" ,.., "&amp;""&amp;(SUMPRODUCT(MID(0&amp;(--TRIM(RIGHT(SUBSTITUTE(LEFT(A196,_xlfn.AGGREGATE(16,6,FIND({0,1,2,3,4,5,6,7,8,9},A196,ROW(INDIRECT("1:"&amp;LEN(A196)))),1))," ",REPT(" ",LEN(A196))),LEN(A196)))), LARGE(INDEX(ISNUMBER(--MID((--TRIM(RIGHT(SUBSTITUTE(LEFT(A196,_xlfn.AGGREGATE(16,6,FIND({0,1,2,3,4,5,6,7,8,9},A196,ROW(INDIRECT("1:"&amp;LEN(A196)))),1))," ",REPT(" ",LEN(A196))),LEN(A196)))), ROW(INDIRECT("1:"&amp;LEN((--TRIM(RIGHT(SUBSTITUTE(LEFT(A196,_xlfn.AGGREGATE(16,6,FIND({0,1,2,3,4,5,6,7,8,9},A196,ROW(INDIRECT("1:"&amp;LEN(A196)))),1))," ",REPT(" ",LEN(A196))),LEN(A196))))))), 1)) * ROW(INDIRECT("1:"&amp;LEN((--TRIM(RIGHT(SUBSTITUTE(LEFT(A196,_xlfn.AGGREGATE(16,6,FIND({0,1,2,3,4,5,6,7,8,9},A196,ROW(INDIRECT("1:"&amp;LEN(A196)))),1))," ",REPT(" ",LEN(A196))),LEN(A196))))))), 0), ROW(INDIRECT("1:"&amp;LEN((--TRIM(RIGHT(SUBSTITUTE(LEFT(A196,_xlfn.AGGREGATE(16,6,FIND({0,1,2,3,4,5,6,7,8,9},A196,ROW(INDIRECT("1:"&amp;LEN(A196)))),1))," ",REPT(" ",LEN(A196))),LEN(A196))))))))+1, 1) * 10^ROW(INDIRECT("1:"&amp;LEN((--TRIM(RIGHT(SUBSTITUTE(LEFT(A196,_xlfn.AGGREGATE(16,6,FIND({0,1,2,3,4,5,6,7,8,9},A196,ROW(INDIRECT("1:"&amp;LEN(A196)))),1))," ",REPT(" ",LEN(A196))),LEN(A196)))))))/10))*1+1</f>
        <v>304 ,.., 1504</v>
      </c>
      <c r="B197" s="63"/>
      <c r="C197" s="18"/>
      <c r="D197" s="18"/>
      <c r="E197" s="18">
        <v>0</v>
      </c>
      <c r="F197" s="18">
        <f t="shared" si="17"/>
        <v>0</v>
      </c>
      <c r="G197" s="62" t="str">
        <f>G196</f>
        <v>3rd, 5th, 7th, 9th, 11th, 13th, 15th Floor</v>
      </c>
      <c r="H197" s="63"/>
      <c r="I197" s="50"/>
    </row>
    <row r="198" spans="1:9" s="49" customFormat="1" ht="15.75" hidden="1" customHeight="1" x14ac:dyDescent="0.3">
      <c r="A198" s="62" t="str">
        <f ca="1">(SUMPRODUCT(MID(0&amp;(LEFT(A197,SUM(LEN(A197)-LEN(SUBSTITUTE(A197,{"0","1","2"},""))))), LARGE(INDEX(ISNUMBER(--MID((LEFT(A197,SUM(LEN(A197)-LEN(SUBSTITUTE(A197,{"0","1","2"},""))))), ROW(INDIRECT("1:"&amp;LEN((LEFT(A197,SUM(LEN(A197)-LEN(SUBSTITUTE(A197,{"0","1","2"},"")))))))), 1)) * ROW(INDIRECT("1:"&amp;LEN((LEFT(A197,SUM(LEN(A197)-LEN(SUBSTITUTE(A197,{"0","1","2"},"")))))))), 0), ROW(INDIRECT("1:"&amp;LEN((LEFT(A197,SUM(LEN(A197)-LEN(SUBSTITUTE(A197,{"0","1","2"},"")))))))))+1, 1) * 10^ROW(INDIRECT("1:"&amp;LEN((LEFT(A197,SUM(LEN(A197)-LEN(SUBSTITUTE(A197,{"0","1","2"},""))))))))/10))*1+1&amp;""&amp;" ,.., "&amp;""&amp;(SUMPRODUCT(MID(0&amp;(--TRIM(RIGHT(SUBSTITUTE(LEFT(A197,_xlfn.AGGREGATE(16,6,FIND({0,1,2,3,4,5,6,7,8,9},A197,ROW(INDIRECT("1:"&amp;LEN(A197)))),1))," ",REPT(" ",LEN(A197))),LEN(A197)))), LARGE(INDEX(ISNUMBER(--MID((--TRIM(RIGHT(SUBSTITUTE(LEFT(A197,_xlfn.AGGREGATE(16,6,FIND({0,1,2,3,4,5,6,7,8,9},A197,ROW(INDIRECT("1:"&amp;LEN(A197)))),1))," ",REPT(" ",LEN(A197))),LEN(A197)))), ROW(INDIRECT("1:"&amp;LEN((--TRIM(RIGHT(SUBSTITUTE(LEFT(A197,_xlfn.AGGREGATE(16,6,FIND({0,1,2,3,4,5,6,7,8,9},A197,ROW(INDIRECT("1:"&amp;LEN(A197)))),1))," ",REPT(" ",LEN(A197))),LEN(A197))))))), 1)) * ROW(INDIRECT("1:"&amp;LEN((--TRIM(RIGHT(SUBSTITUTE(LEFT(A197,_xlfn.AGGREGATE(16,6,FIND({0,1,2,3,4,5,6,7,8,9},A197,ROW(INDIRECT("1:"&amp;LEN(A197)))),1))," ",REPT(" ",LEN(A197))),LEN(A197))))))), 0), ROW(INDIRECT("1:"&amp;LEN((--TRIM(RIGHT(SUBSTITUTE(LEFT(A197,_xlfn.AGGREGATE(16,6,FIND({0,1,2,3,4,5,6,7,8,9},A197,ROW(INDIRECT("1:"&amp;LEN(A197)))),1))," ",REPT(" ",LEN(A197))),LEN(A197))))))))+1, 1) * 10^ROW(INDIRECT("1:"&amp;LEN((--TRIM(RIGHT(SUBSTITUTE(LEFT(A197,_xlfn.AGGREGATE(16,6,FIND({0,1,2,3,4,5,6,7,8,9},A197,ROW(INDIRECT("1:"&amp;LEN(A197)))),1))," ",REPT(" ",LEN(A197))),LEN(A197)))))))/10))*1+1</f>
        <v>305 ,.., 1505</v>
      </c>
      <c r="B198" s="63"/>
      <c r="C198" s="18"/>
      <c r="D198" s="18"/>
      <c r="E198" s="18">
        <v>0</v>
      </c>
      <c r="F198" s="18">
        <f t="shared" si="17"/>
        <v>0</v>
      </c>
      <c r="G198" s="62" t="str">
        <f>G197</f>
        <v>3rd, 5th, 7th, 9th, 11th, 13th, 15th Floor</v>
      </c>
      <c r="H198" s="63"/>
      <c r="I198" s="50"/>
    </row>
    <row r="199" spans="1:9" s="49" customFormat="1" ht="15.75" hidden="1" customHeight="1" x14ac:dyDescent="0.3">
      <c r="A199" s="62" t="str">
        <f ca="1">(SUMPRODUCT(MID(0&amp;(LEFT(A198,SUM(LEN(A198)-LEN(SUBSTITUTE(A198,{"0","1","2"},""))))), LARGE(INDEX(ISNUMBER(--MID((LEFT(A198,SUM(LEN(A198)-LEN(SUBSTITUTE(A198,{"0","1","2"},""))))), ROW(INDIRECT("1:"&amp;LEN((LEFT(A198,SUM(LEN(A198)-LEN(SUBSTITUTE(A198,{"0","1","2"},"")))))))), 1)) * ROW(INDIRECT("1:"&amp;LEN((LEFT(A198,SUM(LEN(A198)-LEN(SUBSTITUTE(A198,{"0","1","2"},"")))))))), 0), ROW(INDIRECT("1:"&amp;LEN((LEFT(A198,SUM(LEN(A198)-LEN(SUBSTITUTE(A198,{"0","1","2"},"")))))))))+1, 1) * 10^ROW(INDIRECT("1:"&amp;LEN((LEFT(A198,SUM(LEN(A198)-LEN(SUBSTITUTE(A198,{"0","1","2"},""))))))))/10))*1+1&amp;""&amp;" ,.., "&amp;""&amp;(SUMPRODUCT(MID(0&amp;(--TRIM(RIGHT(SUBSTITUTE(LEFT(A198,_xlfn.AGGREGATE(16,6,FIND({0,1,2,3,4,5,6,7,8,9},A198,ROW(INDIRECT("1:"&amp;LEN(A198)))),1))," ",REPT(" ",LEN(A198))),LEN(A198)))), LARGE(INDEX(ISNUMBER(--MID((--TRIM(RIGHT(SUBSTITUTE(LEFT(A198,_xlfn.AGGREGATE(16,6,FIND({0,1,2,3,4,5,6,7,8,9},A198,ROW(INDIRECT("1:"&amp;LEN(A198)))),1))," ",REPT(" ",LEN(A198))),LEN(A198)))), ROW(INDIRECT("1:"&amp;LEN((--TRIM(RIGHT(SUBSTITUTE(LEFT(A198,_xlfn.AGGREGATE(16,6,FIND({0,1,2,3,4,5,6,7,8,9},A198,ROW(INDIRECT("1:"&amp;LEN(A198)))),1))," ",REPT(" ",LEN(A198))),LEN(A198))))))), 1)) * ROW(INDIRECT("1:"&amp;LEN((--TRIM(RIGHT(SUBSTITUTE(LEFT(A198,_xlfn.AGGREGATE(16,6,FIND({0,1,2,3,4,5,6,7,8,9},A198,ROW(INDIRECT("1:"&amp;LEN(A198)))),1))," ",REPT(" ",LEN(A198))),LEN(A198))))))), 0), ROW(INDIRECT("1:"&amp;LEN((--TRIM(RIGHT(SUBSTITUTE(LEFT(A198,_xlfn.AGGREGATE(16,6,FIND({0,1,2,3,4,5,6,7,8,9},A198,ROW(INDIRECT("1:"&amp;LEN(A198)))),1))," ",REPT(" ",LEN(A198))),LEN(A198))))))))+1, 1) * 10^ROW(INDIRECT("1:"&amp;LEN((--TRIM(RIGHT(SUBSTITUTE(LEFT(A198,_xlfn.AGGREGATE(16,6,FIND({0,1,2,3,4,5,6,7,8,9},A198,ROW(INDIRECT("1:"&amp;LEN(A198)))),1))," ",REPT(" ",LEN(A198))),LEN(A198)))))))/10))*1+1</f>
        <v>306 ,.., 1506</v>
      </c>
      <c r="B199" s="63"/>
      <c r="C199" s="18"/>
      <c r="D199" s="18"/>
      <c r="E199" s="18">
        <v>0</v>
      </c>
      <c r="F199" s="18">
        <f t="shared" si="17"/>
        <v>0</v>
      </c>
      <c r="G199" s="62" t="str">
        <f>G198</f>
        <v>3rd, 5th, 7th, 9th, 11th, 13th, 15th Floor</v>
      </c>
      <c r="H199" s="63"/>
      <c r="I199" s="50"/>
    </row>
    <row r="200" spans="1:9" s="49" customFormat="1" hidden="1" x14ac:dyDescent="0.3">
      <c r="A200" s="80" t="s">
        <v>156</v>
      </c>
      <c r="B200" s="81"/>
      <c r="C200" s="81"/>
      <c r="D200" s="81"/>
      <c r="E200" s="81"/>
      <c r="F200" s="81"/>
      <c r="G200" s="81"/>
      <c r="H200" s="82"/>
      <c r="I200" s="50"/>
    </row>
    <row r="201" spans="1:9" s="49" customFormat="1" hidden="1" x14ac:dyDescent="0.3">
      <c r="A201" s="62" t="str">
        <f ca="1">(SUMPRODUCT(MID(0&amp;(LEFT(A200,SUM(LEN(A200)-LEN(SUBSTITUTE(A200,{"0","1","2"},""))))), LARGE(INDEX(ISNUMBER(--MID((LEFT(A200,SUM(LEN(A200)-LEN(SUBSTITUTE(A200,{"0","1","2"},""))))), ROW(INDIRECT("1:"&amp;LEN((LEFT(A200,SUM(LEN(A200)-LEN(SUBSTITUTE(A200,{"0","1","2"},"")))))))), 1)) * ROW(INDIRECT("1:"&amp;LEN((LEFT(A200,SUM(LEN(A200)-LEN(SUBSTITUTE(A200,{"0","1","2"},"")))))))), 0), ROW(INDIRECT("1:"&amp;LEN((LEFT(A200,SUM(LEN(A200)-LEN(SUBSTITUTE(A200,{"0","1","2"},"")))))))))+1, 1) * 10^ROW(INDIRECT("1:"&amp;LEN((LEFT(A200,SUM(LEN(A200)-LEN(SUBSTITUTE(A200,{"0","1","2"},""))))))))/10))*100+1&amp;""&amp;" to "&amp;""&amp;(SUMPRODUCT(MID(0&amp;(--TRIM(RIGHT(SUBSTITUTE(LEFT(A200,_xlfn.AGGREGATE(16,6,FIND({0,1,2,3,4,5,6,7,8,9},A200,ROW(INDIRECT("1:"&amp;LEN(A200)))),1))," ",REPT(" ",LEN(A200))),LEN(A200)))), LARGE(INDEX(ISNUMBER(--MID((--TRIM(RIGHT(SUBSTITUTE(LEFT(A200,_xlfn.AGGREGATE(16,6,FIND({0,1,2,3,4,5,6,7,8,9},A200,ROW(INDIRECT("1:"&amp;LEN(A200)))),1))," ",REPT(" ",LEN(A200))),LEN(A200)))), ROW(INDIRECT("1:"&amp;LEN((--TRIM(RIGHT(SUBSTITUTE(LEFT(A200,_xlfn.AGGREGATE(16,6,FIND({0,1,2,3,4,5,6,7,8,9},A200,ROW(INDIRECT("1:"&amp;LEN(A200)))),1))," ",REPT(" ",LEN(A200))),LEN(A200))))))), 1)) * ROW(INDIRECT("1:"&amp;LEN((--TRIM(RIGHT(SUBSTITUTE(LEFT(A200,_xlfn.AGGREGATE(16,6,FIND({0,1,2,3,4,5,6,7,8,9},A200,ROW(INDIRECT("1:"&amp;LEN(A200)))),1))," ",REPT(" ",LEN(A200))),LEN(A200))))))), 0), ROW(INDIRECT("1:"&amp;LEN((--TRIM(RIGHT(SUBSTITUTE(LEFT(A200,_xlfn.AGGREGATE(16,6,FIND({0,1,2,3,4,5,6,7,8,9},A200,ROW(INDIRECT("1:"&amp;LEN(A200)))),1))," ",REPT(" ",LEN(A200))),LEN(A200))))))))+1, 1) * 10^ROW(INDIRECT("1:"&amp;LEN((--TRIM(RIGHT(SUBSTITUTE(LEFT(A200,_xlfn.AGGREGATE(16,6,FIND({0,1,2,3,4,5,6,7,8,9},A200,ROW(INDIRECT("1:"&amp;LEN(A200)))),1))," ",REPT(" ",LEN(A200))),LEN(A200)))))))/10))*100+1</f>
        <v>201 to 501</v>
      </c>
      <c r="B201" s="63"/>
      <c r="C201" s="18"/>
      <c r="D201" s="18"/>
      <c r="E201" s="18">
        <v>0</v>
      </c>
      <c r="F201" s="18">
        <f t="shared" ref="F201:F206" si="18">D201*(($F$185)+1)+(IF(E201&lt;101,E201,IF(E201&lt;201,E201/2,IF(E201&lt;=301,E201/3,E201/4))))</f>
        <v>0</v>
      </c>
      <c r="G201" s="62" t="str">
        <f>A200</f>
        <v>2nd to 5th Floor</v>
      </c>
      <c r="H201" s="63"/>
      <c r="I201" s="50"/>
    </row>
    <row r="202" spans="1:9" s="49" customFormat="1" hidden="1" x14ac:dyDescent="0.3">
      <c r="A202" s="62" t="str">
        <f ca="1">(SUMPRODUCT(MID(0&amp;(LEFT(A201,SUM(LEN(A201)-LEN(SUBSTITUTE(A201,{"0","1","2"},""))))), LARGE(INDEX(ISNUMBER(--MID((LEFT(A201,SUM(LEN(A201)-LEN(SUBSTITUTE(A201,{"0","1","2"},""))))), ROW(INDIRECT("1:"&amp;LEN((LEFT(A201,SUM(LEN(A201)-LEN(SUBSTITUTE(A201,{"0","1","2"},"")))))))), 1)) * ROW(INDIRECT("1:"&amp;LEN((LEFT(A201,SUM(LEN(A201)-LEN(SUBSTITUTE(A201,{"0","1","2"},"")))))))), 0), ROW(INDIRECT("1:"&amp;LEN((LEFT(A201,SUM(LEN(A201)-LEN(SUBSTITUTE(A201,{"0","1","2"},"")))))))))+1, 1) * 10^ROW(INDIRECT("1:"&amp;LEN((LEFT(A201,SUM(LEN(A201)-LEN(SUBSTITUTE(A201,{"0","1","2"},""))))))))/10))*1+1&amp;""&amp;" to "&amp;""&amp;(SUMPRODUCT(MID(0&amp;(--TRIM(RIGHT(SUBSTITUTE(LEFT(A201,_xlfn.AGGREGATE(16,6,FIND({0,1,2,3,4,5,6,7,8,9},A201,ROW(INDIRECT("1:"&amp;LEN(A201)))),1))," ",REPT(" ",LEN(A201))),LEN(A201)))), LARGE(INDEX(ISNUMBER(--MID((--TRIM(RIGHT(SUBSTITUTE(LEFT(A201,_xlfn.AGGREGATE(16,6,FIND({0,1,2,3,4,5,6,7,8,9},A201,ROW(INDIRECT("1:"&amp;LEN(A201)))),1))," ",REPT(" ",LEN(A201))),LEN(A201)))), ROW(INDIRECT("1:"&amp;LEN((--TRIM(RIGHT(SUBSTITUTE(LEFT(A201,_xlfn.AGGREGATE(16,6,FIND({0,1,2,3,4,5,6,7,8,9},A201,ROW(INDIRECT("1:"&amp;LEN(A201)))),1))," ",REPT(" ",LEN(A201))),LEN(A201))))))), 1)) * ROW(INDIRECT("1:"&amp;LEN((--TRIM(RIGHT(SUBSTITUTE(LEFT(A201,_xlfn.AGGREGATE(16,6,FIND({0,1,2,3,4,5,6,7,8,9},A201,ROW(INDIRECT("1:"&amp;LEN(A201)))),1))," ",REPT(" ",LEN(A201))),LEN(A201))))))), 0), ROW(INDIRECT("1:"&amp;LEN((--TRIM(RIGHT(SUBSTITUTE(LEFT(A201,_xlfn.AGGREGATE(16,6,FIND({0,1,2,3,4,5,6,7,8,9},A201,ROW(INDIRECT("1:"&amp;LEN(A201)))),1))," ",REPT(" ",LEN(A201))),LEN(A201))))))))+1, 1) * 10^ROW(INDIRECT("1:"&amp;LEN((--TRIM(RIGHT(SUBSTITUTE(LEFT(A201,_xlfn.AGGREGATE(16,6,FIND({0,1,2,3,4,5,6,7,8,9},A201,ROW(INDIRECT("1:"&amp;LEN(A201)))),1))," ",REPT(" ",LEN(A201))),LEN(A201)))))))/10))*1+1</f>
        <v>202 to 502</v>
      </c>
      <c r="B202" s="63"/>
      <c r="C202" s="18"/>
      <c r="D202" s="18"/>
      <c r="E202" s="18">
        <v>0</v>
      </c>
      <c r="F202" s="18">
        <f t="shared" si="18"/>
        <v>0</v>
      </c>
      <c r="G202" s="62" t="str">
        <f>G201</f>
        <v>2nd to 5th Floor</v>
      </c>
      <c r="H202" s="63"/>
      <c r="I202" s="50"/>
    </row>
    <row r="203" spans="1:9" s="49" customFormat="1" hidden="1" x14ac:dyDescent="0.3">
      <c r="A203" s="62" t="str">
        <f ca="1">(SUMPRODUCT(MID(0&amp;(LEFT(A202,SUM(LEN(A202)-LEN(SUBSTITUTE(A202,{"0","1","2"},""))))), LARGE(INDEX(ISNUMBER(--MID((LEFT(A202,SUM(LEN(A202)-LEN(SUBSTITUTE(A202,{"0","1","2"},""))))), ROW(INDIRECT("1:"&amp;LEN((LEFT(A202,SUM(LEN(A202)-LEN(SUBSTITUTE(A202,{"0","1","2"},"")))))))), 1)) * ROW(INDIRECT("1:"&amp;LEN((LEFT(A202,SUM(LEN(A202)-LEN(SUBSTITUTE(A202,{"0","1","2"},"")))))))), 0), ROW(INDIRECT("1:"&amp;LEN((LEFT(A202,SUM(LEN(A202)-LEN(SUBSTITUTE(A202,{"0","1","2"},"")))))))))+1, 1) * 10^ROW(INDIRECT("1:"&amp;LEN((LEFT(A202,SUM(LEN(A202)-LEN(SUBSTITUTE(A202,{"0","1","2"},""))))))))/10))*1+1&amp;""&amp;" to "&amp;""&amp;(SUMPRODUCT(MID(0&amp;(--TRIM(RIGHT(SUBSTITUTE(LEFT(A202,_xlfn.AGGREGATE(16,6,FIND({0,1,2,3,4,5,6,7,8,9},A202,ROW(INDIRECT("1:"&amp;LEN(A202)))),1))," ",REPT(" ",LEN(A202))),LEN(A202)))), LARGE(INDEX(ISNUMBER(--MID((--TRIM(RIGHT(SUBSTITUTE(LEFT(A202,_xlfn.AGGREGATE(16,6,FIND({0,1,2,3,4,5,6,7,8,9},A202,ROW(INDIRECT("1:"&amp;LEN(A202)))),1))," ",REPT(" ",LEN(A202))),LEN(A202)))), ROW(INDIRECT("1:"&amp;LEN((--TRIM(RIGHT(SUBSTITUTE(LEFT(A202,_xlfn.AGGREGATE(16,6,FIND({0,1,2,3,4,5,6,7,8,9},A202,ROW(INDIRECT("1:"&amp;LEN(A202)))),1))," ",REPT(" ",LEN(A202))),LEN(A202))))))), 1)) * ROW(INDIRECT("1:"&amp;LEN((--TRIM(RIGHT(SUBSTITUTE(LEFT(A202,_xlfn.AGGREGATE(16,6,FIND({0,1,2,3,4,5,6,7,8,9},A202,ROW(INDIRECT("1:"&amp;LEN(A202)))),1))," ",REPT(" ",LEN(A202))),LEN(A202))))))), 0), ROW(INDIRECT("1:"&amp;LEN((--TRIM(RIGHT(SUBSTITUTE(LEFT(A202,_xlfn.AGGREGATE(16,6,FIND({0,1,2,3,4,5,6,7,8,9},A202,ROW(INDIRECT("1:"&amp;LEN(A202)))),1))," ",REPT(" ",LEN(A202))),LEN(A202))))))))+1, 1) * 10^ROW(INDIRECT("1:"&amp;LEN((--TRIM(RIGHT(SUBSTITUTE(LEFT(A202,_xlfn.AGGREGATE(16,6,FIND({0,1,2,3,4,5,6,7,8,9},A202,ROW(INDIRECT("1:"&amp;LEN(A202)))),1))," ",REPT(" ",LEN(A202))),LEN(A202)))))))/10))*1+1</f>
        <v>203 to 503</v>
      </c>
      <c r="B203" s="63"/>
      <c r="C203" s="18"/>
      <c r="D203" s="18"/>
      <c r="E203" s="18">
        <v>0</v>
      </c>
      <c r="F203" s="18">
        <f t="shared" si="18"/>
        <v>0</v>
      </c>
      <c r="G203" s="62" t="str">
        <f>G202</f>
        <v>2nd to 5th Floor</v>
      </c>
      <c r="H203" s="63"/>
      <c r="I203" s="50"/>
    </row>
    <row r="204" spans="1:9" s="49" customFormat="1" hidden="1" x14ac:dyDescent="0.3">
      <c r="A204" s="62" t="str">
        <f ca="1">(SUMPRODUCT(MID(0&amp;(LEFT(A203,SUM(LEN(A203)-LEN(SUBSTITUTE(A203,{"0","1","2"},""))))), LARGE(INDEX(ISNUMBER(--MID((LEFT(A203,SUM(LEN(A203)-LEN(SUBSTITUTE(A203,{"0","1","2"},""))))), ROW(INDIRECT("1:"&amp;LEN((LEFT(A203,SUM(LEN(A203)-LEN(SUBSTITUTE(A203,{"0","1","2"},"")))))))), 1)) * ROW(INDIRECT("1:"&amp;LEN((LEFT(A203,SUM(LEN(A203)-LEN(SUBSTITUTE(A203,{"0","1","2"},"")))))))), 0), ROW(INDIRECT("1:"&amp;LEN((LEFT(A203,SUM(LEN(A203)-LEN(SUBSTITUTE(A203,{"0","1","2"},"")))))))))+1, 1) * 10^ROW(INDIRECT("1:"&amp;LEN((LEFT(A203,SUM(LEN(A203)-LEN(SUBSTITUTE(A203,{"0","1","2"},""))))))))/10))*1+1&amp;""&amp;" to "&amp;""&amp;(SUMPRODUCT(MID(0&amp;(--TRIM(RIGHT(SUBSTITUTE(LEFT(A203,_xlfn.AGGREGATE(16,6,FIND({0,1,2,3,4,5,6,7,8,9},A203,ROW(INDIRECT("1:"&amp;LEN(A203)))),1))," ",REPT(" ",LEN(A203))),LEN(A203)))), LARGE(INDEX(ISNUMBER(--MID((--TRIM(RIGHT(SUBSTITUTE(LEFT(A203,_xlfn.AGGREGATE(16,6,FIND({0,1,2,3,4,5,6,7,8,9},A203,ROW(INDIRECT("1:"&amp;LEN(A203)))),1))," ",REPT(" ",LEN(A203))),LEN(A203)))), ROW(INDIRECT("1:"&amp;LEN((--TRIM(RIGHT(SUBSTITUTE(LEFT(A203,_xlfn.AGGREGATE(16,6,FIND({0,1,2,3,4,5,6,7,8,9},A203,ROW(INDIRECT("1:"&amp;LEN(A203)))),1))," ",REPT(" ",LEN(A203))),LEN(A203))))))), 1)) * ROW(INDIRECT("1:"&amp;LEN((--TRIM(RIGHT(SUBSTITUTE(LEFT(A203,_xlfn.AGGREGATE(16,6,FIND({0,1,2,3,4,5,6,7,8,9},A203,ROW(INDIRECT("1:"&amp;LEN(A203)))),1))," ",REPT(" ",LEN(A203))),LEN(A203))))))), 0), ROW(INDIRECT("1:"&amp;LEN((--TRIM(RIGHT(SUBSTITUTE(LEFT(A203,_xlfn.AGGREGATE(16,6,FIND({0,1,2,3,4,5,6,7,8,9},A203,ROW(INDIRECT("1:"&amp;LEN(A203)))),1))," ",REPT(" ",LEN(A203))),LEN(A203))))))))+1, 1) * 10^ROW(INDIRECT("1:"&amp;LEN((--TRIM(RIGHT(SUBSTITUTE(LEFT(A203,_xlfn.AGGREGATE(16,6,FIND({0,1,2,3,4,5,6,7,8,9},A203,ROW(INDIRECT("1:"&amp;LEN(A203)))),1))," ",REPT(" ",LEN(A203))),LEN(A203)))))))/10))*1+1</f>
        <v>204 to 504</v>
      </c>
      <c r="B204" s="63"/>
      <c r="C204" s="18"/>
      <c r="D204" s="18"/>
      <c r="E204" s="18">
        <v>0</v>
      </c>
      <c r="F204" s="18">
        <f t="shared" si="18"/>
        <v>0</v>
      </c>
      <c r="G204" s="62" t="str">
        <f>G203</f>
        <v>2nd to 5th Floor</v>
      </c>
      <c r="H204" s="63"/>
      <c r="I204" s="50"/>
    </row>
    <row r="205" spans="1:9" s="49" customFormat="1" hidden="1" x14ac:dyDescent="0.3">
      <c r="A205" s="62" t="str">
        <f ca="1">(SUMPRODUCT(MID(0&amp;(LEFT(A204,SUM(LEN(A204)-LEN(SUBSTITUTE(A204,{"0","1","2"},""))))), LARGE(INDEX(ISNUMBER(--MID((LEFT(A204,SUM(LEN(A204)-LEN(SUBSTITUTE(A204,{"0","1","2"},""))))), ROW(INDIRECT("1:"&amp;LEN((LEFT(A204,SUM(LEN(A204)-LEN(SUBSTITUTE(A204,{"0","1","2"},"")))))))), 1)) * ROW(INDIRECT("1:"&amp;LEN((LEFT(A204,SUM(LEN(A204)-LEN(SUBSTITUTE(A204,{"0","1","2"},"")))))))), 0), ROW(INDIRECT("1:"&amp;LEN((LEFT(A204,SUM(LEN(A204)-LEN(SUBSTITUTE(A204,{"0","1","2"},"")))))))))+1, 1) * 10^ROW(INDIRECT("1:"&amp;LEN((LEFT(A204,SUM(LEN(A204)-LEN(SUBSTITUTE(A204,{"0","1","2"},""))))))))/10))*1+1&amp;""&amp;" to "&amp;""&amp;(SUMPRODUCT(MID(0&amp;(--TRIM(RIGHT(SUBSTITUTE(LEFT(A204,_xlfn.AGGREGATE(16,6,FIND({0,1,2,3,4,5,6,7,8,9},A204,ROW(INDIRECT("1:"&amp;LEN(A204)))),1))," ",REPT(" ",LEN(A204))),LEN(A204)))), LARGE(INDEX(ISNUMBER(--MID((--TRIM(RIGHT(SUBSTITUTE(LEFT(A204,_xlfn.AGGREGATE(16,6,FIND({0,1,2,3,4,5,6,7,8,9},A204,ROW(INDIRECT("1:"&amp;LEN(A204)))),1))," ",REPT(" ",LEN(A204))),LEN(A204)))), ROW(INDIRECT("1:"&amp;LEN((--TRIM(RIGHT(SUBSTITUTE(LEFT(A204,_xlfn.AGGREGATE(16,6,FIND({0,1,2,3,4,5,6,7,8,9},A204,ROW(INDIRECT("1:"&amp;LEN(A204)))),1))," ",REPT(" ",LEN(A204))),LEN(A204))))))), 1)) * ROW(INDIRECT("1:"&amp;LEN((--TRIM(RIGHT(SUBSTITUTE(LEFT(A204,_xlfn.AGGREGATE(16,6,FIND({0,1,2,3,4,5,6,7,8,9},A204,ROW(INDIRECT("1:"&amp;LEN(A204)))),1))," ",REPT(" ",LEN(A204))),LEN(A204))))))), 0), ROW(INDIRECT("1:"&amp;LEN((--TRIM(RIGHT(SUBSTITUTE(LEFT(A204,_xlfn.AGGREGATE(16,6,FIND({0,1,2,3,4,5,6,7,8,9},A204,ROW(INDIRECT("1:"&amp;LEN(A204)))),1))," ",REPT(" ",LEN(A204))),LEN(A204))))))))+1, 1) * 10^ROW(INDIRECT("1:"&amp;LEN((--TRIM(RIGHT(SUBSTITUTE(LEFT(A204,_xlfn.AGGREGATE(16,6,FIND({0,1,2,3,4,5,6,7,8,9},A204,ROW(INDIRECT("1:"&amp;LEN(A204)))),1))," ",REPT(" ",LEN(A204))),LEN(A204)))))))/10))*1+1</f>
        <v>205 to 505</v>
      </c>
      <c r="B205" s="63"/>
      <c r="C205" s="18"/>
      <c r="D205" s="18"/>
      <c r="E205" s="18">
        <v>0</v>
      </c>
      <c r="F205" s="18">
        <f t="shared" si="18"/>
        <v>0</v>
      </c>
      <c r="G205" s="62" t="str">
        <f>G204</f>
        <v>2nd to 5th Floor</v>
      </c>
      <c r="H205" s="63"/>
      <c r="I205" s="50"/>
    </row>
    <row r="206" spans="1:9" s="49" customFormat="1" hidden="1" x14ac:dyDescent="0.3">
      <c r="A206" s="62" t="str">
        <f ca="1">(SUMPRODUCT(MID(0&amp;(LEFT(A205,SUM(LEN(A205)-LEN(SUBSTITUTE(A205,{"0","1","2"},""))))), LARGE(INDEX(ISNUMBER(--MID((LEFT(A205,SUM(LEN(A205)-LEN(SUBSTITUTE(A205,{"0","1","2"},""))))), ROW(INDIRECT("1:"&amp;LEN((LEFT(A205,SUM(LEN(A205)-LEN(SUBSTITUTE(A205,{"0","1","2"},"")))))))), 1)) * ROW(INDIRECT("1:"&amp;LEN((LEFT(A205,SUM(LEN(A205)-LEN(SUBSTITUTE(A205,{"0","1","2"},"")))))))), 0), ROW(INDIRECT("1:"&amp;LEN((LEFT(A205,SUM(LEN(A205)-LEN(SUBSTITUTE(A205,{"0","1","2"},"")))))))))+1, 1) * 10^ROW(INDIRECT("1:"&amp;LEN((LEFT(A205,SUM(LEN(A205)-LEN(SUBSTITUTE(A205,{"0","1","2"},""))))))))/10))*1+1&amp;""&amp;" to "&amp;""&amp;(SUMPRODUCT(MID(0&amp;(--TRIM(RIGHT(SUBSTITUTE(LEFT(A205,_xlfn.AGGREGATE(16,6,FIND({0,1,2,3,4,5,6,7,8,9},A205,ROW(INDIRECT("1:"&amp;LEN(A205)))),1))," ",REPT(" ",LEN(A205))),LEN(A205)))), LARGE(INDEX(ISNUMBER(--MID((--TRIM(RIGHT(SUBSTITUTE(LEFT(A205,_xlfn.AGGREGATE(16,6,FIND({0,1,2,3,4,5,6,7,8,9},A205,ROW(INDIRECT("1:"&amp;LEN(A205)))),1))," ",REPT(" ",LEN(A205))),LEN(A205)))), ROW(INDIRECT("1:"&amp;LEN((--TRIM(RIGHT(SUBSTITUTE(LEFT(A205,_xlfn.AGGREGATE(16,6,FIND({0,1,2,3,4,5,6,7,8,9},A205,ROW(INDIRECT("1:"&amp;LEN(A205)))),1))," ",REPT(" ",LEN(A205))),LEN(A205))))))), 1)) * ROW(INDIRECT("1:"&amp;LEN((--TRIM(RIGHT(SUBSTITUTE(LEFT(A205,_xlfn.AGGREGATE(16,6,FIND({0,1,2,3,4,5,6,7,8,9},A205,ROW(INDIRECT("1:"&amp;LEN(A205)))),1))," ",REPT(" ",LEN(A205))),LEN(A205))))))), 0), ROW(INDIRECT("1:"&amp;LEN((--TRIM(RIGHT(SUBSTITUTE(LEFT(A205,_xlfn.AGGREGATE(16,6,FIND({0,1,2,3,4,5,6,7,8,9},A205,ROW(INDIRECT("1:"&amp;LEN(A205)))),1))," ",REPT(" ",LEN(A205))),LEN(A205))))))))+1, 1) * 10^ROW(INDIRECT("1:"&amp;LEN((--TRIM(RIGHT(SUBSTITUTE(LEFT(A205,_xlfn.AGGREGATE(16,6,FIND({0,1,2,3,4,5,6,7,8,9},A205,ROW(INDIRECT("1:"&amp;LEN(A205)))),1))," ",REPT(" ",LEN(A205))),LEN(A205)))))))/10))*1+1</f>
        <v>206 to 506</v>
      </c>
      <c r="B206" s="63"/>
      <c r="C206" s="18"/>
      <c r="D206" s="18"/>
      <c r="E206" s="18">
        <v>0</v>
      </c>
      <c r="F206" s="18">
        <f t="shared" si="18"/>
        <v>0</v>
      </c>
      <c r="G206" s="62" t="str">
        <f>G205</f>
        <v>2nd to 5th Floor</v>
      </c>
      <c r="H206" s="63"/>
      <c r="I206" s="50"/>
    </row>
    <row r="207" spans="1:9" s="49" customFormat="1" hidden="1" x14ac:dyDescent="0.3">
      <c r="A207" s="80" t="s">
        <v>157</v>
      </c>
      <c r="B207" s="81"/>
      <c r="C207" s="81"/>
      <c r="D207" s="81"/>
      <c r="E207" s="81"/>
      <c r="F207" s="81"/>
      <c r="G207" s="81"/>
      <c r="H207" s="82"/>
      <c r="I207" s="50"/>
    </row>
    <row r="208" spans="1:9" s="49" customFormat="1" hidden="1" x14ac:dyDescent="0.3">
      <c r="A208" s="62" t="str">
        <f ca="1">(SUMPRODUCT(MID(0&amp;(LEFT(A207,SUM(LEN(A207)-LEN(SUBSTITUTE(A207,{"0","1","2"},""))))), LARGE(INDEX(ISNUMBER(--MID((LEFT(A207,SUM(LEN(A207)-LEN(SUBSTITUTE(A207,{"0","1","2"},""))))), ROW(INDIRECT("1:"&amp;LEN((LEFT(A207,SUM(LEN(A207)-LEN(SUBSTITUTE(A207,{"0","1","2"},"")))))))), 1)) * ROW(INDIRECT("1:"&amp;LEN((LEFT(A207,SUM(LEN(A207)-LEN(SUBSTITUTE(A207,{"0","1","2"},"")))))))), 0), ROW(INDIRECT("1:"&amp;LEN((LEFT(A207,SUM(LEN(A207)-LEN(SUBSTITUTE(A207,{"0","1","2"},"")))))))))+1, 1) * 10^ROW(INDIRECT("1:"&amp;LEN((LEFT(A207,SUM(LEN(A207)-LEN(SUBSTITUTE(A207,{"0","1","2"},""))))))))/10))*100+1&amp;""&amp;" &amp; "&amp;""&amp;(SUMPRODUCT(MID(0&amp;(--TRIM(RIGHT(SUBSTITUTE(LEFT(A207,_xlfn.AGGREGATE(16,6,FIND({0,1,2,3,4,5,6,7,8,9},A207,ROW(INDIRECT("1:"&amp;LEN(A207)))),1))," ",REPT(" ",LEN(A207))),LEN(A207)))), LARGE(INDEX(ISNUMBER(--MID((--TRIM(RIGHT(SUBSTITUTE(LEFT(A207,_xlfn.AGGREGATE(16,6,FIND({0,1,2,3,4,5,6,7,8,9},A207,ROW(INDIRECT("1:"&amp;LEN(A207)))),1))," ",REPT(" ",LEN(A207))),LEN(A207)))), ROW(INDIRECT("1:"&amp;LEN((--TRIM(RIGHT(SUBSTITUTE(LEFT(A207,_xlfn.AGGREGATE(16,6,FIND({0,1,2,3,4,5,6,7,8,9},A207,ROW(INDIRECT("1:"&amp;LEN(A207)))),1))," ",REPT(" ",LEN(A207))),LEN(A207))))))), 1)) * ROW(INDIRECT("1:"&amp;LEN((--TRIM(RIGHT(SUBSTITUTE(LEFT(A207,_xlfn.AGGREGATE(16,6,FIND({0,1,2,3,4,5,6,7,8,9},A207,ROW(INDIRECT("1:"&amp;LEN(A207)))),1))," ",REPT(" ",LEN(A207))),LEN(A207))))))), 0), ROW(INDIRECT("1:"&amp;LEN((--TRIM(RIGHT(SUBSTITUTE(LEFT(A207,_xlfn.AGGREGATE(16,6,FIND({0,1,2,3,4,5,6,7,8,9},A207,ROW(INDIRECT("1:"&amp;LEN(A207)))),1))," ",REPT(" ",LEN(A207))),LEN(A207))))))))+1, 1) * 10^ROW(INDIRECT("1:"&amp;LEN((--TRIM(RIGHT(SUBSTITUTE(LEFT(A207,_xlfn.AGGREGATE(16,6,FIND({0,1,2,3,4,5,6,7,8,9},A207,ROW(INDIRECT("1:"&amp;LEN(A207)))),1))," ",REPT(" ",LEN(A207))),LEN(A207)))))))/10))*100+1</f>
        <v>201 &amp; 501</v>
      </c>
      <c r="B208" s="63"/>
      <c r="C208" s="18"/>
      <c r="D208" s="18"/>
      <c r="E208" s="18">
        <v>0</v>
      </c>
      <c r="F208" s="18">
        <f t="shared" ref="F208:F213" si="19">D208*(($F$185)+1)+(IF(E208&lt;101,E208,IF(E208&lt;201,E208/2,IF(E208&lt;=301,E208/3,E208/4))))</f>
        <v>0</v>
      </c>
      <c r="G208" s="62" t="str">
        <f>A207</f>
        <v>2nd &amp; 5th Floor</v>
      </c>
      <c r="H208" s="63"/>
      <c r="I208" s="50"/>
    </row>
    <row r="209" spans="1:9" s="49" customFormat="1" hidden="1" x14ac:dyDescent="0.3">
      <c r="A209" s="62" t="str">
        <f ca="1">(SUMPRODUCT(MID(0&amp;(LEFT(A208,SUM(LEN(A208)-LEN(SUBSTITUTE(A208,{"0","1","2"},""))))), LARGE(INDEX(ISNUMBER(--MID((LEFT(A208,SUM(LEN(A208)-LEN(SUBSTITUTE(A208,{"0","1","2"},""))))), ROW(INDIRECT("1:"&amp;LEN((LEFT(A208,SUM(LEN(A208)-LEN(SUBSTITUTE(A208,{"0","1","2"},"")))))))), 1)) * ROW(INDIRECT("1:"&amp;LEN((LEFT(A208,SUM(LEN(A208)-LEN(SUBSTITUTE(A208,{"0","1","2"},"")))))))), 0), ROW(INDIRECT("1:"&amp;LEN((LEFT(A208,SUM(LEN(A208)-LEN(SUBSTITUTE(A208,{"0","1","2"},"")))))))))+1, 1) * 10^ROW(INDIRECT("1:"&amp;LEN((LEFT(A208,SUM(LEN(A208)-LEN(SUBSTITUTE(A208,{"0","1","2"},""))))))))/10))*1+1&amp;""&amp;" &amp; "&amp;""&amp;(SUMPRODUCT(MID(0&amp;(--TRIM(RIGHT(SUBSTITUTE(LEFT(A208,_xlfn.AGGREGATE(16,6,FIND({0,1,2,3,4,5,6,7,8,9},A208,ROW(INDIRECT("1:"&amp;LEN(A208)))),1))," ",REPT(" ",LEN(A208))),LEN(A208)))), LARGE(INDEX(ISNUMBER(--MID((--TRIM(RIGHT(SUBSTITUTE(LEFT(A208,_xlfn.AGGREGATE(16,6,FIND({0,1,2,3,4,5,6,7,8,9},A208,ROW(INDIRECT("1:"&amp;LEN(A208)))),1))," ",REPT(" ",LEN(A208))),LEN(A208)))), ROW(INDIRECT("1:"&amp;LEN((--TRIM(RIGHT(SUBSTITUTE(LEFT(A208,_xlfn.AGGREGATE(16,6,FIND({0,1,2,3,4,5,6,7,8,9},A208,ROW(INDIRECT("1:"&amp;LEN(A208)))),1))," ",REPT(" ",LEN(A208))),LEN(A208))))))), 1)) * ROW(INDIRECT("1:"&amp;LEN((--TRIM(RIGHT(SUBSTITUTE(LEFT(A208,_xlfn.AGGREGATE(16,6,FIND({0,1,2,3,4,5,6,7,8,9},A208,ROW(INDIRECT("1:"&amp;LEN(A208)))),1))," ",REPT(" ",LEN(A208))),LEN(A208))))))), 0), ROW(INDIRECT("1:"&amp;LEN((--TRIM(RIGHT(SUBSTITUTE(LEFT(A208,_xlfn.AGGREGATE(16,6,FIND({0,1,2,3,4,5,6,7,8,9},A208,ROW(INDIRECT("1:"&amp;LEN(A208)))),1))," ",REPT(" ",LEN(A208))),LEN(A208))))))))+1, 1) * 10^ROW(INDIRECT("1:"&amp;LEN((--TRIM(RIGHT(SUBSTITUTE(LEFT(A208,_xlfn.AGGREGATE(16,6,FIND({0,1,2,3,4,5,6,7,8,9},A208,ROW(INDIRECT("1:"&amp;LEN(A208)))),1))," ",REPT(" ",LEN(A208))),LEN(A208)))))))/10))*1+1</f>
        <v>202 &amp; 502</v>
      </c>
      <c r="B209" s="63"/>
      <c r="C209" s="18"/>
      <c r="D209" s="18"/>
      <c r="E209" s="18">
        <v>0</v>
      </c>
      <c r="F209" s="18">
        <f t="shared" si="19"/>
        <v>0</v>
      </c>
      <c r="G209" s="62" t="str">
        <f t="shared" ref="G209:G214" si="20">G208</f>
        <v>2nd &amp; 5th Floor</v>
      </c>
      <c r="H209" s="63"/>
      <c r="I209" s="50"/>
    </row>
    <row r="210" spans="1:9" s="49" customFormat="1" hidden="1" x14ac:dyDescent="0.3">
      <c r="A210" s="62" t="str">
        <f ca="1">(SUMPRODUCT(MID(0&amp;(LEFT(A209,SUM(LEN(A209)-LEN(SUBSTITUTE(A209,{"0","1","2"},""))))), LARGE(INDEX(ISNUMBER(--MID((LEFT(A209,SUM(LEN(A209)-LEN(SUBSTITUTE(A209,{"0","1","2"},""))))), ROW(INDIRECT("1:"&amp;LEN((LEFT(A209,SUM(LEN(A209)-LEN(SUBSTITUTE(A209,{"0","1","2"},"")))))))), 1)) * ROW(INDIRECT("1:"&amp;LEN((LEFT(A209,SUM(LEN(A209)-LEN(SUBSTITUTE(A209,{"0","1","2"},"")))))))), 0), ROW(INDIRECT("1:"&amp;LEN((LEFT(A209,SUM(LEN(A209)-LEN(SUBSTITUTE(A209,{"0","1","2"},"")))))))))+1, 1) * 10^ROW(INDIRECT("1:"&amp;LEN((LEFT(A209,SUM(LEN(A209)-LEN(SUBSTITUTE(A209,{"0","1","2"},""))))))))/10))*1+1&amp;""&amp;" &amp; "&amp;""&amp;(SUMPRODUCT(MID(0&amp;(--TRIM(RIGHT(SUBSTITUTE(LEFT(A209,_xlfn.AGGREGATE(16,6,FIND({0,1,2,3,4,5,6,7,8,9},A209,ROW(INDIRECT("1:"&amp;LEN(A209)))),1))," ",REPT(" ",LEN(A209))),LEN(A209)))), LARGE(INDEX(ISNUMBER(--MID((--TRIM(RIGHT(SUBSTITUTE(LEFT(A209,_xlfn.AGGREGATE(16,6,FIND({0,1,2,3,4,5,6,7,8,9},A209,ROW(INDIRECT("1:"&amp;LEN(A209)))),1))," ",REPT(" ",LEN(A209))),LEN(A209)))), ROW(INDIRECT("1:"&amp;LEN((--TRIM(RIGHT(SUBSTITUTE(LEFT(A209,_xlfn.AGGREGATE(16,6,FIND({0,1,2,3,4,5,6,7,8,9},A209,ROW(INDIRECT("1:"&amp;LEN(A209)))),1))," ",REPT(" ",LEN(A209))),LEN(A209))))))), 1)) * ROW(INDIRECT("1:"&amp;LEN((--TRIM(RIGHT(SUBSTITUTE(LEFT(A209,_xlfn.AGGREGATE(16,6,FIND({0,1,2,3,4,5,6,7,8,9},A209,ROW(INDIRECT("1:"&amp;LEN(A209)))),1))," ",REPT(" ",LEN(A209))),LEN(A209))))))), 0), ROW(INDIRECT("1:"&amp;LEN((--TRIM(RIGHT(SUBSTITUTE(LEFT(A209,_xlfn.AGGREGATE(16,6,FIND({0,1,2,3,4,5,6,7,8,9},A209,ROW(INDIRECT("1:"&amp;LEN(A209)))),1))," ",REPT(" ",LEN(A209))),LEN(A209))))))))+1, 1) * 10^ROW(INDIRECT("1:"&amp;LEN((--TRIM(RIGHT(SUBSTITUTE(LEFT(A209,_xlfn.AGGREGATE(16,6,FIND({0,1,2,3,4,5,6,7,8,9},A209,ROW(INDIRECT("1:"&amp;LEN(A209)))),1))," ",REPT(" ",LEN(A209))),LEN(A209)))))))/10))*1+1</f>
        <v>203 &amp; 503</v>
      </c>
      <c r="B210" s="63"/>
      <c r="C210" s="18"/>
      <c r="D210" s="18"/>
      <c r="E210" s="18">
        <v>0</v>
      </c>
      <c r="F210" s="18">
        <f t="shared" si="19"/>
        <v>0</v>
      </c>
      <c r="G210" s="62" t="str">
        <f t="shared" si="20"/>
        <v>2nd &amp; 5th Floor</v>
      </c>
      <c r="H210" s="63"/>
      <c r="I210" s="50"/>
    </row>
    <row r="211" spans="1:9" s="49" customFormat="1" hidden="1" x14ac:dyDescent="0.3">
      <c r="A211" s="62" t="str">
        <f ca="1">(SUMPRODUCT(MID(0&amp;(LEFT(A210,SUM(LEN(A210)-LEN(SUBSTITUTE(A210,{"0","1","2"},""))))), LARGE(INDEX(ISNUMBER(--MID((LEFT(A210,SUM(LEN(A210)-LEN(SUBSTITUTE(A210,{"0","1","2"},""))))), ROW(INDIRECT("1:"&amp;LEN((LEFT(A210,SUM(LEN(A210)-LEN(SUBSTITUTE(A210,{"0","1","2"},"")))))))), 1)) * ROW(INDIRECT("1:"&amp;LEN((LEFT(A210,SUM(LEN(A210)-LEN(SUBSTITUTE(A210,{"0","1","2"},"")))))))), 0), ROW(INDIRECT("1:"&amp;LEN((LEFT(A210,SUM(LEN(A210)-LEN(SUBSTITUTE(A210,{"0","1","2"},"")))))))))+1, 1) * 10^ROW(INDIRECT("1:"&amp;LEN((LEFT(A210,SUM(LEN(A210)-LEN(SUBSTITUTE(A210,{"0","1","2"},""))))))))/10))*1+1&amp;""&amp;" &amp; "&amp;""&amp;(SUMPRODUCT(MID(0&amp;(--TRIM(RIGHT(SUBSTITUTE(LEFT(A210,_xlfn.AGGREGATE(16,6,FIND({0,1,2,3,4,5,6,7,8,9},A210,ROW(INDIRECT("1:"&amp;LEN(A210)))),1))," ",REPT(" ",LEN(A210))),LEN(A210)))), LARGE(INDEX(ISNUMBER(--MID((--TRIM(RIGHT(SUBSTITUTE(LEFT(A210,_xlfn.AGGREGATE(16,6,FIND({0,1,2,3,4,5,6,7,8,9},A210,ROW(INDIRECT("1:"&amp;LEN(A210)))),1))," ",REPT(" ",LEN(A210))),LEN(A210)))), ROW(INDIRECT("1:"&amp;LEN((--TRIM(RIGHT(SUBSTITUTE(LEFT(A210,_xlfn.AGGREGATE(16,6,FIND({0,1,2,3,4,5,6,7,8,9},A210,ROW(INDIRECT("1:"&amp;LEN(A210)))),1))," ",REPT(" ",LEN(A210))),LEN(A210))))))), 1)) * ROW(INDIRECT("1:"&amp;LEN((--TRIM(RIGHT(SUBSTITUTE(LEFT(A210,_xlfn.AGGREGATE(16,6,FIND({0,1,2,3,4,5,6,7,8,9},A210,ROW(INDIRECT("1:"&amp;LEN(A210)))),1))," ",REPT(" ",LEN(A210))),LEN(A210))))))), 0), ROW(INDIRECT("1:"&amp;LEN((--TRIM(RIGHT(SUBSTITUTE(LEFT(A210,_xlfn.AGGREGATE(16,6,FIND({0,1,2,3,4,5,6,7,8,9},A210,ROW(INDIRECT("1:"&amp;LEN(A210)))),1))," ",REPT(" ",LEN(A210))),LEN(A210))))))))+1, 1) * 10^ROW(INDIRECT("1:"&amp;LEN((--TRIM(RIGHT(SUBSTITUTE(LEFT(A210,_xlfn.AGGREGATE(16,6,FIND({0,1,2,3,4,5,6,7,8,9},A210,ROW(INDIRECT("1:"&amp;LEN(A210)))),1))," ",REPT(" ",LEN(A210))),LEN(A210)))))))/10))*1+1</f>
        <v>204 &amp; 504</v>
      </c>
      <c r="B211" s="63"/>
      <c r="C211" s="18"/>
      <c r="D211" s="18"/>
      <c r="E211" s="18">
        <v>0</v>
      </c>
      <c r="F211" s="18">
        <f t="shared" si="19"/>
        <v>0</v>
      </c>
      <c r="G211" s="62" t="str">
        <f t="shared" si="20"/>
        <v>2nd &amp; 5th Floor</v>
      </c>
      <c r="H211" s="63"/>
      <c r="I211" s="50"/>
    </row>
    <row r="212" spans="1:9" s="49" customFormat="1" hidden="1" x14ac:dyDescent="0.3">
      <c r="A212" s="62" t="str">
        <f ca="1">(SUMPRODUCT(MID(0&amp;(LEFT(A211,SUM(LEN(A211)-LEN(SUBSTITUTE(A211,{"0","1","2"},""))))), LARGE(INDEX(ISNUMBER(--MID((LEFT(A211,SUM(LEN(A211)-LEN(SUBSTITUTE(A211,{"0","1","2"},""))))), ROW(INDIRECT("1:"&amp;LEN((LEFT(A211,SUM(LEN(A211)-LEN(SUBSTITUTE(A211,{"0","1","2"},"")))))))), 1)) * ROW(INDIRECT("1:"&amp;LEN((LEFT(A211,SUM(LEN(A211)-LEN(SUBSTITUTE(A211,{"0","1","2"},"")))))))), 0), ROW(INDIRECT("1:"&amp;LEN((LEFT(A211,SUM(LEN(A211)-LEN(SUBSTITUTE(A211,{"0","1","2"},"")))))))))+1, 1) * 10^ROW(INDIRECT("1:"&amp;LEN((LEFT(A211,SUM(LEN(A211)-LEN(SUBSTITUTE(A211,{"0","1","2"},""))))))))/10))*1+1&amp;""&amp;" &amp; "&amp;""&amp;(SUMPRODUCT(MID(0&amp;(--TRIM(RIGHT(SUBSTITUTE(LEFT(A211,_xlfn.AGGREGATE(16,6,FIND({0,1,2,3,4,5,6,7,8,9},A211,ROW(INDIRECT("1:"&amp;LEN(A211)))),1))," ",REPT(" ",LEN(A211))),LEN(A211)))), LARGE(INDEX(ISNUMBER(--MID((--TRIM(RIGHT(SUBSTITUTE(LEFT(A211,_xlfn.AGGREGATE(16,6,FIND({0,1,2,3,4,5,6,7,8,9},A211,ROW(INDIRECT("1:"&amp;LEN(A211)))),1))," ",REPT(" ",LEN(A211))),LEN(A211)))), ROW(INDIRECT("1:"&amp;LEN((--TRIM(RIGHT(SUBSTITUTE(LEFT(A211,_xlfn.AGGREGATE(16,6,FIND({0,1,2,3,4,5,6,7,8,9},A211,ROW(INDIRECT("1:"&amp;LEN(A211)))),1))," ",REPT(" ",LEN(A211))),LEN(A211))))))), 1)) * ROW(INDIRECT("1:"&amp;LEN((--TRIM(RIGHT(SUBSTITUTE(LEFT(A211,_xlfn.AGGREGATE(16,6,FIND({0,1,2,3,4,5,6,7,8,9},A211,ROW(INDIRECT("1:"&amp;LEN(A211)))),1))," ",REPT(" ",LEN(A211))),LEN(A211))))))), 0), ROW(INDIRECT("1:"&amp;LEN((--TRIM(RIGHT(SUBSTITUTE(LEFT(A211,_xlfn.AGGREGATE(16,6,FIND({0,1,2,3,4,5,6,7,8,9},A211,ROW(INDIRECT("1:"&amp;LEN(A211)))),1))," ",REPT(" ",LEN(A211))),LEN(A211))))))))+1, 1) * 10^ROW(INDIRECT("1:"&amp;LEN((--TRIM(RIGHT(SUBSTITUTE(LEFT(A211,_xlfn.AGGREGATE(16,6,FIND({0,1,2,3,4,5,6,7,8,9},A211,ROW(INDIRECT("1:"&amp;LEN(A211)))),1))," ",REPT(" ",LEN(A211))),LEN(A211)))))))/10))*1+1</f>
        <v>205 &amp; 505</v>
      </c>
      <c r="B212" s="63"/>
      <c r="C212" s="18"/>
      <c r="D212" s="18"/>
      <c r="E212" s="18">
        <v>0</v>
      </c>
      <c r="F212" s="18">
        <f t="shared" si="19"/>
        <v>0</v>
      </c>
      <c r="G212" s="62" t="str">
        <f t="shared" si="20"/>
        <v>2nd &amp; 5th Floor</v>
      </c>
      <c r="H212" s="63"/>
      <c r="I212" s="50"/>
    </row>
    <row r="213" spans="1:9" s="49" customFormat="1" hidden="1" x14ac:dyDescent="0.3">
      <c r="A213" s="62" t="str">
        <f ca="1">(SUMPRODUCT(MID(0&amp;(LEFT(A212,SUM(LEN(A212)-LEN(SUBSTITUTE(A212,{"0","1","2"},""))))), LARGE(INDEX(ISNUMBER(--MID((LEFT(A212,SUM(LEN(A212)-LEN(SUBSTITUTE(A212,{"0","1","2"},""))))), ROW(INDIRECT("1:"&amp;LEN((LEFT(A212,SUM(LEN(A212)-LEN(SUBSTITUTE(A212,{"0","1","2"},"")))))))), 1)) * ROW(INDIRECT("1:"&amp;LEN((LEFT(A212,SUM(LEN(A212)-LEN(SUBSTITUTE(A212,{"0","1","2"},"")))))))), 0), ROW(INDIRECT("1:"&amp;LEN((LEFT(A212,SUM(LEN(A212)-LEN(SUBSTITUTE(A212,{"0","1","2"},"")))))))))+1, 1) * 10^ROW(INDIRECT("1:"&amp;LEN((LEFT(A212,SUM(LEN(A212)-LEN(SUBSTITUTE(A212,{"0","1","2"},""))))))))/10))*1+1&amp;""&amp;" &amp; "&amp;""&amp;(SUMPRODUCT(MID(0&amp;(--TRIM(RIGHT(SUBSTITUTE(LEFT(A212,_xlfn.AGGREGATE(16,6,FIND({0,1,2,3,4,5,6,7,8,9},A212,ROW(INDIRECT("1:"&amp;LEN(A212)))),1))," ",REPT(" ",LEN(A212))),LEN(A212)))), LARGE(INDEX(ISNUMBER(--MID((--TRIM(RIGHT(SUBSTITUTE(LEFT(A212,_xlfn.AGGREGATE(16,6,FIND({0,1,2,3,4,5,6,7,8,9},A212,ROW(INDIRECT("1:"&amp;LEN(A212)))),1))," ",REPT(" ",LEN(A212))),LEN(A212)))), ROW(INDIRECT("1:"&amp;LEN((--TRIM(RIGHT(SUBSTITUTE(LEFT(A212,_xlfn.AGGREGATE(16,6,FIND({0,1,2,3,4,5,6,7,8,9},A212,ROW(INDIRECT("1:"&amp;LEN(A212)))),1))," ",REPT(" ",LEN(A212))),LEN(A212))))))), 1)) * ROW(INDIRECT("1:"&amp;LEN((--TRIM(RIGHT(SUBSTITUTE(LEFT(A212,_xlfn.AGGREGATE(16,6,FIND({0,1,2,3,4,5,6,7,8,9},A212,ROW(INDIRECT("1:"&amp;LEN(A212)))),1))," ",REPT(" ",LEN(A212))),LEN(A212))))))), 0), ROW(INDIRECT("1:"&amp;LEN((--TRIM(RIGHT(SUBSTITUTE(LEFT(A212,_xlfn.AGGREGATE(16,6,FIND({0,1,2,3,4,5,6,7,8,9},A212,ROW(INDIRECT("1:"&amp;LEN(A212)))),1))," ",REPT(" ",LEN(A212))),LEN(A212))))))))+1, 1) * 10^ROW(INDIRECT("1:"&amp;LEN((--TRIM(RIGHT(SUBSTITUTE(LEFT(A212,_xlfn.AGGREGATE(16,6,FIND({0,1,2,3,4,5,6,7,8,9},A212,ROW(INDIRECT("1:"&amp;LEN(A212)))),1))," ",REPT(" ",LEN(A212))),LEN(A212)))))))/10))*1+1</f>
        <v>206 &amp; 506</v>
      </c>
      <c r="B213" s="63"/>
      <c r="C213" s="18"/>
      <c r="D213" s="18"/>
      <c r="E213" s="18">
        <v>0</v>
      </c>
      <c r="F213" s="18">
        <f t="shared" si="19"/>
        <v>0</v>
      </c>
      <c r="G213" s="62" t="str">
        <f t="shared" si="20"/>
        <v>2nd &amp; 5th Floor</v>
      </c>
      <c r="H213" s="63"/>
      <c r="I213" s="50"/>
    </row>
    <row r="214" spans="1:9" s="49" customFormat="1" hidden="1" x14ac:dyDescent="0.3">
      <c r="A214" s="62" t="str">
        <f ca="1">(SUMPRODUCT(MID(0&amp;(LEFT(A213,SUM(LEN(A213)-LEN(SUBSTITUTE(A213,{"0","1","2"},""))))), LARGE(INDEX(ISNUMBER(--MID((LEFT(A213,SUM(LEN(A213)-LEN(SUBSTITUTE(A213,{"0","1","2"},""))))), ROW(INDIRECT("1:"&amp;LEN((LEFT(A213,SUM(LEN(A213)-LEN(SUBSTITUTE(A213,{"0","1","2"},"")))))))), 1)) * ROW(INDIRECT("1:"&amp;LEN((LEFT(A213,SUM(LEN(A213)-LEN(SUBSTITUTE(A213,{"0","1","2"},"")))))))), 0), ROW(INDIRECT("1:"&amp;LEN((LEFT(A213,SUM(LEN(A213)-LEN(SUBSTITUTE(A213,{"0","1","2"},"")))))))))+1, 1) * 10^ROW(INDIRECT("1:"&amp;LEN((LEFT(A213,SUM(LEN(A213)-LEN(SUBSTITUTE(A213,{"0","1","2"},""))))))))/10))*1+1&amp;""&amp;" &amp; "&amp;""&amp;(SUMPRODUCT(MID(0&amp;(--TRIM(RIGHT(SUBSTITUTE(LEFT(A213,_xlfn.AGGREGATE(16,6,FIND({0,1,2,3,4,5,6,7,8,9},A213,ROW(INDIRECT("1:"&amp;LEN(A213)))),1))," ",REPT(" ",LEN(A213))),LEN(A213)))), LARGE(INDEX(ISNUMBER(--MID((--TRIM(RIGHT(SUBSTITUTE(LEFT(A213,_xlfn.AGGREGATE(16,6,FIND({0,1,2,3,4,5,6,7,8,9},A213,ROW(INDIRECT("1:"&amp;LEN(A213)))),1))," ",REPT(" ",LEN(A213))),LEN(A213)))), ROW(INDIRECT("1:"&amp;LEN((--TRIM(RIGHT(SUBSTITUTE(LEFT(A213,_xlfn.AGGREGATE(16,6,FIND({0,1,2,3,4,5,6,7,8,9},A213,ROW(INDIRECT("1:"&amp;LEN(A213)))),1))," ",REPT(" ",LEN(A213))),LEN(A213))))))), 1)) * ROW(INDIRECT("1:"&amp;LEN((--TRIM(RIGHT(SUBSTITUTE(LEFT(A213,_xlfn.AGGREGATE(16,6,FIND({0,1,2,3,4,5,6,7,8,9},A213,ROW(INDIRECT("1:"&amp;LEN(A213)))),1))," ",REPT(" ",LEN(A213))),LEN(A213))))))), 0), ROW(INDIRECT("1:"&amp;LEN((--TRIM(RIGHT(SUBSTITUTE(LEFT(A213,_xlfn.AGGREGATE(16,6,FIND({0,1,2,3,4,5,6,7,8,9},A213,ROW(INDIRECT("1:"&amp;LEN(A213)))),1))," ",REPT(" ",LEN(A213))),LEN(A213))))))))+1, 1) * 10^ROW(INDIRECT("1:"&amp;LEN((--TRIM(RIGHT(SUBSTITUTE(LEFT(A213,_xlfn.AGGREGATE(16,6,FIND({0,1,2,3,4,5,6,7,8,9},A213,ROW(INDIRECT("1:"&amp;LEN(A213)))),1))," ",REPT(" ",LEN(A213))),LEN(A213)))))))/10))*1+1</f>
        <v>207 &amp; 507</v>
      </c>
      <c r="B214" s="63"/>
      <c r="C214" s="18"/>
      <c r="D214" s="18"/>
      <c r="E214" s="18">
        <v>0</v>
      </c>
      <c r="F214" s="18">
        <f t="shared" ref="F214" si="21">D214*(($F$185)+1)+(IF(E214&lt;101,E214,IF(E214&lt;201,E214/2,IF(E214&lt;=301,E214/3,E214/4))))</f>
        <v>0</v>
      </c>
      <c r="G214" s="62" t="str">
        <f t="shared" si="20"/>
        <v>2nd &amp; 5th Floor</v>
      </c>
      <c r="H214" s="63"/>
      <c r="I214" s="50"/>
    </row>
    <row r="215" spans="1:9" s="48" customFormat="1" x14ac:dyDescent="0.3">
      <c r="A215" s="157" t="s">
        <v>72</v>
      </c>
      <c r="B215" s="157"/>
      <c r="C215" s="157"/>
      <c r="D215" s="157"/>
      <c r="E215" s="157"/>
      <c r="F215" s="157"/>
      <c r="G215" s="157"/>
      <c r="H215" s="157"/>
    </row>
    <row r="216" spans="1:9" s="48" customFormat="1" x14ac:dyDescent="0.3">
      <c r="A216" s="20" t="s">
        <v>167</v>
      </c>
      <c r="B216" s="88" t="s">
        <v>235</v>
      </c>
      <c r="C216" s="89"/>
      <c r="D216" s="89"/>
      <c r="E216" s="89"/>
      <c r="F216" s="89"/>
      <c r="G216" s="89"/>
      <c r="H216" s="90"/>
    </row>
    <row r="217" spans="1:9" s="48" customFormat="1" hidden="1" x14ac:dyDescent="0.3">
      <c r="A217" s="20" t="s">
        <v>167</v>
      </c>
      <c r="B217" s="88" t="str">
        <f>(IF(F184="Saleable area Loading :","We have considered Saleable area of Flats as per our Calculation.","We considered Saleable area of Flat as per Builder area Sheet."))</f>
        <v>We have considered Saleable area of Flats as per our Calculation.</v>
      </c>
      <c r="C217" s="89"/>
      <c r="D217" s="89"/>
      <c r="E217" s="89"/>
      <c r="F217" s="89"/>
      <c r="G217" s="89"/>
      <c r="H217" s="90"/>
    </row>
    <row r="218" spans="1:9" s="48" customFormat="1" x14ac:dyDescent="0.3">
      <c r="A218" s="20" t="s">
        <v>167</v>
      </c>
      <c r="B218" s="88" t="str">
        <f>(IF(F105="Saleable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218" s="89"/>
      <c r="D218" s="89"/>
      <c r="E218" s="89"/>
      <c r="F218" s="89"/>
      <c r="G218" s="89"/>
      <c r="H218" s="90"/>
    </row>
    <row r="219" spans="1:9" s="48" customFormat="1" x14ac:dyDescent="0.3">
      <c r="A219" s="20" t="s">
        <v>167</v>
      </c>
      <c r="B219" s="88" t="s">
        <v>134</v>
      </c>
      <c r="C219" s="89"/>
      <c r="D219" s="89"/>
      <c r="E219" s="89"/>
      <c r="F219" s="89"/>
      <c r="G219" s="89"/>
      <c r="H219" s="90"/>
    </row>
    <row r="220" spans="1:9" s="48" customFormat="1" x14ac:dyDescent="0.3">
      <c r="A220" s="20" t="s">
        <v>167</v>
      </c>
      <c r="B220" s="88" t="s">
        <v>212</v>
      </c>
      <c r="C220" s="89"/>
      <c r="D220" s="89"/>
      <c r="E220" s="89"/>
      <c r="F220" s="89"/>
      <c r="G220" s="89"/>
      <c r="H220" s="90"/>
    </row>
    <row r="221" spans="1:9" s="48" customFormat="1" x14ac:dyDescent="0.3">
      <c r="A221" s="20" t="s">
        <v>167</v>
      </c>
      <c r="B221" s="88" t="s">
        <v>166</v>
      </c>
      <c r="C221" s="89"/>
      <c r="D221" s="89"/>
      <c r="E221" s="89"/>
      <c r="F221" s="89"/>
      <c r="G221" s="89"/>
      <c r="H221" s="90"/>
    </row>
    <row r="222" spans="1:9" s="48" customFormat="1" x14ac:dyDescent="0.3">
      <c r="A222" s="20" t="s">
        <v>167</v>
      </c>
      <c r="B222" s="88" t="s">
        <v>135</v>
      </c>
      <c r="C222" s="89"/>
      <c r="D222" s="89"/>
      <c r="E222" s="89"/>
      <c r="F222" s="89"/>
      <c r="G222" s="89"/>
      <c r="H222" s="90"/>
    </row>
    <row r="223" spans="1:9" s="48" customFormat="1" ht="34.5" customHeight="1" x14ac:dyDescent="0.3">
      <c r="A223" s="20" t="s">
        <v>167</v>
      </c>
      <c r="B223" s="58" t="s">
        <v>171</v>
      </c>
      <c r="C223" s="59"/>
      <c r="D223" s="59"/>
      <c r="E223" s="59"/>
      <c r="F223" s="59"/>
      <c r="G223" s="59"/>
      <c r="H223" s="60"/>
    </row>
    <row r="224" spans="1:9" s="48" customFormat="1" x14ac:dyDescent="0.3">
      <c r="A224" s="20" t="s">
        <v>167</v>
      </c>
      <c r="B224" s="58" t="s">
        <v>136</v>
      </c>
      <c r="C224" s="59"/>
      <c r="D224" s="59"/>
      <c r="E224" s="59"/>
      <c r="F224" s="59"/>
      <c r="G224" s="59"/>
      <c r="H224" s="60"/>
    </row>
    <row r="225" spans="1:8" s="48" customFormat="1" hidden="1" x14ac:dyDescent="0.3">
      <c r="A225" s="20" t="s">
        <v>167</v>
      </c>
      <c r="B225" s="88" t="s">
        <v>213</v>
      </c>
      <c r="C225" s="89"/>
      <c r="D225" s="89"/>
      <c r="E225" s="89"/>
      <c r="F225" s="89"/>
      <c r="G225" s="89"/>
      <c r="H225" s="90"/>
    </row>
    <row r="226" spans="1:8" s="48" customFormat="1" x14ac:dyDescent="0.3">
      <c r="A226" s="20" t="s">
        <v>167</v>
      </c>
      <c r="B226" s="58" t="s">
        <v>223</v>
      </c>
      <c r="C226" s="59"/>
      <c r="D226" s="59"/>
      <c r="E226" s="59"/>
      <c r="F226" s="59"/>
      <c r="G226" s="59"/>
      <c r="H226" s="60"/>
    </row>
    <row r="227" spans="1:8" s="48" customFormat="1" x14ac:dyDescent="0.3">
      <c r="A227" s="20" t="s">
        <v>167</v>
      </c>
      <c r="B227" s="58" t="s">
        <v>229</v>
      </c>
      <c r="C227" s="59"/>
      <c r="D227" s="59"/>
      <c r="E227" s="59"/>
      <c r="F227" s="59"/>
      <c r="G227" s="59"/>
      <c r="H227" s="60"/>
    </row>
    <row r="228" spans="1:8" s="48" customFormat="1" x14ac:dyDescent="0.3">
      <c r="A228" s="20" t="s">
        <v>167</v>
      </c>
      <c r="B228" s="58" t="s">
        <v>234</v>
      </c>
      <c r="C228" s="59"/>
      <c r="D228" s="59"/>
      <c r="E228" s="59"/>
      <c r="F228" s="59"/>
      <c r="G228" s="59"/>
      <c r="H228" s="60"/>
    </row>
    <row r="229" spans="1:8" s="48" customFormat="1" ht="36" customHeight="1" x14ac:dyDescent="0.3">
      <c r="A229" s="20" t="s">
        <v>167</v>
      </c>
      <c r="B229" s="58" t="s">
        <v>237</v>
      </c>
      <c r="C229" s="59"/>
      <c r="D229" s="59"/>
      <c r="E229" s="59"/>
      <c r="F229" s="59"/>
      <c r="G229" s="59"/>
      <c r="H229" s="60"/>
    </row>
    <row r="230" spans="1:8" x14ac:dyDescent="0.3">
      <c r="A230" s="158" t="s">
        <v>65</v>
      </c>
      <c r="B230" s="158"/>
      <c r="C230" s="158"/>
      <c r="D230" s="158"/>
      <c r="E230" s="158"/>
      <c r="F230" s="158"/>
      <c r="G230" s="158"/>
      <c r="H230" s="158"/>
    </row>
    <row r="231" spans="1:8" x14ac:dyDescent="0.3">
      <c r="A231" s="103" t="s">
        <v>66</v>
      </c>
      <c r="B231" s="103"/>
      <c r="C231" s="103"/>
      <c r="D231" s="103"/>
      <c r="E231" s="103"/>
      <c r="F231" s="103"/>
      <c r="G231" s="103"/>
      <c r="H231" s="103"/>
    </row>
    <row r="232" spans="1:8" ht="15.75" customHeight="1" x14ac:dyDescent="0.3">
      <c r="A232" s="174" t="s">
        <v>67</v>
      </c>
      <c r="B232" s="174"/>
      <c r="C232" s="174"/>
      <c r="D232" s="174"/>
      <c r="E232" s="174"/>
      <c r="F232" s="174"/>
      <c r="G232" s="174"/>
      <c r="H232" s="174"/>
    </row>
    <row r="233" spans="1:8" x14ac:dyDescent="0.3">
      <c r="A233" s="103" t="s">
        <v>68</v>
      </c>
      <c r="B233" s="103"/>
      <c r="C233" s="103"/>
      <c r="D233" s="103"/>
      <c r="E233" s="103"/>
      <c r="F233" s="103"/>
      <c r="G233" s="103"/>
      <c r="H233" s="103"/>
    </row>
    <row r="234" spans="1:8" x14ac:dyDescent="0.3">
      <c r="A234" s="103" t="s">
        <v>69</v>
      </c>
      <c r="B234" s="103"/>
      <c r="C234" s="103"/>
      <c r="D234" s="103"/>
      <c r="E234" s="103"/>
      <c r="F234" s="103"/>
      <c r="G234" s="103"/>
      <c r="H234" s="103"/>
    </row>
    <row r="235" spans="1:8" hidden="1" x14ac:dyDescent="0.3">
      <c r="A235" s="103" t="s">
        <v>137</v>
      </c>
      <c r="B235" s="103"/>
      <c r="C235" s="103"/>
      <c r="D235" s="103"/>
      <c r="E235" s="103"/>
      <c r="F235" s="103"/>
      <c r="G235" s="103"/>
      <c r="H235" s="103"/>
    </row>
    <row r="236" spans="1:8" ht="35.25" hidden="1" customHeight="1" x14ac:dyDescent="0.3">
      <c r="A236" s="151" t="s">
        <v>138</v>
      </c>
      <c r="B236" s="151"/>
      <c r="C236" s="151"/>
      <c r="D236" s="151"/>
      <c r="E236" s="151"/>
      <c r="F236" s="151"/>
      <c r="G236" s="151"/>
      <c r="H236" s="151"/>
    </row>
    <row r="237" spans="1:8" x14ac:dyDescent="0.3">
      <c r="A237" s="155" t="s">
        <v>82</v>
      </c>
      <c r="B237" s="155"/>
      <c r="C237" s="155" t="s">
        <v>240</v>
      </c>
      <c r="D237" s="155"/>
      <c r="E237" s="155" t="s">
        <v>114</v>
      </c>
      <c r="F237" s="155"/>
      <c r="G237" s="155" t="s">
        <v>239</v>
      </c>
      <c r="H237" s="155"/>
    </row>
    <row r="238" spans="1:8" x14ac:dyDescent="0.3">
      <c r="A238" s="154" t="s">
        <v>84</v>
      </c>
      <c r="B238" s="154"/>
      <c r="C238" s="154"/>
      <c r="D238" s="154"/>
      <c r="E238" s="154"/>
      <c r="F238" s="154"/>
      <c r="G238" s="154"/>
      <c r="H238" s="154"/>
    </row>
    <row r="239" spans="1:8" x14ac:dyDescent="0.3">
      <c r="A239" s="154"/>
      <c r="B239" s="154"/>
      <c r="C239" s="154"/>
      <c r="D239" s="154"/>
      <c r="E239" s="154"/>
      <c r="F239" s="154"/>
      <c r="G239" s="154"/>
      <c r="H239" s="154"/>
    </row>
    <row r="240" spans="1:8" x14ac:dyDescent="0.3">
      <c r="A240" s="154"/>
      <c r="B240" s="154"/>
      <c r="C240" s="154"/>
      <c r="D240" s="154"/>
      <c r="E240" s="154"/>
      <c r="F240" s="154"/>
      <c r="G240" s="154"/>
      <c r="H240" s="154"/>
    </row>
    <row r="241" spans="1:8" x14ac:dyDescent="0.3">
      <c r="A241" s="154"/>
      <c r="B241" s="154"/>
      <c r="C241" s="154"/>
      <c r="D241" s="154"/>
      <c r="E241" s="154"/>
      <c r="F241" s="154"/>
      <c r="G241" s="154"/>
      <c r="H241" s="154"/>
    </row>
    <row r="242" spans="1:8" x14ac:dyDescent="0.3">
      <c r="A242" s="51" t="s">
        <v>70</v>
      </c>
      <c r="B242" s="52"/>
      <c r="C242" s="52"/>
      <c r="D242" s="51" t="str">
        <f>E8</f>
        <v>Cyber Code</v>
      </c>
      <c r="F242" s="52"/>
      <c r="G242" s="52"/>
      <c r="H242" s="52"/>
    </row>
    <row r="243" spans="1:8" x14ac:dyDescent="0.3">
      <c r="A243" s="52"/>
      <c r="B243" s="52"/>
      <c r="C243" s="52"/>
      <c r="D243" s="52"/>
      <c r="E243" s="52"/>
      <c r="F243" s="52"/>
      <c r="G243" s="52"/>
      <c r="H243" s="52"/>
    </row>
    <row r="244" spans="1:8" x14ac:dyDescent="0.3">
      <c r="A244" s="52"/>
      <c r="B244" s="52"/>
      <c r="C244" s="52"/>
      <c r="D244" s="52"/>
      <c r="E244" s="52"/>
      <c r="F244" s="52"/>
      <c r="G244" s="52"/>
      <c r="H244" s="52"/>
    </row>
    <row r="245" spans="1:8" ht="15" customHeight="1" x14ac:dyDescent="0.3"/>
    <row r="249" spans="1:8" x14ac:dyDescent="0.3">
      <c r="F249"/>
    </row>
    <row r="285" spans="1:1" x14ac:dyDescent="0.3">
      <c r="A285" s="54" t="s">
        <v>71</v>
      </c>
    </row>
  </sheetData>
  <mergeCells count="465">
    <mergeCell ref="B229:H229"/>
    <mergeCell ref="I10:L10"/>
    <mergeCell ref="G102:H102"/>
    <mergeCell ref="E40:H40"/>
    <mergeCell ref="A40:D40"/>
    <mergeCell ref="A235:H235"/>
    <mergeCell ref="A192:B192"/>
    <mergeCell ref="A232:H232"/>
    <mergeCell ref="G204:H204"/>
    <mergeCell ref="A187:B187"/>
    <mergeCell ref="A96:B96"/>
    <mergeCell ref="D184:D185"/>
    <mergeCell ref="E184:E185"/>
    <mergeCell ref="G184:H185"/>
    <mergeCell ref="A73:B73"/>
    <mergeCell ref="F79:H79"/>
    <mergeCell ref="A78:H78"/>
    <mergeCell ref="G94:H94"/>
    <mergeCell ref="A47:B47"/>
    <mergeCell ref="C47:E47"/>
    <mergeCell ref="G47:H47"/>
    <mergeCell ref="G49:H49"/>
    <mergeCell ref="D53:H53"/>
    <mergeCell ref="B226:H226"/>
    <mergeCell ref="C49:E49"/>
    <mergeCell ref="A56:C56"/>
    <mergeCell ref="D56:H56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C50:H50"/>
    <mergeCell ref="A231:H231"/>
    <mergeCell ref="E96:F96"/>
    <mergeCell ref="E93:F93"/>
    <mergeCell ref="A103:H103"/>
    <mergeCell ref="G189:H189"/>
    <mergeCell ref="A93:B93"/>
    <mergeCell ref="F86:H86"/>
    <mergeCell ref="C93:D93"/>
    <mergeCell ref="G202:H202"/>
    <mergeCell ref="F89:H89"/>
    <mergeCell ref="F87:H87"/>
    <mergeCell ref="A195:B195"/>
    <mergeCell ref="A104:H104"/>
    <mergeCell ref="G93:H93"/>
    <mergeCell ref="A88:E88"/>
    <mergeCell ref="C94:D94"/>
    <mergeCell ref="E94:F94"/>
    <mergeCell ref="G188:H188"/>
    <mergeCell ref="C184:C185"/>
    <mergeCell ref="B224:H224"/>
    <mergeCell ref="B225:H225"/>
    <mergeCell ref="A172:H172"/>
    <mergeCell ref="A173:B173"/>
    <mergeCell ref="G192:H192"/>
    <mergeCell ref="A238:H241"/>
    <mergeCell ref="A237:B237"/>
    <mergeCell ref="E237:F237"/>
    <mergeCell ref="C237:D237"/>
    <mergeCell ref="G237:H237"/>
    <mergeCell ref="A92:H92"/>
    <mergeCell ref="A90:E90"/>
    <mergeCell ref="F90:H90"/>
    <mergeCell ref="A91:E91"/>
    <mergeCell ref="F91:H91"/>
    <mergeCell ref="A186:H186"/>
    <mergeCell ref="A97:B97"/>
    <mergeCell ref="A196:B196"/>
    <mergeCell ref="A94:B94"/>
    <mergeCell ref="A233:H233"/>
    <mergeCell ref="A95:H95"/>
    <mergeCell ref="A236:H236"/>
    <mergeCell ref="A234:H234"/>
    <mergeCell ref="A215:H215"/>
    <mergeCell ref="G203:H203"/>
    <mergeCell ref="B184:B185"/>
    <mergeCell ref="A200:H200"/>
    <mergeCell ref="A193:H193"/>
    <mergeCell ref="A230:H230"/>
    <mergeCell ref="A62:C62"/>
    <mergeCell ref="D62:H62"/>
    <mergeCell ref="A68:B68"/>
    <mergeCell ref="G67:H67"/>
    <mergeCell ref="A66:B66"/>
    <mergeCell ref="A64:B64"/>
    <mergeCell ref="C64:H64"/>
    <mergeCell ref="A72:B72"/>
    <mergeCell ref="A59:C59"/>
    <mergeCell ref="D59:H59"/>
    <mergeCell ref="C66:H66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57:C57"/>
    <mergeCell ref="A58:C58"/>
    <mergeCell ref="D57:H57"/>
    <mergeCell ref="E68:F77"/>
    <mergeCell ref="G68:H77"/>
    <mergeCell ref="A76:B76"/>
    <mergeCell ref="A77:B77"/>
    <mergeCell ref="D58:H58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A74:B74"/>
    <mergeCell ref="A67:B67"/>
    <mergeCell ref="A70:B7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A75:B75"/>
    <mergeCell ref="C97:D97"/>
    <mergeCell ref="E97:F97"/>
    <mergeCell ref="G97:H97"/>
    <mergeCell ref="F85:H85"/>
    <mergeCell ref="A79:E79"/>
    <mergeCell ref="A117:H117"/>
    <mergeCell ref="G105:H105"/>
    <mergeCell ref="F83:H83"/>
    <mergeCell ref="F82:H82"/>
    <mergeCell ref="F88:H88"/>
    <mergeCell ref="A100:B100"/>
    <mergeCell ref="C100:D100"/>
    <mergeCell ref="E100:F100"/>
    <mergeCell ref="G100:H100"/>
    <mergeCell ref="A101:B101"/>
    <mergeCell ref="C101:D101"/>
    <mergeCell ref="E101:F101"/>
    <mergeCell ref="G101:H101"/>
    <mergeCell ref="A106:H106"/>
    <mergeCell ref="E99:F99"/>
    <mergeCell ref="G99:H99"/>
    <mergeCell ref="A98:B98"/>
    <mergeCell ref="F84:H84"/>
    <mergeCell ref="L140:M140"/>
    <mergeCell ref="L129:M129"/>
    <mergeCell ref="L130:M130"/>
    <mergeCell ref="L131:M131"/>
    <mergeCell ref="L132:M132"/>
    <mergeCell ref="L145:M145"/>
    <mergeCell ref="A146:B146"/>
    <mergeCell ref="L146:M146"/>
    <mergeCell ref="A125:B125"/>
    <mergeCell ref="L125:M125"/>
    <mergeCell ref="A126:B126"/>
    <mergeCell ref="L126:M126"/>
    <mergeCell ref="A127:B127"/>
    <mergeCell ref="L127:M127"/>
    <mergeCell ref="A136:B136"/>
    <mergeCell ref="L136:M136"/>
    <mergeCell ref="L133:M133"/>
    <mergeCell ref="A134:B134"/>
    <mergeCell ref="L134:M134"/>
    <mergeCell ref="A135:B135"/>
    <mergeCell ref="L135:M135"/>
    <mergeCell ref="L122:M122"/>
    <mergeCell ref="L121:M121"/>
    <mergeCell ref="L120:M120"/>
    <mergeCell ref="L119:M119"/>
    <mergeCell ref="L118:M118"/>
    <mergeCell ref="G118:H127"/>
    <mergeCell ref="A165:B165"/>
    <mergeCell ref="A156:B156"/>
    <mergeCell ref="L156:M156"/>
    <mergeCell ref="A153:B153"/>
    <mergeCell ref="A157:B157"/>
    <mergeCell ref="L137:M137"/>
    <mergeCell ref="L138:M138"/>
    <mergeCell ref="L165:M165"/>
    <mergeCell ref="A150:H150"/>
    <mergeCell ref="L124:M124"/>
    <mergeCell ref="L123:M123"/>
    <mergeCell ref="A143:B143"/>
    <mergeCell ref="L143:M143"/>
    <mergeCell ref="A144:B144"/>
    <mergeCell ref="L144:M144"/>
    <mergeCell ref="A145:B145"/>
    <mergeCell ref="A158:B158"/>
    <mergeCell ref="L158:M158"/>
    <mergeCell ref="L186:M186"/>
    <mergeCell ref="A184:A185"/>
    <mergeCell ref="A151:B151"/>
    <mergeCell ref="L151:M151"/>
    <mergeCell ref="A152:B152"/>
    <mergeCell ref="L152:M152"/>
    <mergeCell ref="A147:B147"/>
    <mergeCell ref="L147:M147"/>
    <mergeCell ref="A148:B148"/>
    <mergeCell ref="L148:M148"/>
    <mergeCell ref="A149:B149"/>
    <mergeCell ref="L149:M149"/>
    <mergeCell ref="G140:H149"/>
    <mergeCell ref="L141:M141"/>
    <mergeCell ref="A142:B142"/>
    <mergeCell ref="L142:M142"/>
    <mergeCell ref="A160:B160"/>
    <mergeCell ref="L160:M160"/>
    <mergeCell ref="L153:M153"/>
    <mergeCell ref="A154:B154"/>
    <mergeCell ref="L154:M154"/>
    <mergeCell ref="A155:B155"/>
    <mergeCell ref="L155:M155"/>
    <mergeCell ref="A159:B159"/>
    <mergeCell ref="A206:B206"/>
    <mergeCell ref="G206:H206"/>
    <mergeCell ref="A191:B191"/>
    <mergeCell ref="A188:B188"/>
    <mergeCell ref="A189:B189"/>
    <mergeCell ref="A201:B201"/>
    <mergeCell ref="A202:B202"/>
    <mergeCell ref="A203:B203"/>
    <mergeCell ref="A190:B190"/>
    <mergeCell ref="A199:B199"/>
    <mergeCell ref="G191:H191"/>
    <mergeCell ref="G198:H198"/>
    <mergeCell ref="G197:H197"/>
    <mergeCell ref="G199:H199"/>
    <mergeCell ref="G205:H205"/>
    <mergeCell ref="G201:H201"/>
    <mergeCell ref="A204:B204"/>
    <mergeCell ref="A205:B205"/>
    <mergeCell ref="A198:B198"/>
    <mergeCell ref="A197:B197"/>
    <mergeCell ref="A194:B194"/>
    <mergeCell ref="G196:H196"/>
    <mergeCell ref="B222:H222"/>
    <mergeCell ref="G213:H213"/>
    <mergeCell ref="B218:H218"/>
    <mergeCell ref="A210:B210"/>
    <mergeCell ref="G210:H210"/>
    <mergeCell ref="G209:H209"/>
    <mergeCell ref="A207:H207"/>
    <mergeCell ref="A208:B208"/>
    <mergeCell ref="A209:B209"/>
    <mergeCell ref="A212:B212"/>
    <mergeCell ref="G212:H212"/>
    <mergeCell ref="A213:B213"/>
    <mergeCell ref="A211:B211"/>
    <mergeCell ref="G211:H211"/>
    <mergeCell ref="B216:H216"/>
    <mergeCell ref="B217:H217"/>
    <mergeCell ref="B219:H219"/>
    <mergeCell ref="B220:H220"/>
    <mergeCell ref="G208:H208"/>
    <mergeCell ref="A214:B214"/>
    <mergeCell ref="G214:H214"/>
    <mergeCell ref="A81:E81"/>
    <mergeCell ref="A133:B133"/>
    <mergeCell ref="A141:B141"/>
    <mergeCell ref="C98:D98"/>
    <mergeCell ref="E98:F98"/>
    <mergeCell ref="G98:H98"/>
    <mergeCell ref="C96:D96"/>
    <mergeCell ref="G96:H96"/>
    <mergeCell ref="A99:B99"/>
    <mergeCell ref="C99:D99"/>
    <mergeCell ref="A139:H139"/>
    <mergeCell ref="A140:B140"/>
    <mergeCell ref="G129:H138"/>
    <mergeCell ref="A130:B130"/>
    <mergeCell ref="A131:B131"/>
    <mergeCell ref="A132:B132"/>
    <mergeCell ref="A137:B137"/>
    <mergeCell ref="C118:F118"/>
    <mergeCell ref="A138:B138"/>
    <mergeCell ref="A111:B111"/>
    <mergeCell ref="A123:B123"/>
    <mergeCell ref="A102:B102"/>
    <mergeCell ref="C102:D102"/>
    <mergeCell ref="E102:F102"/>
    <mergeCell ref="B223:H223"/>
    <mergeCell ref="A46:B46"/>
    <mergeCell ref="C46:H46"/>
    <mergeCell ref="B221:H221"/>
    <mergeCell ref="F80:H80"/>
    <mergeCell ref="A80:E80"/>
    <mergeCell ref="G195:H195"/>
    <mergeCell ref="G190:H190"/>
    <mergeCell ref="G187:H187"/>
    <mergeCell ref="A82:E82"/>
    <mergeCell ref="A124:B124"/>
    <mergeCell ref="A118:B118"/>
    <mergeCell ref="A119:B119"/>
    <mergeCell ref="A120:B120"/>
    <mergeCell ref="A121:B121"/>
    <mergeCell ref="A122:B122"/>
    <mergeCell ref="A83:E83"/>
    <mergeCell ref="A115:H115"/>
    <mergeCell ref="A116:H116"/>
    <mergeCell ref="A128:H128"/>
    <mergeCell ref="A129:B129"/>
    <mergeCell ref="G194:H194"/>
    <mergeCell ref="A89:E89"/>
    <mergeCell ref="A84:E84"/>
    <mergeCell ref="A163:B163"/>
    <mergeCell ref="A177:B177"/>
    <mergeCell ref="L177:M177"/>
    <mergeCell ref="A178:B178"/>
    <mergeCell ref="L178:M178"/>
    <mergeCell ref="A179:B179"/>
    <mergeCell ref="L179:M179"/>
    <mergeCell ref="L173:M173"/>
    <mergeCell ref="A174:B174"/>
    <mergeCell ref="L174:M174"/>
    <mergeCell ref="A175:B175"/>
    <mergeCell ref="L175:M175"/>
    <mergeCell ref="A176:B176"/>
    <mergeCell ref="L176:M176"/>
    <mergeCell ref="G173:H182"/>
    <mergeCell ref="A180:B180"/>
    <mergeCell ref="L180:M180"/>
    <mergeCell ref="A181:B181"/>
    <mergeCell ref="L181:M181"/>
    <mergeCell ref="A182:B182"/>
    <mergeCell ref="L182:M182"/>
    <mergeCell ref="A86:E86"/>
    <mergeCell ref="B227:H227"/>
    <mergeCell ref="L111:M111"/>
    <mergeCell ref="A112:B112"/>
    <mergeCell ref="L112:M112"/>
    <mergeCell ref="A113:B113"/>
    <mergeCell ref="L113:M113"/>
    <mergeCell ref="A114:B114"/>
    <mergeCell ref="L114:M114"/>
    <mergeCell ref="G107:H114"/>
    <mergeCell ref="A107:B107"/>
    <mergeCell ref="L107:M107"/>
    <mergeCell ref="A108:B108"/>
    <mergeCell ref="L108:M108"/>
    <mergeCell ref="A109:B109"/>
    <mergeCell ref="L109:M109"/>
    <mergeCell ref="A110:B110"/>
    <mergeCell ref="L110:M110"/>
    <mergeCell ref="A183:H183"/>
    <mergeCell ref="A169:B169"/>
    <mergeCell ref="L157:M157"/>
    <mergeCell ref="A161:H161"/>
    <mergeCell ref="A162:B162"/>
    <mergeCell ref="L162:M162"/>
    <mergeCell ref="B228:H228"/>
    <mergeCell ref="L169:M169"/>
    <mergeCell ref="A170:B170"/>
    <mergeCell ref="L170:M170"/>
    <mergeCell ref="A171:B171"/>
    <mergeCell ref="L171:M171"/>
    <mergeCell ref="A10:D10"/>
    <mergeCell ref="E10:H10"/>
    <mergeCell ref="A167:B167"/>
    <mergeCell ref="L167:M167"/>
    <mergeCell ref="A168:B168"/>
    <mergeCell ref="L168:M168"/>
    <mergeCell ref="L164:M164"/>
    <mergeCell ref="L163:M163"/>
    <mergeCell ref="A164:B164"/>
    <mergeCell ref="A166:B166"/>
    <mergeCell ref="L166:M166"/>
    <mergeCell ref="L159:M159"/>
    <mergeCell ref="C162:F162"/>
    <mergeCell ref="G151:H160"/>
    <mergeCell ref="G162:H171"/>
    <mergeCell ref="A85:E85"/>
    <mergeCell ref="A87:E87"/>
    <mergeCell ref="F81:H81"/>
  </mergeCells>
  <hyperlinks>
    <hyperlink ref="C37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41" max="16383" man="1"/>
    <brk id="28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78" t="s">
        <v>115</v>
      </c>
      <c r="C3" s="178"/>
      <c r="D3" s="178"/>
      <c r="E3" s="178"/>
      <c r="F3" s="178"/>
      <c r="G3" s="178"/>
      <c r="H3" s="178"/>
    </row>
    <row r="4" spans="1:9" x14ac:dyDescent="0.3">
      <c r="A4" s="2"/>
      <c r="B4" s="3" t="s">
        <v>116</v>
      </c>
      <c r="C4" s="3" t="s">
        <v>117</v>
      </c>
      <c r="D4" s="3" t="s">
        <v>73</v>
      </c>
      <c r="E4" s="3" t="s">
        <v>118</v>
      </c>
      <c r="F4" s="3" t="s">
        <v>124</v>
      </c>
      <c r="G4" s="3" t="s">
        <v>125</v>
      </c>
      <c r="H4" s="3" t="s">
        <v>119</v>
      </c>
    </row>
    <row r="5" spans="1:9" ht="15" customHeight="1" x14ac:dyDescent="0.3">
      <c r="A5" s="2"/>
      <c r="B5" s="5" t="s">
        <v>120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120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120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120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120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121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121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122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123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R26" sqref="R26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2025-09-10T11:34:15Z</cp:lastPrinted>
  <dcterms:created xsi:type="dcterms:W3CDTF">2019-07-16T09:29:46Z</dcterms:created>
  <dcterms:modified xsi:type="dcterms:W3CDTF">2025-09-10T11:35:41Z</dcterms:modified>
</cp:coreProperties>
</file>