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158CD77F-7F8F-46DE-9656-AA7558F2747D}"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Report!$A$1:$H$554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0" i="1" l="1"/>
  <c r="D290" i="1"/>
  <c r="E289" i="1"/>
  <c r="D289" i="1"/>
  <c r="E288" i="1"/>
  <c r="D288" i="1"/>
  <c r="E287" i="1"/>
  <c r="D287" i="1"/>
  <c r="E286" i="1"/>
  <c r="D286" i="1"/>
  <c r="E285" i="1"/>
  <c r="D285" i="1"/>
  <c r="E284" i="1"/>
  <c r="D284" i="1"/>
  <c r="E283" i="1"/>
  <c r="D283" i="1"/>
  <c r="E368" i="1"/>
  <c r="D368" i="1"/>
  <c r="E367" i="1"/>
  <c r="D367" i="1"/>
  <c r="E366" i="1"/>
  <c r="D366" i="1"/>
  <c r="E365" i="1"/>
  <c r="D365" i="1"/>
  <c r="E364" i="1"/>
  <c r="D364" i="1"/>
  <c r="E363" i="1"/>
  <c r="D363" i="1"/>
  <c r="E362" i="1"/>
  <c r="D362" i="1"/>
  <c r="E361" i="1"/>
  <c r="D361" i="1"/>
  <c r="E360" i="1"/>
  <c r="D360" i="1"/>
  <c r="E357" i="1"/>
  <c r="D274" i="1"/>
  <c r="E346" i="1"/>
  <c r="D346" i="1"/>
  <c r="E345" i="1"/>
  <c r="D345" i="1"/>
  <c r="E344" i="1"/>
  <c r="D344" i="1"/>
  <c r="E343" i="1"/>
  <c r="D343" i="1"/>
  <c r="E342" i="1"/>
  <c r="D342" i="1"/>
  <c r="E341" i="1"/>
  <c r="D341" i="1"/>
  <c r="E340" i="1"/>
  <c r="D340" i="1"/>
  <c r="E339" i="1"/>
  <c r="D339" i="1"/>
  <c r="E338" i="1"/>
  <c r="D338" i="1"/>
  <c r="E335" i="1"/>
  <c r="E332" i="1"/>
  <c r="E244" i="1"/>
  <c r="D244" i="1"/>
  <c r="E243" i="1"/>
  <c r="D243" i="1"/>
  <c r="E242" i="1"/>
  <c r="D242" i="1"/>
  <c r="E241" i="1"/>
  <c r="D241" i="1"/>
  <c r="E240" i="1"/>
  <c r="D240" i="1"/>
  <c r="E239" i="1"/>
  <c r="D239" i="1"/>
  <c r="E238" i="1"/>
  <c r="D238" i="1"/>
  <c r="E237" i="1"/>
  <c r="D237" i="1"/>
  <c r="E236" i="1"/>
  <c r="D236" i="1"/>
  <c r="E235" i="1"/>
  <c r="D235" i="1"/>
  <c r="E229" i="1"/>
  <c r="E228" i="1"/>
  <c r="E227" i="1"/>
  <c r="E226" i="1"/>
  <c r="E231" i="1"/>
  <c r="E230" i="1"/>
  <c r="E233" i="1"/>
  <c r="E232" i="1"/>
  <c r="E224" i="1"/>
  <c r="E225" i="1"/>
  <c r="E190" i="1" l="1"/>
  <c r="D190" i="1"/>
  <c r="E189" i="1"/>
  <c r="D189" i="1"/>
  <c r="E188" i="1"/>
  <c r="D188" i="1"/>
  <c r="E187" i="1"/>
  <c r="D187" i="1"/>
  <c r="E186" i="1"/>
  <c r="D186" i="1"/>
  <c r="E185" i="1"/>
  <c r="D185" i="1"/>
  <c r="E184" i="1"/>
  <c r="D184" i="1"/>
  <c r="E183" i="1"/>
  <c r="D183" i="1"/>
  <c r="E168" i="1"/>
  <c r="E167" i="1"/>
  <c r="E166" i="1"/>
  <c r="E165" i="1"/>
  <c r="E164" i="1"/>
  <c r="E163" i="1"/>
  <c r="E162" i="1"/>
  <c r="E161" i="1"/>
  <c r="E157" i="1"/>
  <c r="E156" i="1"/>
  <c r="E155" i="1"/>
  <c r="E154" i="1"/>
  <c r="E153" i="1"/>
  <c r="E152" i="1"/>
  <c r="E151" i="1"/>
  <c r="E150" i="1"/>
  <c r="E149" i="1"/>
  <c r="E148" i="1"/>
  <c r="E173" i="1"/>
  <c r="E174" i="1"/>
  <c r="D174" i="1"/>
  <c r="E170" i="1"/>
  <c r="E171" i="1"/>
  <c r="E172" i="1"/>
  <c r="E175" i="1"/>
  <c r="E176" i="1"/>
  <c r="E177" i="1"/>
  <c r="E178" i="1"/>
  <c r="E179" i="1"/>
  <c r="I222" i="1" l="1"/>
  <c r="I224" i="1"/>
  <c r="I171" i="1"/>
  <c r="I170" i="1"/>
  <c r="F244" i="1" l="1"/>
  <c r="H244" i="1" s="1"/>
  <c r="D233" i="1"/>
  <c r="D232" i="1"/>
  <c r="D231" i="1"/>
  <c r="D230" i="1"/>
  <c r="D227" i="1"/>
  <c r="D226" i="1"/>
  <c r="D225" i="1"/>
  <c r="F225" i="1" s="1"/>
  <c r="H225" i="1" s="1"/>
  <c r="D224" i="1"/>
  <c r="F233" i="1"/>
  <c r="H233" i="1" s="1"/>
  <c r="A241" i="1"/>
  <c r="A242" i="1" s="1"/>
  <c r="A243" i="1" s="1"/>
  <c r="A244" i="1" s="1"/>
  <c r="A236" i="1"/>
  <c r="A237" i="1" s="1"/>
  <c r="A238" i="1" s="1"/>
  <c r="A239" i="1" s="1"/>
  <c r="A230" i="1"/>
  <c r="A231" i="1" s="1"/>
  <c r="A232" i="1" s="1"/>
  <c r="A233" i="1" s="1"/>
  <c r="D229" i="1"/>
  <c r="D228" i="1"/>
  <c r="A225" i="1"/>
  <c r="A226" i="1" s="1"/>
  <c r="A227" i="1" s="1"/>
  <c r="A228" i="1" s="1"/>
  <c r="F183" i="1"/>
  <c r="H183" i="1" s="1"/>
  <c r="F190" i="1"/>
  <c r="H190" i="1" s="1"/>
  <c r="F185" i="1"/>
  <c r="H185" i="1" s="1"/>
  <c r="D176" i="1"/>
  <c r="D175" i="1"/>
  <c r="F175" i="1" s="1"/>
  <c r="H175" i="1" s="1"/>
  <c r="A187" i="1"/>
  <c r="A188" i="1" s="1"/>
  <c r="A189" i="1" s="1"/>
  <c r="A190" i="1" s="1"/>
  <c r="A182" i="1"/>
  <c r="A183" i="1" s="1"/>
  <c r="A184" i="1" s="1"/>
  <c r="A185" i="1" s="1"/>
  <c r="D179" i="1"/>
  <c r="D178" i="1"/>
  <c r="D177" i="1"/>
  <c r="A176" i="1"/>
  <c r="A177" i="1" s="1"/>
  <c r="A178" i="1" s="1"/>
  <c r="A179" i="1" s="1"/>
  <c r="D173" i="1"/>
  <c r="D172" i="1"/>
  <c r="D171" i="1"/>
  <c r="A171" i="1"/>
  <c r="A172" i="1" s="1"/>
  <c r="A173" i="1" s="1"/>
  <c r="A174" i="1" s="1"/>
  <c r="D170" i="1"/>
  <c r="I376" i="1"/>
  <c r="I378" i="1"/>
  <c r="I332" i="1"/>
  <c r="I324" i="1"/>
  <c r="E395" i="1"/>
  <c r="E400" i="1"/>
  <c r="E399" i="1"/>
  <c r="E398" i="1"/>
  <c r="E397" i="1"/>
  <c r="E396" i="1"/>
  <c r="E392" i="1"/>
  <c r="E391" i="1"/>
  <c r="E390" i="1"/>
  <c r="E389" i="1"/>
  <c r="E388" i="1"/>
  <c r="E387" i="1"/>
  <c r="E386" i="1"/>
  <c r="E381" i="1"/>
  <c r="E379" i="1"/>
  <c r="E378" i="1"/>
  <c r="E384" i="1"/>
  <c r="E383" i="1"/>
  <c r="E382" i="1"/>
  <c r="E380" i="1"/>
  <c r="E376" i="1"/>
  <c r="E375" i="1"/>
  <c r="E374" i="1"/>
  <c r="E372" i="1"/>
  <c r="E373" i="1"/>
  <c r="E371" i="1"/>
  <c r="E354" i="1"/>
  <c r="E349" i="1"/>
  <c r="E348" i="1"/>
  <c r="E356" i="1"/>
  <c r="E355" i="1"/>
  <c r="E353" i="1"/>
  <c r="E352" i="1"/>
  <c r="E351" i="1"/>
  <c r="E350" i="1"/>
  <c r="E334" i="1"/>
  <c r="E333" i="1"/>
  <c r="E327" i="1"/>
  <c r="E326" i="1"/>
  <c r="D400" i="1"/>
  <c r="D399" i="1"/>
  <c r="D398" i="1"/>
  <c r="D397" i="1"/>
  <c r="D396" i="1"/>
  <c r="D395" i="1"/>
  <c r="D392" i="1"/>
  <c r="D391" i="1"/>
  <c r="D390" i="1"/>
  <c r="D389" i="1"/>
  <c r="D388" i="1"/>
  <c r="D387" i="1"/>
  <c r="D386" i="1"/>
  <c r="D384" i="1"/>
  <c r="F384" i="1" s="1"/>
  <c r="H384" i="1" s="1"/>
  <c r="D383" i="1"/>
  <c r="D382" i="1"/>
  <c r="D381" i="1"/>
  <c r="D380" i="1"/>
  <c r="D379" i="1"/>
  <c r="D378" i="1"/>
  <c r="D376" i="1"/>
  <c r="D375" i="1"/>
  <c r="D374" i="1"/>
  <c r="D373" i="1"/>
  <c r="D372" i="1"/>
  <c r="D371" i="1"/>
  <c r="F364" i="1"/>
  <c r="H364" i="1" s="1"/>
  <c r="D357" i="1"/>
  <c r="D356" i="1"/>
  <c r="D354" i="1"/>
  <c r="D355" i="1"/>
  <c r="D349" i="1"/>
  <c r="D348" i="1"/>
  <c r="F345" i="1"/>
  <c r="H345" i="1" s="1"/>
  <c r="F343" i="1"/>
  <c r="H343" i="1" s="1"/>
  <c r="F341" i="1"/>
  <c r="H341" i="1" s="1"/>
  <c r="D335" i="1"/>
  <c r="D334" i="1"/>
  <c r="D332" i="1"/>
  <c r="F332" i="1" s="1"/>
  <c r="H332" i="1" s="1"/>
  <c r="D333" i="1"/>
  <c r="D327" i="1"/>
  <c r="D326" i="1"/>
  <c r="A395" i="1"/>
  <c r="A396" i="1" s="1"/>
  <c r="A397" i="1" s="1"/>
  <c r="A398" i="1" s="1"/>
  <c r="A399" i="1" s="1"/>
  <c r="A400" i="1" s="1"/>
  <c r="A387" i="1"/>
  <c r="A388" i="1" s="1"/>
  <c r="A389" i="1" s="1"/>
  <c r="A390" i="1" s="1"/>
  <c r="A391" i="1" s="1"/>
  <c r="A392" i="1" s="1"/>
  <c r="A379" i="1"/>
  <c r="A380" i="1" s="1"/>
  <c r="A381" i="1" s="1"/>
  <c r="A382" i="1" s="1"/>
  <c r="A383" i="1" s="1"/>
  <c r="A384" i="1" s="1"/>
  <c r="A371" i="1"/>
  <c r="A372" i="1" s="1"/>
  <c r="A373" i="1" s="1"/>
  <c r="A374" i="1" s="1"/>
  <c r="A375" i="1" s="1"/>
  <c r="A376" i="1" s="1"/>
  <c r="A365" i="1"/>
  <c r="A366" i="1" s="1"/>
  <c r="A367" i="1" s="1"/>
  <c r="A368" i="1" s="1"/>
  <c r="F361" i="1"/>
  <c r="H361" i="1" s="1"/>
  <c r="A360" i="1"/>
  <c r="A361" i="1" s="1"/>
  <c r="A362" i="1" s="1"/>
  <c r="A363" i="1" s="1"/>
  <c r="A354" i="1"/>
  <c r="A355" i="1" s="1"/>
  <c r="A356" i="1" s="1"/>
  <c r="A357" i="1" s="1"/>
  <c r="D353" i="1"/>
  <c r="D352" i="1"/>
  <c r="D351" i="1"/>
  <c r="D350" i="1"/>
  <c r="A349" i="1"/>
  <c r="A350" i="1" s="1"/>
  <c r="A351" i="1" s="1"/>
  <c r="A352" i="1" s="1"/>
  <c r="A343" i="1"/>
  <c r="A344" i="1" s="1"/>
  <c r="A345" i="1" s="1"/>
  <c r="A346" i="1" s="1"/>
  <c r="A338" i="1"/>
  <c r="A339" i="1" s="1"/>
  <c r="A340" i="1" s="1"/>
  <c r="A341" i="1" s="1"/>
  <c r="A332" i="1"/>
  <c r="A333" i="1" s="1"/>
  <c r="A334" i="1" s="1"/>
  <c r="A335" i="1" s="1"/>
  <c r="E331" i="1"/>
  <c r="D331" i="1"/>
  <c r="E330" i="1"/>
  <c r="D330" i="1"/>
  <c r="E329" i="1"/>
  <c r="D329" i="1"/>
  <c r="E328" i="1"/>
  <c r="D328" i="1"/>
  <c r="A327" i="1"/>
  <c r="A328" i="1" s="1"/>
  <c r="A329" i="1" s="1"/>
  <c r="A330" i="1" s="1"/>
  <c r="F374" i="1" l="1"/>
  <c r="H374" i="1" s="1"/>
  <c r="F392" i="1"/>
  <c r="H392" i="1" s="1"/>
  <c r="F329" i="1"/>
  <c r="H329" i="1" s="1"/>
  <c r="F333" i="1"/>
  <c r="H333" i="1" s="1"/>
  <c r="F235" i="1"/>
  <c r="H235" i="1" s="1"/>
  <c r="F237" i="1"/>
  <c r="H237" i="1" s="1"/>
  <c r="F231" i="1"/>
  <c r="H231" i="1" s="1"/>
  <c r="F349" i="1"/>
  <c r="H349" i="1" s="1"/>
  <c r="F187" i="1"/>
  <c r="H187" i="1" s="1"/>
  <c r="F227" i="1"/>
  <c r="H227" i="1" s="1"/>
  <c r="F238" i="1"/>
  <c r="H238" i="1" s="1"/>
  <c r="F381" i="1"/>
  <c r="H381" i="1" s="1"/>
  <c r="F355" i="1"/>
  <c r="H355" i="1" s="1"/>
  <c r="F383" i="1"/>
  <c r="H383" i="1" s="1"/>
  <c r="F232" i="1"/>
  <c r="H232" i="1" s="1"/>
  <c r="C110" i="1"/>
  <c r="F188" i="1"/>
  <c r="H188" i="1" s="1"/>
  <c r="F239" i="1"/>
  <c r="H239" i="1" s="1"/>
  <c r="F189" i="1"/>
  <c r="H189" i="1" s="1"/>
  <c r="F367" i="1"/>
  <c r="H367" i="1" s="1"/>
  <c r="F184" i="1"/>
  <c r="H184" i="1" s="1"/>
  <c r="F353" i="1"/>
  <c r="H353" i="1" s="1"/>
  <c r="F230" i="1"/>
  <c r="H230" i="1" s="1"/>
  <c r="F340" i="1"/>
  <c r="H340" i="1" s="1"/>
  <c r="F357" i="1"/>
  <c r="H357" i="1" s="1"/>
  <c r="F398" i="1"/>
  <c r="H398" i="1" s="1"/>
  <c r="F174" i="1"/>
  <c r="H174" i="1" s="1"/>
  <c r="F240" i="1"/>
  <c r="H240" i="1" s="1"/>
  <c r="F382" i="1"/>
  <c r="H382" i="1" s="1"/>
  <c r="F399" i="1"/>
  <c r="H399" i="1" s="1"/>
  <c r="F241" i="1"/>
  <c r="H241" i="1" s="1"/>
  <c r="F350" i="1"/>
  <c r="H350" i="1" s="1"/>
  <c r="F371" i="1"/>
  <c r="H371" i="1" s="1"/>
  <c r="F400" i="1"/>
  <c r="H400" i="1" s="1"/>
  <c r="F242" i="1"/>
  <c r="H242" i="1" s="1"/>
  <c r="F331" i="1"/>
  <c r="H331" i="1" s="1"/>
  <c r="F366" i="1"/>
  <c r="H366" i="1" s="1"/>
  <c r="F171" i="1"/>
  <c r="H171" i="1" s="1"/>
  <c r="F186" i="1"/>
  <c r="H186" i="1" s="1"/>
  <c r="F176" i="1"/>
  <c r="H176" i="1" s="1"/>
  <c r="F243" i="1"/>
  <c r="H243" i="1" s="1"/>
  <c r="F236" i="1"/>
  <c r="H236" i="1" s="1"/>
  <c r="F172" i="1"/>
  <c r="H172" i="1" s="1"/>
  <c r="F170" i="1"/>
  <c r="H170" i="1" s="1"/>
  <c r="F342" i="1"/>
  <c r="H342" i="1" s="1"/>
  <c r="F387" i="1"/>
  <c r="H387" i="1" s="1"/>
  <c r="F352" i="1"/>
  <c r="H352" i="1" s="1"/>
  <c r="F389" i="1"/>
  <c r="H389" i="1" s="1"/>
  <c r="F177" i="1"/>
  <c r="H177" i="1" s="1"/>
  <c r="F362" i="1"/>
  <c r="H362" i="1" s="1"/>
  <c r="F346" i="1"/>
  <c r="H346" i="1" s="1"/>
  <c r="F178" i="1"/>
  <c r="H178" i="1" s="1"/>
  <c r="F228" i="1"/>
  <c r="H228" i="1" s="1"/>
  <c r="F330" i="1"/>
  <c r="H330" i="1" s="1"/>
  <c r="F373" i="1"/>
  <c r="H373" i="1" s="1"/>
  <c r="F391" i="1"/>
  <c r="H391" i="1" s="1"/>
  <c r="F376" i="1"/>
  <c r="H376" i="1" s="1"/>
  <c r="F179" i="1"/>
  <c r="H179" i="1" s="1"/>
  <c r="F229" i="1"/>
  <c r="H229" i="1" s="1"/>
  <c r="F226" i="1"/>
  <c r="H226" i="1" s="1"/>
  <c r="F224" i="1"/>
  <c r="H224" i="1" s="1"/>
  <c r="F173" i="1"/>
  <c r="H173" i="1" s="1"/>
  <c r="F390" i="1"/>
  <c r="H390" i="1" s="1"/>
  <c r="F379" i="1"/>
  <c r="H379" i="1" s="1"/>
  <c r="F378" i="1"/>
  <c r="H378" i="1" s="1"/>
  <c r="F348" i="1"/>
  <c r="H348" i="1" s="1"/>
  <c r="F338" i="1"/>
  <c r="H338" i="1" s="1"/>
  <c r="F327" i="1"/>
  <c r="H327" i="1" s="1"/>
  <c r="F344" i="1"/>
  <c r="H344" i="1" s="1"/>
  <c r="F360" i="1"/>
  <c r="H360" i="1" s="1"/>
  <c r="F365" i="1"/>
  <c r="H365" i="1" s="1"/>
  <c r="F388" i="1"/>
  <c r="H388" i="1" s="1"/>
  <c r="F334" i="1"/>
  <c r="H334" i="1" s="1"/>
  <c r="F326" i="1"/>
  <c r="F372" i="1"/>
  <c r="H372" i="1" s="1"/>
  <c r="F386" i="1"/>
  <c r="H386" i="1" s="1"/>
  <c r="F395" i="1"/>
  <c r="H395" i="1" s="1"/>
  <c r="F396" i="1"/>
  <c r="H396" i="1" s="1"/>
  <c r="F335" i="1"/>
  <c r="H335" i="1" s="1"/>
  <c r="F375" i="1"/>
  <c r="H375" i="1" s="1"/>
  <c r="F328" i="1"/>
  <c r="H328" i="1" s="1"/>
  <c r="F339" i="1"/>
  <c r="H339" i="1" s="1"/>
  <c r="F351" i="1"/>
  <c r="H351" i="1" s="1"/>
  <c r="F354" i="1"/>
  <c r="H354" i="1" s="1"/>
  <c r="F363" i="1"/>
  <c r="H363" i="1" s="1"/>
  <c r="F380" i="1"/>
  <c r="H380" i="1" s="1"/>
  <c r="F397" i="1"/>
  <c r="H397" i="1" s="1"/>
  <c r="F356" i="1"/>
  <c r="H356" i="1" s="1"/>
  <c r="F368" i="1"/>
  <c r="H368" i="1" s="1"/>
  <c r="E314" i="1"/>
  <c r="D314" i="1"/>
  <c r="E313" i="1"/>
  <c r="D313" i="1"/>
  <c r="E312" i="1"/>
  <c r="D312" i="1"/>
  <c r="E311" i="1"/>
  <c r="D311" i="1"/>
  <c r="E310" i="1"/>
  <c r="D310" i="1"/>
  <c r="E308" i="1"/>
  <c r="E307" i="1"/>
  <c r="E306" i="1"/>
  <c r="E305" i="1"/>
  <c r="E304" i="1"/>
  <c r="E302" i="1"/>
  <c r="E301" i="1"/>
  <c r="E300" i="1"/>
  <c r="E299" i="1"/>
  <c r="E298" i="1"/>
  <c r="E296" i="1"/>
  <c r="E295" i="1"/>
  <c r="E294" i="1"/>
  <c r="E293" i="1"/>
  <c r="E292" i="1"/>
  <c r="I291" i="1"/>
  <c r="E281" i="1"/>
  <c r="E274" i="1"/>
  <c r="E280" i="1"/>
  <c r="E279" i="1"/>
  <c r="E278" i="1"/>
  <c r="E277" i="1"/>
  <c r="E276" i="1"/>
  <c r="E275" i="1"/>
  <c r="F288" i="1"/>
  <c r="H288" i="1" s="1"/>
  <c r="F286" i="1"/>
  <c r="H286" i="1" s="1"/>
  <c r="F283" i="1"/>
  <c r="H283" i="1" s="1"/>
  <c r="I272" i="1"/>
  <c r="E272" i="1"/>
  <c r="E271" i="1"/>
  <c r="E270" i="1"/>
  <c r="E269" i="1"/>
  <c r="E268" i="1"/>
  <c r="E267" i="1"/>
  <c r="E266" i="1"/>
  <c r="E265" i="1"/>
  <c r="E256" i="1"/>
  <c r="E263" i="1"/>
  <c r="E262" i="1"/>
  <c r="E258" i="1"/>
  <c r="E259" i="1"/>
  <c r="E260" i="1"/>
  <c r="E261" i="1"/>
  <c r="E257" i="1"/>
  <c r="I255" i="1"/>
  <c r="I254" i="1"/>
  <c r="D272" i="1"/>
  <c r="D271" i="1"/>
  <c r="D270" i="1"/>
  <c r="D269" i="1"/>
  <c r="D268" i="1"/>
  <c r="D267" i="1"/>
  <c r="D266" i="1"/>
  <c r="D265" i="1"/>
  <c r="D308" i="1"/>
  <c r="D307" i="1"/>
  <c r="D306" i="1"/>
  <c r="D305" i="1"/>
  <c r="D304" i="1"/>
  <c r="D302" i="1"/>
  <c r="D301" i="1"/>
  <c r="D300" i="1"/>
  <c r="D299" i="1"/>
  <c r="D298" i="1"/>
  <c r="D296" i="1"/>
  <c r="D295" i="1"/>
  <c r="D294" i="1"/>
  <c r="D293" i="1"/>
  <c r="D292" i="1"/>
  <c r="D281" i="1"/>
  <c r="D280" i="1"/>
  <c r="D279" i="1"/>
  <c r="D278" i="1"/>
  <c r="D277" i="1"/>
  <c r="D276" i="1"/>
  <c r="D275" i="1"/>
  <c r="F275" i="1" s="1"/>
  <c r="H275" i="1" s="1"/>
  <c r="D263" i="1"/>
  <c r="D262" i="1"/>
  <c r="D261" i="1"/>
  <c r="D259" i="1"/>
  <c r="D260" i="1"/>
  <c r="D258" i="1"/>
  <c r="D257" i="1"/>
  <c r="D256" i="1"/>
  <c r="A311" i="1"/>
  <c r="A312" i="1" s="1"/>
  <c r="A313" i="1" s="1"/>
  <c r="A314" i="1" s="1"/>
  <c r="A305" i="1"/>
  <c r="A306" i="1" s="1"/>
  <c r="A307" i="1" s="1"/>
  <c r="A308" i="1" s="1"/>
  <c r="A299" i="1"/>
  <c r="A300" i="1" s="1"/>
  <c r="A301" i="1" s="1"/>
  <c r="A302" i="1" s="1"/>
  <c r="A293" i="1"/>
  <c r="A294" i="1" s="1"/>
  <c r="A295" i="1" s="1"/>
  <c r="A296" i="1" s="1"/>
  <c r="A289" i="1"/>
  <c r="A290" i="1" s="1"/>
  <c r="A284" i="1"/>
  <c r="A285" i="1" s="1"/>
  <c r="A286" i="1" s="1"/>
  <c r="A287" i="1" s="1"/>
  <c r="A280" i="1"/>
  <c r="A281" i="1" s="1"/>
  <c r="A275" i="1"/>
  <c r="A276" i="1" s="1"/>
  <c r="A277" i="1" s="1"/>
  <c r="A278" i="1" s="1"/>
  <c r="A271" i="1"/>
  <c r="A272" i="1" s="1"/>
  <c r="A266" i="1"/>
  <c r="A267" i="1" s="1"/>
  <c r="A268" i="1" s="1"/>
  <c r="A269" i="1" s="1"/>
  <c r="A262" i="1"/>
  <c r="A263" i="1" s="1"/>
  <c r="A257" i="1"/>
  <c r="A258" i="1" s="1"/>
  <c r="A259" i="1" s="1"/>
  <c r="A260" i="1" s="1"/>
  <c r="F314" i="1" l="1"/>
  <c r="H314" i="1" s="1"/>
  <c r="F265" i="1"/>
  <c r="H265" i="1" s="1"/>
  <c r="F269" i="1"/>
  <c r="H269" i="1" s="1"/>
  <c r="F307" i="1"/>
  <c r="H307" i="1" s="1"/>
  <c r="F299" i="1"/>
  <c r="H299" i="1" s="1"/>
  <c r="F267" i="1"/>
  <c r="H267" i="1" s="1"/>
  <c r="F274" i="1"/>
  <c r="H274" i="1" s="1"/>
  <c r="F279" i="1"/>
  <c r="H279" i="1" s="1"/>
  <c r="F280" i="1"/>
  <c r="H280" i="1" s="1"/>
  <c r="F296" i="1"/>
  <c r="H296" i="1" s="1"/>
  <c r="F305" i="1"/>
  <c r="H305" i="1" s="1"/>
  <c r="F262" i="1"/>
  <c r="H262" i="1" s="1"/>
  <c r="C109" i="1"/>
  <c r="F312" i="1"/>
  <c r="H312" i="1" s="1"/>
  <c r="F257" i="1"/>
  <c r="H257" i="1" s="1"/>
  <c r="F310" i="1"/>
  <c r="H310" i="1" s="1"/>
  <c r="H326" i="1"/>
  <c r="G110" i="1" s="1"/>
  <c r="E110" i="1"/>
  <c r="F258" i="1"/>
  <c r="H258" i="1" s="1"/>
  <c r="F281" i="1"/>
  <c r="H281" i="1" s="1"/>
  <c r="F294" i="1"/>
  <c r="H294" i="1" s="1"/>
  <c r="F308" i="1"/>
  <c r="H308" i="1" s="1"/>
  <c r="F300" i="1"/>
  <c r="H300" i="1" s="1"/>
  <c r="F271" i="1"/>
  <c r="H271" i="1" s="1"/>
  <c r="F306" i="1"/>
  <c r="H306" i="1" s="1"/>
  <c r="F284" i="1"/>
  <c r="H284" i="1" s="1"/>
  <c r="F290" i="1"/>
  <c r="H290" i="1" s="1"/>
  <c r="F278" i="1"/>
  <c r="H278" i="1" s="1"/>
  <c r="F289" i="1"/>
  <c r="H289" i="1" s="1"/>
  <c r="F304" i="1"/>
  <c r="H304" i="1" s="1"/>
  <c r="F287" i="1"/>
  <c r="H287" i="1" s="1"/>
  <c r="F270" i="1"/>
  <c r="H270" i="1" s="1"/>
  <c r="F276" i="1"/>
  <c r="H276" i="1" s="1"/>
  <c r="F285" i="1"/>
  <c r="H285" i="1" s="1"/>
  <c r="F301" i="1"/>
  <c r="H301" i="1" s="1"/>
  <c r="F298" i="1"/>
  <c r="H298" i="1" s="1"/>
  <c r="F302" i="1"/>
  <c r="H302" i="1" s="1"/>
  <c r="F292" i="1"/>
  <c r="H292" i="1" s="1"/>
  <c r="F266" i="1"/>
  <c r="H266" i="1" s="1"/>
  <c r="F293" i="1"/>
  <c r="H293" i="1" s="1"/>
  <c r="F311" i="1"/>
  <c r="H311" i="1" s="1"/>
  <c r="F268" i="1"/>
  <c r="H268" i="1" s="1"/>
  <c r="F272" i="1"/>
  <c r="H272" i="1" s="1"/>
  <c r="F277" i="1"/>
  <c r="H277" i="1" s="1"/>
  <c r="F295" i="1"/>
  <c r="H295" i="1" s="1"/>
  <c r="F313" i="1"/>
  <c r="H313" i="1" s="1"/>
  <c r="F256" i="1"/>
  <c r="F259" i="1"/>
  <c r="H259" i="1" s="1"/>
  <c r="F261" i="1"/>
  <c r="H261" i="1" s="1"/>
  <c r="F260" i="1"/>
  <c r="H260" i="1" s="1"/>
  <c r="F263" i="1"/>
  <c r="H263" i="1" s="1"/>
  <c r="E222" i="1"/>
  <c r="E221" i="1"/>
  <c r="E220" i="1"/>
  <c r="E219" i="1"/>
  <c r="E218" i="1"/>
  <c r="E217" i="1"/>
  <c r="E216" i="1"/>
  <c r="E215" i="1"/>
  <c r="E214" i="1"/>
  <c r="E213" i="1"/>
  <c r="D222" i="1"/>
  <c r="D221" i="1"/>
  <c r="D220" i="1"/>
  <c r="D219" i="1"/>
  <c r="D218" i="1"/>
  <c r="D217" i="1"/>
  <c r="D216" i="1"/>
  <c r="D215" i="1"/>
  <c r="D214" i="1"/>
  <c r="D213" i="1"/>
  <c r="A219" i="1"/>
  <c r="A220" i="1" s="1"/>
  <c r="A221" i="1" s="1"/>
  <c r="A222" i="1" s="1"/>
  <c r="A214" i="1"/>
  <c r="A215" i="1" s="1"/>
  <c r="A216" i="1" s="1"/>
  <c r="A217" i="1" s="1"/>
  <c r="E211" i="1"/>
  <c r="E210" i="1"/>
  <c r="E209" i="1"/>
  <c r="E208" i="1"/>
  <c r="E207" i="1"/>
  <c r="E206" i="1"/>
  <c r="E205" i="1"/>
  <c r="E204" i="1"/>
  <c r="E203" i="1"/>
  <c r="E202" i="1"/>
  <c r="D211" i="1"/>
  <c r="D210" i="1"/>
  <c r="D209" i="1"/>
  <c r="D208" i="1"/>
  <c r="D207" i="1"/>
  <c r="D206" i="1"/>
  <c r="D205" i="1"/>
  <c r="D204" i="1"/>
  <c r="D203" i="1"/>
  <c r="D202" i="1"/>
  <c r="A208" i="1"/>
  <c r="A209" i="1" s="1"/>
  <c r="A210" i="1" s="1"/>
  <c r="A211" i="1" s="1"/>
  <c r="A203" i="1"/>
  <c r="A204" i="1" s="1"/>
  <c r="A205" i="1" s="1"/>
  <c r="A206" i="1" s="1"/>
  <c r="D168" i="1"/>
  <c r="D167" i="1"/>
  <c r="D166" i="1"/>
  <c r="D165" i="1"/>
  <c r="D164" i="1"/>
  <c r="F164" i="1" s="1"/>
  <c r="H164" i="1" s="1"/>
  <c r="D163" i="1"/>
  <c r="D162" i="1"/>
  <c r="D161" i="1"/>
  <c r="A165" i="1"/>
  <c r="A166" i="1" s="1"/>
  <c r="A167" i="1" s="1"/>
  <c r="A168" i="1" s="1"/>
  <c r="A160" i="1"/>
  <c r="A161" i="1" s="1"/>
  <c r="A162" i="1" s="1"/>
  <c r="A163" i="1" s="1"/>
  <c r="D157" i="1"/>
  <c r="D156" i="1"/>
  <c r="D155" i="1"/>
  <c r="D154" i="1"/>
  <c r="D153" i="1"/>
  <c r="D152" i="1"/>
  <c r="D151" i="1"/>
  <c r="D150" i="1"/>
  <c r="D149" i="1"/>
  <c r="D148" i="1"/>
  <c r="H256" i="1" l="1"/>
  <c r="G109" i="1" s="1"/>
  <c r="E109" i="1"/>
  <c r="C107" i="1"/>
  <c r="C108" i="1"/>
  <c r="F220" i="1"/>
  <c r="H220" i="1" s="1"/>
  <c r="F216" i="1"/>
  <c r="H216" i="1" s="1"/>
  <c r="F217" i="1"/>
  <c r="H217" i="1" s="1"/>
  <c r="F218" i="1"/>
  <c r="H218" i="1" s="1"/>
  <c r="F221" i="1"/>
  <c r="H221" i="1" s="1"/>
  <c r="F208" i="1"/>
  <c r="H208" i="1" s="1"/>
  <c r="F209" i="1"/>
  <c r="H209" i="1" s="1"/>
  <c r="F213" i="1"/>
  <c r="H213" i="1" s="1"/>
  <c r="F222" i="1"/>
  <c r="H222" i="1" s="1"/>
  <c r="F211" i="1"/>
  <c r="H211" i="1" s="1"/>
  <c r="F152" i="1"/>
  <c r="H152" i="1" s="1"/>
  <c r="F214" i="1"/>
  <c r="H214" i="1" s="1"/>
  <c r="F215" i="1"/>
  <c r="H215" i="1" s="1"/>
  <c r="F219" i="1"/>
  <c r="H219" i="1" s="1"/>
  <c r="F210" i="1"/>
  <c r="H210" i="1" s="1"/>
  <c r="F207" i="1"/>
  <c r="H207" i="1" s="1"/>
  <c r="C111" i="1" l="1"/>
  <c r="G51" i="1"/>
  <c r="G52" i="1" s="1"/>
  <c r="E43"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I42" i="7"/>
  <c r="H42" i="7" s="1"/>
  <c r="L42" i="7"/>
  <c r="K42" i="7" s="1"/>
  <c r="D44" i="7" l="1"/>
  <c r="E44" i="7"/>
  <c r="E31" i="1"/>
  <c r="B404" i="1" l="1"/>
  <c r="F130" i="1" l="1"/>
  <c r="H130" i="1" s="1"/>
  <c r="F131" i="1"/>
  <c r="H131" i="1" s="1"/>
  <c r="F132" i="1"/>
  <c r="H132" i="1" s="1"/>
  <c r="F129" i="1"/>
  <c r="H129" i="1" s="1"/>
  <c r="S33" i="1" l="1"/>
  <c r="F11" i="5" l="1"/>
  <c r="G11" i="5" s="1"/>
  <c r="F10" i="5"/>
  <c r="G10" i="5" s="1"/>
  <c r="F9" i="5"/>
  <c r="G9" i="5" s="1"/>
  <c r="F8" i="5"/>
  <c r="G8" i="5" s="1"/>
  <c r="F7" i="5"/>
  <c r="G7" i="5" s="1"/>
  <c r="F6" i="5"/>
  <c r="G6" i="5" s="1"/>
  <c r="F5" i="5"/>
  <c r="G5" i="5" s="1"/>
  <c r="G12" i="5" s="1"/>
  <c r="D429" i="1"/>
  <c r="B405" i="1"/>
  <c r="F206" i="1"/>
  <c r="H206" i="1" s="1"/>
  <c r="F205" i="1"/>
  <c r="H205" i="1" s="1"/>
  <c r="F204" i="1"/>
  <c r="H204" i="1" s="1"/>
  <c r="F203" i="1"/>
  <c r="H203" i="1" s="1"/>
  <c r="F202" i="1"/>
  <c r="F168" i="1"/>
  <c r="H168" i="1" s="1"/>
  <c r="F167" i="1"/>
  <c r="H167" i="1" s="1"/>
  <c r="F166" i="1"/>
  <c r="H166" i="1" s="1"/>
  <c r="F165" i="1"/>
  <c r="H165" i="1" s="1"/>
  <c r="F163" i="1"/>
  <c r="H163" i="1" s="1"/>
  <c r="F162" i="1"/>
  <c r="H162" i="1" s="1"/>
  <c r="F161" i="1"/>
  <c r="H161" i="1" s="1"/>
  <c r="F157" i="1"/>
  <c r="H157" i="1" s="1"/>
  <c r="F156" i="1"/>
  <c r="H156" i="1" s="1"/>
  <c r="F155" i="1"/>
  <c r="H155" i="1" s="1"/>
  <c r="F154" i="1"/>
  <c r="H154" i="1" s="1"/>
  <c r="F153" i="1"/>
  <c r="H153" i="1" s="1"/>
  <c r="A154" i="1"/>
  <c r="A155" i="1" s="1"/>
  <c r="A156" i="1" s="1"/>
  <c r="A157" i="1" s="1"/>
  <c r="F151" i="1"/>
  <c r="H151" i="1" s="1"/>
  <c r="F150" i="1"/>
  <c r="H150" i="1" s="1"/>
  <c r="F149" i="1"/>
  <c r="H149" i="1" s="1"/>
  <c r="A149" i="1"/>
  <c r="A150" i="1" s="1"/>
  <c r="A151" i="1" s="1"/>
  <c r="A152" i="1" s="1"/>
  <c r="F148" i="1"/>
  <c r="A130" i="1"/>
  <c r="A131" i="1" s="1"/>
  <c r="A132" i="1" s="1"/>
  <c r="F99" i="1"/>
  <c r="D67" i="1"/>
  <c r="D62" i="1"/>
  <c r="C51" i="1"/>
  <c r="E44" i="1"/>
  <c r="E45" i="1" s="1"/>
  <c r="E28" i="1"/>
  <c r="E26" i="1"/>
  <c r="C16" i="1"/>
  <c r="I15" i="1"/>
  <c r="Z13" i="1"/>
  <c r="E8" i="1"/>
  <c r="E3" i="1"/>
  <c r="H74" i="1"/>
  <c r="E108" i="1" l="1"/>
  <c r="E107" i="1"/>
  <c r="H148" i="1"/>
  <c r="G107" i="1" s="1"/>
  <c r="H202" i="1"/>
  <c r="G108" i="1" s="1"/>
  <c r="J73" i="1"/>
  <c r="J75" i="1" s="1"/>
  <c r="J76" i="1"/>
  <c r="J77" i="1"/>
  <c r="J78" i="1"/>
  <c r="C77" i="1" s="1"/>
  <c r="D81" i="1"/>
  <c r="D83" i="1"/>
  <c r="D82" i="1"/>
  <c r="D86" i="1"/>
  <c r="D80" i="1"/>
  <c r="D85" i="1"/>
  <c r="D79" i="1"/>
  <c r="D84" i="1"/>
  <c r="B74" i="1"/>
  <c r="J79" i="1" s="1"/>
  <c r="C78" i="1" s="1"/>
  <c r="E111" i="1" l="1"/>
  <c r="E112" i="1" s="1"/>
  <c r="G111" i="1"/>
  <c r="G112" i="1" s="1"/>
  <c r="C112" i="1"/>
  <c r="D77" i="1"/>
  <c r="J83" i="1"/>
  <c r="J80" i="1"/>
  <c r="J85" i="1" s="1"/>
  <c r="J84" i="1"/>
  <c r="J81" i="1" l="1"/>
  <c r="J82" i="1" s="1"/>
  <c r="J86" i="1" l="1"/>
  <c r="G77" i="1" l="1"/>
  <c r="D71" i="1" s="1"/>
  <c r="J74" i="1"/>
  <c r="E77" i="1"/>
  <c r="D78" i="1"/>
  <c r="I74" i="1" s="1"/>
  <c r="I75" i="1" s="1"/>
  <c r="F72" i="1" l="1"/>
  <c r="D72" i="1"/>
  <c r="I73" i="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5"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<sst xmlns="http://schemas.openxmlformats.org/spreadsheetml/2006/main" count="866" uniqueCount="429">
  <si>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</si>
  <si>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</si>
  <si>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</si>
  <si>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</si>
  <si>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</si>
  <si>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</si>
  <si>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</si>
  <si>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</si>
  <si>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</si>
  <si>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</si>
  <si>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</si>
  <si>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</si>
  <si>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</si>
  <si>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</si>
  <si>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</si>
  <si>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</si>
  <si>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</si>
  <si>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</si>
  <si>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</si>
  <si>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</si>
  <si>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</si>
  <si>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</si>
  <si>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</si>
  <si>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</si>
  <si>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</si>
  <si>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</si>
  <si>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</si>
  <si>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</si>
  <si>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</si>
  <si>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</si>
  <si>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</si>
  <si>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</si>
  <si>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</si>
  <si>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</si>
  <si>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</si>
  <si>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</si>
  <si>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</si>
  <si>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</si>
  <si>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</si>
  <si>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</si>
  <si>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</si>
  <si>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</si>
  <si>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</si>
  <si>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</si>
  <si>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</si>
  <si>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</si>
  <si>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</si>
  <si>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</si>
  <si>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</si>
  <si>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</si>
  <si>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</si>
  <si>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</si>
  <si>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</si>
  <si>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</si>
  <si>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</si>
  <si>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</si>
  <si>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</si>
  <si>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</si>
  <si>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</si>
  <si>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</si>
  <si>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</si>
  <si>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</si>
  <si>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</si>
  <si>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</si>
  <si>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</si>
  <si>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</si>
  <si>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</si>
  <si>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</si>
  <si>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</si>
  <si>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</si>
  <si>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</si>
  <si>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</si>
  <si>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</si>
  <si>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</si>
  <si>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</si>
  <si>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</si>
  <si>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</si>
  <si>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</si>
  <si>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</si>
  <si>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</si>
  <si>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</si>
  <si>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</si>
  <si>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</si>
  <si>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</si>
  <si>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</si>
  <si>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</si>
  <si>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</si>
  <si>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</si>
  <si>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</si>
  <si>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</si>
  <si>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</si>
  <si>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</si>
  <si>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</si>
  <si>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</si>
  <si>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</si>
  <si>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</si>
  <si>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</si>
  <si>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</si>
  <si>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</si>
  <si>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</si>
  <si>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</si>
  <si>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</si>
  <si>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</si>
  <si>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</si>
  <si>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</si>
  <si>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</si>
  <si>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</si>
  <si>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</si>
  <si>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</si>
  <si>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</si>
  <si>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</si>
  <si>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</si>
  <si>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</si>
  <si>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</si>
  <si>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</si>
  <si>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</si>
  <si>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</si>
  <si>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</si>
  <si>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</si>
  <si>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</si>
  <si>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</si>
  <si>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</si>
  <si>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</si>
  <si>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</si>
  <si>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</si>
  <si>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</si>
  <si>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</si>
  <si>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</si>
  <si>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</si>
  <si>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</si>
  <si>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</si>
  <si>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</si>
  <si>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</si>
  <si>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</si>
  <si>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</si>
  <si>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</si>
  <si>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</si>
  <si>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</si>
  <si>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</si>
  <si>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</si>
  <si>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</si>
  <si>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</si>
  <si>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</si>
  <si>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</si>
  <si>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</si>
  <si>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</si>
  <si>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</si>
  <si>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</si>
  <si>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</si>
  <si>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</si>
  <si>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</si>
  <si>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</si>
  <si>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</si>
  <si>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</si>
  <si>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</si>
  <si>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</si>
  <si>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</si>
  <si>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</si>
  <si>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</si>
  <si>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</si>
  <si>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</si>
  <si>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</si>
  <si>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</si>
  <si>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</si>
  <si>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</si>
  <si>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</si>
  <si>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</si>
  <si>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</si>
  <si>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</si>
  <si>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</si>
  <si>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</si>
  <si>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</si>
  <si>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</si>
  <si>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</si>
  <si>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</si>
  <si>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</si>
  <si>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</si>
  <si>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</si>
  <si>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</si>
  <si>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</si>
  <si>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</si>
  <si>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</si>
  <si>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</si>
  <si>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</si>
  <si>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</si>
  <si>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</si>
  <si>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</si>
  <si>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</si>
  <si>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</si>
  <si>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</si>
  <si>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</si>
  <si>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</si>
  <si>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</si>
  <si>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</si>
  <si>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</si>
  <si>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</si>
  <si>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</si>
  <si>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</si>
  <si>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</si>
  <si>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</si>
  <si>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</si>
  <si>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</si>
  <si>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</si>
  <si>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</si>
  <si>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</si>
  <si>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</si>
  <si>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</si>
  <si>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</si>
  <si>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</si>
  <si>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</si>
  <si>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</si>
  <si>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</si>
  <si>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</si>
  <si>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</si>
  <si>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</si>
  <si>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</si>
  <si>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</si>
  <si>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</si>
  <si>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</si>
  <si>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</si>
  <si>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</si>
  <si>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</si>
  <si>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</si>
  <si>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</si>
  <si>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</si>
  <si>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</si>
  <si>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</si>
  <si>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</si>
  <si>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</si>
  <si>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</si>
  <si>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</si>
  <si>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</si>
  <si>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</si>
  <si>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</si>
  <si>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</si>
  <si>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</si>
  <si>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</si>
  <si>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</si>
  <si>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</si>
  <si>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</si>
  <si>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</si>
  <si>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</si>
  <si>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</si>
  <si>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</si>
  <si>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</si>
  <si>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</si>
  <si>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</si>
  <si>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</si>
  <si>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</si>
  <si>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</si>
  <si>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</si>
  <si>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</si>
  <si>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</si>
  <si>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</si>
  <si>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</si>
  <si>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</si>
  <si>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</si>
  <si>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</si>
  <si>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</si>
  <si>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</si>
  <si>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</si>
  <si>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</si>
  <si>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</si>
  <si>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</si>
  <si>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</si>
  <si>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</si>
  <si>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</si>
  <si>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</si>
  <si>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</si>
  <si>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</si>
  <si>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</si>
  <si>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</si>
  <si>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</si>
  <si>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</si>
  <si>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</si>
  <si>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</si>
  <si>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</si>
  <si>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</si>
  <si>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</si>
  <si>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</si>
  <si>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</si>
  <si>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</si>
  <si>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</si>
  <si>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</si>
  <si>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</si>
  <si>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</si>
  <si>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</si>
  <si>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</si>
  <si>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</si>
  <si>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</si>
  <si>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</si>
  <si>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</si>
  <si>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</si>
  <si>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</si>
  <si>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</si>
  <si>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</si>
  <si>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</si>
  <si>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</si>
  <si>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</si>
  <si>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</si>
  <si>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</si>
  <si>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</si>
  <si>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</si>
  <si>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</si>
  <si>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</si>
  <si>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</si>
  <si>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</si>
  <si>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</si>
  <si>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</si>
  <si>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</si>
  <si>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</si>
  <si>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</si>
  <si>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</si>
  <si>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</si>
  <si>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</si>
  <si>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</si>
  <si>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</si>
  <si>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</si>
  <si>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</si>
  <si>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</si>
  <si>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</si>
  <si>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</si>
  <si>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</si>
  <si>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</si>
  <si>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</si>
  <si>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</si>
  <si>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</si>
  <si>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</si>
  <si>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</si>
  <si>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As the project is redevelopment project but rehab statement or rehab flats is not mentioned approved layout plan &amp; floor plan.
</t>
  </si>
  <si>
    <t xml:space="preserve">JP Infra Realty Private Limited </t>
  </si>
  <si>
    <t>Codename StarLife</t>
  </si>
  <si>
    <t>P51700054275</t>
  </si>
  <si>
    <t>Survey No</t>
  </si>
  <si>
    <t>111/1/2(Pt), 111/2(Pt), 111/5(Pt), 111/8/3, 111/8/4, 119/1(Pt), 119/2(Pt), 119/3(Pt), 119/4(Pt), 124/1(Pt), 124/2, 124/3(Pt), 118/4(Pt, 118/5(Pt), 118/7(Pt), 125/1(Pt), 125/2(Pt)</t>
  </si>
  <si>
    <t>Apna Ghar</t>
  </si>
  <si>
    <t>4.0 KM from Mira Road Railway Station</t>
  </si>
  <si>
    <t>Mira Road East</t>
  </si>
  <si>
    <t>Ghodbunder</t>
  </si>
  <si>
    <t>19.279917,72.886556</t>
  </si>
  <si>
    <t>https://maps.app.goo.gl/USCApJpAec9bP47k6</t>
  </si>
  <si>
    <t>Other Plot</t>
  </si>
  <si>
    <t>Sub Plot A</t>
  </si>
  <si>
    <t>18.00 Mtr. Existing D.P Road</t>
  </si>
  <si>
    <t>Mira Bhayander Link Road
(JP North Road)</t>
  </si>
  <si>
    <t>Apna Ghar Phase 2</t>
  </si>
  <si>
    <t>Building</t>
  </si>
  <si>
    <t>MBMC/FIRE/1400/2022-23</t>
  </si>
  <si>
    <t>Building No.7 = 3B + LW Gr + UP Gr + 1st to 4th Floor Shopping Mall/Comm + 5th (Part Residential &amp; Amenity) + 6th to 45th Floor
Total Height = 150 Meter</t>
  </si>
  <si>
    <t>SIA/MH/MIS/78324/2022</t>
  </si>
  <si>
    <t>JUHU/WEST/B/082922/695412</t>
  </si>
  <si>
    <t>Valid Upto date</t>
  </si>
  <si>
    <t>Site Elevation AMSL = 5.9M
Permissible Top Elevation above AMSL = 143.54M (Restricted)</t>
  </si>
  <si>
    <t>Banquet Hall, Banquet Lawn, Guest Room, Gymnasium, Indoor Games Room, Jogging Track, Kids Play Area, Kids Pool Kids Pool, Multipurpose Court, Swimming Pool, Toddler's Play Area, Yoga Room, Library etc.</t>
  </si>
  <si>
    <r>
      <t xml:space="preserve">Proposed Amenities :                                                                                                                                                                                                                         </t>
    </r>
    <r>
      <rPr>
        <b/>
        <sz val="12"/>
        <rFont val="Times New Roman"/>
        <family val="1"/>
      </rPr>
      <t xml:space="preserve">                                               </t>
    </r>
  </si>
  <si>
    <t>https://jpinfra.com/codenamestarlife/?utm_source=Google&amp;utm_medium=Search&amp;utm_campaign=FE137_Search_Brand_Karan_Johar_Codename_Starlife_LeadGen27022024&amp;utm_term=cpc&amp;utm_content=AG-01-AD-01&amp;gad_source=1&amp;gclid=Cj0KCQjwlZixBhCoARIsAIC745CD1Mri3BSTXLt07pEZqVx1YqYm81U_cVulB6ES_HX3QAjMqrHsXSsaAoRNEALw_wcB</t>
  </si>
  <si>
    <t>As per RERA - 31/12/2031</t>
  </si>
  <si>
    <t>Building Details Floor Wise</t>
  </si>
  <si>
    <t>We considered Gross carpet area = Net carpet + A.P Area.</t>
  </si>
  <si>
    <t>Building No.7</t>
  </si>
  <si>
    <t>Mira Bhayander Link Road (JP North Road)</t>
  </si>
  <si>
    <t>Wing C</t>
  </si>
  <si>
    <t>3rd &amp; 2nd Basement Floor For Pump Room &amp; Parking</t>
  </si>
  <si>
    <t>1st Basement Floor For Pump Room, Fire Tank &amp; Parking</t>
  </si>
  <si>
    <t>Ground Floor (Mall) For Commercial, AHU, Meter Room  &amp; (Part Anchor Area)</t>
  </si>
  <si>
    <t>4th/ Mezzanine Floor (Mall) For Meter Room, Driver's Room, Cinema Service/BOH Area</t>
  </si>
  <si>
    <t xml:space="preserve"> Building No.7 </t>
  </si>
  <si>
    <t xml:space="preserve"> Wing A1</t>
  </si>
  <si>
    <t>7th to 10th, 12th to 15th, 17th to 20th, 22nd to 25th, 27th to 30th, 32nd to 35th, 37th &amp; 38th Floor For Residential</t>
  </si>
  <si>
    <t>AP Area</t>
  </si>
  <si>
    <t>2BHK</t>
  </si>
  <si>
    <t>1BHK</t>
  </si>
  <si>
    <t>3BHK</t>
  </si>
  <si>
    <t>2.5BHK</t>
  </si>
  <si>
    <t>11th, 16th, 21st, 26th, 31st &amp; 36th Floor (Part Refuge Area)</t>
  </si>
  <si>
    <t>Refuge Area</t>
  </si>
  <si>
    <t>Wing A2</t>
  </si>
  <si>
    <t>11th, 16th, 21st, 26th, 31st &amp; 36th Floor</t>
  </si>
  <si>
    <t>Wing A1</t>
  </si>
  <si>
    <t>JP North Garden - Alexa</t>
  </si>
  <si>
    <t>Wing C is shopping mall as per RERA and Approved Floor Plan. Therefore we have not considered it in APF Report.</t>
  </si>
  <si>
    <t>Building No.7 (Wing A1, A2, B1, B2, C)</t>
  </si>
  <si>
    <t>Lower Ground Floor For (Mall) For Part Anchor &amp; Commercial Area</t>
  </si>
  <si>
    <t>MBMNP/NR/1585/2024-2025</t>
  </si>
  <si>
    <t>MNP/NR/1585/2024-2025</t>
  </si>
  <si>
    <t>04/01/2023.</t>
  </si>
  <si>
    <t>30/09/2022.</t>
  </si>
  <si>
    <t>14/10/2022.</t>
  </si>
  <si>
    <t>13/10/2030.</t>
  </si>
  <si>
    <t xml:space="preserve"> Wing B1</t>
  </si>
  <si>
    <t>7th to 10th, 12th to 15th, 17th to 20th Floor For Residential</t>
  </si>
  <si>
    <t>11th &amp; 16th Floor (Part Refuge Area)</t>
  </si>
  <si>
    <t>21st &amp; 26th Floor (Part Refuge Area)</t>
  </si>
  <si>
    <t>31st Floor (Part Refuge Area)</t>
  </si>
  <si>
    <t>32nd Floor</t>
  </si>
  <si>
    <t>33rd to 35th, 37th to 40th, 42nd to 45th Floor</t>
  </si>
  <si>
    <t>22nd to 25th &amp; 27th to 30th Floor</t>
  </si>
  <si>
    <t xml:space="preserve"> Wing B2</t>
  </si>
  <si>
    <t>36th &amp; 41st Floor (Part Refuge Area)</t>
  </si>
  <si>
    <t>39th, 40th, 42nd to 45th Floor</t>
  </si>
  <si>
    <t>41st Floor (Part Refuge Area)</t>
  </si>
  <si>
    <t>Wing B1</t>
  </si>
  <si>
    <t>Wing B2</t>
  </si>
  <si>
    <t>Flats - 1371</t>
  </si>
  <si>
    <t>01 Building (5 Wings)</t>
  </si>
  <si>
    <t>5th Service Floor For A.H.U, Store Room, Back Office &amp; Service Area</t>
  </si>
  <si>
    <t xml:space="preserve">3rd Floor (Mall) For Commercial, Food Court Seating, Cinema Service &amp; Meter Room  </t>
  </si>
  <si>
    <t>2nd Floor (Mall) For Commercial, Cafe, Meter Room &amp; (Part Anchor Area)</t>
  </si>
  <si>
    <t>1st Floor (Mall) For Commercial, Meter Room &amp; (Part Anchor Area)</t>
  </si>
  <si>
    <t>Building No.7 =  3B + LW Gr + Gr + 1st to 3rd +  4th/Mezz. + 5th Ser. + 6th (Amenity) + 7th to 45th Floor</t>
  </si>
  <si>
    <t>6th Recreational Floor or Fitness Center, Swimming Pool, Café, Library, Senior Citizen Zone,
Indoor Game, Buiseness Center, Kids Pool &amp; Society Office</t>
  </si>
  <si>
    <t>Survey no. 20/8(pt),21/2A(pt.), 21/2B(pt.), 22/1B, 22/1C, 22/2,22/3, 22/5, 24/3, 25/1, 26/5, 26/8(pt.), 26/9, 110/1(pt.), 110/2(pt.), 110/3, 111/1/2(pt.), 111/2(pt.), 111/5(pt.), 111/8/3(pt.), 111/8/4(pt.), 112/2(pt.), 113/1, 113/2, 114/1, 114/3, 114/4, 114/6, 116/1, 116/2A(pt), 116/3, 116/4, 116/5, 116/6, 116/7, 116/8, 116/9, 117/1, 117/3, 117/4, 117/5, 117/6, 118/2, 118/3, 118/4, 118/5, 118/7, 118/8, 119/1(pt.), 119/2(pt.), 119/3(pt)
Proposed Builtup Area = 875604.58 Sq.M
Proposed No. of Floor =
Building No.7 = 4B + LW Gr + UP Gr + 1st to 5th  Mall + 6th Service + 7th &amp; 8th (Pt.)Podium/Res. &amp; Office) + 9th Floor Res. &amp; Amenity (Pt.) + 10th to 44th Res. Floor</t>
  </si>
  <si>
    <t>Carpet area table on pg no.16</t>
  </si>
  <si>
    <t>Carpet area table on pg no.17</t>
  </si>
  <si>
    <t>6th Recreational Floor or Fitness Center, Swimming Pool, Café, Library, Senior Citizen Zone,Indoor Game, Buiseness Center, Kids Pool &amp; Society Office</t>
  </si>
  <si>
    <t>41st Floor</t>
  </si>
  <si>
    <t>11th &amp; 16th Floor</t>
  </si>
  <si>
    <t>31st Floor</t>
  </si>
  <si>
    <r>
      <rPr>
        <b/>
        <sz val="12"/>
        <color indexed="8"/>
        <rFont val="Times New Roman"/>
        <family val="1"/>
      </rPr>
      <t xml:space="preserve">Building No.7 </t>
    </r>
    <r>
      <rPr>
        <sz val="12"/>
        <color indexed="8"/>
        <rFont val="Times New Roman"/>
        <family val="1"/>
      </rPr>
      <t xml:space="preserve">= 3B + LW Gr + Gr + 1st to 4th Shopping Mall/Comm. + 5th Service + 6th (Recreational Floor) (Wing A1, A2, B1, B2) RG Club House, Meditation center + 7th to 45th Floor (Wing A1, A2, B1, B2) 
</t>
    </r>
    <r>
      <rPr>
        <b/>
        <sz val="12"/>
        <color indexed="8"/>
        <rFont val="Times New Roman"/>
        <family val="1"/>
      </rPr>
      <t>Wing A1 &amp; A2</t>
    </r>
    <r>
      <rPr>
        <sz val="12"/>
        <color indexed="8"/>
        <rFont val="Times New Roman"/>
        <family val="1"/>
      </rPr>
      <t xml:space="preserve"> = 3B +  Gr + 1st to 5th Floor (Service) + 6th Floor (Recreational Floor) + 7th to 45th Floor
</t>
    </r>
    <r>
      <rPr>
        <b/>
        <sz val="12"/>
        <color indexed="8"/>
        <rFont val="Times New Roman"/>
        <family val="1"/>
      </rPr>
      <t xml:space="preserve">Wing B1 &amp; B2 </t>
    </r>
    <r>
      <rPr>
        <sz val="12"/>
        <color indexed="8"/>
        <rFont val="Times New Roman"/>
        <family val="1"/>
      </rPr>
      <t xml:space="preserve">= 3B +  Gr + 1st to 5th Floor (Service) + 6th Floor (Recreational Floor) + 7th to 45th Floor
</t>
    </r>
    <r>
      <rPr>
        <b/>
        <sz val="12"/>
        <color indexed="8"/>
        <rFont val="Times New Roman"/>
        <family val="1"/>
      </rPr>
      <t>Wing C</t>
    </r>
    <r>
      <rPr>
        <sz val="12"/>
        <color indexed="8"/>
        <rFont val="Times New Roman"/>
        <family val="1"/>
      </rPr>
      <t xml:space="preserve"> =  3B + LW Gr + Gr + 1st to 4A Shopping Mall/Comm. + 5th Service Floor</t>
    </r>
  </si>
  <si>
    <r>
      <rPr>
        <b/>
        <sz val="12"/>
        <rFont val="Times New Roman"/>
        <family val="1"/>
      </rPr>
      <t>Building No.7 (Wing A1 &amp; A2)</t>
    </r>
    <r>
      <rPr>
        <sz val="12"/>
        <rFont val="Times New Roman"/>
        <family val="1"/>
      </rPr>
      <t xml:space="preserve"> =3B + Gr + 1st to 6th + 7th to 45th Floor
</t>
    </r>
    <r>
      <rPr>
        <b/>
        <sz val="12"/>
        <rFont val="Times New Roman"/>
        <family val="1"/>
      </rPr>
      <t xml:space="preserve">Building No.7 (Wing B1 &amp; B2) </t>
    </r>
    <r>
      <rPr>
        <sz val="12"/>
        <rFont val="Times New Roman"/>
        <family val="1"/>
      </rPr>
      <t xml:space="preserve">=3B + Gr + 1st to 6th + 7th to 45th Floor
</t>
    </r>
    <r>
      <rPr>
        <b/>
        <sz val="12"/>
        <rFont val="Times New Roman"/>
        <family val="1"/>
      </rPr>
      <t>Building No.7 (Wing C)</t>
    </r>
    <r>
      <rPr>
        <sz val="12"/>
        <rFont val="Times New Roman"/>
        <family val="1"/>
      </rPr>
      <t xml:space="preserve"> =  3B + LW Gr + Gr + 1st to 4A Shopping Mall/Comm. + 5th Service Floor</t>
    </r>
  </si>
  <si>
    <r>
      <rPr>
        <b/>
        <sz val="12"/>
        <rFont val="Times New Roman"/>
        <family val="1"/>
      </rPr>
      <t>Building No.7 (Wing A1 &amp; A2)</t>
    </r>
    <r>
      <rPr>
        <sz val="12"/>
        <rFont val="Times New Roman"/>
        <family val="1"/>
      </rPr>
      <t xml:space="preserve"> = 3B + Gr + 1st to 6th + 7th to 45th Floor
</t>
    </r>
    <r>
      <rPr>
        <b/>
        <sz val="12"/>
        <rFont val="Times New Roman"/>
        <family val="1"/>
      </rPr>
      <t xml:space="preserve">Building No.7 (Wing B1 &amp; B2) </t>
    </r>
    <r>
      <rPr>
        <sz val="12"/>
        <rFont val="Times New Roman"/>
        <family val="1"/>
      </rPr>
      <t xml:space="preserve">= 3B + Gr + 1st to 6th + 7th to 45th Floor
</t>
    </r>
    <r>
      <rPr>
        <b/>
        <sz val="12"/>
        <rFont val="Times New Roman"/>
        <family val="1"/>
      </rPr>
      <t>Building No.7 (Wing C)</t>
    </r>
    <r>
      <rPr>
        <sz val="12"/>
        <rFont val="Times New Roman"/>
        <family val="1"/>
      </rPr>
      <t xml:space="preserve"> =  3B + LW Gr + Gr + 1st to 4A Shopping Mall/Comm. + 5th Service Floor</t>
    </r>
  </si>
  <si>
    <t>Approved Plans, CC, Airport Noc, Fire Noc &amp; EC</t>
  </si>
  <si>
    <t>We have taken latest approved plans &amp; CC from RERA site on 16/09/2024</t>
  </si>
  <si>
    <t>We have updated Revised Approved plans &amp; CC on 10/01/2025</t>
  </si>
  <si>
    <t>Mr. Dipak 8657913801</t>
  </si>
  <si>
    <t>Construction work is the same as last visit (dtd. 05/12/2024), but work is in process at the time of the visit. (Slow Speed)
Excavation work is in process at the time of Visit (labour found) (Slow Speed).
Photos are taken from road.</t>
  </si>
  <si>
    <t>Ranjan Sharma</t>
  </si>
  <si>
    <t xml:space="preserve">Construction Stage is same as last visit dtd.30/03/2025 but work is in process at the time of visit.
</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</si>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</sst>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5" xfId="0" applyFont="1" applyFill="1" applyBorder="1"/>
    <xf numFmtId="0" fontId="26" fillId="0" borderId="26"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0"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applyAlignment="1" applyProtection="1">
      <alignment vertical="top" wrapText="1"/>
      <protection locked="0"/>
    </xf>
    <xf numFmtId="0" fontId="27" fillId="0" borderId="0" xfId="10"/>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6"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1" fontId="12" fillId="0" borderId="1" xfId="0" applyNumberFormat="1" applyFont="1" applyBorder="1" applyAlignment="1">
      <alignment horizontal="center" vertical="center" wrapText="1"/>
    </xf>
    <xf numFmtId="9" fontId="13" fillId="0" borderId="13"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12" fillId="0" borderId="1" xfId="1" applyFont="1" applyBorder="1" applyAlignment="1" applyProtection="1">
      <alignment horizontal="left" vertical="top" wrapText="1"/>
      <protection locked="0"/>
    </xf>
    <xf numFmtId="1" fontId="12" fillId="0" borderId="1" xfId="0" applyNumberFormat="1" applyFont="1" applyBorder="1" applyAlignment="1">
      <alignment horizontal="center" vertical="center"/>
    </xf>
    <xf numFmtId="1" fontId="7" fillId="0" borderId="0" xfId="0" applyNumberFormat="1" applyFont="1" applyAlignment="1">
      <alignment horizontal="center" vertical="center"/>
    </xf>
    <xf numFmtId="1" fontId="12" fillId="0" borderId="1"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1" fontId="6" fillId="0" borderId="14" xfId="0" applyNumberFormat="1" applyFont="1" applyBorder="1" applyAlignment="1">
      <alignment horizontal="center" vertical="center" wrapText="1"/>
    </xf>
    <xf numFmtId="1" fontId="6" fillId="0" borderId="19" xfId="0" applyNumberFormat="1" applyFont="1" applyBorder="1" applyAlignment="1">
      <alignment horizontal="center" vertical="center" wrapText="1"/>
    </xf>
    <xf numFmtId="1" fontId="6" fillId="0" borderId="15" xfId="0" applyNumberFormat="1" applyFont="1" applyBorder="1" applyAlignment="1">
      <alignment horizontal="center" vertical="center" wrapText="1"/>
    </xf>
    <xf numFmtId="1" fontId="6" fillId="0" borderId="16"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18" xfId="1" applyNumberFormat="1" applyFont="1" applyBorder="1" applyAlignment="1" applyProtection="1">
      <alignment horizontal="center" vertical="center" wrapText="1"/>
      <protection locked="0"/>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13" fillId="0" borderId="8" xfId="1" applyNumberFormat="1" applyFont="1" applyBorder="1" applyAlignment="1" applyProtection="1">
      <alignment horizontal="center" vertical="center" wrapText="1"/>
      <protection locked="0"/>
    </xf>
    <xf numFmtId="1" fontId="13" fillId="0" borderId="18"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8" fillId="0" borderId="8"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13" fillId="0" borderId="3" xfId="1" applyNumberFormat="1" applyFont="1" applyBorder="1" applyAlignment="1" applyProtection="1">
      <alignment horizontal="center" vertical="top" wrapText="1"/>
      <protection locked="0"/>
    </xf>
    <xf numFmtId="1" fontId="13" fillId="0" borderId="13" xfId="1" applyNumberFormat="1" applyFont="1" applyBorder="1" applyAlignment="1" applyProtection="1">
      <alignment horizontal="center" vertical="top" wrapText="1"/>
      <protection locked="0"/>
    </xf>
    <xf numFmtId="0" fontId="8" fillId="0" borderId="13"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31"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2"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10" fillId="0" borderId="3" xfId="0" applyNumberFormat="1"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0" fontId="7" fillId="0" borderId="0" xfId="1" applyFont="1" applyAlignment="1">
      <alignment horizontal="center" vertical="center"/>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28" xfId="0" applyNumberFormat="1" applyFont="1" applyBorder="1" applyAlignment="1" applyProtection="1">
      <alignment horizontal="center" vertical="top" wrapText="1"/>
      <protection locked="0"/>
    </xf>
    <xf numFmtId="1" fontId="8" fillId="0" borderId="29" xfId="0" applyNumberFormat="1" applyFont="1" applyBorder="1" applyAlignment="1" applyProtection="1">
      <alignment horizontal="center" vertical="top" wrapText="1"/>
      <protection locked="0"/>
    </xf>
    <xf numFmtId="0" fontId="6" fillId="0" borderId="1" xfId="1" applyFont="1" applyBorder="1" applyAlignment="1" applyProtection="1">
      <alignment vertical="top" wrapText="1"/>
      <protection locked="0"/>
    </xf>
    <xf numFmtId="1" fontId="7" fillId="0" borderId="1" xfId="0" applyNumberFormat="1" applyFont="1" applyBorder="1" applyAlignment="1" applyProtection="1">
      <alignment horizontal="center" vertical="center"/>
      <protection locked="0"/>
    </xf>
    <xf numFmtId="0" fontId="8" fillId="0" borderId="13"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8" xfId="1" applyFont="1" applyBorder="1" applyAlignment="1" applyProtection="1">
      <alignment horizontal="center" vertical="top" wrapText="1"/>
      <protection locked="0"/>
    </xf>
    <xf numFmtId="0" fontId="12" fillId="0" borderId="18"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5"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0" fillId="0" borderId="28" xfId="0"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center" wrapText="1"/>
      <protection locked="0"/>
    </xf>
    <xf numFmtId="9" fontId="12" fillId="0" borderId="15" xfId="8" applyFont="1" applyFill="1" applyBorder="1" applyAlignment="1" applyProtection="1">
      <alignment horizontal="center" vertical="center" wrapText="1"/>
      <protection locked="0"/>
    </xf>
    <xf numFmtId="9" fontId="12" fillId="0" borderId="20"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7" fillId="0" borderId="8" xfId="0" applyNumberFormat="1" applyFont="1" applyBorder="1" applyAlignment="1" applyProtection="1">
      <alignment vertical="top" wrapText="1"/>
      <protection locked="0"/>
    </xf>
    <xf numFmtId="1" fontId="17" fillId="0" borderId="18"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27" xfId="0"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center" wrapText="1"/>
      <protection locked="0"/>
    </xf>
    <xf numFmtId="0" fontId="10" fillId="0" borderId="28" xfId="0" applyFont="1" applyBorder="1" applyAlignment="1" applyProtection="1">
      <alignment horizontal="center" vertical="center"/>
      <protection locked="0"/>
    </xf>
    <xf numFmtId="14" fontId="6"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14" fontId="6" fillId="0" borderId="1" xfId="1" applyNumberFormat="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7" fillId="0" borderId="20"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1" fontId="6" fillId="0" borderId="8"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3" xfId="0" applyNumberFormat="1" applyFont="1" applyBorder="1" applyAlignment="1" applyProtection="1">
      <alignment horizontal="center" vertical="center" wrapText="1"/>
      <protection locked="0"/>
    </xf>
    <xf numFmtId="1" fontId="6" fillId="0" borderId="30" xfId="0" applyNumberFormat="1" applyFont="1" applyBorder="1" applyAlignment="1" applyProtection="1">
      <alignment horizontal="center" vertical="center" wrapText="1"/>
      <protection locked="0"/>
    </xf>
    <xf numFmtId="1" fontId="6" fillId="0" borderId="13"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0</xdr:col>
      <xdr:colOff>521633</xdr:colOff>
      <xdr:row>514</xdr:row>
      <xdr:rowOff>8965</xdr:rowOff>
    </xdr:from>
    <xdr:to>
      <xdr:col>7</xdr:col>
      <xdr:colOff>268941</xdr:colOff>
      <xdr:row>551</xdr:row>
      <xdr:rowOff>175931</xdr:rowOff>
    </xdr:to>
    <xdr:grpSp>
      <xdr:nvGrpSpPr>
        <xdr:cNvPr id="26" name="Group 25">
          <a:extLst>
            <a:ext uri="{FF2B5EF4-FFF2-40B4-BE49-F238E27FC236}">
              <a16:creationId xmlns:a16="http://schemas.microsoft.com/office/drawing/2014/main" id="{5C7B97D9-5E0C-D31E-4128-CC319E62525F}"/>
            </a:ext>
          </a:extLst>
        </xdr:cNvPr>
        <xdr:cNvGrpSpPr/>
      </xdr:nvGrpSpPr>
      <xdr:grpSpPr>
        <a:xfrm>
          <a:off x="521633" y="110292777"/>
          <a:ext cx="5484720" cy="7464236"/>
          <a:chOff x="396127" y="110221059"/>
          <a:chExt cx="5646544" cy="7930401"/>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5466" r="790"/>
          <a:stretch/>
        </xdr:blipFill>
        <xdr:spPr>
          <a:xfrm>
            <a:off x="889747" y="110221059"/>
            <a:ext cx="4688541" cy="3434160"/>
          </a:xfrm>
          <a:prstGeom prst="rect">
            <a:avLst/>
          </a:prstGeom>
          <a:ln>
            <a:solidFill>
              <a:sysClr val="windowText" lastClr="000000"/>
            </a:solidFill>
          </a:ln>
        </xdr:spPr>
      </xdr:pic>
      <xdr:grpSp>
        <xdr:nvGrpSpPr>
          <xdr:cNvPr id="3" name="Group 2">
            <a:extLst>
              <a:ext uri="{FF2B5EF4-FFF2-40B4-BE49-F238E27FC236}">
                <a16:creationId xmlns:a16="http://schemas.microsoft.com/office/drawing/2014/main" id="{00000000-0008-0000-0000-000003000000}"/>
              </a:ext>
            </a:extLst>
          </xdr:cNvPr>
          <xdr:cNvGrpSpPr/>
        </xdr:nvGrpSpPr>
        <xdr:grpSpPr>
          <a:xfrm>
            <a:off x="396127" y="113799657"/>
            <a:ext cx="5646544" cy="4351803"/>
            <a:chOff x="665169" y="74952225"/>
            <a:chExt cx="4520262" cy="3505200"/>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65169" y="74952225"/>
              <a:ext cx="4520262" cy="3505200"/>
            </a:xfrm>
            <a:prstGeom prst="rect">
              <a:avLst/>
            </a:prstGeom>
            <a:ln>
              <a:solidFill>
                <a:sysClr val="windowText" lastClr="000000"/>
              </a:solidFill>
            </a:ln>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rot="2487187">
              <a:off x="2178739" y="76423518"/>
              <a:ext cx="1176939" cy="25012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editAs="oneCell">
    <xdr:from>
      <xdr:col>8</xdr:col>
      <xdr:colOff>638175</xdr:colOff>
      <xdr:row>42</xdr:row>
      <xdr:rowOff>61029</xdr:rowOff>
    </xdr:from>
    <xdr:to>
      <xdr:col>12</xdr:col>
      <xdr:colOff>113774</xdr:colOff>
      <xdr:row>51</xdr:row>
      <xdr:rowOff>142508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6953250" y="10833804"/>
          <a:ext cx="3028424" cy="2110304"/>
        </a:xfrm>
        <a:prstGeom prst="rect">
          <a:avLst/>
        </a:prstGeom>
      </xdr:spPr>
    </xdr:pic>
    <xdr:clientData/>
  </xdr:twoCellAnchor>
  <xdr:twoCellAnchor editAs="oneCell">
    <xdr:from>
      <xdr:col>8</xdr:col>
      <xdr:colOff>533400</xdr:colOff>
      <xdr:row>52</xdr:row>
      <xdr:rowOff>133604</xdr:rowOff>
    </xdr:from>
    <xdr:to>
      <xdr:col>14</xdr:col>
      <xdr:colOff>570788</xdr:colOff>
      <xdr:row>52</xdr:row>
      <xdr:rowOff>971435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6848475" y="13135229"/>
          <a:ext cx="5218988" cy="837831"/>
        </a:xfrm>
        <a:prstGeom prst="rect">
          <a:avLst/>
        </a:prstGeom>
      </xdr:spPr>
    </xdr:pic>
    <xdr:clientData/>
  </xdr:twoCellAnchor>
  <xdr:twoCellAnchor>
    <xdr:from>
      <xdr:col>8</xdr:col>
      <xdr:colOff>195543</xdr:colOff>
      <xdr:row>97</xdr:row>
      <xdr:rowOff>41589</xdr:rowOff>
    </xdr:from>
    <xdr:to>
      <xdr:col>15</xdr:col>
      <xdr:colOff>622902</xdr:colOff>
      <xdr:row>108</xdr:row>
      <xdr:rowOff>18432</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685990" y="27903895"/>
          <a:ext cx="6595077" cy="1160184"/>
          <a:chOff x="6505576" y="28242792"/>
          <a:chExt cx="6421946" cy="1176509"/>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6505576" y="28517851"/>
            <a:ext cx="6421946" cy="901450"/>
          </a:xfrm>
          <a:prstGeom prst="rect">
            <a:avLst/>
          </a:prstGeom>
        </xdr:spPr>
      </xdr:pic>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stretch>
            <a:fillRect/>
          </a:stretch>
        </xdr:blipFill>
        <xdr:spPr>
          <a:xfrm>
            <a:off x="6618616" y="28242792"/>
            <a:ext cx="6148593" cy="594203"/>
          </a:xfrm>
          <a:prstGeom prst="rect">
            <a:avLst/>
          </a:prstGeom>
        </xdr:spPr>
      </xdr:pic>
    </xdr:grpSp>
    <xdr:clientData/>
  </xdr:twoCellAnchor>
  <xdr:twoCellAnchor>
    <xdr:from>
      <xdr:col>1</xdr:col>
      <xdr:colOff>560935</xdr:colOff>
      <xdr:row>471</xdr:row>
      <xdr:rowOff>125506</xdr:rowOff>
    </xdr:from>
    <xdr:to>
      <xdr:col>6</xdr:col>
      <xdr:colOff>528918</xdr:colOff>
      <xdr:row>508</xdr:row>
      <xdr:rowOff>118374</xdr:rowOff>
    </xdr:to>
    <xdr:grpSp>
      <xdr:nvGrpSpPr>
        <xdr:cNvPr id="25" name="Group 24">
          <a:extLst>
            <a:ext uri="{FF2B5EF4-FFF2-40B4-BE49-F238E27FC236}">
              <a16:creationId xmlns:a16="http://schemas.microsoft.com/office/drawing/2014/main" id="{4F15C1ED-5952-D8A9-7A05-7A813915502C}"/>
            </a:ext>
          </a:extLst>
        </xdr:cNvPr>
        <xdr:cNvGrpSpPr/>
      </xdr:nvGrpSpPr>
      <xdr:grpSpPr>
        <a:xfrm>
          <a:off x="1349829" y="101928706"/>
          <a:ext cx="4163465" cy="7290139"/>
          <a:chOff x="955382" y="101774063"/>
          <a:chExt cx="4429684" cy="8144029"/>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a:stretch>
            <a:fillRect/>
          </a:stretch>
        </xdr:blipFill>
        <xdr:spPr>
          <a:xfrm>
            <a:off x="1728256" y="101774063"/>
            <a:ext cx="2550149" cy="3263495"/>
          </a:xfrm>
          <a:prstGeom prst="rect">
            <a:avLst/>
          </a:prstGeom>
          <a:ln>
            <a:solidFill>
              <a:schemeClr val="tx1"/>
            </a:solidFill>
          </a:ln>
        </xdr:spPr>
      </xdr:pic>
      <xdr:grpSp>
        <xdr:nvGrpSpPr>
          <xdr:cNvPr id="14" name="Group 13">
            <a:extLst>
              <a:ext uri="{FF2B5EF4-FFF2-40B4-BE49-F238E27FC236}">
                <a16:creationId xmlns:a16="http://schemas.microsoft.com/office/drawing/2014/main" id="{00000000-0008-0000-0000-00000E000000}"/>
              </a:ext>
            </a:extLst>
          </xdr:cNvPr>
          <xdr:cNvGrpSpPr/>
        </xdr:nvGrpSpPr>
        <xdr:grpSpPr>
          <a:xfrm>
            <a:off x="955382" y="105203226"/>
            <a:ext cx="4429684" cy="4714866"/>
            <a:chOff x="928488" y="108047119"/>
            <a:chExt cx="4316345" cy="4880072"/>
          </a:xfrm>
        </xdr:grpSpPr>
        <xdr:grpSp>
          <xdr:nvGrpSpPr>
            <xdr:cNvPr id="32" name="Group 31">
              <a:extLst>
                <a:ext uri="{FF2B5EF4-FFF2-40B4-BE49-F238E27FC236}">
                  <a16:creationId xmlns:a16="http://schemas.microsoft.com/office/drawing/2014/main" id="{00000000-0008-0000-0000-000020000000}"/>
                </a:ext>
              </a:extLst>
            </xdr:cNvPr>
            <xdr:cNvGrpSpPr/>
          </xdr:nvGrpSpPr>
          <xdr:grpSpPr>
            <a:xfrm>
              <a:off x="928488" y="108047119"/>
              <a:ext cx="4316345" cy="4880072"/>
              <a:chOff x="904876" y="104108154"/>
              <a:chExt cx="4324349" cy="4822442"/>
            </a:xfrm>
          </xdr:grpSpPr>
          <xdr:grpSp>
            <xdr:nvGrpSpPr>
              <xdr:cNvPr id="33" name="Group 32">
                <a:extLst>
                  <a:ext uri="{FF2B5EF4-FFF2-40B4-BE49-F238E27FC236}">
                    <a16:creationId xmlns:a16="http://schemas.microsoft.com/office/drawing/2014/main" id="{00000000-0008-0000-0000-000021000000}"/>
                  </a:ext>
                </a:extLst>
              </xdr:cNvPr>
              <xdr:cNvGrpSpPr/>
            </xdr:nvGrpSpPr>
            <xdr:grpSpPr>
              <a:xfrm>
                <a:off x="904876" y="104108154"/>
                <a:ext cx="4324349" cy="4822442"/>
                <a:chOff x="908160" y="104790341"/>
                <a:chExt cx="4344056" cy="4822442"/>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8"/>
                <a:stretch>
                  <a:fillRect/>
                </a:stretch>
              </xdr:blipFill>
              <xdr:spPr>
                <a:xfrm>
                  <a:off x="908160" y="104790341"/>
                  <a:ext cx="4344056" cy="4822442"/>
                </a:xfrm>
                <a:prstGeom prst="rect">
                  <a:avLst/>
                </a:prstGeom>
                <a:ln>
                  <a:solidFill>
                    <a:schemeClr val="tx1"/>
                  </a:solidFill>
                </a:ln>
              </xdr:spPr>
            </xdr:pic>
            <xdr:sp macro="" textlink="">
              <xdr:nvSpPr>
                <xdr:cNvPr id="38" name="Rectangle 37">
                  <a:extLst>
                    <a:ext uri="{FF2B5EF4-FFF2-40B4-BE49-F238E27FC236}">
                      <a16:creationId xmlns:a16="http://schemas.microsoft.com/office/drawing/2014/main" id="{00000000-0008-0000-0000-000026000000}"/>
                    </a:ext>
                  </a:extLst>
                </xdr:cNvPr>
                <xdr:cNvSpPr/>
              </xdr:nvSpPr>
              <xdr:spPr>
                <a:xfrm rot="3416016">
                  <a:off x="1773300" y="107069990"/>
                  <a:ext cx="1136917" cy="256216"/>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chemeClr val="tx1"/>
                    </a:solidFill>
                  </a:endParaRPr>
                </a:p>
              </xdr:txBody>
            </xdr:sp>
            <xdr:sp macro="" textlink="">
              <xdr:nvSpPr>
                <xdr:cNvPr id="39" name="TextBox 38">
                  <a:extLst>
                    <a:ext uri="{FF2B5EF4-FFF2-40B4-BE49-F238E27FC236}">
                      <a16:creationId xmlns:a16="http://schemas.microsoft.com/office/drawing/2014/main" id="{00000000-0008-0000-0000-000027000000}"/>
                    </a:ext>
                  </a:extLst>
                </xdr:cNvPr>
                <xdr:cNvSpPr txBox="1"/>
              </xdr:nvSpPr>
              <xdr:spPr>
                <a:xfrm rot="3399232">
                  <a:off x="1719954" y="106574980"/>
                  <a:ext cx="1451859" cy="243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latin typeface="Times New Roman" panose="02020603050405020304" pitchFamily="18" charset="0"/>
                      <a:cs typeface="Times New Roman" panose="02020603050405020304" pitchFamily="18" charset="0"/>
                    </a:rPr>
                    <a:t>Building No.7</a:t>
                  </a:r>
                </a:p>
              </xdr:txBody>
            </xdr:sp>
          </xdr:grpSp>
          <xdr:sp macro="" textlink="">
            <xdr:nvSpPr>
              <xdr:cNvPr id="35" name="TextBox 34">
                <a:extLst>
                  <a:ext uri="{FF2B5EF4-FFF2-40B4-BE49-F238E27FC236}">
                    <a16:creationId xmlns:a16="http://schemas.microsoft.com/office/drawing/2014/main" id="{00000000-0008-0000-0000-000023000000}"/>
                  </a:ext>
                </a:extLst>
              </xdr:cNvPr>
              <xdr:cNvSpPr txBox="1"/>
            </xdr:nvSpPr>
            <xdr:spPr>
              <a:xfrm rot="3477971">
                <a:off x="1313403" y="105308377"/>
                <a:ext cx="796609" cy="299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chemeClr val="tx1"/>
                    </a:solidFill>
                    <a:latin typeface="Times New Roman" panose="02020603050405020304" pitchFamily="18" charset="0"/>
                    <a:cs typeface="Times New Roman" panose="02020603050405020304" pitchFamily="18" charset="0"/>
                  </a:rPr>
                  <a:t>Wing A</a:t>
                </a:r>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rot="3477971">
                <a:off x="1998822" y="106450829"/>
                <a:ext cx="786502" cy="299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chemeClr val="tx1"/>
                    </a:solidFill>
                    <a:latin typeface="Times New Roman" panose="02020603050405020304" pitchFamily="18" charset="0"/>
                    <a:cs typeface="Times New Roman" panose="02020603050405020304" pitchFamily="18" charset="0"/>
                  </a:rPr>
                  <a:t>Wing B</a:t>
                </a:r>
              </a:p>
            </xdr:txBody>
          </xdr:sp>
        </xdr:grpSp>
        <xdr:sp macro="" textlink="">
          <xdr:nvSpPr>
            <xdr:cNvPr id="13" name="L-Shape 12">
              <a:extLst>
                <a:ext uri="{FF2B5EF4-FFF2-40B4-BE49-F238E27FC236}">
                  <a16:creationId xmlns:a16="http://schemas.microsoft.com/office/drawing/2014/main" id="{00000000-0008-0000-0000-00000D000000}"/>
                </a:ext>
              </a:extLst>
            </xdr:cNvPr>
            <xdr:cNvSpPr/>
          </xdr:nvSpPr>
          <xdr:spPr>
            <a:xfrm rot="8927945">
              <a:off x="1427424" y="109088247"/>
              <a:ext cx="463885" cy="983429"/>
            </a:xfrm>
            <a:prstGeom prst="corner">
              <a:avLst>
                <a:gd name="adj1" fmla="val 50000"/>
                <a:gd name="adj2" fmla="val 48307"/>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editAs="oneCell">
    <xdr:from>
      <xdr:col>10</xdr:col>
      <xdr:colOff>273424</xdr:colOff>
      <xdr:row>49</xdr:row>
      <xdr:rowOff>32497</xdr:rowOff>
    </xdr:from>
    <xdr:to>
      <xdr:col>16</xdr:col>
      <xdr:colOff>362641</xdr:colOff>
      <xdr:row>56</xdr:row>
      <xdr:rowOff>26835</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a:stretch>
          <a:fillRect/>
        </a:stretch>
      </xdr:blipFill>
      <xdr:spPr>
        <a:xfrm>
          <a:off x="8512549" y="12434047"/>
          <a:ext cx="4937442" cy="3585263"/>
        </a:xfrm>
        <a:prstGeom prst="rect">
          <a:avLst/>
        </a:prstGeom>
      </xdr:spPr>
    </xdr:pic>
    <xdr:clientData/>
  </xdr:twoCellAnchor>
  <xdr:twoCellAnchor editAs="oneCell">
    <xdr:from>
      <xdr:col>11</xdr:col>
      <xdr:colOff>0</xdr:colOff>
      <xdr:row>81</xdr:row>
      <xdr:rowOff>0</xdr:rowOff>
    </xdr:from>
    <xdr:to>
      <xdr:col>11</xdr:col>
      <xdr:colOff>304800</xdr:colOff>
      <xdr:row>82</xdr:row>
      <xdr:rowOff>114300</xdr:rowOff>
    </xdr:to>
    <xdr:sp macro="" textlink="">
      <xdr:nvSpPr>
        <xdr:cNvPr id="1050" name="AutoShape 26" descr="blob:https://web.whatsapp.com/234f3dc8-e230-4a24-b1e3-2b616eccb48a">
          <a:extLst>
            <a:ext uri="{FF2B5EF4-FFF2-40B4-BE49-F238E27FC236}">
              <a16:creationId xmlns:a16="http://schemas.microsoft.com/office/drawing/2014/main" id="{00000000-0008-0000-0000-00001A040000}"/>
            </a:ext>
          </a:extLst>
        </xdr:cNvPr>
        <xdr:cNvSpPr>
          <a:spLocks noChangeAspect="1" noChangeArrowheads="1"/>
        </xdr:cNvSpPr>
      </xdr:nvSpPr>
      <xdr:spPr bwMode="auto">
        <a:xfrm>
          <a:off x="8943975" y="26889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81</xdr:row>
      <xdr:rowOff>0</xdr:rowOff>
    </xdr:from>
    <xdr:to>
      <xdr:col>11</xdr:col>
      <xdr:colOff>304800</xdr:colOff>
      <xdr:row>82</xdr:row>
      <xdr:rowOff>114300</xdr:rowOff>
    </xdr:to>
    <xdr:sp macro="" textlink="">
      <xdr:nvSpPr>
        <xdr:cNvPr id="1051" name="AutoShape 27" descr="blob:https://web.whatsapp.com/234f3dc8-e230-4a24-b1e3-2b616eccb48a">
          <a:extLst>
            <a:ext uri="{FF2B5EF4-FFF2-40B4-BE49-F238E27FC236}">
              <a16:creationId xmlns:a16="http://schemas.microsoft.com/office/drawing/2014/main" id="{00000000-0008-0000-0000-00001B040000}"/>
            </a:ext>
          </a:extLst>
        </xdr:cNvPr>
        <xdr:cNvSpPr>
          <a:spLocks noChangeAspect="1" noChangeArrowheads="1"/>
        </xdr:cNvSpPr>
      </xdr:nvSpPr>
      <xdr:spPr bwMode="auto">
        <a:xfrm>
          <a:off x="8943975" y="26889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667832</xdr:colOff>
      <xdr:row>68</xdr:row>
      <xdr:rowOff>544286</xdr:rowOff>
    </xdr:from>
    <xdr:to>
      <xdr:col>21</xdr:col>
      <xdr:colOff>356667</xdr:colOff>
      <xdr:row>116</xdr:row>
      <xdr:rowOff>100694</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9139479" y="23377392"/>
          <a:ext cx="8034976" cy="7543961"/>
          <a:chOff x="8913761" y="23907750"/>
          <a:chExt cx="7825907" cy="7747908"/>
        </a:xfrm>
      </xdr:grpSpPr>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0"/>
          <a:stretch>
            <a:fillRect/>
          </a:stretch>
        </xdr:blipFill>
        <xdr:spPr>
          <a:xfrm>
            <a:off x="8913761" y="23907750"/>
            <a:ext cx="7825907" cy="7747908"/>
          </a:xfrm>
          <a:prstGeom prst="rect">
            <a:avLst/>
          </a:prstGeom>
        </xdr:spPr>
      </xdr:pic>
      <xdr:sp macro="" textlink="">
        <xdr:nvSpPr>
          <xdr:cNvPr id="43" name="TextBox 9">
            <a:extLst>
              <a:ext uri="{FF2B5EF4-FFF2-40B4-BE49-F238E27FC236}">
                <a16:creationId xmlns:a16="http://schemas.microsoft.com/office/drawing/2014/main" id="{00000000-0008-0000-0000-00002B000000}"/>
              </a:ext>
            </a:extLst>
          </xdr:cNvPr>
          <xdr:cNvSpPr txBox="1"/>
        </xdr:nvSpPr>
        <xdr:spPr>
          <a:xfrm>
            <a:off x="9120980" y="26703249"/>
            <a:ext cx="2723702" cy="62951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latin typeface="Times New Roman" panose="02020603050405020304" pitchFamily="18" charset="0"/>
                <a:cs typeface="Times New Roman" panose="02020603050405020304" pitchFamily="18" charset="0"/>
              </a:rPr>
              <a:t>Changed</a:t>
            </a:r>
            <a:r>
              <a:rPr lang="en-US" sz="2000" b="1" baseline="0">
                <a:solidFill>
                  <a:srgbClr val="FF0000"/>
                </a:solidFill>
                <a:latin typeface="Times New Roman" panose="02020603050405020304" pitchFamily="18" charset="0"/>
                <a:cs typeface="Times New Roman" panose="02020603050405020304" pitchFamily="18" charset="0"/>
              </a:rPr>
              <a:t> Stage on Dicuss Trupti Ma'am with regardining  change satge  </a:t>
            </a:r>
            <a:r>
              <a:rPr lang="en-US" sz="2000" b="1" kern="1200">
                <a:solidFill>
                  <a:srgbClr val="FF0000"/>
                </a:solidFill>
                <a:effectLst/>
                <a:latin typeface="Times New Roman" panose="02020603050405020304" pitchFamily="18" charset="0"/>
                <a:ea typeface="+mn-ea"/>
                <a:cs typeface="Times New Roman" panose="02020603050405020304" pitchFamily="18" charset="0"/>
              </a:rPr>
              <a:t>Date 29/12/2024</a:t>
            </a:r>
            <a:endParaRPr lang="en-IN" sz="2000" b="1">
              <a:solidFill>
                <a:srgbClr val="FF0000"/>
              </a:solidFill>
              <a:latin typeface="Times New Roman" panose="02020603050405020304" pitchFamily="18" charset="0"/>
              <a:cs typeface="Times New Roman" panose="02020603050405020304" pitchFamily="18" charset="0"/>
            </a:endParaRPr>
          </a:p>
        </xdr:txBody>
      </xdr:sp>
    </xdr:grpSp>
    <xdr:clientData/>
  </xdr:twoCellAnchor>
  <xdr:twoCellAnchor>
    <xdr:from>
      <xdr:col>9</xdr:col>
      <xdr:colOff>366433</xdr:colOff>
      <xdr:row>428</xdr:row>
      <xdr:rowOff>12487</xdr:rowOff>
    </xdr:from>
    <xdr:to>
      <xdr:col>16</xdr:col>
      <xdr:colOff>387724</xdr:colOff>
      <xdr:row>460</xdr:row>
      <xdr:rowOff>138953</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8049186" y="93335075"/>
          <a:ext cx="5794562" cy="6437619"/>
          <a:chOff x="165365" y="1580925"/>
          <a:chExt cx="6320331" cy="7142663"/>
        </a:xfrm>
      </xdr:grpSpPr>
      <xdr:pic>
        <xdr:nvPicPr>
          <xdr:cNvPr id="41" name="Picture 40" descr="https://vsjcllp.vsjadon.com/upload/insp-236822-1512.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rot="5400000">
            <a:off x="2885045" y="2095304"/>
            <a:ext cx="4115029" cy="308627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5400000">
            <a:off x="3039424" y="6203588"/>
            <a:ext cx="2880000" cy="216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rot="16200000">
            <a:off x="714058" y="6203588"/>
            <a:ext cx="2880000" cy="2160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rot="5400000">
            <a:off x="-349013" y="2095304"/>
            <a:ext cx="4115030" cy="3086273"/>
          </a:xfrm>
          <a:prstGeom prst="rect">
            <a:avLst/>
          </a:prstGeom>
          <a:ln>
            <a:solidFill>
              <a:schemeClr val="tx1"/>
            </a:solidFill>
          </a:ln>
        </xdr:spPr>
      </xdr:pic>
    </xdr:grpSp>
    <xdr:clientData/>
  </xdr:twoCellAnchor>
  <xdr:twoCellAnchor>
    <xdr:from>
      <xdr:col>0</xdr:col>
      <xdr:colOff>215152</xdr:colOff>
      <xdr:row>430</xdr:row>
      <xdr:rowOff>8964</xdr:rowOff>
    </xdr:from>
    <xdr:to>
      <xdr:col>7</xdr:col>
      <xdr:colOff>555811</xdr:colOff>
      <xdr:row>468</xdr:row>
      <xdr:rowOff>197223</xdr:rowOff>
    </xdr:to>
    <xdr:grpSp>
      <xdr:nvGrpSpPr>
        <xdr:cNvPr id="17" name="Group 16">
          <a:extLst>
            <a:ext uri="{FF2B5EF4-FFF2-40B4-BE49-F238E27FC236}">
              <a16:creationId xmlns:a16="http://schemas.microsoft.com/office/drawing/2014/main" id="{634DCEDA-B33F-C10A-3BAE-331EDABBFD5E}"/>
            </a:ext>
          </a:extLst>
        </xdr:cNvPr>
        <xdr:cNvGrpSpPr/>
      </xdr:nvGrpSpPr>
      <xdr:grpSpPr>
        <a:xfrm>
          <a:off x="215152" y="93725999"/>
          <a:ext cx="6078071" cy="7682753"/>
          <a:chOff x="605213" y="110821"/>
          <a:chExt cx="5949754" cy="7920000"/>
        </a:xfrm>
      </xdr:grpSpPr>
      <xdr:grpSp>
        <xdr:nvGrpSpPr>
          <xdr:cNvPr id="18" name="Group 17">
            <a:extLst>
              <a:ext uri="{FF2B5EF4-FFF2-40B4-BE49-F238E27FC236}">
                <a16:creationId xmlns:a16="http://schemas.microsoft.com/office/drawing/2014/main" id="{A69B6F65-50C8-38F1-2BA9-C235782F32DF}"/>
              </a:ext>
            </a:extLst>
          </xdr:cNvPr>
          <xdr:cNvGrpSpPr/>
        </xdr:nvGrpSpPr>
        <xdr:grpSpPr>
          <a:xfrm>
            <a:off x="605213" y="110821"/>
            <a:ext cx="5949754" cy="5220000"/>
            <a:chOff x="605213" y="110821"/>
            <a:chExt cx="5949754" cy="5220000"/>
          </a:xfrm>
        </xdr:grpSpPr>
        <xdr:pic>
          <xdr:nvPicPr>
            <xdr:cNvPr id="22" name="Picture 21">
              <a:extLst>
                <a:ext uri="{FF2B5EF4-FFF2-40B4-BE49-F238E27FC236}">
                  <a16:creationId xmlns:a16="http://schemas.microsoft.com/office/drawing/2014/main" id="{254729C7-90E0-A15B-95D9-51BCED35180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rot="5400000">
              <a:off x="4349967" y="3125821"/>
              <a:ext cx="2520000" cy="1890000"/>
            </a:xfrm>
            <a:prstGeom prst="rect">
              <a:avLst/>
            </a:prstGeom>
            <a:ln>
              <a:solidFill>
                <a:schemeClr val="tx1"/>
              </a:solidFill>
            </a:ln>
          </xdr:spPr>
        </xdr:pic>
        <xdr:pic>
          <xdr:nvPicPr>
            <xdr:cNvPr id="23" name="Picture 22">
              <a:extLst>
                <a:ext uri="{FF2B5EF4-FFF2-40B4-BE49-F238E27FC236}">
                  <a16:creationId xmlns:a16="http://schemas.microsoft.com/office/drawing/2014/main" id="{D3791948-D062-5CB2-B6B5-4B407EA74B2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5400000">
              <a:off x="4349967" y="425821"/>
              <a:ext cx="2520000" cy="1890000"/>
            </a:xfrm>
            <a:prstGeom prst="rect">
              <a:avLst/>
            </a:prstGeom>
            <a:ln>
              <a:solidFill>
                <a:schemeClr val="tx1"/>
              </a:solidFill>
            </a:ln>
          </xdr:spPr>
        </xdr:pic>
        <xdr:pic>
          <xdr:nvPicPr>
            <xdr:cNvPr id="24" name="Picture 23">
              <a:extLst>
                <a:ext uri="{FF2B5EF4-FFF2-40B4-BE49-F238E27FC236}">
                  <a16:creationId xmlns:a16="http://schemas.microsoft.com/office/drawing/2014/main" id="{438E1B16-E9B2-2B5D-5B09-97A0FBA0238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rot="5400000">
              <a:off x="-47287" y="763321"/>
              <a:ext cx="5220000" cy="3915000"/>
            </a:xfrm>
            <a:prstGeom prst="rect">
              <a:avLst/>
            </a:prstGeom>
            <a:ln>
              <a:solidFill>
                <a:schemeClr val="tx1"/>
              </a:solidFill>
            </a:ln>
          </xdr:spPr>
        </xdr:pic>
      </xdr:grpSp>
      <xdr:grpSp>
        <xdr:nvGrpSpPr>
          <xdr:cNvPr id="19" name="Group 18">
            <a:extLst>
              <a:ext uri="{FF2B5EF4-FFF2-40B4-BE49-F238E27FC236}">
                <a16:creationId xmlns:a16="http://schemas.microsoft.com/office/drawing/2014/main" id="{08D7B74C-5003-1E53-FCF4-9844151B464A}"/>
              </a:ext>
            </a:extLst>
          </xdr:cNvPr>
          <xdr:cNvGrpSpPr/>
        </xdr:nvGrpSpPr>
        <xdr:grpSpPr>
          <a:xfrm>
            <a:off x="1617713" y="5510821"/>
            <a:ext cx="3924754" cy="2520000"/>
            <a:chOff x="2630213" y="5510821"/>
            <a:chExt cx="3924754" cy="2520000"/>
          </a:xfrm>
        </xdr:grpSpPr>
        <xdr:pic>
          <xdr:nvPicPr>
            <xdr:cNvPr id="20" name="Picture 19">
              <a:extLst>
                <a:ext uri="{FF2B5EF4-FFF2-40B4-BE49-F238E27FC236}">
                  <a16:creationId xmlns:a16="http://schemas.microsoft.com/office/drawing/2014/main" id="{2F0678DC-9C45-BA2F-626A-C137EFD2C6B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rot="5400000">
              <a:off x="4349967" y="5825821"/>
              <a:ext cx="2520000" cy="1890000"/>
            </a:xfrm>
            <a:prstGeom prst="rect">
              <a:avLst/>
            </a:prstGeom>
            <a:ln>
              <a:solidFill>
                <a:schemeClr val="tx1"/>
              </a:solidFill>
            </a:ln>
          </xdr:spPr>
        </xdr:pic>
        <xdr:pic>
          <xdr:nvPicPr>
            <xdr:cNvPr id="21" name="Picture 20">
              <a:extLst>
                <a:ext uri="{FF2B5EF4-FFF2-40B4-BE49-F238E27FC236}">
                  <a16:creationId xmlns:a16="http://schemas.microsoft.com/office/drawing/2014/main" id="{A598A242-0971-ED9A-19C5-1FC5895178E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16200000">
              <a:off x="2315213" y="5825821"/>
              <a:ext cx="2520000" cy="189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SCApJpAec9bP47k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513"/>
  <sheetViews>
    <sheetView tabSelected="1" view="pageBreakPreview" topLeftCell="A406" zoomScale="85" zoomScaleNormal="100" zoomScaleSheetLayoutView="85" zoomScalePageLayoutView="85" workbookViewId="0">
      <selection activeCell="J423" sqref="J423"/>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0.5546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73" t="s">
        <v>161</v>
      </c>
      <c r="B1" s="173"/>
      <c r="C1" s="173"/>
      <c r="D1" s="173"/>
      <c r="E1" s="173"/>
      <c r="F1" s="173"/>
      <c r="G1" s="173"/>
      <c r="H1" s="173"/>
    </row>
    <row r="2" spans="1:26" ht="16.5" customHeight="1" x14ac:dyDescent="0.3">
      <c r="A2" s="138" t="s">
        <v>0</v>
      </c>
      <c r="B2" s="138"/>
      <c r="C2" s="138"/>
      <c r="D2" s="138"/>
      <c r="E2" s="138"/>
      <c r="F2" s="138"/>
      <c r="G2" s="138"/>
      <c r="H2" s="138"/>
    </row>
    <row r="3" spans="1:26" x14ac:dyDescent="0.3">
      <c r="A3" s="135" t="s">
        <v>1</v>
      </c>
      <c r="B3" s="135"/>
      <c r="C3" s="135"/>
      <c r="D3" s="135"/>
      <c r="E3" s="135" t="str">
        <f ca="1">TEXT(TODAY(),"DD/MM/YYYY")</f>
        <v>19/09/2025</v>
      </c>
      <c r="F3" s="135"/>
      <c r="G3" s="135"/>
      <c r="H3" s="135"/>
      <c r="K3" s="49" t="s">
        <v>233</v>
      </c>
      <c r="L3" s="48" t="s">
        <v>231</v>
      </c>
      <c r="M3" s="48" t="s">
        <v>236</v>
      </c>
      <c r="N3" s="48" t="s">
        <v>234</v>
      </c>
      <c r="O3" s="48" t="s">
        <v>235</v>
      </c>
      <c r="P3" s="48" t="s">
        <v>237</v>
      </c>
    </row>
    <row r="4" spans="1:26" ht="15" customHeight="1" x14ac:dyDescent="0.3">
      <c r="A4" s="135" t="s">
        <v>230</v>
      </c>
      <c r="B4" s="135"/>
      <c r="C4" s="135"/>
      <c r="D4" s="135"/>
      <c r="E4" s="135" t="s">
        <v>231</v>
      </c>
      <c r="F4" s="135"/>
      <c r="G4" s="135"/>
      <c r="H4" s="135"/>
      <c r="K4" s="47" t="s">
        <v>232</v>
      </c>
      <c r="L4" s="48" t="s">
        <v>167</v>
      </c>
      <c r="M4" s="48" t="s">
        <v>241</v>
      </c>
      <c r="N4" s="48" t="s">
        <v>243</v>
      </c>
      <c r="O4" s="48" t="s">
        <v>245</v>
      </c>
      <c r="P4" s="48"/>
    </row>
    <row r="5" spans="1:26" ht="15" customHeight="1" x14ac:dyDescent="0.3">
      <c r="A5" s="135" t="s">
        <v>2</v>
      </c>
      <c r="B5" s="135"/>
      <c r="C5" s="135"/>
      <c r="D5" s="135"/>
      <c r="E5" s="135" t="s">
        <v>167</v>
      </c>
      <c r="F5" s="135"/>
      <c r="G5" s="135"/>
      <c r="H5" s="135"/>
      <c r="K5" s="47"/>
      <c r="L5" s="48" t="s">
        <v>238</v>
      </c>
      <c r="M5" s="48" t="s">
        <v>242</v>
      </c>
      <c r="N5" s="48" t="s">
        <v>244</v>
      </c>
      <c r="O5" s="48" t="s">
        <v>246</v>
      </c>
      <c r="P5" s="48"/>
    </row>
    <row r="6" spans="1:26" x14ac:dyDescent="0.3">
      <c r="A6" s="135" t="s">
        <v>3</v>
      </c>
      <c r="B6" s="135"/>
      <c r="C6" s="135"/>
      <c r="D6" s="135"/>
      <c r="E6" s="174">
        <v>45909</v>
      </c>
      <c r="F6" s="135"/>
      <c r="G6" s="135"/>
      <c r="H6" s="135"/>
      <c r="K6" s="47"/>
      <c r="L6" s="48" t="s">
        <v>239</v>
      </c>
      <c r="M6" s="48"/>
      <c r="N6" s="48"/>
      <c r="O6" s="48" t="s">
        <v>247</v>
      </c>
      <c r="P6" s="48"/>
    </row>
    <row r="7" spans="1:26" ht="16.5" customHeight="1" x14ac:dyDescent="0.3">
      <c r="A7" s="135" t="s">
        <v>4</v>
      </c>
      <c r="B7" s="135"/>
      <c r="C7" s="135"/>
      <c r="D7" s="135"/>
      <c r="E7" s="135" t="s">
        <v>330</v>
      </c>
      <c r="F7" s="135"/>
      <c r="G7" s="135"/>
      <c r="H7" s="135"/>
      <c r="K7" s="47"/>
      <c r="L7" s="48" t="s">
        <v>240</v>
      </c>
      <c r="M7" s="48"/>
      <c r="N7" s="48"/>
      <c r="O7" s="48" t="s">
        <v>247</v>
      </c>
      <c r="P7" s="48"/>
    </row>
    <row r="8" spans="1:26" ht="15" customHeight="1" x14ac:dyDescent="0.3">
      <c r="A8" s="135" t="s">
        <v>5</v>
      </c>
      <c r="B8" s="135"/>
      <c r="C8" s="135"/>
      <c r="D8" s="135"/>
      <c r="E8" s="135" t="str">
        <f>E7</f>
        <v xml:space="preserve">JP Infra Realty Private Limited </v>
      </c>
      <c r="F8" s="135"/>
      <c r="G8" s="135"/>
      <c r="H8" s="135"/>
      <c r="K8" s="47"/>
      <c r="L8" s="48"/>
      <c r="M8" s="48"/>
      <c r="N8" s="48"/>
      <c r="O8" s="48" t="s">
        <v>248</v>
      </c>
      <c r="P8" s="48"/>
    </row>
    <row r="9" spans="1:26" x14ac:dyDescent="0.3">
      <c r="A9" s="135" t="s">
        <v>6</v>
      </c>
      <c r="B9" s="135"/>
      <c r="C9" s="135"/>
      <c r="D9" s="135"/>
      <c r="E9" s="125" t="s">
        <v>331</v>
      </c>
      <c r="F9" s="125"/>
      <c r="G9" s="125"/>
      <c r="H9" s="125"/>
      <c r="K9" s="47"/>
      <c r="L9" s="48"/>
      <c r="M9" s="48"/>
      <c r="N9" s="48"/>
      <c r="O9" s="48" t="s">
        <v>249</v>
      </c>
      <c r="P9" s="48"/>
    </row>
    <row r="10" spans="1:26" x14ac:dyDescent="0.3">
      <c r="A10" s="135" t="s">
        <v>164</v>
      </c>
      <c r="B10" s="135"/>
      <c r="C10" s="135"/>
      <c r="D10" s="135"/>
      <c r="E10" s="135">
        <v>7045920486</v>
      </c>
      <c r="F10" s="135"/>
      <c r="G10" s="135"/>
      <c r="H10" s="135"/>
      <c r="K10" s="47"/>
      <c r="L10" s="48"/>
      <c r="M10" s="48"/>
      <c r="N10" s="48"/>
      <c r="O10" s="48"/>
      <c r="P10" s="48"/>
    </row>
    <row r="11" spans="1:26" x14ac:dyDescent="0.3">
      <c r="A11" s="135" t="s">
        <v>165</v>
      </c>
      <c r="B11" s="135"/>
      <c r="C11" s="135"/>
      <c r="D11" s="135"/>
      <c r="E11" s="135" t="s">
        <v>424</v>
      </c>
      <c r="F11" s="135"/>
      <c r="G11" s="135"/>
      <c r="H11" s="135"/>
    </row>
    <row r="12" spans="1:26" x14ac:dyDescent="0.3">
      <c r="A12" s="135" t="s">
        <v>7</v>
      </c>
      <c r="B12" s="135"/>
      <c r="C12" s="135"/>
      <c r="D12" s="135"/>
      <c r="E12" s="135" t="s">
        <v>381</v>
      </c>
      <c r="F12" s="135"/>
      <c r="G12" s="135"/>
      <c r="H12" s="135"/>
    </row>
    <row r="13" spans="1:26" x14ac:dyDescent="0.3">
      <c r="A13" s="135" t="s">
        <v>168</v>
      </c>
      <c r="B13" s="135"/>
      <c r="C13" s="135"/>
      <c r="D13" s="135"/>
      <c r="E13" s="135" t="s">
        <v>28</v>
      </c>
      <c r="F13" s="135"/>
      <c r="G13" s="135"/>
      <c r="H13" s="135"/>
      <c r="S13" s="48" t="s">
        <v>175</v>
      </c>
      <c r="T13" s="48" t="s">
        <v>185</v>
      </c>
      <c r="U13" s="48" t="s">
        <v>169</v>
      </c>
      <c r="V13" s="48" t="s">
        <v>190</v>
      </c>
      <c r="W13" s="48" t="s">
        <v>208</v>
      </c>
      <c r="X13"/>
      <c r="Y13" t="s">
        <v>190</v>
      </c>
      <c r="Z13" t="e">
        <f ca="1">OFFSET($S$13,1,MATCH($G20,$S$13:$W$13,0)-1,15,1)</f>
        <v>#VALUE!</v>
      </c>
    </row>
    <row r="14" spans="1:26" x14ac:dyDescent="0.3">
      <c r="A14" s="116" t="s">
        <v>276</v>
      </c>
      <c r="B14" s="116"/>
      <c r="C14" s="116"/>
      <c r="D14" s="116"/>
      <c r="E14" s="141" t="s">
        <v>421</v>
      </c>
      <c r="F14" s="172"/>
      <c r="G14" s="172"/>
      <c r="H14" s="172"/>
      <c r="S14" s="48" t="s">
        <v>176</v>
      </c>
      <c r="T14" s="48" t="s">
        <v>183</v>
      </c>
      <c r="U14" s="48" t="s">
        <v>205</v>
      </c>
      <c r="V14" s="48" t="s">
        <v>191</v>
      </c>
      <c r="W14" s="48" t="s">
        <v>209</v>
      </c>
      <c r="X14"/>
      <c r="Y14"/>
      <c r="Z14"/>
    </row>
    <row r="15" spans="1:26" x14ac:dyDescent="0.3">
      <c r="A15" s="116" t="s">
        <v>8</v>
      </c>
      <c r="B15" s="116"/>
      <c r="C15" s="116"/>
      <c r="D15" s="116"/>
      <c r="E15" s="141" t="s">
        <v>332</v>
      </c>
      <c r="F15" s="135"/>
      <c r="G15" s="135"/>
      <c r="H15" s="135"/>
      <c r="I15" s="220" t="e">
        <f ca="1">OFFSET($D$5,1,MATCH($J13,$D$5:$H$5,0)-1,15,1)</f>
        <v>#N/A</v>
      </c>
      <c r="J15" s="221"/>
      <c r="K15" s="221"/>
      <c r="L15" s="221"/>
      <c r="M15" s="221"/>
      <c r="N15" s="221"/>
      <c r="O15" s="221"/>
      <c r="P15" s="221"/>
      <c r="S15" s="48" t="s">
        <v>177</v>
      </c>
      <c r="T15" s="48" t="s">
        <v>184</v>
      </c>
      <c r="U15" s="48" t="s">
        <v>206</v>
      </c>
      <c r="V15" s="48" t="s">
        <v>192</v>
      </c>
      <c r="W15" s="48" t="s">
        <v>222</v>
      </c>
      <c r="X15"/>
      <c r="Y15"/>
      <c r="Z15"/>
    </row>
    <row r="16" spans="1:26" ht="82.5" customHeight="1" x14ac:dyDescent="0.3">
      <c r="A16" s="131" t="s">
        <v>9</v>
      </c>
      <c r="B16" s="131"/>
      <c r="C16" s="131" t="str">
        <f>CONCATENATE((IF(OR(E9="",E9="NA"),"",E9)),", ",(IF(OR(A17="",A17="NA"),"",A17)),".",(IF(OR(C17="",C17="NA"),"",C17)),", near ",(IF(OR(C22="",C22="NA"),"",C22)),", ",(IF(OR(C19="",C19="NA"),"",C19)),", ",(IF(OR(C18="",C18="NA"),"",C18)),", ",(IF(OR(G19="",G19="NA"),"",G19)),", ",(IF(OR(C20="",C20="NA"),"",C20)),", ",(IF(OR(C21="",C21="NA"),"",C21)),", ",(IF(OR(G20="",G20="NA"),"",G20))," - ",(IF(OR(G21="",G21="NA"),"",G21)),".")</f>
        <v>Codename StarLife, Survey No.111/1/2(Pt), 111/2(Pt), 111/5(Pt), 111/8/3, 111/8/4, 119/1(Pt), 119/2(Pt), 119/3(Pt), 119/4(Pt), 124/1(Pt), 124/2, 124/3(Pt), 118/4(Pt, 118/5(Pt), 118/7(Pt), 125/1(Pt), 125/2(Pt), near JP North Garden - Alexa, Mira Bhayander Link Road (JP North Road), Ghodbunder, Ghodbunder, Mira Road East, Thane, Thane  - 401107.</v>
      </c>
      <c r="D16" s="131"/>
      <c r="E16" s="131"/>
      <c r="F16" s="131"/>
      <c r="G16" s="131"/>
      <c r="H16" s="131"/>
      <c r="S16" s="48" t="s">
        <v>178</v>
      </c>
      <c r="T16" s="48" t="s">
        <v>186</v>
      </c>
      <c r="U16" s="48" t="s">
        <v>207</v>
      </c>
      <c r="V16" s="48" t="s">
        <v>193</v>
      </c>
      <c r="W16" s="48" t="s">
        <v>210</v>
      </c>
      <c r="X16"/>
      <c r="Y16"/>
      <c r="Z16"/>
    </row>
    <row r="17" spans="1:26" ht="51" customHeight="1" x14ac:dyDescent="0.3">
      <c r="A17" s="141" t="s">
        <v>333</v>
      </c>
      <c r="B17" s="141"/>
      <c r="C17" s="141" t="s">
        <v>334</v>
      </c>
      <c r="D17" s="141"/>
      <c r="E17" s="141"/>
      <c r="F17" s="141"/>
      <c r="G17" s="141"/>
      <c r="H17" s="141"/>
      <c r="S17" s="48" t="s">
        <v>179</v>
      </c>
      <c r="T17" s="48" t="s">
        <v>187</v>
      </c>
      <c r="U17" s="48" t="s">
        <v>169</v>
      </c>
      <c r="V17" s="48" t="s">
        <v>194</v>
      </c>
      <c r="W17" s="48" t="s">
        <v>211</v>
      </c>
      <c r="X17"/>
      <c r="Y17"/>
      <c r="Z17"/>
    </row>
    <row r="18" spans="1:26" ht="15.75" customHeight="1" x14ac:dyDescent="0.3">
      <c r="A18" s="141" t="s">
        <v>159</v>
      </c>
      <c r="B18" s="141"/>
      <c r="C18" s="141" t="s">
        <v>338</v>
      </c>
      <c r="D18" s="141"/>
      <c r="E18" s="141"/>
      <c r="F18" s="141"/>
      <c r="G18" s="141"/>
      <c r="H18" s="141"/>
      <c r="S18" s="48" t="s">
        <v>180</v>
      </c>
      <c r="T18" s="48" t="s">
        <v>185</v>
      </c>
      <c r="U18" s="48"/>
      <c r="V18" s="48" t="s">
        <v>195</v>
      </c>
      <c r="W18" s="48" t="s">
        <v>212</v>
      </c>
      <c r="X18"/>
      <c r="Y18"/>
      <c r="Z18"/>
    </row>
    <row r="19" spans="1:26" ht="36" customHeight="1" x14ac:dyDescent="0.3">
      <c r="A19" s="131" t="s">
        <v>10</v>
      </c>
      <c r="B19" s="131"/>
      <c r="C19" s="141" t="s">
        <v>360</v>
      </c>
      <c r="D19" s="135"/>
      <c r="E19" s="141" t="s">
        <v>69</v>
      </c>
      <c r="F19" s="141"/>
      <c r="G19" s="141" t="s">
        <v>338</v>
      </c>
      <c r="H19" s="141"/>
      <c r="S19" s="48" t="s">
        <v>181</v>
      </c>
      <c r="T19" s="48" t="s">
        <v>188</v>
      </c>
      <c r="U19" s="48"/>
      <c r="V19" s="48" t="s">
        <v>196</v>
      </c>
      <c r="W19" s="48" t="s">
        <v>213</v>
      </c>
      <c r="X19"/>
      <c r="Y19"/>
      <c r="Z19"/>
    </row>
    <row r="20" spans="1:26" x14ac:dyDescent="0.3">
      <c r="A20" s="116" t="s">
        <v>12</v>
      </c>
      <c r="B20" s="116"/>
      <c r="C20" s="141" t="s">
        <v>337</v>
      </c>
      <c r="D20" s="141"/>
      <c r="E20" s="141" t="s">
        <v>11</v>
      </c>
      <c r="F20" s="141"/>
      <c r="G20" s="171" t="s">
        <v>175</v>
      </c>
      <c r="H20" s="171"/>
      <c r="S20" s="48" t="s">
        <v>182</v>
      </c>
      <c r="T20" s="48" t="s">
        <v>189</v>
      </c>
      <c r="U20" s="48"/>
      <c r="V20" s="48" t="s">
        <v>197</v>
      </c>
      <c r="W20" s="48" t="s">
        <v>214</v>
      </c>
      <c r="X20"/>
      <c r="Y20"/>
      <c r="Z20"/>
    </row>
    <row r="21" spans="1:26" x14ac:dyDescent="0.3">
      <c r="A21" s="116" t="s">
        <v>70</v>
      </c>
      <c r="B21" s="116"/>
      <c r="C21" s="141" t="s">
        <v>176</v>
      </c>
      <c r="D21" s="141"/>
      <c r="E21" s="141" t="s">
        <v>13</v>
      </c>
      <c r="F21" s="141"/>
      <c r="G21" s="141">
        <v>401107</v>
      </c>
      <c r="H21" s="141"/>
      <c r="S21" s="48"/>
      <c r="T21" s="48"/>
      <c r="U21" s="48"/>
      <c r="V21" s="48" t="s">
        <v>198</v>
      </c>
      <c r="W21" s="48" t="s">
        <v>215</v>
      </c>
      <c r="X21"/>
      <c r="Y21"/>
      <c r="Z21"/>
    </row>
    <row r="22" spans="1:26" ht="32.25" customHeight="1" x14ac:dyDescent="0.3">
      <c r="A22" s="116" t="s">
        <v>118</v>
      </c>
      <c r="B22" s="116"/>
      <c r="C22" s="141" t="s">
        <v>379</v>
      </c>
      <c r="D22" s="141"/>
      <c r="E22" s="131" t="s">
        <v>14</v>
      </c>
      <c r="F22" s="131"/>
      <c r="G22" s="141" t="s">
        <v>336</v>
      </c>
      <c r="H22" s="141"/>
      <c r="S22" s="48"/>
      <c r="T22" s="48"/>
      <c r="U22" s="48"/>
      <c r="V22" s="48" t="s">
        <v>199</v>
      </c>
      <c r="W22" s="48" t="s">
        <v>216</v>
      </c>
      <c r="X22"/>
      <c r="Y22"/>
      <c r="Z22"/>
    </row>
    <row r="23" spans="1:26" ht="15" customHeight="1" x14ac:dyDescent="0.3">
      <c r="A23" s="131" t="s">
        <v>72</v>
      </c>
      <c r="B23" s="131"/>
      <c r="C23" s="131"/>
      <c r="D23" s="131"/>
      <c r="E23" s="135" t="s">
        <v>15</v>
      </c>
      <c r="F23" s="135"/>
      <c r="G23" s="135"/>
      <c r="H23" s="135"/>
      <c r="S23" s="48"/>
      <c r="T23" s="48"/>
      <c r="U23" s="48"/>
      <c r="V23" s="48" t="s">
        <v>200</v>
      </c>
      <c r="W23" s="48" t="s">
        <v>217</v>
      </c>
      <c r="X23"/>
      <c r="Y23"/>
      <c r="Z23"/>
    </row>
    <row r="24" spans="1:26" ht="18.75" customHeight="1" x14ac:dyDescent="0.3">
      <c r="A24" s="131"/>
      <c r="B24" s="131"/>
      <c r="C24" s="131"/>
      <c r="D24" s="131"/>
      <c r="E24" s="135"/>
      <c r="F24" s="135"/>
      <c r="G24" s="135"/>
      <c r="H24" s="135"/>
      <c r="S24" s="48"/>
      <c r="T24" s="48"/>
      <c r="U24" s="48"/>
      <c r="V24" s="48" t="s">
        <v>201</v>
      </c>
      <c r="W24" s="48" t="s">
        <v>218</v>
      </c>
      <c r="X24"/>
      <c r="Y24"/>
      <c r="Z24"/>
    </row>
    <row r="25" spans="1:26" ht="15" customHeight="1" x14ac:dyDescent="0.3">
      <c r="A25" s="131" t="s">
        <v>16</v>
      </c>
      <c r="B25" s="131"/>
      <c r="C25" s="131"/>
      <c r="D25" s="131"/>
      <c r="E25" s="141" t="s">
        <v>17</v>
      </c>
      <c r="F25" s="141"/>
      <c r="G25" s="141"/>
      <c r="H25" s="141"/>
      <c r="S25" s="48"/>
      <c r="T25" s="48"/>
      <c r="U25" s="48"/>
      <c r="V25" s="48" t="s">
        <v>202</v>
      </c>
      <c r="W25" s="48" t="s">
        <v>219</v>
      </c>
      <c r="X25"/>
      <c r="Y25"/>
      <c r="Z25"/>
    </row>
    <row r="26" spans="1:26" ht="15" customHeight="1" x14ac:dyDescent="0.3">
      <c r="A26" s="116" t="s">
        <v>18</v>
      </c>
      <c r="B26" s="116"/>
      <c r="C26" s="116"/>
      <c r="D26" s="116"/>
      <c r="E26" s="141" t="str">
        <f>IF(AND(G20="Mumbai"),"Upper Class","Middle Class")</f>
        <v>Middle Class</v>
      </c>
      <c r="F26" s="141"/>
      <c r="G26" s="141"/>
      <c r="H26" s="141"/>
      <c r="S26" s="48"/>
      <c r="T26" s="48"/>
      <c r="U26" s="48"/>
      <c r="V26" s="48" t="s">
        <v>203</v>
      </c>
      <c r="W26" s="48" t="s">
        <v>220</v>
      </c>
      <c r="X26"/>
      <c r="Y26"/>
      <c r="Z26"/>
    </row>
    <row r="27" spans="1:26" x14ac:dyDescent="0.3">
      <c r="A27" s="116" t="s">
        <v>19</v>
      </c>
      <c r="B27" s="116"/>
      <c r="C27" s="116"/>
      <c r="D27" s="116"/>
      <c r="E27" s="141" t="s">
        <v>20</v>
      </c>
      <c r="F27" s="141"/>
      <c r="G27" s="141"/>
      <c r="H27" s="141"/>
      <c r="S27" s="48"/>
      <c r="T27" s="48"/>
      <c r="U27" s="48"/>
      <c r="V27" s="48" t="s">
        <v>204</v>
      </c>
      <c r="W27" s="48" t="s">
        <v>221</v>
      </c>
      <c r="X27"/>
      <c r="Y27"/>
      <c r="Z27"/>
    </row>
    <row r="28" spans="1:26" ht="15.75" customHeight="1" x14ac:dyDescent="0.3">
      <c r="A28" s="116" t="s">
        <v>21</v>
      </c>
      <c r="B28" s="116"/>
      <c r="C28" s="116"/>
      <c r="D28" s="116"/>
      <c r="E28" s="141" t="str">
        <f>IF(AND(G20="Mumbai"),"Developed","Developing")</f>
        <v>Developing</v>
      </c>
      <c r="F28" s="141"/>
      <c r="G28" s="141"/>
      <c r="H28" s="141"/>
    </row>
    <row r="29" spans="1:26" x14ac:dyDescent="0.3">
      <c r="A29" s="116" t="s">
        <v>22</v>
      </c>
      <c r="B29" s="116"/>
      <c r="C29" s="116"/>
      <c r="D29" s="116"/>
      <c r="E29" s="141" t="s">
        <v>23</v>
      </c>
      <c r="F29" s="141"/>
      <c r="G29" s="141"/>
      <c r="H29" s="141"/>
    </row>
    <row r="30" spans="1:26" ht="15.75" customHeight="1" x14ac:dyDescent="0.3">
      <c r="A30" s="116" t="s">
        <v>77</v>
      </c>
      <c r="B30" s="116"/>
      <c r="C30" s="116"/>
      <c r="D30" s="116"/>
      <c r="E30" s="141" t="s">
        <v>78</v>
      </c>
      <c r="F30" s="141"/>
      <c r="G30" s="141"/>
      <c r="H30" s="141"/>
    </row>
    <row r="31" spans="1:26" ht="15" customHeight="1" x14ac:dyDescent="0.3">
      <c r="A31" s="116" t="s">
        <v>30</v>
      </c>
      <c r="B31" s="116"/>
      <c r="C31" s="116"/>
      <c r="D31" s="116"/>
      <c r="E31" s="14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1"/>
      <c r="G31" s="141"/>
      <c r="H31" s="141"/>
    </row>
    <row r="32" spans="1:26" ht="15.75" customHeight="1" x14ac:dyDescent="0.3">
      <c r="A32" s="116" t="s">
        <v>89</v>
      </c>
      <c r="B32" s="116"/>
      <c r="C32" s="116"/>
      <c r="D32" s="116"/>
      <c r="E32" s="141" t="s">
        <v>31</v>
      </c>
      <c r="F32" s="141"/>
      <c r="G32" s="141"/>
      <c r="H32" s="141"/>
    </row>
    <row r="33" spans="1:19" s="19" customFormat="1" x14ac:dyDescent="0.3">
      <c r="A33" s="169" t="s">
        <v>90</v>
      </c>
      <c r="B33" s="169"/>
      <c r="C33" s="168" t="s">
        <v>170</v>
      </c>
      <c r="D33" s="168"/>
      <c r="E33" s="168"/>
      <c r="F33" s="168" t="s">
        <v>29</v>
      </c>
      <c r="G33" s="168"/>
      <c r="H33" s="168"/>
      <c r="S33" s="19" t="e">
        <f ca="1">OFFSET($S$13,1,MATCH($G20,$S$13:$W$13,0)-1,15,1)</f>
        <v>#VALUE!</v>
      </c>
    </row>
    <row r="34" spans="1:19" s="19" customFormat="1" x14ac:dyDescent="0.3">
      <c r="A34" s="166" t="s">
        <v>24</v>
      </c>
      <c r="B34" s="166" t="s">
        <v>28</v>
      </c>
      <c r="C34" s="170" t="s">
        <v>342</v>
      </c>
      <c r="D34" s="170"/>
      <c r="E34" s="170"/>
      <c r="F34" s="170" t="s">
        <v>346</v>
      </c>
      <c r="G34" s="170"/>
      <c r="H34" s="170"/>
    </row>
    <row r="35" spans="1:19" x14ac:dyDescent="0.3">
      <c r="A35" s="166" t="s">
        <v>25</v>
      </c>
      <c r="B35" s="166" t="s">
        <v>28</v>
      </c>
      <c r="C35" s="167" t="s">
        <v>341</v>
      </c>
      <c r="D35" s="164"/>
      <c r="E35" s="165"/>
      <c r="F35" s="167" t="s">
        <v>335</v>
      </c>
      <c r="G35" s="164"/>
      <c r="H35" s="165"/>
    </row>
    <row r="36" spans="1:19" s="19" customFormat="1" x14ac:dyDescent="0.3">
      <c r="A36" s="166" t="s">
        <v>27</v>
      </c>
      <c r="B36" s="166" t="s">
        <v>28</v>
      </c>
      <c r="C36" s="167" t="s">
        <v>341</v>
      </c>
      <c r="D36" s="164"/>
      <c r="E36" s="165"/>
      <c r="F36" s="167" t="s">
        <v>345</v>
      </c>
      <c r="G36" s="164"/>
      <c r="H36" s="165"/>
    </row>
    <row r="37" spans="1:19" ht="33.75" customHeight="1" x14ac:dyDescent="0.3">
      <c r="A37" s="149" t="s">
        <v>26</v>
      </c>
      <c r="B37" s="149" t="s">
        <v>28</v>
      </c>
      <c r="C37" s="150" t="s">
        <v>343</v>
      </c>
      <c r="D37" s="151"/>
      <c r="E37" s="152"/>
      <c r="F37" s="163" t="s">
        <v>344</v>
      </c>
      <c r="G37" s="164"/>
      <c r="H37" s="165"/>
    </row>
    <row r="38" spans="1:19" x14ac:dyDescent="0.3">
      <c r="A38" s="116" t="s">
        <v>277</v>
      </c>
      <c r="B38" s="116"/>
      <c r="C38" s="116"/>
      <c r="D38" s="116"/>
      <c r="E38" s="116"/>
      <c r="F38" s="116"/>
      <c r="G38" s="116"/>
      <c r="H38" s="116"/>
    </row>
    <row r="39" spans="1:19" ht="15.75" customHeight="1" x14ac:dyDescent="0.3">
      <c r="A39" s="116" t="s">
        <v>162</v>
      </c>
      <c r="B39" s="116"/>
      <c r="C39" s="154" t="s">
        <v>339</v>
      </c>
      <c r="D39" s="154"/>
      <c r="E39" s="154"/>
      <c r="F39" s="154"/>
      <c r="G39" s="154"/>
      <c r="H39" s="154"/>
    </row>
    <row r="40" spans="1:19" x14ac:dyDescent="0.3">
      <c r="A40" s="116" t="s">
        <v>158</v>
      </c>
      <c r="B40" s="116"/>
      <c r="C40" s="140" t="s">
        <v>340</v>
      </c>
      <c r="D40" s="141"/>
      <c r="E40" s="141"/>
      <c r="F40" s="141"/>
      <c r="G40" s="141"/>
      <c r="H40" s="141"/>
    </row>
    <row r="41" spans="1:19" x14ac:dyDescent="0.3">
      <c r="A41" s="154" t="s">
        <v>32</v>
      </c>
      <c r="B41" s="154"/>
      <c r="C41" s="154"/>
      <c r="D41" s="154"/>
      <c r="E41" s="154"/>
      <c r="F41" s="154"/>
      <c r="G41" s="154"/>
      <c r="H41" s="154"/>
    </row>
    <row r="42" spans="1:19" x14ac:dyDescent="0.3">
      <c r="A42" s="116" t="s">
        <v>33</v>
      </c>
      <c r="B42" s="116"/>
      <c r="C42" s="116"/>
      <c r="D42" s="116"/>
      <c r="E42" s="153">
        <v>13170</v>
      </c>
      <c r="F42" s="153"/>
      <c r="G42" s="153"/>
      <c r="H42" s="153"/>
    </row>
    <row r="43" spans="1:19" x14ac:dyDescent="0.3">
      <c r="A43" s="116" t="s">
        <v>34</v>
      </c>
      <c r="B43" s="116"/>
      <c r="C43" s="116"/>
      <c r="D43" s="116"/>
      <c r="E43" s="156">
        <f>14487/E42</f>
        <v>1.1000000000000001</v>
      </c>
      <c r="F43" s="156"/>
      <c r="G43" s="156"/>
      <c r="H43" s="156"/>
    </row>
    <row r="44" spans="1:19" x14ac:dyDescent="0.3">
      <c r="A44" s="116" t="s">
        <v>35</v>
      </c>
      <c r="B44" s="116"/>
      <c r="C44" s="116"/>
      <c r="D44" s="116"/>
      <c r="E44" s="156">
        <f>E46/E42-E43</f>
        <v>9.2667091875474572</v>
      </c>
      <c r="F44" s="156"/>
      <c r="G44" s="156"/>
      <c r="H44" s="156"/>
    </row>
    <row r="45" spans="1:19" x14ac:dyDescent="0.3">
      <c r="A45" s="116" t="s">
        <v>36</v>
      </c>
      <c r="B45" s="116"/>
      <c r="C45" s="116"/>
      <c r="D45" s="116"/>
      <c r="E45" s="156">
        <f>E43+E44</f>
        <v>10.366709187547457</v>
      </c>
      <c r="F45" s="156"/>
      <c r="G45" s="156"/>
      <c r="H45" s="156"/>
    </row>
    <row r="46" spans="1:19" x14ac:dyDescent="0.3">
      <c r="A46" s="116" t="s">
        <v>88</v>
      </c>
      <c r="B46" s="116"/>
      <c r="C46" s="116"/>
      <c r="D46" s="116"/>
      <c r="E46" s="157">
        <v>136529.56</v>
      </c>
      <c r="F46" s="157"/>
      <c r="G46" s="157"/>
      <c r="H46" s="157"/>
    </row>
    <row r="47" spans="1:19" x14ac:dyDescent="0.3">
      <c r="A47" s="135" t="s">
        <v>37</v>
      </c>
      <c r="B47" s="135"/>
      <c r="C47" s="135"/>
      <c r="D47" s="135"/>
      <c r="E47" s="135" t="s">
        <v>404</v>
      </c>
      <c r="F47" s="135"/>
      <c r="G47" s="135"/>
      <c r="H47" s="135"/>
    </row>
    <row r="48" spans="1:19" x14ac:dyDescent="0.3">
      <c r="A48" s="154" t="s">
        <v>38</v>
      </c>
      <c r="B48" s="154"/>
      <c r="C48" s="154"/>
      <c r="D48" s="154"/>
      <c r="E48" s="154"/>
      <c r="F48" s="154"/>
      <c r="G48" s="154"/>
      <c r="H48" s="154"/>
    </row>
    <row r="49" spans="1:24" ht="33.75" customHeight="1" x14ac:dyDescent="0.3">
      <c r="A49" s="107" t="s">
        <v>147</v>
      </c>
      <c r="B49" s="108"/>
      <c r="C49" s="109" t="s">
        <v>275</v>
      </c>
      <c r="D49" s="110"/>
      <c r="E49" s="110"/>
      <c r="F49" s="110"/>
      <c r="G49" s="110"/>
      <c r="H49" s="111"/>
      <c r="R49" t="s">
        <v>250</v>
      </c>
      <c r="S49" t="s">
        <v>169</v>
      </c>
      <c r="T49" t="s">
        <v>175</v>
      </c>
      <c r="U49" t="s">
        <v>190</v>
      </c>
      <c r="V49" t="s">
        <v>185</v>
      </c>
    </row>
    <row r="50" spans="1:24" ht="15.75" customHeight="1" x14ac:dyDescent="0.3">
      <c r="A50" s="107" t="s">
        <v>39</v>
      </c>
      <c r="B50" s="108"/>
      <c r="C50" s="107" t="s">
        <v>383</v>
      </c>
      <c r="D50" s="197"/>
      <c r="E50" s="108"/>
      <c r="F50" s="17" t="s">
        <v>40</v>
      </c>
      <c r="G50" s="209">
        <v>45526</v>
      </c>
      <c r="H50" s="108"/>
      <c r="R50"/>
      <c r="S50" t="s">
        <v>251</v>
      </c>
      <c r="T50" t="s">
        <v>256</v>
      </c>
      <c r="U50" t="s">
        <v>267</v>
      </c>
      <c r="V50" t="s">
        <v>272</v>
      </c>
    </row>
    <row r="51" spans="1:24" x14ac:dyDescent="0.3">
      <c r="A51" s="107" t="s">
        <v>41</v>
      </c>
      <c r="B51" s="108"/>
      <c r="C51" s="107" t="str">
        <f>C50</f>
        <v>MBMNP/NR/1585/2024-2025</v>
      </c>
      <c r="D51" s="197"/>
      <c r="E51" s="108"/>
      <c r="F51" s="17" t="s">
        <v>40</v>
      </c>
      <c r="G51" s="209">
        <f>G50</f>
        <v>45526</v>
      </c>
      <c r="H51" s="108"/>
      <c r="R51"/>
      <c r="S51" t="s">
        <v>252</v>
      </c>
      <c r="T51" t="s">
        <v>257</v>
      </c>
      <c r="U51" t="s">
        <v>265</v>
      </c>
      <c r="V51" t="s">
        <v>273</v>
      </c>
    </row>
    <row r="52" spans="1:24" s="20" customFormat="1" ht="15.75" customHeight="1" x14ac:dyDescent="0.3">
      <c r="A52" s="216" t="s">
        <v>151</v>
      </c>
      <c r="B52" s="217"/>
      <c r="C52" s="107" t="s">
        <v>384</v>
      </c>
      <c r="D52" s="197"/>
      <c r="E52" s="108"/>
      <c r="F52" s="17" t="s">
        <v>40</v>
      </c>
      <c r="G52" s="209">
        <f>G51</f>
        <v>45526</v>
      </c>
      <c r="H52" s="108"/>
      <c r="R52"/>
      <c r="S52" t="s">
        <v>253</v>
      </c>
      <c r="T52" t="s">
        <v>258</v>
      </c>
      <c r="U52" t="s">
        <v>255</v>
      </c>
      <c r="V52" t="s">
        <v>274</v>
      </c>
    </row>
    <row r="53" spans="1:24" s="20" customFormat="1" ht="150" customHeight="1" x14ac:dyDescent="0.3">
      <c r="A53" s="218"/>
      <c r="B53" s="219"/>
      <c r="C53" s="107" t="s">
        <v>418</v>
      </c>
      <c r="D53" s="197"/>
      <c r="E53" s="197"/>
      <c r="F53" s="197"/>
      <c r="G53" s="197"/>
      <c r="H53" s="108"/>
      <c r="R53"/>
      <c r="S53" t="s">
        <v>254</v>
      </c>
      <c r="T53" t="s">
        <v>261</v>
      </c>
      <c r="U53" t="s">
        <v>268</v>
      </c>
    </row>
    <row r="54" spans="1:24" s="20" customFormat="1" x14ac:dyDescent="0.3">
      <c r="A54" s="141" t="s">
        <v>278</v>
      </c>
      <c r="B54" s="141"/>
      <c r="C54" s="131" t="s">
        <v>347</v>
      </c>
      <c r="D54" s="131"/>
      <c r="E54" s="131"/>
      <c r="F54" s="17" t="s">
        <v>40</v>
      </c>
      <c r="G54" s="212" t="s">
        <v>385</v>
      </c>
      <c r="H54" s="131"/>
      <c r="R54"/>
      <c r="S54" t="s">
        <v>253</v>
      </c>
      <c r="T54" t="s">
        <v>258</v>
      </c>
      <c r="U54" t="s">
        <v>255</v>
      </c>
      <c r="V54" t="s">
        <v>274</v>
      </c>
    </row>
    <row r="55" spans="1:24" s="20" customFormat="1" ht="54" customHeight="1" x14ac:dyDescent="0.3">
      <c r="A55" s="141"/>
      <c r="B55" s="141"/>
      <c r="C55" s="146" t="s">
        <v>348</v>
      </c>
      <c r="D55" s="146"/>
      <c r="E55" s="146"/>
      <c r="F55" s="146"/>
      <c r="G55" s="146"/>
      <c r="H55" s="146"/>
      <c r="R55"/>
      <c r="S55" t="s">
        <v>255</v>
      </c>
      <c r="T55" t="s">
        <v>259</v>
      </c>
      <c r="U55" t="s">
        <v>269</v>
      </c>
      <c r="V55" s="18"/>
      <c r="W55" s="18"/>
      <c r="X55" s="18"/>
    </row>
    <row r="56" spans="1:24" s="20" customFormat="1" x14ac:dyDescent="0.3">
      <c r="A56" s="141" t="s">
        <v>279</v>
      </c>
      <c r="B56" s="141"/>
      <c r="C56" s="141" t="s">
        <v>349</v>
      </c>
      <c r="D56" s="141"/>
      <c r="E56" s="141"/>
      <c r="F56" s="66" t="s">
        <v>40</v>
      </c>
      <c r="G56" s="213" t="s">
        <v>386</v>
      </c>
      <c r="H56" s="141"/>
      <c r="R56"/>
      <c r="S56" s="18"/>
      <c r="T56" t="s">
        <v>260</v>
      </c>
      <c r="U56" t="s">
        <v>270</v>
      </c>
      <c r="V56" s="18"/>
      <c r="W56" s="18"/>
      <c r="X56" s="18"/>
    </row>
    <row r="57" spans="1:24" s="20" customFormat="1" ht="176.4" customHeight="1" x14ac:dyDescent="0.3">
      <c r="A57" s="141"/>
      <c r="B57" s="141"/>
      <c r="C57" s="141" t="s">
        <v>411</v>
      </c>
      <c r="D57" s="141"/>
      <c r="E57" s="141"/>
      <c r="F57" s="141"/>
      <c r="G57" s="141"/>
      <c r="H57" s="141"/>
      <c r="R57"/>
      <c r="S57" s="18"/>
      <c r="T57" t="s">
        <v>262</v>
      </c>
      <c r="U57" t="s">
        <v>271</v>
      </c>
      <c r="V57" s="18"/>
      <c r="W57" s="18"/>
      <c r="X57" s="18"/>
    </row>
    <row r="58" spans="1:24" s="20" customFormat="1" ht="15.75" customHeight="1" x14ac:dyDescent="0.3">
      <c r="A58" s="160" t="s">
        <v>280</v>
      </c>
      <c r="B58" s="162"/>
      <c r="C58" s="198" t="s">
        <v>350</v>
      </c>
      <c r="D58" s="199"/>
      <c r="E58" s="201"/>
      <c r="F58" s="66" t="s">
        <v>40</v>
      </c>
      <c r="G58" s="200" t="s">
        <v>387</v>
      </c>
      <c r="H58" s="201"/>
      <c r="R58"/>
      <c r="S58" s="18"/>
      <c r="T58" t="s">
        <v>263</v>
      </c>
      <c r="U58" s="18" t="s">
        <v>294</v>
      </c>
      <c r="V58" s="18"/>
      <c r="W58" s="18"/>
      <c r="X58" s="18"/>
    </row>
    <row r="59" spans="1:24" s="20" customFormat="1" ht="51.75" customHeight="1" x14ac:dyDescent="0.3">
      <c r="A59" s="214"/>
      <c r="B59" s="215"/>
      <c r="C59" s="198" t="s">
        <v>352</v>
      </c>
      <c r="D59" s="199"/>
      <c r="E59" s="199"/>
      <c r="F59" s="78" t="s">
        <v>351</v>
      </c>
      <c r="G59" s="200" t="s">
        <v>388</v>
      </c>
      <c r="H59" s="201"/>
      <c r="R59"/>
      <c r="S59" s="18"/>
      <c r="T59" t="s">
        <v>264</v>
      </c>
      <c r="U59" s="18"/>
      <c r="V59" s="18"/>
      <c r="W59" s="18"/>
      <c r="X59" s="18"/>
    </row>
    <row r="60" spans="1:24" x14ac:dyDescent="0.3">
      <c r="A60" s="222" t="s">
        <v>42</v>
      </c>
      <c r="B60" s="223"/>
      <c r="C60" s="222" t="s">
        <v>102</v>
      </c>
      <c r="D60" s="224"/>
      <c r="E60" s="223"/>
      <c r="F60" s="40" t="s">
        <v>40</v>
      </c>
      <c r="G60" s="210" t="s">
        <v>28</v>
      </c>
      <c r="H60" s="211"/>
      <c r="R60"/>
      <c r="T60" t="s">
        <v>266</v>
      </c>
    </row>
    <row r="61" spans="1:24" x14ac:dyDescent="0.3">
      <c r="A61" s="194" t="s">
        <v>44</v>
      </c>
      <c r="B61" s="194"/>
      <c r="C61" s="194"/>
      <c r="D61" s="194"/>
      <c r="E61" s="194"/>
      <c r="F61" s="194"/>
      <c r="G61" s="194"/>
      <c r="H61" s="194"/>
      <c r="T61" t="s">
        <v>275</v>
      </c>
    </row>
    <row r="62" spans="1:24" x14ac:dyDescent="0.3">
      <c r="A62" s="131" t="s">
        <v>87</v>
      </c>
      <c r="B62" s="131"/>
      <c r="C62" s="131"/>
      <c r="D62" s="116">
        <f>E46</f>
        <v>136529.56</v>
      </c>
      <c r="E62" s="116"/>
      <c r="F62" s="116"/>
      <c r="G62" s="116"/>
      <c r="H62" s="116"/>
      <c r="R62"/>
    </row>
    <row r="63" spans="1:24" x14ac:dyDescent="0.3">
      <c r="A63" s="141" t="s">
        <v>45</v>
      </c>
      <c r="B63" s="135"/>
      <c r="C63" s="135"/>
      <c r="D63" s="135" t="s">
        <v>403</v>
      </c>
      <c r="E63" s="135"/>
      <c r="F63" s="135"/>
      <c r="G63" s="135"/>
      <c r="H63" s="135"/>
      <c r="I63" s="21"/>
      <c r="R63"/>
    </row>
    <row r="64" spans="1:24" ht="99" customHeight="1" x14ac:dyDescent="0.3">
      <c r="A64" s="160" t="s">
        <v>46</v>
      </c>
      <c r="B64" s="161"/>
      <c r="C64" s="162"/>
      <c r="D64" s="158" t="s">
        <v>420</v>
      </c>
      <c r="E64" s="159"/>
      <c r="F64" s="159"/>
      <c r="G64" s="159"/>
      <c r="H64" s="159"/>
      <c r="R64"/>
    </row>
    <row r="65" spans="1:19" ht="99" customHeight="1" x14ac:dyDescent="0.3">
      <c r="A65" s="160" t="s">
        <v>85</v>
      </c>
      <c r="B65" s="161"/>
      <c r="C65" s="161"/>
      <c r="D65" s="158" t="s">
        <v>419</v>
      </c>
      <c r="E65" s="159"/>
      <c r="F65" s="159"/>
      <c r="G65" s="159"/>
      <c r="H65" s="159"/>
      <c r="R65"/>
    </row>
    <row r="66" spans="1:19" ht="15.75" customHeight="1" x14ac:dyDescent="0.3">
      <c r="A66" s="116" t="s">
        <v>43</v>
      </c>
      <c r="B66" s="116"/>
      <c r="C66" s="116"/>
      <c r="D66" s="131" t="s">
        <v>356</v>
      </c>
      <c r="E66" s="131"/>
      <c r="F66" s="131"/>
      <c r="G66" s="131"/>
      <c r="H66" s="131"/>
      <c r="J66" s="22"/>
      <c r="K66" s="21"/>
      <c r="N66" s="21"/>
      <c r="S66"/>
    </row>
    <row r="67" spans="1:19" ht="15.75" customHeight="1" x14ac:dyDescent="0.3">
      <c r="A67" s="116" t="s">
        <v>83</v>
      </c>
      <c r="B67" s="116"/>
      <c r="C67" s="116"/>
      <c r="D67" s="155" t="str">
        <f>(IF(G60="NA","60 Years After Completion",IF(G60&lt;&gt;"NA",""&amp;60-ROUNDDOWN((E3-G60)/360,0)&amp;" Years"," ")))</f>
        <v>60 Years After Completion</v>
      </c>
      <c r="E67" s="155"/>
      <c r="F67" s="155"/>
      <c r="G67" s="155"/>
      <c r="H67" s="155"/>
      <c r="N67" s="21"/>
      <c r="S67"/>
    </row>
    <row r="68" spans="1:19" ht="15.75" customHeight="1" x14ac:dyDescent="0.3">
      <c r="A68" s="116" t="s">
        <v>84</v>
      </c>
      <c r="B68" s="116"/>
      <c r="C68" s="116"/>
      <c r="D68" s="131" t="s">
        <v>23</v>
      </c>
      <c r="E68" s="131"/>
      <c r="F68" s="131"/>
      <c r="G68" s="131"/>
      <c r="H68" s="131"/>
      <c r="J68" s="23"/>
      <c r="K68" s="23"/>
      <c r="S68"/>
    </row>
    <row r="69" spans="1:19" ht="64.5" customHeight="1" x14ac:dyDescent="0.3">
      <c r="A69" s="135" t="s">
        <v>354</v>
      </c>
      <c r="B69" s="135"/>
      <c r="C69" s="135"/>
      <c r="D69" s="141" t="s">
        <v>353</v>
      </c>
      <c r="E69" s="141"/>
      <c r="F69" s="141"/>
      <c r="G69" s="141"/>
      <c r="H69" s="141"/>
      <c r="I69" s="67" t="s">
        <v>355</v>
      </c>
      <c r="S69"/>
    </row>
    <row r="70" spans="1:19" x14ac:dyDescent="0.3">
      <c r="A70" s="131" t="s">
        <v>144</v>
      </c>
      <c r="B70" s="131"/>
      <c r="C70" s="131"/>
      <c r="D70" s="131" t="s">
        <v>28</v>
      </c>
      <c r="E70" s="131"/>
      <c r="F70" s="131"/>
      <c r="G70" s="131"/>
      <c r="H70" s="131"/>
      <c r="I70" s="24"/>
      <c r="J70" s="24"/>
      <c r="K70" s="24"/>
      <c r="L70" s="24"/>
      <c r="M70" s="24"/>
      <c r="N70" s="24"/>
    </row>
    <row r="71" spans="1:19" ht="15.75" customHeight="1" x14ac:dyDescent="0.3">
      <c r="A71" s="116" t="s">
        <v>82</v>
      </c>
      <c r="B71" s="116"/>
      <c r="C71" s="116"/>
      <c r="D71" s="141" t="str">
        <f ca="1">(IF(G77&gt;95%,"Nothing",IF(G77&gt;0%,"Cement, Aggregate, Steel, etc",IF(G77=0%,"Work not yet Started"))))</f>
        <v>Cement, Aggregate, Steel, etc</v>
      </c>
      <c r="E71" s="141"/>
      <c r="F71" s="141"/>
      <c r="G71" s="141"/>
      <c r="H71" s="141"/>
      <c r="J71" s="23"/>
      <c r="S71"/>
    </row>
    <row r="72" spans="1:19" ht="33.75" customHeight="1" thickBot="1" x14ac:dyDescent="0.35">
      <c r="A72" s="131" t="s">
        <v>115</v>
      </c>
      <c r="B72" s="131"/>
      <c r="C72" s="131"/>
      <c r="D72" s="141" t="str">
        <f ca="1">(IF(D71="Nothing","Yes",IF(D71="Cement, Aggregate, Steel, etc","Under Construction",IF(D71="Work not yet Started","Work not yet Started"))))</f>
        <v>Under Construction</v>
      </c>
      <c r="E72" s="141"/>
      <c r="F72" s="141" t="str">
        <f ca="1">(IF(D71="Nothing","Yes",IF(D71="Cement, Aggregate, Steel, etc","Under Construction",IF(D71="Work not yet Started","Work not yet Started"))))</f>
        <v>Under Construction</v>
      </c>
      <c r="G72" s="141"/>
      <c r="H72" s="141"/>
      <c r="S72"/>
    </row>
    <row r="73" spans="1:19" ht="33.75" customHeight="1" x14ac:dyDescent="0.3">
      <c r="A73" s="126" t="s">
        <v>136</v>
      </c>
      <c r="B73" s="127"/>
      <c r="C73" s="128" t="s">
        <v>409</v>
      </c>
      <c r="D73" s="129"/>
      <c r="E73" s="129"/>
      <c r="F73" s="129"/>
      <c r="G73" s="129"/>
      <c r="H73" s="130"/>
      <c r="I73" s="42" t="str">
        <f ca="1">IF(D86=100%,"All work Completed. Possession granted to the Building.",IF(D85=100%,"All work Completed, Waiting for OC",I74&amp;""&amp;I75&amp;""&amp;J74&amp;""&amp;J73&amp;" "&amp;J75))</f>
        <v xml:space="preserve">Excavation Completed, Footing work is process </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
      <c r="A74" s="15" t="s">
        <v>138</v>
      </c>
      <c r="B74" s="46">
        <f>IF(AND(ISNUMBER(SEARCH("1B",C73))),1,IF(AND(ISNUMBER(SEARCH("2B",C73))),2,IF(AND(ISNUMBER(SEARCH("3B",C73))),3,IF(AND(ISNUMBER(SEARCH("4B",C73))),4,IF(ISNUMBER(SEARCH("5B",C73)),5,0)))))</f>
        <v>3</v>
      </c>
      <c r="C74" s="46" t="s">
        <v>68</v>
      </c>
      <c r="D74" s="46">
        <v>2</v>
      </c>
      <c r="E74" s="46" t="s">
        <v>67</v>
      </c>
      <c r="F74" s="46">
        <v>0</v>
      </c>
      <c r="G74" s="46" t="s">
        <v>76</v>
      </c>
      <c r="H74" s="16">
        <f ca="1">--TRIM(RIGHT(SUBSTITUTE(LEFT(C73,_xlfn.AGGREGATE(16,6,FIND({0,1,2,3,4,5,6,7,8,9},C73,ROW(INDIRECT("1:"&amp;LEN(C73)))),1))," ",REPT(" ",LEN(C73))),LEN(C73)))</f>
        <v>45</v>
      </c>
      <c r="I74" s="44" t="str">
        <f ca="1">IF(D77=100%,"Excavation","")&amp;IF(D78=100%,", Plinth","")&amp;IF(D79=100%,", RCC Slab","")&amp;IF(D80=100%,", Brickwork","")&amp;IF(D81=100%,", Internal Plaster","")&amp;IF(D82=100%,", External Plaster","")&amp;IF(D83=100%,", Flooring","")&amp;IF(D84=100%,", Painting","")&amp;IF(D85=100%,", Building common Amenities","")</f>
        <v>Excavation</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Footing work is process</v>
      </c>
      <c r="S74"/>
    </row>
    <row r="75" spans="1:19" x14ac:dyDescent="0.3">
      <c r="A75" s="124" t="s">
        <v>86</v>
      </c>
      <c r="B75" s="125"/>
      <c r="C75" s="132" t="str">
        <f ca="1">I73</f>
        <v xml:space="preserve">Excavation Completed, Footing work is process </v>
      </c>
      <c r="D75" s="132"/>
      <c r="E75" s="132"/>
      <c r="F75" s="132"/>
      <c r="G75" s="132"/>
      <c r="H75" s="133"/>
      <c r="I75" s="44" t="str">
        <f ca="1">IF(I74&lt;&gt;""," Completed","")</f>
        <v xml:space="preserve"> Completed</v>
      </c>
      <c r="J75" s="45" t="str">
        <f ca="1">IF(J73&lt;&gt;"","Completed","")</f>
        <v/>
      </c>
      <c r="S75"/>
    </row>
    <row r="76" spans="1:19" ht="15.75" customHeight="1" x14ac:dyDescent="0.3">
      <c r="A76" s="122" t="s">
        <v>47</v>
      </c>
      <c r="B76" s="123"/>
      <c r="C76" s="68" t="s">
        <v>135</v>
      </c>
      <c r="D76" s="68" t="s">
        <v>79</v>
      </c>
      <c r="E76" s="176" t="s">
        <v>81</v>
      </c>
      <c r="F76" s="176"/>
      <c r="G76" s="176" t="s">
        <v>80</v>
      </c>
      <c r="H76" s="177"/>
      <c r="I76" s="13" t="s">
        <v>137</v>
      </c>
      <c r="J76" s="25">
        <f ca="1">H74*25%</f>
        <v>11.25</v>
      </c>
      <c r="S76"/>
    </row>
    <row r="77" spans="1:19" x14ac:dyDescent="0.3">
      <c r="A77" s="122" t="s">
        <v>124</v>
      </c>
      <c r="B77" s="123"/>
      <c r="C77" s="81">
        <f ca="1">J78</f>
        <v>45</v>
      </c>
      <c r="D77" s="69">
        <f ca="1">((100/H74)*C77)/100</f>
        <v>1</v>
      </c>
      <c r="E77" s="178">
        <f ca="1">(((C78/H74*10)+(40/(D74+F74+H74)*C79)+(7.5/(H74)*C80)+(7.5/(H74)*C81)+(10/H74*C82)+(10/H74*C83)+(5/H74*C84)+(5/H74*C85)+(5/H74*C86))/100)</f>
        <v>0.02</v>
      </c>
      <c r="F77" s="179"/>
      <c r="G77" s="178">
        <f ca="1">((((C77/H74)*20)+((C78/H74)*25)+(30/(H74+F74+D74)*C79)+(5/H74*C80)+(5/H74*C81)+(5/H74*C82)+(5/H74*C83)+(0/H74*C84)+(0/H74*C85)+(5/H74*C86))/100)</f>
        <v>0.25</v>
      </c>
      <c r="H77" s="184"/>
      <c r="I77" s="13" t="s">
        <v>97</v>
      </c>
      <c r="J77" s="26">
        <f ca="1">H74*50%</f>
        <v>22.5</v>
      </c>
    </row>
    <row r="78" spans="1:19" x14ac:dyDescent="0.3">
      <c r="A78" s="122" t="s">
        <v>48</v>
      </c>
      <c r="B78" s="123"/>
      <c r="C78" s="81">
        <f ca="1">J79</f>
        <v>9</v>
      </c>
      <c r="D78" s="69">
        <f ca="1">((100/H74)*C78)/100</f>
        <v>0.2</v>
      </c>
      <c r="E78" s="180"/>
      <c r="F78" s="181"/>
      <c r="G78" s="180"/>
      <c r="H78" s="185"/>
      <c r="I78" s="13" t="s">
        <v>98</v>
      </c>
      <c r="J78" s="26">
        <f ca="1">H74</f>
        <v>45</v>
      </c>
      <c r="S78"/>
    </row>
    <row r="79" spans="1:19" ht="15.75" customHeight="1" x14ac:dyDescent="0.3">
      <c r="A79" s="122" t="s">
        <v>125</v>
      </c>
      <c r="B79" s="123"/>
      <c r="C79" s="68">
        <v>0</v>
      </c>
      <c r="D79" s="69">
        <f ca="1">((100/(D74+F74+H74))*C79)/100</f>
        <v>0</v>
      </c>
      <c r="E79" s="180"/>
      <c r="F79" s="181"/>
      <c r="G79" s="180"/>
      <c r="H79" s="185"/>
      <c r="I79" s="13" t="s">
        <v>99</v>
      </c>
      <c r="J79" s="27">
        <f ca="1">(IF(B74&gt;1,(H74/(B74+2)),H74/4))</f>
        <v>9</v>
      </c>
      <c r="S79"/>
    </row>
    <row r="80" spans="1:19" ht="15.75" customHeight="1" x14ac:dyDescent="0.3">
      <c r="A80" s="122" t="s">
        <v>132</v>
      </c>
      <c r="B80" s="123" t="s">
        <v>126</v>
      </c>
      <c r="C80" s="68">
        <v>0</v>
      </c>
      <c r="D80" s="69">
        <f ca="1">((100/H74)*C80)/100</f>
        <v>0</v>
      </c>
      <c r="E80" s="180"/>
      <c r="F80" s="181"/>
      <c r="G80" s="180"/>
      <c r="H80" s="185"/>
      <c r="I80" s="13" t="s">
        <v>100</v>
      </c>
      <c r="J80" s="27">
        <f ca="1">(IF(B74&gt;1,(H74/(B74+2)+J79),H74/4+J79))</f>
        <v>18</v>
      </c>
    </row>
    <row r="81" spans="1:22" ht="15.75" customHeight="1" x14ac:dyDescent="0.3">
      <c r="A81" s="122" t="s">
        <v>133</v>
      </c>
      <c r="B81" s="123" t="s">
        <v>126</v>
      </c>
      <c r="C81" s="68">
        <v>0</v>
      </c>
      <c r="D81" s="69">
        <f ca="1">((100/H74)*C81)/100</f>
        <v>0</v>
      </c>
      <c r="E81" s="180"/>
      <c r="F81" s="181"/>
      <c r="G81" s="180"/>
      <c r="H81" s="185"/>
      <c r="I81" s="13" t="s">
        <v>142</v>
      </c>
      <c r="J81" s="27">
        <f ca="1">(IF(B74&gt;1,(H74/(B74+2)+J80),0))</f>
        <v>27</v>
      </c>
    </row>
    <row r="82" spans="1:22" ht="15" customHeight="1" x14ac:dyDescent="0.3">
      <c r="A82" s="122" t="s">
        <v>131</v>
      </c>
      <c r="B82" s="123" t="s">
        <v>128</v>
      </c>
      <c r="C82" s="68">
        <v>0</v>
      </c>
      <c r="D82" s="69">
        <f ca="1">((100/(H74))*C82)/100</f>
        <v>0</v>
      </c>
      <c r="E82" s="180"/>
      <c r="F82" s="181"/>
      <c r="G82" s="180"/>
      <c r="H82" s="185"/>
      <c r="I82" s="13" t="s">
        <v>139</v>
      </c>
      <c r="J82" s="27">
        <f ca="1">(IF(B74&gt;2,(H74/(B74+2)+J81),0))</f>
        <v>36</v>
      </c>
      <c r="L82"/>
    </row>
    <row r="83" spans="1:22" ht="15.75" customHeight="1" x14ac:dyDescent="0.3">
      <c r="A83" s="122" t="s">
        <v>127</v>
      </c>
      <c r="B83" s="123" t="s">
        <v>127</v>
      </c>
      <c r="C83" s="68">
        <v>0</v>
      </c>
      <c r="D83" s="69">
        <f ca="1">((100/H74)*C83)/100</f>
        <v>0</v>
      </c>
      <c r="E83" s="180"/>
      <c r="F83" s="181"/>
      <c r="G83" s="180"/>
      <c r="H83" s="185"/>
      <c r="I83" s="13" t="s">
        <v>140</v>
      </c>
      <c r="J83" s="28">
        <f>(IF(B74&gt;3,(H74/(B74+2)+J82),0))</f>
        <v>0</v>
      </c>
    </row>
    <row r="84" spans="1:22" ht="15.75" customHeight="1" x14ac:dyDescent="0.3">
      <c r="A84" s="122" t="s">
        <v>134</v>
      </c>
      <c r="B84" s="123"/>
      <c r="C84" s="68">
        <v>0</v>
      </c>
      <c r="D84" s="69">
        <f ca="1">((100/H74)*C84)/100</f>
        <v>0</v>
      </c>
      <c r="E84" s="180"/>
      <c r="F84" s="181"/>
      <c r="G84" s="180"/>
      <c r="H84" s="185"/>
      <c r="I84" s="13" t="s">
        <v>141</v>
      </c>
      <c r="J84" s="27">
        <f>(IF(B74&gt;4,(H74/(B74+2)+J83),0))</f>
        <v>0</v>
      </c>
    </row>
    <row r="85" spans="1:22" ht="15.75" customHeight="1" x14ac:dyDescent="0.3">
      <c r="A85" s="122" t="s">
        <v>129</v>
      </c>
      <c r="B85" s="123" t="s">
        <v>129</v>
      </c>
      <c r="C85" s="68">
        <v>0</v>
      </c>
      <c r="D85" s="69">
        <f ca="1">((100/(H74))*C85)/100</f>
        <v>0</v>
      </c>
      <c r="E85" s="180"/>
      <c r="F85" s="181"/>
      <c r="G85" s="180"/>
      <c r="H85" s="185"/>
      <c r="I85" s="13" t="s">
        <v>143</v>
      </c>
      <c r="J85" s="27">
        <f>(IF(B74=1,(H74/(B74+3)+J80),IF(B74=0,(H74/4+J80),IF(B74&gt;1,0))))</f>
        <v>0</v>
      </c>
    </row>
    <row r="86" spans="1:22" ht="16.2" thickBot="1" x14ac:dyDescent="0.35">
      <c r="A86" s="187" t="s">
        <v>130</v>
      </c>
      <c r="B86" s="188"/>
      <c r="C86" s="70">
        <v>0</v>
      </c>
      <c r="D86" s="71">
        <f ca="1">((100/(H74))*C86)/100</f>
        <v>0</v>
      </c>
      <c r="E86" s="182"/>
      <c r="F86" s="183"/>
      <c r="G86" s="182"/>
      <c r="H86" s="186"/>
      <c r="I86" s="14" t="s">
        <v>101</v>
      </c>
      <c r="J86" s="29">
        <f ca="1">(IF(B74&gt;1.5,(H74/(B74+2)+J80+MAX(0,J81-J80)+MAX(0,J82-J81)+MAX(0,J83-J82)+MAX(0,J84-J83)+MAX(0,J85-J84)),IF(B74=1,(H74/(B74+3)+J85),IF(B74=0,H74/4+J85))))</f>
        <v>45</v>
      </c>
    </row>
    <row r="87" spans="1:22" x14ac:dyDescent="0.3">
      <c r="A87" s="119" t="s">
        <v>153</v>
      </c>
      <c r="B87" s="119"/>
      <c r="C87" s="119"/>
      <c r="D87" s="119"/>
      <c r="E87" s="119"/>
      <c r="F87" s="148" t="s">
        <v>157</v>
      </c>
      <c r="G87" s="148"/>
      <c r="H87" s="148"/>
      <c r="R87" t="s">
        <v>250</v>
      </c>
      <c r="S87" t="s">
        <v>169</v>
      </c>
      <c r="T87" t="s">
        <v>175</v>
      </c>
      <c r="U87" t="s">
        <v>190</v>
      </c>
      <c r="V87" t="s">
        <v>185</v>
      </c>
    </row>
    <row r="88" spans="1:22" x14ac:dyDescent="0.3">
      <c r="A88" s="116" t="s">
        <v>155</v>
      </c>
      <c r="B88" s="116"/>
      <c r="C88" s="116"/>
      <c r="D88" s="116"/>
      <c r="E88" s="116"/>
      <c r="F88" s="115">
        <v>10000</v>
      </c>
      <c r="G88" s="115"/>
      <c r="H88" s="115"/>
      <c r="R88"/>
      <c r="S88">
        <v>800000</v>
      </c>
      <c r="T88">
        <v>150000</v>
      </c>
      <c r="U88">
        <v>100000</v>
      </c>
      <c r="V88">
        <v>100000</v>
      </c>
    </row>
    <row r="89" spans="1:22" hidden="1" x14ac:dyDescent="0.3">
      <c r="A89" s="116" t="s">
        <v>154</v>
      </c>
      <c r="B89" s="116"/>
      <c r="C89" s="116"/>
      <c r="D89" s="116"/>
      <c r="E89" s="116"/>
      <c r="F89" s="115"/>
      <c r="G89" s="115"/>
      <c r="H89" s="115"/>
      <c r="R89"/>
      <c r="S89">
        <v>900000</v>
      </c>
      <c r="T89">
        <v>200000</v>
      </c>
      <c r="U89">
        <v>150000</v>
      </c>
      <c r="V89">
        <v>150000</v>
      </c>
    </row>
    <row r="90" spans="1:22" hidden="1" x14ac:dyDescent="0.3">
      <c r="A90" s="116" t="s">
        <v>156</v>
      </c>
      <c r="B90" s="116"/>
      <c r="C90" s="116"/>
      <c r="D90" s="116"/>
      <c r="E90" s="116"/>
      <c r="F90" s="115"/>
      <c r="G90" s="115"/>
      <c r="H90" s="115"/>
      <c r="R90"/>
      <c r="S90">
        <v>1000000</v>
      </c>
      <c r="T90">
        <v>250000</v>
      </c>
      <c r="U90">
        <v>200000</v>
      </c>
      <c r="V90">
        <v>200000</v>
      </c>
    </row>
    <row r="91" spans="1:22" s="30" customFormat="1" hidden="1" x14ac:dyDescent="0.3">
      <c r="A91" s="116" t="s">
        <v>172</v>
      </c>
      <c r="B91" s="116"/>
      <c r="C91" s="116"/>
      <c r="D91" s="116"/>
      <c r="E91" s="116"/>
      <c r="F91" s="115"/>
      <c r="G91" s="115"/>
      <c r="H91" s="115"/>
      <c r="R91"/>
      <c r="S91">
        <v>1100000</v>
      </c>
      <c r="T91">
        <v>300000</v>
      </c>
      <c r="U91">
        <v>250000</v>
      </c>
      <c r="V91" s="20">
        <v>250000</v>
      </c>
    </row>
    <row r="92" spans="1:22" s="30" customFormat="1" hidden="1" x14ac:dyDescent="0.3">
      <c r="A92" s="116" t="s">
        <v>91</v>
      </c>
      <c r="B92" s="116"/>
      <c r="C92" s="116"/>
      <c r="D92" s="116"/>
      <c r="E92" s="116"/>
      <c r="F92" s="115"/>
      <c r="G92" s="115"/>
      <c r="H92" s="115"/>
      <c r="R92"/>
      <c r="S92">
        <v>1200000</v>
      </c>
      <c r="T92">
        <v>350000</v>
      </c>
      <c r="U92">
        <v>300000</v>
      </c>
      <c r="V92">
        <v>300000</v>
      </c>
    </row>
    <row r="93" spans="1:22" s="30" customFormat="1" hidden="1" x14ac:dyDescent="0.3">
      <c r="A93" s="116" t="s">
        <v>92</v>
      </c>
      <c r="B93" s="116"/>
      <c r="C93" s="116"/>
      <c r="D93" s="116"/>
      <c r="E93" s="116"/>
      <c r="F93" s="115"/>
      <c r="G93" s="115"/>
      <c r="H93" s="115"/>
      <c r="R93"/>
      <c r="S93">
        <v>1300000</v>
      </c>
      <c r="T93">
        <v>400000</v>
      </c>
      <c r="U93">
        <v>350000</v>
      </c>
      <c r="V93" s="20">
        <v>400000</v>
      </c>
    </row>
    <row r="94" spans="1:22" s="30" customFormat="1" hidden="1" x14ac:dyDescent="0.3">
      <c r="A94" s="116" t="s">
        <v>93</v>
      </c>
      <c r="B94" s="116"/>
      <c r="C94" s="116"/>
      <c r="D94" s="116"/>
      <c r="E94" s="116"/>
      <c r="F94" s="115"/>
      <c r="G94" s="115"/>
      <c r="H94" s="115"/>
      <c r="R94"/>
      <c r="S94">
        <v>1400000</v>
      </c>
      <c r="T94">
        <v>500000</v>
      </c>
      <c r="U94">
        <v>400000</v>
      </c>
      <c r="V94"/>
    </row>
    <row r="95" spans="1:22" s="30" customFormat="1" hidden="1" x14ac:dyDescent="0.3">
      <c r="A95" s="116" t="s">
        <v>94</v>
      </c>
      <c r="B95" s="116"/>
      <c r="C95" s="116"/>
      <c r="D95" s="116"/>
      <c r="E95" s="116"/>
      <c r="F95" s="115"/>
      <c r="G95" s="115"/>
      <c r="H95" s="115"/>
      <c r="R95"/>
      <c r="S95">
        <v>1500000</v>
      </c>
      <c r="T95">
        <v>600000</v>
      </c>
      <c r="U95">
        <v>500000</v>
      </c>
      <c r="V95" s="20"/>
    </row>
    <row r="96" spans="1:22" s="30" customFormat="1" hidden="1" x14ac:dyDescent="0.3">
      <c r="A96" s="116" t="s">
        <v>95</v>
      </c>
      <c r="B96" s="116"/>
      <c r="C96" s="116"/>
      <c r="D96" s="116"/>
      <c r="E96" s="116"/>
      <c r="F96" s="115"/>
      <c r="G96" s="115"/>
      <c r="H96" s="115"/>
      <c r="R96"/>
      <c r="S96">
        <v>1600000</v>
      </c>
      <c r="T96">
        <v>700000</v>
      </c>
      <c r="U96">
        <v>600000</v>
      </c>
      <c r="V96"/>
    </row>
    <row r="97" spans="1:22" s="30" customFormat="1" hidden="1" x14ac:dyDescent="0.3">
      <c r="A97" s="116" t="s">
        <v>96</v>
      </c>
      <c r="B97" s="116"/>
      <c r="C97" s="116"/>
      <c r="D97" s="116"/>
      <c r="E97" s="116"/>
      <c r="F97" s="115"/>
      <c r="G97" s="115"/>
      <c r="H97" s="115"/>
      <c r="R97"/>
      <c r="S97">
        <v>1700000</v>
      </c>
      <c r="T97">
        <v>800000</v>
      </c>
      <c r="U97"/>
      <c r="V97" s="20"/>
    </row>
    <row r="98" spans="1:22" x14ac:dyDescent="0.3">
      <c r="A98" s="116" t="s">
        <v>49</v>
      </c>
      <c r="B98" s="116"/>
      <c r="C98" s="116"/>
      <c r="D98" s="116"/>
      <c r="E98" s="116"/>
      <c r="F98" s="115">
        <v>500000</v>
      </c>
      <c r="G98" s="115"/>
      <c r="H98" s="115"/>
      <c r="R98"/>
      <c r="S98">
        <v>1800000</v>
      </c>
      <c r="T98">
        <v>900000</v>
      </c>
      <c r="U98"/>
    </row>
    <row r="99" spans="1:22" s="31" customFormat="1" x14ac:dyDescent="0.3">
      <c r="A99" s="154" t="s">
        <v>50</v>
      </c>
      <c r="B99" s="154"/>
      <c r="C99" s="154"/>
      <c r="D99" s="154"/>
      <c r="E99" s="154"/>
      <c r="F99" s="115">
        <f>F88*0.8</f>
        <v>8000</v>
      </c>
      <c r="G99" s="115"/>
      <c r="H99" s="115"/>
      <c r="R99" s="18"/>
      <c r="S99" s="18"/>
      <c r="T99">
        <v>1000000</v>
      </c>
      <c r="U99"/>
      <c r="V99" s="18"/>
    </row>
    <row r="100" spans="1:22" s="32" customFormat="1" ht="15.75" hidden="1" customHeight="1" x14ac:dyDescent="0.3">
      <c r="A100" s="139" t="s">
        <v>71</v>
      </c>
      <c r="B100" s="139"/>
      <c r="C100" s="139"/>
      <c r="D100" s="139"/>
      <c r="E100" s="139"/>
      <c r="F100" s="139"/>
      <c r="G100" s="139"/>
      <c r="H100" s="139"/>
      <c r="R100"/>
      <c r="S100" s="18"/>
      <c r="T100"/>
      <c r="U100"/>
      <c r="V100" s="18"/>
    </row>
    <row r="101" spans="1:22" s="32" customFormat="1" ht="15.75" hidden="1" customHeight="1" x14ac:dyDescent="0.3">
      <c r="A101" s="190" t="s">
        <v>51</v>
      </c>
      <c r="B101" s="190"/>
      <c r="C101" s="189" t="s">
        <v>74</v>
      </c>
      <c r="D101" s="189"/>
      <c r="E101" s="137" t="s">
        <v>52</v>
      </c>
      <c r="F101" s="137"/>
      <c r="G101" s="190" t="s">
        <v>53</v>
      </c>
      <c r="H101" s="190"/>
      <c r="R101"/>
      <c r="S101" s="18"/>
      <c r="T101"/>
      <c r="U101" s="18"/>
      <c r="V101" s="18"/>
    </row>
    <row r="102" spans="1:22" s="32" customFormat="1" hidden="1" x14ac:dyDescent="0.3">
      <c r="A102" s="193"/>
      <c r="B102" s="193"/>
      <c r="C102" s="142"/>
      <c r="D102" s="142"/>
      <c r="E102" s="143"/>
      <c r="F102" s="143"/>
      <c r="G102" s="195"/>
      <c r="H102" s="195"/>
      <c r="R102"/>
      <c r="S102" s="18"/>
      <c r="T102"/>
      <c r="U102" s="18"/>
      <c r="V102" s="18"/>
    </row>
    <row r="103" spans="1:22" s="32" customFormat="1" hidden="1" x14ac:dyDescent="0.3">
      <c r="A103" s="193"/>
      <c r="B103" s="193"/>
      <c r="C103" s="142"/>
      <c r="D103" s="142"/>
      <c r="E103" s="143"/>
      <c r="F103" s="143"/>
      <c r="G103" s="195"/>
      <c r="H103" s="195"/>
      <c r="R103"/>
      <c r="S103" s="18"/>
      <c r="T103"/>
      <c r="U103" s="18"/>
      <c r="V103" s="18"/>
    </row>
    <row r="104" spans="1:22" s="32" customFormat="1" hidden="1" x14ac:dyDescent="0.3">
      <c r="A104" s="139" t="s">
        <v>146</v>
      </c>
      <c r="B104" s="139"/>
      <c r="C104" s="189"/>
      <c r="D104" s="189"/>
      <c r="E104" s="137"/>
      <c r="F104" s="137"/>
      <c r="G104" s="190"/>
      <c r="H104" s="190"/>
      <c r="R104"/>
      <c r="S104" s="18"/>
      <c r="T104"/>
      <c r="U104" s="18"/>
      <c r="V104" s="18"/>
    </row>
    <row r="105" spans="1:22" s="32" customFormat="1" x14ac:dyDescent="0.3">
      <c r="A105" s="139" t="s">
        <v>66</v>
      </c>
      <c r="B105" s="139"/>
      <c r="C105" s="139"/>
      <c r="D105" s="139"/>
      <c r="E105" s="139"/>
      <c r="F105" s="139"/>
      <c r="G105" s="139"/>
      <c r="H105" s="139"/>
      <c r="T105"/>
    </row>
    <row r="106" spans="1:22" s="32" customFormat="1" ht="15.75" customHeight="1" x14ac:dyDescent="0.3">
      <c r="A106" s="190" t="s">
        <v>51</v>
      </c>
      <c r="B106" s="190"/>
      <c r="C106" s="189" t="s">
        <v>74</v>
      </c>
      <c r="D106" s="189"/>
      <c r="E106" s="137" t="s">
        <v>52</v>
      </c>
      <c r="F106" s="137"/>
      <c r="G106" s="190" t="s">
        <v>53</v>
      </c>
      <c r="H106" s="190"/>
      <c r="T106"/>
    </row>
    <row r="107" spans="1:22" s="32" customFormat="1" ht="15.75" customHeight="1" x14ac:dyDescent="0.3">
      <c r="A107" s="229" t="s">
        <v>359</v>
      </c>
      <c r="B107" s="77" t="s">
        <v>378</v>
      </c>
      <c r="C107" s="147">
        <f>COUNT(D148:D157)*26+COUNT(D161:D168)*6+COUNT(D170:D179)*6+COUNT(D183:D190)</f>
        <v>376</v>
      </c>
      <c r="D107" s="147"/>
      <c r="E107" s="147">
        <f t="shared" ref="E107" si="0">SUM(F148:F157)*26+SUM(F161:F168)*6+SUM(F170:F179)*6+SUM(F183:F190)</f>
        <v>220443.08176799997</v>
      </c>
      <c r="F107" s="147"/>
      <c r="G107" s="147">
        <f t="shared" ref="G107" si="1">SUM(H148:H157)*26+SUM(H161:H168)*6+SUM(H170:H179)*6+SUM(H183:H190)</f>
        <v>330664.62265199999</v>
      </c>
      <c r="H107" s="147"/>
      <c r="T107"/>
    </row>
    <row r="108" spans="1:22" s="32" customFormat="1" x14ac:dyDescent="0.3">
      <c r="A108" s="230"/>
      <c r="B108" s="77" t="s">
        <v>376</v>
      </c>
      <c r="C108" s="147">
        <f>COUNT(D202:D211)*26+COUNT(D213:D222)*6+COUNT(D224:D233)*6+COUNT(D235:D244)</f>
        <v>390</v>
      </c>
      <c r="D108" s="147"/>
      <c r="E108" s="147">
        <f t="shared" ref="E108" si="2">SUM(F202:F211)*26+SUM(F213:F222)*6+SUM(F224:F233)*6+SUM(F235:F244)</f>
        <v>197680.53708000001</v>
      </c>
      <c r="F108" s="147"/>
      <c r="G108" s="147">
        <f t="shared" ref="G108" si="3">SUM(H202:H211)*26+SUM(H213:H222)*6+SUM(H224:H233)*6+SUM(H235:H244)</f>
        <v>296520.80562</v>
      </c>
      <c r="H108" s="147"/>
      <c r="T108"/>
    </row>
    <row r="109" spans="1:22" s="32" customFormat="1" x14ac:dyDescent="0.3">
      <c r="A109" s="230"/>
      <c r="B109" s="77" t="s">
        <v>401</v>
      </c>
      <c r="C109" s="147">
        <f>COUNT(D256:D263)*12+COUNT(D265:D272)*2+COUNT(D274:D281)*8+COUNT(D283:D290)*2+COUNT(D292:D296)+COUNT(D298:D302)+COUNT(D304:D308)*11+COUNT(D310:D314)*2</f>
        <v>267</v>
      </c>
      <c r="D109" s="147"/>
      <c r="E109" s="147">
        <f t="shared" ref="E109" si="4">SUM(F256:F263)*12+SUM(F265:F272)*2+SUM(F274:F281)*8+SUM(F283:F290)*2+SUM(F292:F296)+SUM(F298:F302)+SUM(F304:F308)*11+SUM(F310:F314)*2</f>
        <v>155499.65028</v>
      </c>
      <c r="F109" s="147"/>
      <c r="G109" s="147">
        <f t="shared" ref="G109" si="5">SUM(H256:H263)*12+SUM(H265:H272)*2+SUM(H274:H281)*8+SUM(H283:H290)*2+SUM(H292:H296)+SUM(H298:H302)+SUM(H304:H308)*11+SUM(H310:H314)*2</f>
        <v>233249.47542000003</v>
      </c>
      <c r="H109" s="147"/>
      <c r="T109"/>
    </row>
    <row r="110" spans="1:22" s="32" customFormat="1" x14ac:dyDescent="0.3">
      <c r="A110" s="231"/>
      <c r="B110" s="77" t="s">
        <v>402</v>
      </c>
      <c r="C110" s="147">
        <f>COUNT(D326:D335)*12+COUNT(D338:D346)*2+COUNT(D348:D357)*8+COUNT(D360:D368)*2+COUNT(D371:D376)+COUNT(D378:D384)+COUNT(D386:D392)*11+COUNT(D395:D400)*2</f>
        <v>338</v>
      </c>
      <c r="D110" s="147"/>
      <c r="E110" s="147">
        <f t="shared" ref="E110" si="6">SUM(F326:F335)*12+SUM(F338:F346)*2+SUM(F348:F357)*8+SUM(F360:F368)*2+SUM(F371:F376)+SUM(F378:F384)+SUM(F386:F392)*11+SUM(F395:F400)*2</f>
        <v>199482.75359999997</v>
      </c>
      <c r="F110" s="147"/>
      <c r="G110" s="147">
        <f t="shared" ref="G110" si="7">SUM(H326:H335)*12+SUM(H338:H346)*2+SUM(H348:H357)*8+SUM(H360:H368)*2+SUM(H371:H376)+SUM(H378:H384)+SUM(H386:H392)*11+SUM(H395:H400)*2</f>
        <v>299224.13040000008</v>
      </c>
      <c r="H110" s="147"/>
      <c r="T110"/>
    </row>
    <row r="111" spans="1:22" s="32" customFormat="1" x14ac:dyDescent="0.3">
      <c r="A111" s="232" t="s">
        <v>146</v>
      </c>
      <c r="B111" s="232"/>
      <c r="C111" s="134">
        <f>SUM(C107:D110)</f>
        <v>1371</v>
      </c>
      <c r="D111" s="134"/>
      <c r="E111" s="134">
        <f t="shared" ref="E111" si="8">SUM(E107:F110)</f>
        <v>773106.02272799984</v>
      </c>
      <c r="F111" s="134"/>
      <c r="G111" s="134">
        <f t="shared" ref="G111" si="9">SUM(G107:H110)</f>
        <v>1159659.0340920002</v>
      </c>
      <c r="H111" s="134"/>
      <c r="T111"/>
    </row>
    <row r="112" spans="1:22" s="32" customFormat="1" hidden="1" x14ac:dyDescent="0.3">
      <c r="A112" s="206" t="s">
        <v>163</v>
      </c>
      <c r="B112" s="207"/>
      <c r="C112" s="208">
        <f>C104+C111</f>
        <v>1371</v>
      </c>
      <c r="D112" s="208"/>
      <c r="E112" s="175">
        <f>E104+E111</f>
        <v>773106.02272799984</v>
      </c>
      <c r="F112" s="175"/>
      <c r="G112" s="144">
        <f>G104+G111</f>
        <v>1159659.0340920002</v>
      </c>
      <c r="H112" s="145"/>
      <c r="T112"/>
    </row>
    <row r="113" spans="1:20" s="31" customFormat="1" x14ac:dyDescent="0.3">
      <c r="A113" s="138" t="s">
        <v>357</v>
      </c>
      <c r="B113" s="138"/>
      <c r="C113" s="138"/>
      <c r="D113" s="138"/>
      <c r="E113" s="138"/>
      <c r="F113" s="138"/>
      <c r="G113" s="138"/>
      <c r="H113" s="138"/>
      <c r="T113" s="32"/>
    </row>
    <row r="114" spans="1:20" x14ac:dyDescent="0.3">
      <c r="A114" s="168" t="s">
        <v>171</v>
      </c>
      <c r="B114" s="168"/>
      <c r="C114" s="168"/>
      <c r="D114" s="168"/>
      <c r="E114" s="168"/>
      <c r="F114" s="168"/>
      <c r="G114" s="168"/>
      <c r="H114" s="168"/>
      <c r="T114" s="32"/>
    </row>
    <row r="115" spans="1:20" ht="47.25" customHeight="1" x14ac:dyDescent="0.3">
      <c r="A115" s="102" t="s">
        <v>116</v>
      </c>
      <c r="B115" s="102" t="s">
        <v>173</v>
      </c>
      <c r="C115" s="102" t="s">
        <v>54</v>
      </c>
      <c r="D115" s="117" t="s">
        <v>228</v>
      </c>
      <c r="E115" s="120" t="s">
        <v>152</v>
      </c>
      <c r="F115" s="102" t="s">
        <v>55</v>
      </c>
      <c r="G115" s="120" t="s">
        <v>56</v>
      </c>
      <c r="H115" s="76" t="s">
        <v>145</v>
      </c>
      <c r="T115" s="32"/>
    </row>
    <row r="116" spans="1:20" s="34" customFormat="1" x14ac:dyDescent="0.3">
      <c r="A116" s="103"/>
      <c r="B116" s="103"/>
      <c r="C116" s="103"/>
      <c r="D116" s="118"/>
      <c r="E116" s="121"/>
      <c r="F116" s="103"/>
      <c r="G116" s="121"/>
      <c r="H116" s="75">
        <v>0.55000000000000004</v>
      </c>
      <c r="T116" s="32"/>
    </row>
    <row r="117" spans="1:20" s="34" customFormat="1" x14ac:dyDescent="0.3">
      <c r="A117" s="88" t="s">
        <v>359</v>
      </c>
      <c r="B117" s="89"/>
      <c r="C117" s="89"/>
      <c r="D117" s="89"/>
      <c r="E117" s="89"/>
      <c r="F117" s="89"/>
      <c r="G117" s="89"/>
      <c r="H117" s="90"/>
      <c r="J117" s="33"/>
      <c r="T117" s="32"/>
    </row>
    <row r="118" spans="1:20" s="34" customFormat="1" ht="15.75" customHeight="1" x14ac:dyDescent="0.3">
      <c r="A118" s="88" t="s">
        <v>361</v>
      </c>
      <c r="B118" s="89"/>
      <c r="C118" s="89"/>
      <c r="D118" s="89"/>
      <c r="E118" s="89"/>
      <c r="F118" s="89"/>
      <c r="G118" s="89"/>
      <c r="H118" s="90"/>
      <c r="I118" s="33"/>
      <c r="L118" s="136"/>
      <c r="M118" s="136"/>
      <c r="N118" s="33"/>
      <c r="T118" s="32"/>
    </row>
    <row r="119" spans="1:20" s="34" customFormat="1" ht="15.75" customHeight="1" x14ac:dyDescent="0.3">
      <c r="A119" s="88" t="s">
        <v>362</v>
      </c>
      <c r="B119" s="89"/>
      <c r="C119" s="89"/>
      <c r="D119" s="89"/>
      <c r="E119" s="89"/>
      <c r="F119" s="89"/>
      <c r="G119" s="89"/>
      <c r="H119" s="90"/>
      <c r="I119" s="33"/>
      <c r="N119" s="33"/>
      <c r="T119" s="32"/>
    </row>
    <row r="120" spans="1:20" s="34" customFormat="1" ht="15.75" customHeight="1" x14ac:dyDescent="0.3">
      <c r="A120" s="88" t="s">
        <v>363</v>
      </c>
      <c r="B120" s="89"/>
      <c r="C120" s="89"/>
      <c r="D120" s="89"/>
      <c r="E120" s="89"/>
      <c r="F120" s="89"/>
      <c r="G120" s="89"/>
      <c r="H120" s="90"/>
      <c r="I120" s="33"/>
      <c r="N120" s="33"/>
      <c r="T120" s="32"/>
    </row>
    <row r="121" spans="1:20" s="34" customFormat="1" ht="15.75" customHeight="1" x14ac:dyDescent="0.3">
      <c r="A121" s="85" t="s">
        <v>382</v>
      </c>
      <c r="B121" s="85"/>
      <c r="C121" s="85"/>
      <c r="D121" s="85"/>
      <c r="E121" s="85"/>
      <c r="F121" s="85"/>
      <c r="G121" s="85"/>
      <c r="H121" s="85"/>
      <c r="I121" s="33"/>
      <c r="N121" s="33"/>
    </row>
    <row r="122" spans="1:20" s="34" customFormat="1" ht="15.75" customHeight="1" x14ac:dyDescent="0.3">
      <c r="A122" s="88" t="s">
        <v>364</v>
      </c>
      <c r="B122" s="89"/>
      <c r="C122" s="89"/>
      <c r="D122" s="89"/>
      <c r="E122" s="89"/>
      <c r="F122" s="89"/>
      <c r="G122" s="89"/>
      <c r="H122" s="90"/>
      <c r="I122" s="33"/>
      <c r="N122" s="33"/>
      <c r="T122" s="32"/>
    </row>
    <row r="123" spans="1:20" s="34" customFormat="1" ht="15.75" customHeight="1" x14ac:dyDescent="0.3">
      <c r="A123" s="88" t="s">
        <v>408</v>
      </c>
      <c r="B123" s="89"/>
      <c r="C123" s="89"/>
      <c r="D123" s="89"/>
      <c r="E123" s="89"/>
      <c r="F123" s="89"/>
      <c r="G123" s="89"/>
      <c r="H123" s="90"/>
      <c r="I123" s="33"/>
      <c r="N123" s="33"/>
      <c r="T123" s="32"/>
    </row>
    <row r="124" spans="1:20" s="34" customFormat="1" ht="15.75" customHeight="1" x14ac:dyDescent="0.3">
      <c r="A124" s="88" t="s">
        <v>407</v>
      </c>
      <c r="B124" s="89"/>
      <c r="C124" s="89"/>
      <c r="D124" s="89"/>
      <c r="E124" s="89"/>
      <c r="F124" s="89"/>
      <c r="G124" s="89"/>
      <c r="H124" s="90"/>
      <c r="I124" s="33"/>
      <c r="N124" s="33"/>
      <c r="T124" s="32"/>
    </row>
    <row r="125" spans="1:20" s="34" customFormat="1" ht="15.75" customHeight="1" x14ac:dyDescent="0.3">
      <c r="A125" s="88" t="s">
        <v>406</v>
      </c>
      <c r="B125" s="89"/>
      <c r="C125" s="89"/>
      <c r="D125" s="89"/>
      <c r="E125" s="89"/>
      <c r="F125" s="89"/>
      <c r="G125" s="89"/>
      <c r="H125" s="90"/>
      <c r="I125" s="33"/>
      <c r="N125" s="33"/>
      <c r="T125" s="32"/>
    </row>
    <row r="126" spans="1:20" s="34" customFormat="1" ht="15.75" customHeight="1" x14ac:dyDescent="0.3">
      <c r="A126" s="88" t="s">
        <v>365</v>
      </c>
      <c r="B126" s="89"/>
      <c r="C126" s="89"/>
      <c r="D126" s="89"/>
      <c r="E126" s="89"/>
      <c r="F126" s="89"/>
      <c r="G126" s="89"/>
      <c r="H126" s="90"/>
      <c r="I126" s="33"/>
      <c r="N126" s="33"/>
      <c r="T126" s="32"/>
    </row>
    <row r="127" spans="1:20" s="34" customFormat="1" ht="15.75" customHeight="1" x14ac:dyDescent="0.3">
      <c r="A127" s="88" t="s">
        <v>405</v>
      </c>
      <c r="B127" s="89"/>
      <c r="C127" s="89"/>
      <c r="D127" s="89"/>
      <c r="E127" s="89"/>
      <c r="F127" s="89"/>
      <c r="G127" s="89"/>
      <c r="H127" s="90"/>
      <c r="I127" s="33"/>
      <c r="L127" s="136"/>
      <c r="M127" s="136"/>
      <c r="N127" s="33"/>
      <c r="T127" s="31"/>
    </row>
    <row r="128" spans="1:20" s="34" customFormat="1" ht="15.75" hidden="1" customHeight="1" x14ac:dyDescent="0.3">
      <c r="A128" s="88"/>
      <c r="B128" s="89"/>
      <c r="C128" s="89"/>
      <c r="D128" s="89"/>
      <c r="E128" s="89"/>
      <c r="F128" s="89"/>
      <c r="G128" s="89"/>
      <c r="H128" s="90"/>
      <c r="I128" s="33"/>
      <c r="N128" s="33"/>
      <c r="T128" s="31"/>
    </row>
    <row r="129" spans="1:20" s="34" customFormat="1" ht="15.75" hidden="1" customHeight="1" x14ac:dyDescent="0.3">
      <c r="A129" s="86">
        <v>1</v>
      </c>
      <c r="B129" s="87"/>
      <c r="C129" s="39"/>
      <c r="D129" s="39">
        <v>0</v>
      </c>
      <c r="E129" s="39">
        <v>0</v>
      </c>
      <c r="F129" s="39">
        <f>D129+(IF(E129&lt;201,E129,IF(E129&lt;301,E129/2,E129/3)))</f>
        <v>0</v>
      </c>
      <c r="G129" s="39">
        <v>0</v>
      </c>
      <c r="H129" s="39">
        <f>(F129+(IF(G129&lt;101,G129,IF(G129&lt;201,G129/2,IF(G129&lt;=301,G129/3,G129/4)))))*(($H$116)+1)</f>
        <v>0</v>
      </c>
      <c r="I129" s="33"/>
      <c r="L129" s="136"/>
      <c r="M129" s="136"/>
      <c r="N129" s="33"/>
      <c r="T129" s="18"/>
    </row>
    <row r="130" spans="1:20" s="34" customFormat="1" ht="15.75" hidden="1" customHeight="1" x14ac:dyDescent="0.3">
      <c r="A130" s="86">
        <f>A129+1</f>
        <v>2</v>
      </c>
      <c r="B130" s="87"/>
      <c r="C130" s="39"/>
      <c r="D130" s="39"/>
      <c r="E130" s="39">
        <v>0</v>
      </c>
      <c r="F130" s="39">
        <f t="shared" ref="F130:F132" si="10">D130+(IF(E130&lt;201,E130,IF(E130&lt;301,E130/2,E130/3)))</f>
        <v>0</v>
      </c>
      <c r="G130" s="39">
        <v>0</v>
      </c>
      <c r="H130" s="39">
        <f t="shared" ref="H130:H132" si="11">(F130+(IF(G130&lt;101,G130,IF(G130&lt;201,G130/2,IF(G130&lt;=301,G130/3,G130/4)))))*(($H$116)+1)</f>
        <v>0</v>
      </c>
      <c r="I130" s="33"/>
      <c r="L130" s="136"/>
      <c r="M130" s="136"/>
      <c r="N130" s="33"/>
      <c r="T130" s="18"/>
    </row>
    <row r="131" spans="1:20" s="34" customFormat="1" ht="15.75" hidden="1" customHeight="1" x14ac:dyDescent="0.3">
      <c r="A131" s="86">
        <f>A130+1</f>
        <v>3</v>
      </c>
      <c r="B131" s="87"/>
      <c r="C131" s="39"/>
      <c r="D131" s="39"/>
      <c r="E131" s="39">
        <v>0</v>
      </c>
      <c r="F131" s="39">
        <f t="shared" si="10"/>
        <v>0</v>
      </c>
      <c r="G131" s="39">
        <v>0</v>
      </c>
      <c r="H131" s="39">
        <f t="shared" si="11"/>
        <v>0</v>
      </c>
      <c r="I131" s="33"/>
      <c r="N131" s="33"/>
    </row>
    <row r="132" spans="1:20" ht="47.25" hidden="1" customHeight="1" x14ac:dyDescent="0.3">
      <c r="A132" s="86">
        <f>A131+1</f>
        <v>4</v>
      </c>
      <c r="B132" s="87"/>
      <c r="C132" s="39"/>
      <c r="D132" s="39"/>
      <c r="E132" s="39">
        <v>0</v>
      </c>
      <c r="F132" s="39">
        <f t="shared" si="10"/>
        <v>0</v>
      </c>
      <c r="G132" s="39">
        <v>0</v>
      </c>
      <c r="H132" s="39">
        <f t="shared" si="11"/>
        <v>0</v>
      </c>
      <c r="I132" s="33"/>
      <c r="T132" s="34"/>
    </row>
    <row r="133" spans="1:20" s="34" customFormat="1" x14ac:dyDescent="0.3">
      <c r="A133" s="86"/>
      <c r="B133" s="99"/>
      <c r="C133" s="99"/>
      <c r="D133" s="99"/>
      <c r="E133" s="99"/>
      <c r="F133" s="99"/>
      <c r="G133" s="99"/>
      <c r="H133" s="87"/>
      <c r="I133" s="33"/>
    </row>
    <row r="134" spans="1:20" s="34" customFormat="1" ht="46.8" x14ac:dyDescent="0.3">
      <c r="A134" s="100" t="s">
        <v>117</v>
      </c>
      <c r="B134" s="102" t="s">
        <v>174</v>
      </c>
      <c r="C134" s="102" t="s">
        <v>54</v>
      </c>
      <c r="D134" s="117" t="s">
        <v>228</v>
      </c>
      <c r="E134" s="102" t="s">
        <v>369</v>
      </c>
      <c r="F134" s="102" t="s">
        <v>55</v>
      </c>
      <c r="G134" s="120" t="s">
        <v>56</v>
      </c>
      <c r="H134" s="56" t="s">
        <v>145</v>
      </c>
      <c r="J134" s="33"/>
    </row>
    <row r="135" spans="1:20" s="34" customFormat="1" ht="15.75" customHeight="1" x14ac:dyDescent="0.3">
      <c r="A135" s="101"/>
      <c r="B135" s="103"/>
      <c r="C135" s="103"/>
      <c r="D135" s="118"/>
      <c r="E135" s="103"/>
      <c r="F135" s="103"/>
      <c r="G135" s="121"/>
      <c r="H135" s="75">
        <v>0.5</v>
      </c>
      <c r="I135" s="33"/>
      <c r="L135" s="136"/>
      <c r="M135" s="136"/>
      <c r="N135" s="33"/>
    </row>
    <row r="136" spans="1:20" s="34" customFormat="1" ht="15.75" customHeight="1" x14ac:dyDescent="0.3">
      <c r="A136" s="88" t="s">
        <v>366</v>
      </c>
      <c r="B136" s="89"/>
      <c r="C136" s="89"/>
      <c r="D136" s="89"/>
      <c r="E136" s="89"/>
      <c r="F136" s="89"/>
      <c r="G136" s="89"/>
      <c r="H136" s="90"/>
      <c r="I136" s="33"/>
      <c r="L136" s="136"/>
      <c r="M136" s="136"/>
      <c r="N136" s="33"/>
    </row>
    <row r="137" spans="1:20" s="34" customFormat="1" ht="15.75" customHeight="1" x14ac:dyDescent="0.3">
      <c r="A137" s="88" t="s">
        <v>367</v>
      </c>
      <c r="B137" s="89"/>
      <c r="C137" s="89"/>
      <c r="D137" s="89"/>
      <c r="E137" s="89"/>
      <c r="F137" s="89"/>
      <c r="G137" s="89"/>
      <c r="H137" s="90"/>
      <c r="I137" s="33"/>
      <c r="L137" s="136"/>
      <c r="M137" s="136"/>
      <c r="N137" s="33"/>
    </row>
    <row r="138" spans="1:20" s="34" customFormat="1" ht="15.75" customHeight="1" x14ac:dyDescent="0.3">
      <c r="A138" s="85" t="s">
        <v>362</v>
      </c>
      <c r="B138" s="85"/>
      <c r="C138" s="85"/>
      <c r="D138" s="85"/>
      <c r="E138" s="85"/>
      <c r="F138" s="85"/>
      <c r="G138" s="85"/>
      <c r="H138" s="85"/>
      <c r="I138" s="33"/>
      <c r="N138" s="33"/>
    </row>
    <row r="139" spans="1:20" s="34" customFormat="1" ht="15.75" customHeight="1" x14ac:dyDescent="0.3">
      <c r="A139" s="85" t="s">
        <v>363</v>
      </c>
      <c r="B139" s="85"/>
      <c r="C139" s="85"/>
      <c r="D139" s="85"/>
      <c r="E139" s="85"/>
      <c r="F139" s="85"/>
      <c r="G139" s="85"/>
      <c r="H139" s="85"/>
      <c r="I139" s="33"/>
      <c r="N139" s="33"/>
    </row>
    <row r="140" spans="1:20" s="34" customFormat="1" ht="15.75" customHeight="1" x14ac:dyDescent="0.3">
      <c r="A140" s="88" t="s">
        <v>364</v>
      </c>
      <c r="B140" s="89"/>
      <c r="C140" s="89"/>
      <c r="D140" s="89"/>
      <c r="E140" s="89"/>
      <c r="F140" s="89"/>
      <c r="G140" s="89"/>
      <c r="H140" s="90"/>
      <c r="I140" s="33"/>
      <c r="N140" s="33"/>
      <c r="T140" s="32"/>
    </row>
    <row r="141" spans="1:20" s="34" customFormat="1" ht="15.75" customHeight="1" x14ac:dyDescent="0.3">
      <c r="A141" s="88" t="s">
        <v>408</v>
      </c>
      <c r="B141" s="89"/>
      <c r="C141" s="89"/>
      <c r="D141" s="89"/>
      <c r="E141" s="89"/>
      <c r="F141" s="89"/>
      <c r="G141" s="89"/>
      <c r="H141" s="90"/>
      <c r="I141" s="33"/>
      <c r="N141" s="33"/>
      <c r="T141" s="32"/>
    </row>
    <row r="142" spans="1:20" s="34" customFormat="1" ht="15.75" customHeight="1" x14ac:dyDescent="0.3">
      <c r="A142" s="88" t="s">
        <v>407</v>
      </c>
      <c r="B142" s="89"/>
      <c r="C142" s="89"/>
      <c r="D142" s="89"/>
      <c r="E142" s="89"/>
      <c r="F142" s="89"/>
      <c r="G142" s="89"/>
      <c r="H142" s="90"/>
      <c r="I142" s="33"/>
      <c r="N142" s="33"/>
      <c r="T142" s="32"/>
    </row>
    <row r="143" spans="1:20" s="34" customFormat="1" ht="15.75" customHeight="1" x14ac:dyDescent="0.3">
      <c r="A143" s="88" t="s">
        <v>406</v>
      </c>
      <c r="B143" s="89"/>
      <c r="C143" s="89"/>
      <c r="D143" s="89"/>
      <c r="E143" s="89"/>
      <c r="F143" s="89"/>
      <c r="G143" s="89"/>
      <c r="H143" s="90"/>
      <c r="I143" s="33"/>
      <c r="N143" s="33"/>
      <c r="T143" s="32"/>
    </row>
    <row r="144" spans="1:20" s="34" customFormat="1" ht="15.75" customHeight="1" x14ac:dyDescent="0.3">
      <c r="A144" s="88" t="s">
        <v>365</v>
      </c>
      <c r="B144" s="89"/>
      <c r="C144" s="89"/>
      <c r="D144" s="89"/>
      <c r="E144" s="89"/>
      <c r="F144" s="89"/>
      <c r="G144" s="89"/>
      <c r="H144" s="90"/>
      <c r="I144" s="33"/>
      <c r="N144" s="33"/>
      <c r="T144" s="32"/>
    </row>
    <row r="145" spans="1:20" s="34" customFormat="1" ht="15.75" customHeight="1" x14ac:dyDescent="0.3">
      <c r="A145" s="88" t="s">
        <v>405</v>
      </c>
      <c r="B145" s="89"/>
      <c r="C145" s="89"/>
      <c r="D145" s="89"/>
      <c r="E145" s="89"/>
      <c r="F145" s="89"/>
      <c r="G145" s="89"/>
      <c r="H145" s="90"/>
      <c r="I145" s="33"/>
      <c r="N145" s="33"/>
    </row>
    <row r="146" spans="1:20" s="34" customFormat="1" ht="31.5" customHeight="1" x14ac:dyDescent="0.3">
      <c r="A146" s="85" t="s">
        <v>410</v>
      </c>
      <c r="B146" s="85"/>
      <c r="C146" s="85"/>
      <c r="D146" s="85"/>
      <c r="E146" s="85"/>
      <c r="F146" s="85"/>
      <c r="G146" s="85"/>
      <c r="H146" s="85"/>
      <c r="I146" s="33"/>
      <c r="N146" s="33"/>
    </row>
    <row r="147" spans="1:20" s="34" customFormat="1" ht="35.25" customHeight="1" x14ac:dyDescent="0.3">
      <c r="A147" s="85" t="s">
        <v>368</v>
      </c>
      <c r="B147" s="85"/>
      <c r="C147" s="85"/>
      <c r="D147" s="85"/>
      <c r="E147" s="85"/>
      <c r="F147" s="85"/>
      <c r="G147" s="85"/>
      <c r="H147" s="85"/>
      <c r="I147" s="33"/>
      <c r="N147" s="33"/>
    </row>
    <row r="148" spans="1:20" s="34" customFormat="1" ht="15.75" customHeight="1" x14ac:dyDescent="0.3">
      <c r="A148" s="86">
        <v>1</v>
      </c>
      <c r="B148" s="87"/>
      <c r="C148" s="72" t="s">
        <v>370</v>
      </c>
      <c r="D148" s="73">
        <f>(52.55)*10.764</f>
        <v>565.64819999999997</v>
      </c>
      <c r="E148" s="73">
        <f>(1.2*(2.7+3)+0.6*3.4+1.4*1)*10.764</f>
        <v>110.65391999999999</v>
      </c>
      <c r="F148" s="39">
        <f t="shared" ref="F148:F157" si="12">D148+E148</f>
        <v>676.30211999999995</v>
      </c>
      <c r="G148" s="39">
        <v>0</v>
      </c>
      <c r="H148" s="39">
        <f t="shared" ref="H148:H157" si="13">F148*(($H$135)+1)+(IF(G148&lt;101,G148,IF(G148&lt;201,G148/2,IF(G148&lt;=301,G148/3,G148/4))))</f>
        <v>1014.45318</v>
      </c>
      <c r="I148" s="33"/>
      <c r="L148" s="136"/>
      <c r="M148" s="136"/>
      <c r="N148" s="33"/>
      <c r="T148" s="18"/>
    </row>
    <row r="149" spans="1:20" s="34" customFormat="1" x14ac:dyDescent="0.3">
      <c r="A149" s="86">
        <f>A148+1</f>
        <v>2</v>
      </c>
      <c r="B149" s="87"/>
      <c r="C149" s="72" t="s">
        <v>371</v>
      </c>
      <c r="D149" s="73">
        <f>(33.91)*10.764</f>
        <v>365.00723999999997</v>
      </c>
      <c r="E149" s="73">
        <f>(0.75*(2.75+2)+2*1.8)*10.764</f>
        <v>77.097149999999985</v>
      </c>
      <c r="F149" s="39">
        <f t="shared" si="12"/>
        <v>442.10438999999997</v>
      </c>
      <c r="G149" s="39">
        <v>0</v>
      </c>
      <c r="H149" s="39">
        <f t="shared" si="13"/>
        <v>663.15658499999995</v>
      </c>
      <c r="I149" s="33"/>
      <c r="L149" s="136"/>
      <c r="M149" s="136"/>
    </row>
    <row r="150" spans="1:20" s="34" customFormat="1" x14ac:dyDescent="0.3">
      <c r="A150" s="86">
        <f>A149+1</f>
        <v>3</v>
      </c>
      <c r="B150" s="87"/>
      <c r="C150" s="72" t="s">
        <v>371</v>
      </c>
      <c r="D150" s="73">
        <f>(29.89)*10.764</f>
        <v>321.73595999999998</v>
      </c>
      <c r="E150" s="73">
        <f>(1.2*(2.75+1.95)+2*1.8)*10.764</f>
        <v>99.45935999999999</v>
      </c>
      <c r="F150" s="39">
        <f t="shared" si="12"/>
        <v>421.19531999999998</v>
      </c>
      <c r="G150" s="39">
        <v>0</v>
      </c>
      <c r="H150" s="39">
        <f t="shared" si="13"/>
        <v>631.79297999999994</v>
      </c>
      <c r="I150" s="33"/>
      <c r="N150" s="33"/>
    </row>
    <row r="151" spans="1:20" s="34" customFormat="1" x14ac:dyDescent="0.3">
      <c r="A151" s="86">
        <f>A150+1</f>
        <v>4</v>
      </c>
      <c r="B151" s="87"/>
      <c r="C151" s="72" t="s">
        <v>372</v>
      </c>
      <c r="D151" s="73">
        <f>(71.55)*10.764</f>
        <v>770.16419999999994</v>
      </c>
      <c r="E151" s="73">
        <f>(1.2*(2.8+2.75)+2.9*0.6+2.1*0.9+3*0.75)*10.764</f>
        <v>134.98055999999997</v>
      </c>
      <c r="F151" s="39">
        <f t="shared" si="12"/>
        <v>905.14475999999991</v>
      </c>
      <c r="G151" s="39">
        <v>0</v>
      </c>
      <c r="H151" s="39">
        <f t="shared" si="13"/>
        <v>1357.7171399999997</v>
      </c>
      <c r="I151" s="33"/>
      <c r="N151" s="33"/>
    </row>
    <row r="152" spans="1:20" s="34" customFormat="1" x14ac:dyDescent="0.3">
      <c r="A152" s="86">
        <f>A151+1</f>
        <v>5</v>
      </c>
      <c r="B152" s="87"/>
      <c r="C152" s="74" t="s">
        <v>373</v>
      </c>
      <c r="D152" s="73">
        <f>(64.17)*10.764</f>
        <v>690.72587999999996</v>
      </c>
      <c r="E152" s="73">
        <f>(0.75*(3.2+2.7*2)+2*1.2)*10.764</f>
        <v>95.261400000000009</v>
      </c>
      <c r="F152" s="39">
        <f t="shared" si="12"/>
        <v>785.98727999999994</v>
      </c>
      <c r="G152" s="39">
        <v>0</v>
      </c>
      <c r="H152" s="39">
        <f t="shared" si="13"/>
        <v>1178.98092</v>
      </c>
      <c r="I152" s="33"/>
      <c r="N152" s="33"/>
    </row>
    <row r="153" spans="1:20" s="34" customFormat="1" x14ac:dyDescent="0.3">
      <c r="A153" s="91">
        <v>6</v>
      </c>
      <c r="B153" s="91"/>
      <c r="C153" s="72" t="s">
        <v>371</v>
      </c>
      <c r="D153" s="73">
        <f>(29.87)*10.764</f>
        <v>321.52067999999997</v>
      </c>
      <c r="E153" s="73">
        <f>(2*1.8+1.2*(1.95+2.75))*10.764</f>
        <v>99.45935999999999</v>
      </c>
      <c r="F153" s="39">
        <f t="shared" si="12"/>
        <v>420.98003999999997</v>
      </c>
      <c r="G153" s="39">
        <v>0</v>
      </c>
      <c r="H153" s="39">
        <f t="shared" si="13"/>
        <v>631.47005999999999</v>
      </c>
      <c r="I153" s="33"/>
      <c r="N153" s="33"/>
    </row>
    <row r="154" spans="1:20" s="34" customFormat="1" x14ac:dyDescent="0.3">
      <c r="A154" s="91">
        <f>A153+1</f>
        <v>7</v>
      </c>
      <c r="B154" s="91"/>
      <c r="C154" s="72" t="s">
        <v>371</v>
      </c>
      <c r="D154" s="73">
        <f>(29.87)*10.764</f>
        <v>321.52067999999997</v>
      </c>
      <c r="E154" s="73">
        <f>(2*1.8+1.2*(1.95+2.75))*10.764</f>
        <v>99.45935999999999</v>
      </c>
      <c r="F154" s="39">
        <f t="shared" si="12"/>
        <v>420.98003999999997</v>
      </c>
      <c r="G154" s="39">
        <v>0</v>
      </c>
      <c r="H154" s="39">
        <f t="shared" si="13"/>
        <v>631.47005999999999</v>
      </c>
      <c r="I154" s="33"/>
      <c r="N154" s="33"/>
    </row>
    <row r="155" spans="1:20" s="34" customFormat="1" ht="15.75" customHeight="1" x14ac:dyDescent="0.3">
      <c r="A155" s="91">
        <f>A154+1</f>
        <v>8</v>
      </c>
      <c r="B155" s="91"/>
      <c r="C155" s="72" t="s">
        <v>370</v>
      </c>
      <c r="D155" s="73">
        <f>(49.24)*10.764</f>
        <v>530.01936000000001</v>
      </c>
      <c r="E155" s="73">
        <f>(1.2*(2.7+2))*10.764</f>
        <v>60.70895999999999</v>
      </c>
      <c r="F155" s="39">
        <f t="shared" si="12"/>
        <v>590.72831999999994</v>
      </c>
      <c r="G155" s="39">
        <v>0</v>
      </c>
      <c r="H155" s="39">
        <f t="shared" si="13"/>
        <v>886.09247999999991</v>
      </c>
      <c r="I155" s="33"/>
    </row>
    <row r="156" spans="1:20" s="34" customFormat="1" ht="15.75" customHeight="1" x14ac:dyDescent="0.3">
      <c r="A156" s="91">
        <f>A155+1</f>
        <v>9</v>
      </c>
      <c r="B156" s="91"/>
      <c r="C156" s="72" t="s">
        <v>371</v>
      </c>
      <c r="D156" s="73">
        <f>(33.53)*10.764</f>
        <v>360.91692</v>
      </c>
      <c r="E156" s="73">
        <f>(2*1.8+1.2*(2+2.74))*10.764</f>
        <v>99.976032000000004</v>
      </c>
      <c r="F156" s="39">
        <f t="shared" si="12"/>
        <v>460.89295200000004</v>
      </c>
      <c r="G156" s="39">
        <v>0</v>
      </c>
      <c r="H156" s="39">
        <f t="shared" si="13"/>
        <v>691.339428</v>
      </c>
      <c r="I156" s="33"/>
    </row>
    <row r="157" spans="1:20" s="34" customFormat="1" ht="15.75" customHeight="1" x14ac:dyDescent="0.3">
      <c r="A157" s="91">
        <f>A156+1</f>
        <v>10</v>
      </c>
      <c r="B157" s="91"/>
      <c r="C157" s="72" t="s">
        <v>370</v>
      </c>
      <c r="D157" s="73">
        <f>(55.54)*10.764</f>
        <v>597.83255999999994</v>
      </c>
      <c r="E157" s="73">
        <f>(1.2*(2.7+3)+3*0.75+1.4*1)*10.764</f>
        <v>112.91436</v>
      </c>
      <c r="F157" s="39">
        <f t="shared" si="12"/>
        <v>710.74691999999993</v>
      </c>
      <c r="G157" s="39">
        <v>0</v>
      </c>
      <c r="H157" s="39">
        <f t="shared" si="13"/>
        <v>1066.1203799999998</v>
      </c>
      <c r="I157" s="33"/>
    </row>
    <row r="158" spans="1:20" s="34" customFormat="1" ht="15.75" customHeight="1" x14ac:dyDescent="0.3">
      <c r="A158" s="85" t="s">
        <v>374</v>
      </c>
      <c r="B158" s="85"/>
      <c r="C158" s="85"/>
      <c r="D158" s="85"/>
      <c r="E158" s="85"/>
      <c r="F158" s="85"/>
      <c r="G158" s="85"/>
      <c r="H158" s="85"/>
      <c r="I158" s="33"/>
    </row>
    <row r="159" spans="1:20" s="34" customFormat="1" ht="15.75" customHeight="1" x14ac:dyDescent="0.3">
      <c r="A159" s="91">
        <v>1</v>
      </c>
      <c r="B159" s="91"/>
      <c r="C159" s="91" t="s">
        <v>375</v>
      </c>
      <c r="D159" s="91"/>
      <c r="E159" s="91"/>
      <c r="F159" s="91"/>
      <c r="G159" s="91"/>
      <c r="H159" s="91"/>
      <c r="I159" s="33"/>
    </row>
    <row r="160" spans="1:20" s="34" customFormat="1" ht="15.75" customHeight="1" x14ac:dyDescent="0.3">
      <c r="A160" s="91">
        <f>A159+1</f>
        <v>2</v>
      </c>
      <c r="B160" s="91"/>
      <c r="C160" s="91"/>
      <c r="D160" s="91"/>
      <c r="E160" s="91"/>
      <c r="F160" s="91"/>
      <c r="G160" s="91"/>
      <c r="H160" s="91"/>
      <c r="I160" s="33"/>
    </row>
    <row r="161" spans="1:20" s="34" customFormat="1" ht="15.75" customHeight="1" x14ac:dyDescent="0.3">
      <c r="A161" s="91">
        <f>A160+1</f>
        <v>3</v>
      </c>
      <c r="B161" s="91"/>
      <c r="C161" s="72" t="s">
        <v>371</v>
      </c>
      <c r="D161" s="73">
        <f>(29.89)*10.764</f>
        <v>321.73595999999998</v>
      </c>
      <c r="E161" s="73">
        <f>(1.2*(2.75+1.95)+2*1.8)*10.764</f>
        <v>99.45935999999999</v>
      </c>
      <c r="F161" s="39">
        <f t="shared" ref="F161:F168" si="14">D161+E161</f>
        <v>421.19531999999998</v>
      </c>
      <c r="G161" s="39">
        <v>0</v>
      </c>
      <c r="H161" s="39">
        <f t="shared" ref="H161:H168" si="15">F161*(($H$135)+1)+(IF(G161&lt;101,G161,IF(G161&lt;201,G161/2,IF(G161&lt;=301,G161/3,G161/4))))</f>
        <v>631.79297999999994</v>
      </c>
      <c r="I161" s="33"/>
    </row>
    <row r="162" spans="1:20" s="34" customFormat="1" ht="15.75" customHeight="1" x14ac:dyDescent="0.3">
      <c r="A162" s="91">
        <f>A161+1</f>
        <v>4</v>
      </c>
      <c r="B162" s="91"/>
      <c r="C162" s="72" t="s">
        <v>372</v>
      </c>
      <c r="D162" s="73">
        <f>(71.55)*10.764</f>
        <v>770.16419999999994</v>
      </c>
      <c r="E162" s="73">
        <f>(1.2*(2.8+2.75)+2.9*0.6+2.1*0.9+3*0.75)*10.764</f>
        <v>134.98055999999997</v>
      </c>
      <c r="F162" s="39">
        <f t="shared" si="14"/>
        <v>905.14475999999991</v>
      </c>
      <c r="G162" s="39">
        <v>0</v>
      </c>
      <c r="H162" s="39">
        <f t="shared" si="15"/>
        <v>1357.7171399999997</v>
      </c>
      <c r="I162" s="33"/>
    </row>
    <row r="163" spans="1:20" s="34" customFormat="1" ht="15.75" customHeight="1" x14ac:dyDescent="0.3">
      <c r="A163" s="91">
        <f>A162+1</f>
        <v>5</v>
      </c>
      <c r="B163" s="91"/>
      <c r="C163" s="74" t="s">
        <v>373</v>
      </c>
      <c r="D163" s="73">
        <f>(64.17)*10.764</f>
        <v>690.72587999999996</v>
      </c>
      <c r="E163" s="73">
        <f>(0.75*(3.2+2.7*2)+2*1.2)*10.764</f>
        <v>95.261400000000009</v>
      </c>
      <c r="F163" s="39">
        <f t="shared" si="14"/>
        <v>785.98727999999994</v>
      </c>
      <c r="G163" s="39">
        <v>0</v>
      </c>
      <c r="H163" s="39">
        <f t="shared" si="15"/>
        <v>1178.98092</v>
      </c>
      <c r="I163" s="33"/>
    </row>
    <row r="164" spans="1:20" s="34" customFormat="1" ht="15.75" customHeight="1" x14ac:dyDescent="0.3">
      <c r="A164" s="91">
        <v>6</v>
      </c>
      <c r="B164" s="91"/>
      <c r="C164" s="72" t="s">
        <v>371</v>
      </c>
      <c r="D164" s="73">
        <f>(29.87)*10.764</f>
        <v>321.52067999999997</v>
      </c>
      <c r="E164" s="73">
        <f>(2*1.8+1.2*(1.95+2.75))*10.764</f>
        <v>99.45935999999999</v>
      </c>
      <c r="F164" s="39">
        <f t="shared" si="14"/>
        <v>420.98003999999997</v>
      </c>
      <c r="G164" s="39">
        <v>0</v>
      </c>
      <c r="H164" s="39">
        <f t="shared" si="15"/>
        <v>631.47005999999999</v>
      </c>
      <c r="I164" s="33"/>
    </row>
    <row r="165" spans="1:20" s="34" customFormat="1" ht="15.75" customHeight="1" x14ac:dyDescent="0.3">
      <c r="A165" s="91">
        <f>A164+1</f>
        <v>7</v>
      </c>
      <c r="B165" s="91"/>
      <c r="C165" s="72" t="s">
        <v>371</v>
      </c>
      <c r="D165" s="73">
        <f>(29.87)*10.764</f>
        <v>321.52067999999997</v>
      </c>
      <c r="E165" s="73">
        <f>(2*1.8+1.2*(1.95+2.75))*10.764</f>
        <v>99.45935999999999</v>
      </c>
      <c r="F165" s="39">
        <f t="shared" si="14"/>
        <v>420.98003999999997</v>
      </c>
      <c r="G165" s="39">
        <v>0</v>
      </c>
      <c r="H165" s="39">
        <f t="shared" si="15"/>
        <v>631.47005999999999</v>
      </c>
      <c r="I165" s="33"/>
    </row>
    <row r="166" spans="1:20" s="34" customFormat="1" ht="15.75" customHeight="1" x14ac:dyDescent="0.3">
      <c r="A166" s="91">
        <f>A165+1</f>
        <v>8</v>
      </c>
      <c r="B166" s="91"/>
      <c r="C166" s="72" t="s">
        <v>370</v>
      </c>
      <c r="D166" s="73">
        <f>(49.24)*10.764</f>
        <v>530.01936000000001</v>
      </c>
      <c r="E166" s="73">
        <f>(1.2*(2.7+2))*10.764</f>
        <v>60.70895999999999</v>
      </c>
      <c r="F166" s="39">
        <f t="shared" si="14"/>
        <v>590.72831999999994</v>
      </c>
      <c r="G166" s="39">
        <v>0</v>
      </c>
      <c r="H166" s="39">
        <f t="shared" si="15"/>
        <v>886.09247999999991</v>
      </c>
      <c r="I166" s="33"/>
    </row>
    <row r="167" spans="1:20" s="34" customFormat="1" ht="15.75" customHeight="1" x14ac:dyDescent="0.3">
      <c r="A167" s="91">
        <f>A166+1</f>
        <v>9</v>
      </c>
      <c r="B167" s="91"/>
      <c r="C167" s="72" t="s">
        <v>371</v>
      </c>
      <c r="D167" s="73">
        <f>(33.53)*10.764</f>
        <v>360.91692</v>
      </c>
      <c r="E167" s="73">
        <f>(2*1.8+1.2*(2+2.74))*10.764</f>
        <v>99.976032000000004</v>
      </c>
      <c r="F167" s="39">
        <f t="shared" si="14"/>
        <v>460.89295200000004</v>
      </c>
      <c r="G167" s="39">
        <v>0</v>
      </c>
      <c r="H167" s="39">
        <f t="shared" si="15"/>
        <v>691.339428</v>
      </c>
      <c r="I167" s="33"/>
    </row>
    <row r="168" spans="1:20" s="34" customFormat="1" ht="15.75" customHeight="1" x14ac:dyDescent="0.3">
      <c r="A168" s="91">
        <f>A167+1</f>
        <v>10</v>
      </c>
      <c r="B168" s="91"/>
      <c r="C168" s="72" t="s">
        <v>370</v>
      </c>
      <c r="D168" s="73">
        <f>(55.54)*10.764</f>
        <v>597.83255999999994</v>
      </c>
      <c r="E168" s="73">
        <f>(1.2*(2.7+3)+3*0.75+1.4*1)*10.764</f>
        <v>112.91436</v>
      </c>
      <c r="F168" s="39">
        <f t="shared" si="14"/>
        <v>710.74691999999993</v>
      </c>
      <c r="G168" s="39">
        <v>0</v>
      </c>
      <c r="H168" s="39">
        <f t="shared" si="15"/>
        <v>1066.1203799999998</v>
      </c>
      <c r="I168" s="33"/>
    </row>
    <row r="169" spans="1:20" s="34" customFormat="1" x14ac:dyDescent="0.3">
      <c r="A169" s="85" t="s">
        <v>399</v>
      </c>
      <c r="B169" s="85"/>
      <c r="C169" s="85"/>
      <c r="D169" s="85"/>
      <c r="E169" s="85"/>
      <c r="F169" s="85"/>
      <c r="G169" s="85"/>
      <c r="H169" s="85"/>
      <c r="I169" s="33"/>
      <c r="N169" s="33"/>
    </row>
    <row r="170" spans="1:20" s="34" customFormat="1" ht="15.75" customHeight="1" x14ac:dyDescent="0.3">
      <c r="A170" s="86">
        <v>1</v>
      </c>
      <c r="B170" s="87"/>
      <c r="C170" s="72" t="s">
        <v>370</v>
      </c>
      <c r="D170" s="73">
        <f>(52.55)*10.764</f>
        <v>565.64819999999997</v>
      </c>
      <c r="E170" s="73">
        <f>(1.2*(2.7+3)+0.6*3.4+1.4*1)*10.764</f>
        <v>110.65391999999999</v>
      </c>
      <c r="F170" s="39">
        <f t="shared" ref="F170:F179" si="16">D170+E170</f>
        <v>676.30211999999995</v>
      </c>
      <c r="G170" s="39">
        <v>0</v>
      </c>
      <c r="H170" s="39">
        <f t="shared" ref="H170:H179" si="17">F170*(($H$135)+1)+(IF(G170&lt;101,G170,IF(G170&lt;201,G170/2,IF(G170&lt;=301,G170/3,G170/4))))</f>
        <v>1014.45318</v>
      </c>
      <c r="I170" s="33">
        <f>(5.92*3+2.1*1.55+1.75*3.2+2.35*3.4+1.32*1.15+1.2*2.1+2.58*2.7+1.35*0.6+2.22*1.3)</f>
        <v>49.305000000000007</v>
      </c>
      <c r="L170" s="136"/>
      <c r="M170" s="136"/>
      <c r="N170" s="33"/>
      <c r="T170" s="18"/>
    </row>
    <row r="171" spans="1:20" s="34" customFormat="1" x14ac:dyDescent="0.3">
      <c r="A171" s="86">
        <f>A170+1</f>
        <v>2</v>
      </c>
      <c r="B171" s="87"/>
      <c r="C171" s="72" t="s">
        <v>371</v>
      </c>
      <c r="D171" s="73">
        <f>(33.91)*10.764</f>
        <v>365.00723999999997</v>
      </c>
      <c r="E171" s="73">
        <f>(0.75*(2.75+2)+2*1.8)*10.764</f>
        <v>77.097149999999985</v>
      </c>
      <c r="F171" s="39">
        <f t="shared" si="16"/>
        <v>442.10438999999997</v>
      </c>
      <c r="G171" s="39">
        <v>0</v>
      </c>
      <c r="H171" s="39">
        <f t="shared" si="17"/>
        <v>663.15658499999995</v>
      </c>
      <c r="I171" s="33">
        <f>(4.13*2.75+2.24*2+3.14*2.75+0.6*1.6+2.1*1.2*2.1+0.9*1.35+0.6*1.1)</f>
        <v>32.599499999999999</v>
      </c>
      <c r="L171" s="136"/>
      <c r="M171" s="136"/>
    </row>
    <row r="172" spans="1:20" s="34" customFormat="1" x14ac:dyDescent="0.3">
      <c r="A172" s="86">
        <f>A171+1</f>
        <v>3</v>
      </c>
      <c r="B172" s="87"/>
      <c r="C172" s="72" t="s">
        <v>371</v>
      </c>
      <c r="D172" s="73">
        <f>(29.89)*10.764</f>
        <v>321.73595999999998</v>
      </c>
      <c r="E172" s="73">
        <f>(1.2*(2.75+1.95)+2*1.8)*10.764</f>
        <v>99.45935999999999</v>
      </c>
      <c r="F172" s="39">
        <f t="shared" si="16"/>
        <v>421.19531999999998</v>
      </c>
      <c r="G172" s="39">
        <v>0</v>
      </c>
      <c r="H172" s="39">
        <f t="shared" si="17"/>
        <v>631.79297999999994</v>
      </c>
      <c r="I172" s="33"/>
      <c r="N172" s="33"/>
    </row>
    <row r="173" spans="1:20" s="34" customFormat="1" x14ac:dyDescent="0.3">
      <c r="A173" s="86">
        <f>A172+1</f>
        <v>4</v>
      </c>
      <c r="B173" s="87"/>
      <c r="C173" s="72" t="s">
        <v>372</v>
      </c>
      <c r="D173" s="73">
        <f>(71.55)*10.764</f>
        <v>770.16419999999994</v>
      </c>
      <c r="E173" s="73">
        <f>(1.2*(2.8+2.75)+2.9*0.6+2.1*0.9+3*0.75)*10.764</f>
        <v>134.98055999999997</v>
      </c>
      <c r="F173" s="39">
        <f t="shared" si="16"/>
        <v>905.14475999999991</v>
      </c>
      <c r="G173" s="39">
        <v>0</v>
      </c>
      <c r="H173" s="39">
        <f t="shared" si="17"/>
        <v>1357.7171399999997</v>
      </c>
      <c r="I173" s="33"/>
      <c r="N173" s="33"/>
    </row>
    <row r="174" spans="1:20" s="34" customFormat="1" x14ac:dyDescent="0.3">
      <c r="A174" s="86">
        <f>A173+1</f>
        <v>5</v>
      </c>
      <c r="B174" s="87"/>
      <c r="C174" s="74" t="s">
        <v>373</v>
      </c>
      <c r="D174" s="73">
        <f>(64.17)*10.764</f>
        <v>690.72587999999996</v>
      </c>
      <c r="E174" s="73">
        <f>(0.75*(3.2+2.7*2)+2*1.2)*10.764</f>
        <v>95.261400000000009</v>
      </c>
      <c r="F174" s="39">
        <f t="shared" si="16"/>
        <v>785.98727999999994</v>
      </c>
      <c r="G174" s="39">
        <v>0</v>
      </c>
      <c r="H174" s="39">
        <f t="shared" si="17"/>
        <v>1178.98092</v>
      </c>
      <c r="I174" s="33"/>
      <c r="L174" s="34" t="s">
        <v>413</v>
      </c>
      <c r="N174" s="33"/>
    </row>
    <row r="175" spans="1:20" s="34" customFormat="1" x14ac:dyDescent="0.3">
      <c r="A175" s="91">
        <v>6</v>
      </c>
      <c r="B175" s="91"/>
      <c r="C175" s="72" t="s">
        <v>371</v>
      </c>
      <c r="D175" s="73">
        <f>(34.55)*10.764</f>
        <v>371.89619999999996</v>
      </c>
      <c r="E175" s="73">
        <f>(2*1.8+1.2*(1.95+2.75))*10.764</f>
        <v>99.45935999999999</v>
      </c>
      <c r="F175" s="39">
        <f t="shared" si="16"/>
        <v>471.35555999999997</v>
      </c>
      <c r="G175" s="39">
        <v>0</v>
      </c>
      <c r="H175" s="39">
        <f t="shared" si="17"/>
        <v>707.03333999999995</v>
      </c>
      <c r="I175" s="33"/>
      <c r="N175" s="33"/>
    </row>
    <row r="176" spans="1:20" s="34" customFormat="1" x14ac:dyDescent="0.3">
      <c r="A176" s="91">
        <f>A175+1</f>
        <v>7</v>
      </c>
      <c r="B176" s="91"/>
      <c r="C176" s="72" t="s">
        <v>371</v>
      </c>
      <c r="D176" s="73">
        <f>(34.54)*10.764</f>
        <v>371.78855999999996</v>
      </c>
      <c r="E176" s="73">
        <f>(2*1.8+1.2*(1.95+2.75))*10.764</f>
        <v>99.45935999999999</v>
      </c>
      <c r="F176" s="39">
        <f t="shared" si="16"/>
        <v>471.24791999999997</v>
      </c>
      <c r="G176" s="39">
        <v>0</v>
      </c>
      <c r="H176" s="39">
        <f t="shared" si="17"/>
        <v>706.87187999999992</v>
      </c>
      <c r="I176" s="33"/>
      <c r="N176" s="33"/>
    </row>
    <row r="177" spans="1:20" s="34" customFormat="1" ht="15.75" customHeight="1" x14ac:dyDescent="0.3">
      <c r="A177" s="91">
        <f>A176+1</f>
        <v>8</v>
      </c>
      <c r="B177" s="91"/>
      <c r="C177" s="72" t="s">
        <v>370</v>
      </c>
      <c r="D177" s="73">
        <f>(49.24)*10.764</f>
        <v>530.01936000000001</v>
      </c>
      <c r="E177" s="73">
        <f>(1.2*(2.7+2))*10.764</f>
        <v>60.70895999999999</v>
      </c>
      <c r="F177" s="39">
        <f t="shared" si="16"/>
        <v>590.72831999999994</v>
      </c>
      <c r="G177" s="39">
        <v>0</v>
      </c>
      <c r="H177" s="39">
        <f t="shared" si="17"/>
        <v>886.09247999999991</v>
      </c>
      <c r="I177" s="33"/>
    </row>
    <row r="178" spans="1:20" s="34" customFormat="1" ht="15.75" customHeight="1" x14ac:dyDescent="0.3">
      <c r="A178" s="91">
        <f>A177+1</f>
        <v>9</v>
      </c>
      <c r="B178" s="91"/>
      <c r="C178" s="72" t="s">
        <v>371</v>
      </c>
      <c r="D178" s="73">
        <f>(33.53)*10.764</f>
        <v>360.91692</v>
      </c>
      <c r="E178" s="73">
        <f>(2*1.8+1.2*(2+2.74))*10.764</f>
        <v>99.976032000000004</v>
      </c>
      <c r="F178" s="39">
        <f t="shared" si="16"/>
        <v>460.89295200000004</v>
      </c>
      <c r="G178" s="39">
        <v>0</v>
      </c>
      <c r="H178" s="39">
        <f t="shared" si="17"/>
        <v>691.339428</v>
      </c>
      <c r="I178" s="33"/>
    </row>
    <row r="179" spans="1:20" s="34" customFormat="1" ht="15.75" customHeight="1" x14ac:dyDescent="0.3">
      <c r="A179" s="91">
        <f>A178+1</f>
        <v>10</v>
      </c>
      <c r="B179" s="91"/>
      <c r="C179" s="72" t="s">
        <v>370</v>
      </c>
      <c r="D179" s="73">
        <f>(55.54)*10.764</f>
        <v>597.83255999999994</v>
      </c>
      <c r="E179" s="73">
        <f>(1.2*(2.7+3)+3*0.75+1.4*1)*10.764</f>
        <v>112.91436</v>
      </c>
      <c r="F179" s="39">
        <f t="shared" si="16"/>
        <v>710.74691999999993</v>
      </c>
      <c r="G179" s="39">
        <v>0</v>
      </c>
      <c r="H179" s="39">
        <f t="shared" si="17"/>
        <v>1066.1203799999998</v>
      </c>
      <c r="I179" s="33"/>
    </row>
    <row r="180" spans="1:20" s="34" customFormat="1" x14ac:dyDescent="0.3">
      <c r="A180" s="85" t="s">
        <v>400</v>
      </c>
      <c r="B180" s="85"/>
      <c r="C180" s="85"/>
      <c r="D180" s="85"/>
      <c r="E180" s="85"/>
      <c r="F180" s="85"/>
      <c r="G180" s="85"/>
      <c r="H180" s="85"/>
      <c r="I180" s="33"/>
      <c r="N180" s="33"/>
    </row>
    <row r="181" spans="1:20" s="34" customFormat="1" ht="15.75" customHeight="1" x14ac:dyDescent="0.3">
      <c r="A181" s="86">
        <v>1</v>
      </c>
      <c r="B181" s="87"/>
      <c r="C181" s="93" t="s">
        <v>375</v>
      </c>
      <c r="D181" s="94"/>
      <c r="E181" s="94"/>
      <c r="F181" s="94"/>
      <c r="G181" s="94"/>
      <c r="H181" s="95"/>
      <c r="I181" s="33"/>
      <c r="L181" s="136"/>
      <c r="M181" s="136"/>
      <c r="N181" s="33"/>
      <c r="T181" s="18"/>
    </row>
    <row r="182" spans="1:20" s="34" customFormat="1" x14ac:dyDescent="0.3">
      <c r="A182" s="86">
        <f>A181+1</f>
        <v>2</v>
      </c>
      <c r="B182" s="87"/>
      <c r="C182" s="96"/>
      <c r="D182" s="97"/>
      <c r="E182" s="97"/>
      <c r="F182" s="97"/>
      <c r="G182" s="97"/>
      <c r="H182" s="98"/>
      <c r="I182" s="33"/>
      <c r="L182" s="136"/>
      <c r="M182" s="136"/>
    </row>
    <row r="183" spans="1:20" s="34" customFormat="1" x14ac:dyDescent="0.3">
      <c r="A183" s="86">
        <f>A182+1</f>
        <v>3</v>
      </c>
      <c r="B183" s="87"/>
      <c r="C183" s="72" t="s">
        <v>371</v>
      </c>
      <c r="D183" s="73">
        <f>(29.89)*10.764</f>
        <v>321.73595999999998</v>
      </c>
      <c r="E183" s="73">
        <f>(1.2*(2.75+1.95)+2*1.8)*10.764</f>
        <v>99.45935999999999</v>
      </c>
      <c r="F183" s="39">
        <f t="shared" ref="F183:F190" si="18">D183+E183</f>
        <v>421.19531999999998</v>
      </c>
      <c r="G183" s="39">
        <v>0</v>
      </c>
      <c r="H183" s="39">
        <f t="shared" ref="H183:H190" si="19">F183*(($H$135)+1)+(IF(G183&lt;101,G183,IF(G183&lt;201,G183/2,IF(G183&lt;=301,G183/3,G183/4))))</f>
        <v>631.79297999999994</v>
      </c>
      <c r="I183" s="33"/>
      <c r="N183" s="33"/>
    </row>
    <row r="184" spans="1:20" s="34" customFormat="1" x14ac:dyDescent="0.3">
      <c r="A184" s="86">
        <f>A183+1</f>
        <v>4</v>
      </c>
      <c r="B184" s="87"/>
      <c r="C184" s="72" t="s">
        <v>372</v>
      </c>
      <c r="D184" s="73">
        <f>(71.55)*10.764</f>
        <v>770.16419999999994</v>
      </c>
      <c r="E184" s="73">
        <f>(1.2*(2.8+2.75)+2.9*0.6+2.1*0.9+3*0.75)*10.764</f>
        <v>134.98055999999997</v>
      </c>
      <c r="F184" s="39">
        <f t="shared" si="18"/>
        <v>905.14475999999991</v>
      </c>
      <c r="G184" s="39">
        <v>0</v>
      </c>
      <c r="H184" s="39">
        <f t="shared" si="19"/>
        <v>1357.7171399999997</v>
      </c>
      <c r="I184" s="33"/>
      <c r="N184" s="33"/>
    </row>
    <row r="185" spans="1:20" s="34" customFormat="1" x14ac:dyDescent="0.3">
      <c r="A185" s="86">
        <f>A184+1</f>
        <v>5</v>
      </c>
      <c r="B185" s="87"/>
      <c r="C185" s="74" t="s">
        <v>373</v>
      </c>
      <c r="D185" s="73">
        <f>(64.17)*10.764</f>
        <v>690.72587999999996</v>
      </c>
      <c r="E185" s="73">
        <f>(0.75*(3.2+2.7*2)+2*1.2)*10.764</f>
        <v>95.261400000000009</v>
      </c>
      <c r="F185" s="39">
        <f t="shared" si="18"/>
        <v>785.98727999999994</v>
      </c>
      <c r="G185" s="39">
        <v>0</v>
      </c>
      <c r="H185" s="39">
        <f t="shared" si="19"/>
        <v>1178.98092</v>
      </c>
      <c r="I185" s="33"/>
      <c r="N185" s="33"/>
    </row>
    <row r="186" spans="1:20" s="34" customFormat="1" x14ac:dyDescent="0.3">
      <c r="A186" s="91">
        <v>6</v>
      </c>
      <c r="B186" s="91"/>
      <c r="C186" s="72" t="s">
        <v>371</v>
      </c>
      <c r="D186" s="73">
        <f>(34.55)*10.764</f>
        <v>371.89619999999996</v>
      </c>
      <c r="E186" s="73">
        <f>(2*1.8+1.2*(1.95+2.75))*10.764</f>
        <v>99.45935999999999</v>
      </c>
      <c r="F186" s="39">
        <f t="shared" si="18"/>
        <v>471.35555999999997</v>
      </c>
      <c r="G186" s="39">
        <v>0</v>
      </c>
      <c r="H186" s="39">
        <f t="shared" si="19"/>
        <v>707.03333999999995</v>
      </c>
      <c r="I186" s="33"/>
      <c r="N186" s="33"/>
    </row>
    <row r="187" spans="1:20" s="34" customFormat="1" x14ac:dyDescent="0.3">
      <c r="A187" s="91">
        <f>A186+1</f>
        <v>7</v>
      </c>
      <c r="B187" s="91"/>
      <c r="C187" s="72" t="s">
        <v>371</v>
      </c>
      <c r="D187" s="73">
        <f>(34.54)*10.764</f>
        <v>371.78855999999996</v>
      </c>
      <c r="E187" s="73">
        <f>(2*1.8+1.2*(1.95+2.75))*10.764</f>
        <v>99.45935999999999</v>
      </c>
      <c r="F187" s="39">
        <f t="shared" si="18"/>
        <v>471.24791999999997</v>
      </c>
      <c r="G187" s="39">
        <v>0</v>
      </c>
      <c r="H187" s="39">
        <f t="shared" si="19"/>
        <v>706.87187999999992</v>
      </c>
      <c r="I187" s="33"/>
      <c r="N187" s="33"/>
    </row>
    <row r="188" spans="1:20" s="34" customFormat="1" ht="15.75" customHeight="1" x14ac:dyDescent="0.3">
      <c r="A188" s="91">
        <f>A187+1</f>
        <v>8</v>
      </c>
      <c r="B188" s="91"/>
      <c r="C188" s="72" t="s">
        <v>370</v>
      </c>
      <c r="D188" s="73">
        <f>(49.24)*10.764</f>
        <v>530.01936000000001</v>
      </c>
      <c r="E188" s="73">
        <f>(1.2*(2.7+2))*10.764</f>
        <v>60.70895999999999</v>
      </c>
      <c r="F188" s="39">
        <f t="shared" si="18"/>
        <v>590.72831999999994</v>
      </c>
      <c r="G188" s="39">
        <v>0</v>
      </c>
      <c r="H188" s="39">
        <f t="shared" si="19"/>
        <v>886.09247999999991</v>
      </c>
      <c r="I188" s="33"/>
    </row>
    <row r="189" spans="1:20" s="34" customFormat="1" ht="15.75" customHeight="1" x14ac:dyDescent="0.3">
      <c r="A189" s="91">
        <f>A188+1</f>
        <v>9</v>
      </c>
      <c r="B189" s="91"/>
      <c r="C189" s="72" t="s">
        <v>371</v>
      </c>
      <c r="D189" s="73">
        <f>(33.53)*10.764</f>
        <v>360.91692</v>
      </c>
      <c r="E189" s="73">
        <f>(2*1.8+1.2*(2+2.74))*10.764</f>
        <v>99.976032000000004</v>
      </c>
      <c r="F189" s="39">
        <f t="shared" si="18"/>
        <v>460.89295200000004</v>
      </c>
      <c r="G189" s="39">
        <v>0</v>
      </c>
      <c r="H189" s="39">
        <f t="shared" si="19"/>
        <v>691.339428</v>
      </c>
      <c r="I189" s="33"/>
    </row>
    <row r="190" spans="1:20" s="34" customFormat="1" ht="15.75" customHeight="1" x14ac:dyDescent="0.3">
      <c r="A190" s="91">
        <f>A189+1</f>
        <v>10</v>
      </c>
      <c r="B190" s="91"/>
      <c r="C190" s="72" t="s">
        <v>370</v>
      </c>
      <c r="D190" s="73">
        <f>(55.54)*10.764</f>
        <v>597.83255999999994</v>
      </c>
      <c r="E190" s="73">
        <f>(1.2*(2.7+3)+3*0.75+1.4*1)*10.764</f>
        <v>112.91436</v>
      </c>
      <c r="F190" s="39">
        <f t="shared" si="18"/>
        <v>710.74691999999993</v>
      </c>
      <c r="G190" s="39">
        <v>0</v>
      </c>
      <c r="H190" s="39">
        <f t="shared" si="19"/>
        <v>1066.1203799999998</v>
      </c>
      <c r="I190" s="33"/>
    </row>
    <row r="191" spans="1:20" s="34" customFormat="1" ht="15.75" customHeight="1" x14ac:dyDescent="0.3">
      <c r="A191" s="92" t="s">
        <v>376</v>
      </c>
      <c r="B191" s="92"/>
      <c r="C191" s="92"/>
      <c r="D191" s="92"/>
      <c r="E191" s="92"/>
      <c r="F191" s="92"/>
      <c r="G191" s="92"/>
      <c r="H191" s="92"/>
      <c r="I191" s="33"/>
    </row>
    <row r="192" spans="1:20" s="34" customFormat="1" ht="15.75" customHeight="1" x14ac:dyDescent="0.3">
      <c r="A192" s="88" t="s">
        <v>362</v>
      </c>
      <c r="B192" s="89"/>
      <c r="C192" s="89"/>
      <c r="D192" s="89"/>
      <c r="E192" s="89"/>
      <c r="F192" s="89"/>
      <c r="G192" s="89"/>
      <c r="H192" s="90"/>
      <c r="I192" s="33"/>
    </row>
    <row r="193" spans="1:20" s="34" customFormat="1" ht="15.75" customHeight="1" x14ac:dyDescent="0.3">
      <c r="A193" s="88" t="s">
        <v>363</v>
      </c>
      <c r="B193" s="89"/>
      <c r="C193" s="89"/>
      <c r="D193" s="89"/>
      <c r="E193" s="89"/>
      <c r="F193" s="89"/>
      <c r="G193" s="89"/>
      <c r="H193" s="90"/>
      <c r="I193" s="33"/>
      <c r="N193" s="33"/>
      <c r="T193" s="32"/>
    </row>
    <row r="194" spans="1:20" s="34" customFormat="1" ht="15.75" customHeight="1" x14ac:dyDescent="0.3">
      <c r="A194" s="104" t="s">
        <v>364</v>
      </c>
      <c r="B194" s="105"/>
      <c r="C194" s="105"/>
      <c r="D194" s="105"/>
      <c r="E194" s="105"/>
      <c r="F194" s="105"/>
      <c r="G194" s="105"/>
      <c r="H194" s="106"/>
      <c r="I194" s="33"/>
      <c r="N194" s="33"/>
      <c r="T194" s="32"/>
    </row>
    <row r="195" spans="1:20" s="34" customFormat="1" ht="15.75" customHeight="1" x14ac:dyDescent="0.3">
      <c r="A195" s="88" t="s">
        <v>408</v>
      </c>
      <c r="B195" s="89"/>
      <c r="C195" s="89"/>
      <c r="D195" s="89"/>
      <c r="E195" s="89"/>
      <c r="F195" s="89"/>
      <c r="G195" s="89"/>
      <c r="H195" s="90"/>
      <c r="I195" s="33"/>
      <c r="N195" s="33"/>
      <c r="T195" s="32"/>
    </row>
    <row r="196" spans="1:20" s="34" customFormat="1" ht="15.75" customHeight="1" x14ac:dyDescent="0.3">
      <c r="A196" s="88" t="s">
        <v>407</v>
      </c>
      <c r="B196" s="89"/>
      <c r="C196" s="89"/>
      <c r="D196" s="89"/>
      <c r="E196" s="89"/>
      <c r="F196" s="89"/>
      <c r="G196" s="89"/>
      <c r="H196" s="90"/>
      <c r="I196" s="33"/>
      <c r="N196" s="33"/>
      <c r="T196" s="32"/>
    </row>
    <row r="197" spans="1:20" s="34" customFormat="1" ht="15.75" customHeight="1" x14ac:dyDescent="0.3">
      <c r="A197" s="88" t="s">
        <v>406</v>
      </c>
      <c r="B197" s="89"/>
      <c r="C197" s="89"/>
      <c r="D197" s="89"/>
      <c r="E197" s="89"/>
      <c r="F197" s="89"/>
      <c r="G197" s="89"/>
      <c r="H197" s="90"/>
      <c r="I197" s="33"/>
    </row>
    <row r="198" spans="1:20" s="34" customFormat="1" x14ac:dyDescent="0.3">
      <c r="A198" s="88" t="s">
        <v>365</v>
      </c>
      <c r="B198" s="89"/>
      <c r="C198" s="89"/>
      <c r="D198" s="89"/>
      <c r="E198" s="89"/>
      <c r="F198" s="89"/>
      <c r="G198" s="89"/>
      <c r="H198" s="90"/>
      <c r="I198" s="33"/>
      <c r="N198" s="33"/>
    </row>
    <row r="199" spans="1:20" s="34" customFormat="1" x14ac:dyDescent="0.3">
      <c r="A199" s="88" t="s">
        <v>405</v>
      </c>
      <c r="B199" s="89"/>
      <c r="C199" s="89"/>
      <c r="D199" s="89"/>
      <c r="E199" s="89"/>
      <c r="F199" s="89"/>
      <c r="G199" s="89"/>
      <c r="H199" s="90"/>
      <c r="I199" s="33"/>
    </row>
    <row r="200" spans="1:20" s="34" customFormat="1" ht="32.25" customHeight="1" x14ac:dyDescent="0.3">
      <c r="A200" s="85" t="s">
        <v>414</v>
      </c>
      <c r="B200" s="85"/>
      <c r="C200" s="85"/>
      <c r="D200" s="85"/>
      <c r="E200" s="85"/>
      <c r="F200" s="85"/>
      <c r="G200" s="85"/>
      <c r="H200" s="85"/>
      <c r="I200" s="33"/>
    </row>
    <row r="201" spans="1:20" s="34" customFormat="1" ht="32.25" customHeight="1" x14ac:dyDescent="0.3">
      <c r="A201" s="85" t="s">
        <v>368</v>
      </c>
      <c r="B201" s="85"/>
      <c r="C201" s="85"/>
      <c r="D201" s="85"/>
      <c r="E201" s="85"/>
      <c r="F201" s="85"/>
      <c r="G201" s="85"/>
      <c r="H201" s="85"/>
      <c r="I201" s="33"/>
    </row>
    <row r="202" spans="1:20" s="32" customFormat="1" ht="15.75" customHeight="1" x14ac:dyDescent="0.3">
      <c r="A202" s="91">
        <v>1</v>
      </c>
      <c r="B202" s="91"/>
      <c r="C202" s="72" t="s">
        <v>371</v>
      </c>
      <c r="D202" s="73">
        <f>(29.87)*10.764</f>
        <v>321.52067999999997</v>
      </c>
      <c r="E202" s="73">
        <f>(2*1.8+1.2*(1.9+2.7))*10.764</f>
        <v>98.16767999999999</v>
      </c>
      <c r="F202" s="39">
        <f t="shared" ref="F202:F211" si="20">D202+E202</f>
        <v>419.68835999999999</v>
      </c>
      <c r="G202" s="39">
        <v>0</v>
      </c>
      <c r="H202" s="39">
        <f t="shared" ref="H202:H211" si="21">F202*(($H$135)+1)+(IF(G202&lt;101,G202,IF(G202&lt;201,G202/2,IF(G202&lt;=301,G202/3,G202/4))))</f>
        <v>629.53253999999993</v>
      </c>
      <c r="T202" s="34"/>
    </row>
    <row r="203" spans="1:20" s="32" customFormat="1" ht="15.75" customHeight="1" x14ac:dyDescent="0.3">
      <c r="A203" s="91">
        <f>A202+1</f>
        <v>2</v>
      </c>
      <c r="B203" s="91"/>
      <c r="C203" s="74" t="s">
        <v>371</v>
      </c>
      <c r="D203" s="73">
        <f>(29.87)*10.764</f>
        <v>321.52067999999997</v>
      </c>
      <c r="E203" s="73">
        <f>(2*1.8+1.2*(1.9+2.7))*10.764</f>
        <v>98.16767999999999</v>
      </c>
      <c r="F203" s="39">
        <f t="shared" si="20"/>
        <v>419.68835999999999</v>
      </c>
      <c r="G203" s="39">
        <v>0</v>
      </c>
      <c r="H203" s="39">
        <f t="shared" si="21"/>
        <v>629.53253999999993</v>
      </c>
      <c r="T203" s="34"/>
    </row>
    <row r="204" spans="1:20" s="32" customFormat="1" ht="15.75" customHeight="1" x14ac:dyDescent="0.3">
      <c r="A204" s="91">
        <f>A203+1</f>
        <v>3</v>
      </c>
      <c r="B204" s="91"/>
      <c r="C204" s="72" t="s">
        <v>370</v>
      </c>
      <c r="D204" s="73">
        <f>(50.07)*10.764</f>
        <v>538.95348000000001</v>
      </c>
      <c r="E204" s="73">
        <f>(2.7*0.75+1.2*(2.7+2))*10.764</f>
        <v>82.506059999999991</v>
      </c>
      <c r="F204" s="39">
        <f t="shared" si="20"/>
        <v>621.45954000000006</v>
      </c>
      <c r="G204" s="39">
        <v>0</v>
      </c>
      <c r="H204" s="39">
        <f t="shared" si="21"/>
        <v>932.18931000000009</v>
      </c>
      <c r="T204" s="34"/>
    </row>
    <row r="205" spans="1:20" s="32" customFormat="1" ht="15.75" customHeight="1" x14ac:dyDescent="0.3">
      <c r="A205" s="91">
        <f>A204+1</f>
        <v>4</v>
      </c>
      <c r="B205" s="91"/>
      <c r="C205" s="72" t="s">
        <v>370</v>
      </c>
      <c r="D205" s="73">
        <f>(50.13)*10.764</f>
        <v>539.59932000000003</v>
      </c>
      <c r="E205" s="73">
        <f>(2.7*0.75+1.2*(2.7+2))*10.764</f>
        <v>82.506059999999991</v>
      </c>
      <c r="F205" s="39">
        <f t="shared" si="20"/>
        <v>622.10537999999997</v>
      </c>
      <c r="G205" s="39">
        <v>0</v>
      </c>
      <c r="H205" s="39">
        <f t="shared" si="21"/>
        <v>933.15806999999995</v>
      </c>
      <c r="T205" s="34"/>
    </row>
    <row r="206" spans="1:20" s="32" customFormat="1" ht="15.75" customHeight="1" x14ac:dyDescent="0.3">
      <c r="A206" s="91">
        <f>A205+1</f>
        <v>5</v>
      </c>
      <c r="B206" s="91"/>
      <c r="C206" s="72" t="s">
        <v>370</v>
      </c>
      <c r="D206" s="73">
        <f>(50.26)*10.764</f>
        <v>540.99863999999991</v>
      </c>
      <c r="E206" s="73">
        <f>(2.7*0.75+1.2*(2.7+2))*10.764</f>
        <v>82.506059999999991</v>
      </c>
      <c r="F206" s="39">
        <f t="shared" si="20"/>
        <v>623.50469999999996</v>
      </c>
      <c r="G206" s="39">
        <v>0</v>
      </c>
      <c r="H206" s="39">
        <f t="shared" si="21"/>
        <v>935.25704999999994</v>
      </c>
      <c r="T206" s="34"/>
    </row>
    <row r="207" spans="1:20" s="32" customFormat="1" ht="15.75" customHeight="1" x14ac:dyDescent="0.3">
      <c r="A207" s="91">
        <v>6</v>
      </c>
      <c r="B207" s="91"/>
      <c r="C207" s="72" t="s">
        <v>370</v>
      </c>
      <c r="D207" s="73">
        <f>(50.26)*10.764</f>
        <v>540.99863999999991</v>
      </c>
      <c r="E207" s="73">
        <f>(2.7*0.75+1.2*(2.7+2))*10.764</f>
        <v>82.506059999999991</v>
      </c>
      <c r="F207" s="39">
        <f t="shared" si="20"/>
        <v>623.50469999999996</v>
      </c>
      <c r="G207" s="39">
        <v>0</v>
      </c>
      <c r="H207" s="39">
        <f t="shared" si="21"/>
        <v>935.25704999999994</v>
      </c>
      <c r="T207" s="34"/>
    </row>
    <row r="208" spans="1:20" s="32" customFormat="1" ht="15.75" customHeight="1" x14ac:dyDescent="0.3">
      <c r="A208" s="91">
        <f>A207+1</f>
        <v>7</v>
      </c>
      <c r="B208" s="91"/>
      <c r="C208" s="72" t="s">
        <v>371</v>
      </c>
      <c r="D208" s="73">
        <f>(29.87)*10.764</f>
        <v>321.52067999999997</v>
      </c>
      <c r="E208" s="73">
        <f>(2*1.8+1.2*(1.9+2.7))*10.764</f>
        <v>98.16767999999999</v>
      </c>
      <c r="F208" s="39">
        <f t="shared" si="20"/>
        <v>419.68835999999999</v>
      </c>
      <c r="G208" s="39">
        <v>0</v>
      </c>
      <c r="H208" s="39">
        <f t="shared" si="21"/>
        <v>629.53253999999993</v>
      </c>
    </row>
    <row r="209" spans="1:20" s="32" customFormat="1" ht="15.75" customHeight="1" x14ac:dyDescent="0.3">
      <c r="A209" s="91">
        <f>A208+1</f>
        <v>8</v>
      </c>
      <c r="B209" s="91"/>
      <c r="C209" s="72" t="s">
        <v>371</v>
      </c>
      <c r="D209" s="73">
        <f>(29.87)*10.764</f>
        <v>321.52067999999997</v>
      </c>
      <c r="E209" s="73">
        <f>(2*1.8+1.2*(1.9+2.7))*10.764</f>
        <v>98.16767999999999</v>
      </c>
      <c r="F209" s="39">
        <f t="shared" si="20"/>
        <v>419.68835999999999</v>
      </c>
      <c r="G209" s="39">
        <v>0</v>
      </c>
      <c r="H209" s="39">
        <f t="shared" si="21"/>
        <v>629.53253999999993</v>
      </c>
    </row>
    <row r="210" spans="1:20" s="32" customFormat="1" x14ac:dyDescent="0.3">
      <c r="A210" s="91">
        <f>A209+1</f>
        <v>9</v>
      </c>
      <c r="B210" s="91"/>
      <c r="C210" s="72" t="s">
        <v>371</v>
      </c>
      <c r="D210" s="73">
        <f>(29.87)*10.764</f>
        <v>321.52067999999997</v>
      </c>
      <c r="E210" s="73">
        <f>(2*1.8+1.2*(1.9+2.7))*10.764</f>
        <v>98.16767999999999</v>
      </c>
      <c r="F210" s="39">
        <f t="shared" si="20"/>
        <v>419.68835999999999</v>
      </c>
      <c r="G210" s="39">
        <v>0</v>
      </c>
      <c r="H210" s="39">
        <f t="shared" si="21"/>
        <v>629.53253999999993</v>
      </c>
    </row>
    <row r="211" spans="1:20" s="32" customFormat="1" ht="15.75" customHeight="1" x14ac:dyDescent="0.3">
      <c r="A211" s="91">
        <f>A210+1</f>
        <v>10</v>
      </c>
      <c r="B211" s="91"/>
      <c r="C211" s="72" t="s">
        <v>371</v>
      </c>
      <c r="D211" s="73">
        <f>(29.87)*10.764</f>
        <v>321.52067999999997</v>
      </c>
      <c r="E211" s="73">
        <f>(2*1.8+1.2*(1.9+2.7))*10.764</f>
        <v>98.16767999999999</v>
      </c>
      <c r="F211" s="39">
        <f t="shared" si="20"/>
        <v>419.68835999999999</v>
      </c>
      <c r="G211" s="39">
        <v>0</v>
      </c>
      <c r="H211" s="39">
        <f t="shared" si="21"/>
        <v>629.53253999999993</v>
      </c>
    </row>
    <row r="212" spans="1:20" s="32" customFormat="1" x14ac:dyDescent="0.3">
      <c r="A212" s="88" t="s">
        <v>377</v>
      </c>
      <c r="B212" s="89"/>
      <c r="C212" s="89"/>
      <c r="D212" s="89"/>
      <c r="E212" s="89"/>
      <c r="F212" s="89"/>
      <c r="G212" s="89"/>
      <c r="H212" s="90"/>
    </row>
    <row r="213" spans="1:20" s="32" customFormat="1" x14ac:dyDescent="0.3">
      <c r="A213" s="86">
        <v>1</v>
      </c>
      <c r="B213" s="87"/>
      <c r="C213" s="72" t="s">
        <v>371</v>
      </c>
      <c r="D213" s="73">
        <f>(29.87)*10.764</f>
        <v>321.52067999999997</v>
      </c>
      <c r="E213" s="73">
        <f>(2*1.8+1.2*(1.9+2.7))*10.764</f>
        <v>98.16767999999999</v>
      </c>
      <c r="F213" s="39">
        <f t="shared" ref="F213:F222" si="22">D213+E213</f>
        <v>419.68835999999999</v>
      </c>
      <c r="G213" s="39">
        <v>0</v>
      </c>
      <c r="H213" s="39">
        <f t="shared" ref="H213:H222" si="23">F213*(($H$135)+1)+(IF(G213&lt;101,G213,IF(G213&lt;201,G213/2,IF(G213&lt;=301,G213/3,G213/4))))</f>
        <v>629.53253999999993</v>
      </c>
    </row>
    <row r="214" spans="1:20" x14ac:dyDescent="0.3">
      <c r="A214" s="86">
        <f>A213+1</f>
        <v>2</v>
      </c>
      <c r="B214" s="87"/>
      <c r="C214" s="74" t="s">
        <v>371</v>
      </c>
      <c r="D214" s="73">
        <f>(29.87)*10.764</f>
        <v>321.52067999999997</v>
      </c>
      <c r="E214" s="73">
        <f>(2*1.8+1.2*(1.9+2.7))*10.764</f>
        <v>98.16767999999999</v>
      </c>
      <c r="F214" s="39">
        <f t="shared" si="22"/>
        <v>419.68835999999999</v>
      </c>
      <c r="G214" s="39">
        <v>0</v>
      </c>
      <c r="H214" s="39">
        <f t="shared" si="23"/>
        <v>629.53253999999993</v>
      </c>
      <c r="T214" s="32"/>
    </row>
    <row r="215" spans="1:20" x14ac:dyDescent="0.3">
      <c r="A215" s="86">
        <f>A214+1</f>
        <v>3</v>
      </c>
      <c r="B215" s="87"/>
      <c r="C215" s="72" t="s">
        <v>370</v>
      </c>
      <c r="D215" s="73">
        <f>(50.07)*10.764</f>
        <v>538.95348000000001</v>
      </c>
      <c r="E215" s="73">
        <f>(2.7*0.75+1.2*(2.7+2))*10.764</f>
        <v>82.506059999999991</v>
      </c>
      <c r="F215" s="39">
        <f t="shared" si="22"/>
        <v>621.45954000000006</v>
      </c>
      <c r="G215" s="39">
        <v>0</v>
      </c>
      <c r="H215" s="39">
        <f t="shared" si="23"/>
        <v>932.18931000000009</v>
      </c>
      <c r="T215" s="32"/>
    </row>
    <row r="216" spans="1:20" ht="15.75" customHeight="1" x14ac:dyDescent="0.3">
      <c r="A216" s="86">
        <f>A215+1</f>
        <v>4</v>
      </c>
      <c r="B216" s="87"/>
      <c r="C216" s="72" t="s">
        <v>370</v>
      </c>
      <c r="D216" s="73">
        <f>(50.13)*10.764</f>
        <v>539.59932000000003</v>
      </c>
      <c r="E216" s="73">
        <f>(2.7*0.75+1.2*(2.7+2))*10.764</f>
        <v>82.506059999999991</v>
      </c>
      <c r="F216" s="39">
        <f t="shared" si="22"/>
        <v>622.10537999999997</v>
      </c>
      <c r="G216" s="39">
        <v>0</v>
      </c>
      <c r="H216" s="39">
        <f t="shared" si="23"/>
        <v>933.15806999999995</v>
      </c>
      <c r="T216" s="32"/>
    </row>
    <row r="217" spans="1:20" x14ac:dyDescent="0.3">
      <c r="A217" s="86">
        <f>A216+1</f>
        <v>5</v>
      </c>
      <c r="B217" s="87"/>
      <c r="C217" s="72" t="s">
        <v>370</v>
      </c>
      <c r="D217" s="73">
        <f>(50.26)*10.764</f>
        <v>540.99863999999991</v>
      </c>
      <c r="E217" s="73">
        <f>(2.7*0.75+1.2*(2.7+2))*10.764</f>
        <v>82.506059999999991</v>
      </c>
      <c r="F217" s="39">
        <f t="shared" si="22"/>
        <v>623.50469999999996</v>
      </c>
      <c r="G217" s="39">
        <v>0</v>
      </c>
      <c r="H217" s="39">
        <f t="shared" si="23"/>
        <v>935.25704999999994</v>
      </c>
      <c r="T217" s="32"/>
    </row>
    <row r="218" spans="1:20" x14ac:dyDescent="0.3">
      <c r="A218" s="91">
        <v>6</v>
      </c>
      <c r="B218" s="91"/>
      <c r="C218" s="72" t="s">
        <v>370</v>
      </c>
      <c r="D218" s="73">
        <f>(50.26)*10.764</f>
        <v>540.99863999999991</v>
      </c>
      <c r="E218" s="73">
        <f>(2.7*0.75+1.2*(2.7+2))*10.764</f>
        <v>82.506059999999991</v>
      </c>
      <c r="F218" s="39">
        <f t="shared" si="22"/>
        <v>623.50469999999996</v>
      </c>
      <c r="G218" s="39">
        <v>0</v>
      </c>
      <c r="H218" s="39">
        <f t="shared" si="23"/>
        <v>935.25704999999994</v>
      </c>
      <c r="T218" s="32"/>
    </row>
    <row r="219" spans="1:20" x14ac:dyDescent="0.3">
      <c r="A219" s="91">
        <f>A218+1</f>
        <v>7</v>
      </c>
      <c r="B219" s="91"/>
      <c r="C219" s="72" t="s">
        <v>371</v>
      </c>
      <c r="D219" s="73">
        <f>(29.87)*10.764</f>
        <v>321.52067999999997</v>
      </c>
      <c r="E219" s="73">
        <f>(2*1.8+1.2*(1.9+2.7))*10.764</f>
        <v>98.16767999999999</v>
      </c>
      <c r="F219" s="39">
        <f t="shared" si="22"/>
        <v>419.68835999999999</v>
      </c>
      <c r="G219" s="39">
        <v>0</v>
      </c>
      <c r="H219" s="39">
        <f t="shared" si="23"/>
        <v>629.53253999999993</v>
      </c>
      <c r="T219" s="32"/>
    </row>
    <row r="220" spans="1:20" x14ac:dyDescent="0.3">
      <c r="A220" s="91">
        <f>A219+1</f>
        <v>8</v>
      </c>
      <c r="B220" s="91"/>
      <c r="C220" s="72" t="s">
        <v>371</v>
      </c>
      <c r="D220" s="73">
        <f>(29.87)*10.764</f>
        <v>321.52067999999997</v>
      </c>
      <c r="E220" s="73">
        <f>(2*1.8+1.2*(1.9+2.7))*10.764</f>
        <v>98.16767999999999</v>
      </c>
      <c r="F220" s="39">
        <f t="shared" si="22"/>
        <v>419.68835999999999</v>
      </c>
      <c r="G220" s="39">
        <v>0</v>
      </c>
      <c r="H220" s="39">
        <f t="shared" si="23"/>
        <v>629.53253999999993</v>
      </c>
    </row>
    <row r="221" spans="1:20" s="34" customFormat="1" x14ac:dyDescent="0.3">
      <c r="A221" s="91">
        <f>A220+1</f>
        <v>9</v>
      </c>
      <c r="B221" s="91"/>
      <c r="C221" s="72" t="s">
        <v>371</v>
      </c>
      <c r="D221" s="73">
        <f>(29.87)*10.764</f>
        <v>321.52067999999997</v>
      </c>
      <c r="E221" s="73">
        <f>(2*1.8+1.2*(1.9+2.7))*10.764</f>
        <v>98.16767999999999</v>
      </c>
      <c r="F221" s="39">
        <f t="shared" si="22"/>
        <v>419.68835999999999</v>
      </c>
      <c r="G221" s="39">
        <v>0</v>
      </c>
      <c r="H221" s="39">
        <f t="shared" si="23"/>
        <v>629.53253999999993</v>
      </c>
      <c r="I221" s="33"/>
    </row>
    <row r="222" spans="1:20" s="34" customFormat="1" ht="15.75" customHeight="1" x14ac:dyDescent="0.3">
      <c r="A222" s="91">
        <f>A221+1</f>
        <v>10</v>
      </c>
      <c r="B222" s="91"/>
      <c r="C222" s="72" t="s">
        <v>371</v>
      </c>
      <c r="D222" s="73">
        <f>(29.87)*10.764</f>
        <v>321.52067999999997</v>
      </c>
      <c r="E222" s="73">
        <f>(2*1.8+1.2*(1.9+2.7))*10.764</f>
        <v>98.16767999999999</v>
      </c>
      <c r="F222" s="39">
        <f t="shared" si="22"/>
        <v>419.68835999999999</v>
      </c>
      <c r="G222" s="39">
        <v>0</v>
      </c>
      <c r="H222" s="39">
        <f t="shared" si="23"/>
        <v>629.53253999999993</v>
      </c>
      <c r="I222" s="33">
        <f>(2.8*4.36+1.95*2.15+2.75*3.05+1.42*0.75+1.36*0.9+1.2*2.1*2+1.24*0.35)</f>
        <v>32.551000000000002</v>
      </c>
    </row>
    <row r="223" spans="1:20" s="34" customFormat="1" ht="15.75" customHeight="1" x14ac:dyDescent="0.3">
      <c r="A223" s="85" t="s">
        <v>399</v>
      </c>
      <c r="B223" s="85"/>
      <c r="C223" s="85"/>
      <c r="D223" s="85"/>
      <c r="E223" s="85"/>
      <c r="F223" s="85"/>
      <c r="G223" s="85"/>
      <c r="H223" s="85"/>
      <c r="I223" s="33"/>
    </row>
    <row r="224" spans="1:20" s="32" customFormat="1" ht="15.75" customHeight="1" x14ac:dyDescent="0.3">
      <c r="A224" s="86">
        <v>1</v>
      </c>
      <c r="B224" s="87"/>
      <c r="C224" s="72" t="s">
        <v>371</v>
      </c>
      <c r="D224" s="73">
        <f>(34.57)*10.764</f>
        <v>372.11147999999997</v>
      </c>
      <c r="E224" s="73">
        <f>(2.15*1.8+1.2*(1.95+2.75))*10.764</f>
        <v>102.36563999999998</v>
      </c>
      <c r="F224" s="39">
        <f t="shared" ref="F224:F233" si="24">D224+E224</f>
        <v>474.47711999999996</v>
      </c>
      <c r="G224" s="39">
        <v>0</v>
      </c>
      <c r="H224" s="39">
        <f t="shared" ref="H224:H233" si="25">F224*(($H$135)+1)+(IF(G224&lt;101,G224,IF(G224&lt;201,G224/2,IF(G224&lt;=301,G224/3,G224/4))))</f>
        <v>711.71567999999991</v>
      </c>
      <c r="I224" s="80">
        <f>(2.75*4.54+1.05*2.4+2.56*2+2.6*2.19+0.2*1.35+2.75*3.37+1.95*1.8+1.95*1.4+1.75*1.2+1.25*2.1)</f>
        <v>46.321499999999993</v>
      </c>
      <c r="T224" s="34"/>
    </row>
    <row r="225" spans="1:20" s="32" customFormat="1" ht="15.75" customHeight="1" x14ac:dyDescent="0.3">
      <c r="A225" s="86">
        <f>A224+1</f>
        <v>2</v>
      </c>
      <c r="B225" s="87"/>
      <c r="C225" s="74" t="s">
        <v>371</v>
      </c>
      <c r="D225" s="73">
        <f>(34.57)*10.764</f>
        <v>372.11147999999997</v>
      </c>
      <c r="E225" s="73">
        <f>(2.15*1.8+1.2*(1.95+2.75))*10.764</f>
        <v>102.36563999999998</v>
      </c>
      <c r="F225" s="39">
        <f t="shared" si="24"/>
        <v>474.47711999999996</v>
      </c>
      <c r="G225" s="39">
        <v>0</v>
      </c>
      <c r="H225" s="39">
        <f t="shared" si="25"/>
        <v>711.71567999999991</v>
      </c>
      <c r="T225" s="34"/>
    </row>
    <row r="226" spans="1:20" s="32" customFormat="1" ht="15.75" customHeight="1" x14ac:dyDescent="0.3">
      <c r="A226" s="86">
        <f>A225+1</f>
        <v>3</v>
      </c>
      <c r="B226" s="87"/>
      <c r="C226" s="72" t="s">
        <v>370</v>
      </c>
      <c r="D226" s="73">
        <f>(50.4)*10.764</f>
        <v>542.50559999999996</v>
      </c>
      <c r="E226" s="73">
        <f>(2.75*0.75+1.2*(2.75+2))*10.764</f>
        <v>83.555549999999997</v>
      </c>
      <c r="F226" s="39">
        <f t="shared" si="24"/>
        <v>626.06115</v>
      </c>
      <c r="G226" s="39">
        <v>0</v>
      </c>
      <c r="H226" s="39">
        <f t="shared" si="25"/>
        <v>939.091725</v>
      </c>
      <c r="T226" s="34"/>
    </row>
    <row r="227" spans="1:20" s="32" customFormat="1" ht="15.75" customHeight="1" x14ac:dyDescent="0.3">
      <c r="A227" s="86">
        <f>A226+1</f>
        <v>4</v>
      </c>
      <c r="B227" s="87"/>
      <c r="C227" s="72" t="s">
        <v>370</v>
      </c>
      <c r="D227" s="73">
        <f>(50.26)*10.764</f>
        <v>540.99863999999991</v>
      </c>
      <c r="E227" s="73">
        <f>(2.75*0.75+1.2*(2.75+2))*10.764</f>
        <v>83.555549999999997</v>
      </c>
      <c r="F227" s="39">
        <f t="shared" si="24"/>
        <v>624.55418999999995</v>
      </c>
      <c r="G227" s="39">
        <v>0</v>
      </c>
      <c r="H227" s="39">
        <f t="shared" si="25"/>
        <v>936.83128499999998</v>
      </c>
      <c r="T227" s="34"/>
    </row>
    <row r="228" spans="1:20" s="32" customFormat="1" ht="15.75" customHeight="1" x14ac:dyDescent="0.3">
      <c r="A228" s="86">
        <f>A227+1</f>
        <v>5</v>
      </c>
      <c r="B228" s="87"/>
      <c r="C228" s="72" t="s">
        <v>370</v>
      </c>
      <c r="D228" s="73">
        <f>(50.26)*10.764</f>
        <v>540.99863999999991</v>
      </c>
      <c r="E228" s="73">
        <f>(2.75*0.75+1.2*(2.75+2))*10.764</f>
        <v>83.555549999999997</v>
      </c>
      <c r="F228" s="39">
        <f t="shared" si="24"/>
        <v>624.55418999999995</v>
      </c>
      <c r="G228" s="39">
        <v>0</v>
      </c>
      <c r="H228" s="39">
        <f t="shared" si="25"/>
        <v>936.83128499999998</v>
      </c>
      <c r="T228" s="34"/>
    </row>
    <row r="229" spans="1:20" s="32" customFormat="1" ht="15.75" customHeight="1" x14ac:dyDescent="0.3">
      <c r="A229" s="91">
        <v>6</v>
      </c>
      <c r="B229" s="91"/>
      <c r="C229" s="72" t="s">
        <v>370</v>
      </c>
      <c r="D229" s="73">
        <f>(50.26)*10.764</f>
        <v>540.99863999999991</v>
      </c>
      <c r="E229" s="73">
        <f>(2.75*0.75+1.2*(2.75+2))*10.764</f>
        <v>83.555549999999997</v>
      </c>
      <c r="F229" s="39">
        <f t="shared" si="24"/>
        <v>624.55418999999995</v>
      </c>
      <c r="G229" s="39">
        <v>0</v>
      </c>
      <c r="H229" s="39">
        <f t="shared" si="25"/>
        <v>936.83128499999998</v>
      </c>
      <c r="T229" s="34"/>
    </row>
    <row r="230" spans="1:20" s="32" customFormat="1" ht="15.75" customHeight="1" x14ac:dyDescent="0.3">
      <c r="A230" s="91">
        <f>A229+1</f>
        <v>7</v>
      </c>
      <c r="B230" s="91"/>
      <c r="C230" s="72" t="s">
        <v>371</v>
      </c>
      <c r="D230" s="73">
        <f>(34.53)*10.764</f>
        <v>371.68092000000001</v>
      </c>
      <c r="E230" s="73">
        <f>(2.15*1.8+1.2*(1.95+2.75))*10.764</f>
        <v>102.36563999999998</v>
      </c>
      <c r="F230" s="39">
        <f t="shared" si="24"/>
        <v>474.04656</v>
      </c>
      <c r="G230" s="39">
        <v>0</v>
      </c>
      <c r="H230" s="39">
        <f t="shared" si="25"/>
        <v>711.06984</v>
      </c>
    </row>
    <row r="231" spans="1:20" s="32" customFormat="1" ht="15.75" customHeight="1" x14ac:dyDescent="0.3">
      <c r="A231" s="91">
        <f>A230+1</f>
        <v>8</v>
      </c>
      <c r="B231" s="91"/>
      <c r="C231" s="72" t="s">
        <v>371</v>
      </c>
      <c r="D231" s="73">
        <f>(34.33)*10.764</f>
        <v>369.52811999999994</v>
      </c>
      <c r="E231" s="73">
        <f>(2.15*1.8+1.2*(1.95+2.75))*10.764</f>
        <v>102.36563999999998</v>
      </c>
      <c r="F231" s="39">
        <f t="shared" si="24"/>
        <v>471.89375999999993</v>
      </c>
      <c r="G231" s="39">
        <v>0</v>
      </c>
      <c r="H231" s="39">
        <f t="shared" si="25"/>
        <v>707.84063999999989</v>
      </c>
    </row>
    <row r="232" spans="1:20" s="34" customFormat="1" x14ac:dyDescent="0.3">
      <c r="A232" s="91">
        <f>A231+1</f>
        <v>9</v>
      </c>
      <c r="B232" s="91"/>
      <c r="C232" s="72" t="s">
        <v>371</v>
      </c>
      <c r="D232" s="73">
        <f>(34.55)*10.764</f>
        <v>371.89619999999996</v>
      </c>
      <c r="E232" s="73">
        <f>(2.15*1.8+1.2*(1.95+2.75))*10.764</f>
        <v>102.36563999999998</v>
      </c>
      <c r="F232" s="39">
        <f t="shared" si="24"/>
        <v>474.26183999999995</v>
      </c>
      <c r="G232" s="39">
        <v>0</v>
      </c>
      <c r="H232" s="39">
        <f t="shared" si="25"/>
        <v>711.39275999999995</v>
      </c>
      <c r="I232" s="33"/>
    </row>
    <row r="233" spans="1:20" s="34" customFormat="1" ht="15.75" customHeight="1" x14ac:dyDescent="0.3">
      <c r="A233" s="91">
        <f>A232+1</f>
        <v>10</v>
      </c>
      <c r="B233" s="91"/>
      <c r="C233" s="72" t="s">
        <v>371</v>
      </c>
      <c r="D233" s="73">
        <f>(34.55)*10.764</f>
        <v>371.89619999999996</v>
      </c>
      <c r="E233" s="73">
        <f>(2.15*1.8+1.2*(1.95+2.75))*10.764</f>
        <v>102.36563999999998</v>
      </c>
      <c r="F233" s="39">
        <f t="shared" si="24"/>
        <v>474.26183999999995</v>
      </c>
      <c r="G233" s="39">
        <v>0</v>
      </c>
      <c r="H233" s="39">
        <f t="shared" si="25"/>
        <v>711.39275999999995</v>
      </c>
      <c r="I233" s="33"/>
    </row>
    <row r="234" spans="1:20" s="34" customFormat="1" ht="15.75" customHeight="1" x14ac:dyDescent="0.3">
      <c r="A234" s="85" t="s">
        <v>415</v>
      </c>
      <c r="B234" s="85"/>
      <c r="C234" s="85"/>
      <c r="D234" s="85"/>
      <c r="E234" s="85"/>
      <c r="F234" s="85"/>
      <c r="G234" s="85"/>
      <c r="H234" s="85"/>
      <c r="I234" s="33"/>
    </row>
    <row r="235" spans="1:20" s="32" customFormat="1" ht="15.75" customHeight="1" x14ac:dyDescent="0.3">
      <c r="A235" s="86">
        <v>1</v>
      </c>
      <c r="B235" s="87"/>
      <c r="C235" s="72" t="s">
        <v>371</v>
      </c>
      <c r="D235" s="73">
        <f>(34.57)*10.764</f>
        <v>372.11147999999997</v>
      </c>
      <c r="E235" s="73">
        <f>(2.15*1.8+1.2*(1.95+2.75))*10.764</f>
        <v>102.36563999999998</v>
      </c>
      <c r="F235" s="39">
        <f t="shared" ref="F235:F244" si="26">D235+E235</f>
        <v>474.47711999999996</v>
      </c>
      <c r="G235" s="39">
        <v>0</v>
      </c>
      <c r="H235" s="39">
        <f t="shared" ref="H235:H244" si="27">F235*(($H$135)+1)+(IF(G235&lt;101,G235,IF(G235&lt;201,G235/2,IF(G235&lt;=301,G235/3,G235/4))))</f>
        <v>711.71567999999991</v>
      </c>
      <c r="T235" s="34"/>
    </row>
    <row r="236" spans="1:20" s="32" customFormat="1" ht="15.75" customHeight="1" x14ac:dyDescent="0.3">
      <c r="A236" s="86">
        <f>A235+1</f>
        <v>2</v>
      </c>
      <c r="B236" s="87"/>
      <c r="C236" s="74" t="s">
        <v>371</v>
      </c>
      <c r="D236" s="73">
        <f>(34.57)*10.764</f>
        <v>372.11147999999997</v>
      </c>
      <c r="E236" s="73">
        <f>(2.15*1.8+1.2*(1.95+2.75))*10.764</f>
        <v>102.36563999999998</v>
      </c>
      <c r="F236" s="39">
        <f t="shared" si="26"/>
        <v>474.47711999999996</v>
      </c>
      <c r="G236" s="39">
        <v>0</v>
      </c>
      <c r="H236" s="39">
        <f t="shared" si="27"/>
        <v>711.71567999999991</v>
      </c>
      <c r="T236" s="34"/>
    </row>
    <row r="237" spans="1:20" s="32" customFormat="1" ht="15.75" customHeight="1" x14ac:dyDescent="0.3">
      <c r="A237" s="86">
        <f>A236+1</f>
        <v>3</v>
      </c>
      <c r="B237" s="87"/>
      <c r="C237" s="72" t="s">
        <v>370</v>
      </c>
      <c r="D237" s="73">
        <f>(50.4)*10.764</f>
        <v>542.50559999999996</v>
      </c>
      <c r="E237" s="73">
        <f>(2.75*0.75+1.2*(2.75+2))*10.764</f>
        <v>83.555549999999997</v>
      </c>
      <c r="F237" s="39">
        <f t="shared" si="26"/>
        <v>626.06115</v>
      </c>
      <c r="G237" s="39">
        <v>0</v>
      </c>
      <c r="H237" s="39">
        <f t="shared" si="27"/>
        <v>939.091725</v>
      </c>
      <c r="T237" s="34"/>
    </row>
    <row r="238" spans="1:20" s="32" customFormat="1" ht="15.75" customHeight="1" x14ac:dyDescent="0.3">
      <c r="A238" s="86">
        <f>A237+1</f>
        <v>4</v>
      </c>
      <c r="B238" s="87"/>
      <c r="C238" s="72" t="s">
        <v>370</v>
      </c>
      <c r="D238" s="73">
        <f>(50.26)*10.764</f>
        <v>540.99863999999991</v>
      </c>
      <c r="E238" s="73">
        <f>(2.75*0.75+1.2*(2.75+2))*10.764</f>
        <v>83.555549999999997</v>
      </c>
      <c r="F238" s="39">
        <f t="shared" si="26"/>
        <v>624.55418999999995</v>
      </c>
      <c r="G238" s="39">
        <v>0</v>
      </c>
      <c r="H238" s="39">
        <f t="shared" si="27"/>
        <v>936.83128499999998</v>
      </c>
      <c r="T238" s="34"/>
    </row>
    <row r="239" spans="1:20" s="32" customFormat="1" ht="15.75" customHeight="1" x14ac:dyDescent="0.3">
      <c r="A239" s="86">
        <f>A238+1</f>
        <v>5</v>
      </c>
      <c r="B239" s="87"/>
      <c r="C239" s="72" t="s">
        <v>370</v>
      </c>
      <c r="D239" s="73">
        <f>(50.26)*10.764</f>
        <v>540.99863999999991</v>
      </c>
      <c r="E239" s="73">
        <f>(2.75*0.75+1.2*(2.75+2))*10.764</f>
        <v>83.555549999999997</v>
      </c>
      <c r="F239" s="39">
        <f t="shared" si="26"/>
        <v>624.55418999999995</v>
      </c>
      <c r="G239" s="39">
        <v>0</v>
      </c>
      <c r="H239" s="39">
        <f t="shared" si="27"/>
        <v>936.83128499999998</v>
      </c>
      <c r="T239" s="34"/>
    </row>
    <row r="240" spans="1:20" s="32" customFormat="1" ht="15.75" customHeight="1" x14ac:dyDescent="0.3">
      <c r="A240" s="91">
        <v>6</v>
      </c>
      <c r="B240" s="91"/>
      <c r="C240" s="72" t="s">
        <v>370</v>
      </c>
      <c r="D240" s="73">
        <f>(50.26)*10.764</f>
        <v>540.99863999999991</v>
      </c>
      <c r="E240" s="73">
        <f>(2.75*0.75+1.2*(2.75+2))*10.764</f>
        <v>83.555549999999997</v>
      </c>
      <c r="F240" s="39">
        <f t="shared" si="26"/>
        <v>624.55418999999995</v>
      </c>
      <c r="G240" s="39">
        <v>0</v>
      </c>
      <c r="H240" s="39">
        <f t="shared" si="27"/>
        <v>936.83128499999998</v>
      </c>
      <c r="T240" s="34"/>
    </row>
    <row r="241" spans="1:20" s="32" customFormat="1" ht="15.75" customHeight="1" x14ac:dyDescent="0.3">
      <c r="A241" s="91">
        <f>A240+1</f>
        <v>7</v>
      </c>
      <c r="B241" s="91"/>
      <c r="C241" s="72" t="s">
        <v>371</v>
      </c>
      <c r="D241" s="73">
        <f>(34.53)*10.764</f>
        <v>371.68092000000001</v>
      </c>
      <c r="E241" s="73">
        <f>(2.15*1.8+1.2*(1.95+2.75))*10.764</f>
        <v>102.36563999999998</v>
      </c>
      <c r="F241" s="39">
        <f t="shared" si="26"/>
        <v>474.04656</v>
      </c>
      <c r="G241" s="39">
        <v>0</v>
      </c>
      <c r="H241" s="39">
        <f t="shared" si="27"/>
        <v>711.06984</v>
      </c>
    </row>
    <row r="242" spans="1:20" s="32" customFormat="1" ht="15.75" customHeight="1" x14ac:dyDescent="0.3">
      <c r="A242" s="91">
        <f>A241+1</f>
        <v>8</v>
      </c>
      <c r="B242" s="91"/>
      <c r="C242" s="72" t="s">
        <v>371</v>
      </c>
      <c r="D242" s="73">
        <f>(34.33)*10.764</f>
        <v>369.52811999999994</v>
      </c>
      <c r="E242" s="73">
        <f>(2.15*1.8+1.2*(1.95+2.75))*10.764</f>
        <v>102.36563999999998</v>
      </c>
      <c r="F242" s="39">
        <f t="shared" si="26"/>
        <v>471.89375999999993</v>
      </c>
      <c r="G242" s="39">
        <v>0</v>
      </c>
      <c r="H242" s="39">
        <f t="shared" si="27"/>
        <v>707.84063999999989</v>
      </c>
    </row>
    <row r="243" spans="1:20" x14ac:dyDescent="0.3">
      <c r="A243" s="91">
        <f>A242+1</f>
        <v>9</v>
      </c>
      <c r="B243" s="91"/>
      <c r="C243" s="72" t="s">
        <v>371</v>
      </c>
      <c r="D243" s="73">
        <f>(34.55)*10.764</f>
        <v>371.89619999999996</v>
      </c>
      <c r="E243" s="73">
        <f>(2.15*1.8+1.2*(1.95+2.75))*10.764</f>
        <v>102.36563999999998</v>
      </c>
      <c r="F243" s="39">
        <f t="shared" si="26"/>
        <v>474.26183999999995</v>
      </c>
      <c r="G243" s="39">
        <v>0</v>
      </c>
      <c r="H243" s="39">
        <f t="shared" si="27"/>
        <v>711.39275999999995</v>
      </c>
    </row>
    <row r="244" spans="1:20" x14ac:dyDescent="0.3">
      <c r="A244" s="91">
        <f>A243+1</f>
        <v>10</v>
      </c>
      <c r="B244" s="91"/>
      <c r="C244" s="72" t="s">
        <v>371</v>
      </c>
      <c r="D244" s="73">
        <f>(34.55)*10.764</f>
        <v>371.89619999999996</v>
      </c>
      <c r="E244" s="73">
        <f>(2.15*1.8+1.2*(1.95+2.75))*10.764</f>
        <v>102.36563999999998</v>
      </c>
      <c r="F244" s="39">
        <f t="shared" si="26"/>
        <v>474.26183999999995</v>
      </c>
      <c r="G244" s="39">
        <v>0</v>
      </c>
      <c r="H244" s="39">
        <f t="shared" si="27"/>
        <v>711.39275999999995</v>
      </c>
    </row>
    <row r="245" spans="1:20" x14ac:dyDescent="0.3">
      <c r="A245" s="85" t="s">
        <v>389</v>
      </c>
      <c r="B245" s="85"/>
      <c r="C245" s="85"/>
      <c r="D245" s="85"/>
      <c r="E245" s="85"/>
      <c r="F245" s="85"/>
      <c r="G245" s="85"/>
      <c r="H245" s="85"/>
    </row>
    <row r="246" spans="1:20" s="34" customFormat="1" ht="15.75" customHeight="1" x14ac:dyDescent="0.3">
      <c r="A246" s="85" t="s">
        <v>362</v>
      </c>
      <c r="B246" s="85"/>
      <c r="C246" s="85"/>
      <c r="D246" s="85"/>
      <c r="E246" s="85"/>
      <c r="F246" s="85"/>
      <c r="G246" s="85"/>
      <c r="H246" s="85"/>
      <c r="I246" s="33"/>
      <c r="N246" s="33"/>
      <c r="T246" s="32"/>
    </row>
    <row r="247" spans="1:20" s="34" customFormat="1" ht="15.75" customHeight="1" x14ac:dyDescent="0.3">
      <c r="A247" s="85" t="s">
        <v>363</v>
      </c>
      <c r="B247" s="85"/>
      <c r="C247" s="85"/>
      <c r="D247" s="85"/>
      <c r="E247" s="85"/>
      <c r="F247" s="85"/>
      <c r="G247" s="85"/>
      <c r="H247" s="85"/>
      <c r="I247" s="33"/>
      <c r="N247" s="33"/>
      <c r="T247" s="32"/>
    </row>
    <row r="248" spans="1:20" s="34" customFormat="1" ht="15.75" customHeight="1" x14ac:dyDescent="0.3">
      <c r="A248" s="85" t="s">
        <v>364</v>
      </c>
      <c r="B248" s="85"/>
      <c r="C248" s="85"/>
      <c r="D248" s="85"/>
      <c r="E248" s="85"/>
      <c r="F248" s="85"/>
      <c r="G248" s="85"/>
      <c r="H248" s="85"/>
      <c r="I248" s="33"/>
      <c r="N248" s="33"/>
      <c r="T248" s="32"/>
    </row>
    <row r="249" spans="1:20" s="34" customFormat="1" ht="15.75" customHeight="1" x14ac:dyDescent="0.3">
      <c r="A249" s="85" t="s">
        <v>408</v>
      </c>
      <c r="B249" s="85"/>
      <c r="C249" s="85"/>
      <c r="D249" s="85"/>
      <c r="E249" s="85"/>
      <c r="F249" s="85"/>
      <c r="G249" s="85"/>
      <c r="H249" s="85"/>
      <c r="I249" s="33"/>
      <c r="N249" s="33"/>
      <c r="T249" s="32"/>
    </row>
    <row r="250" spans="1:20" s="34" customFormat="1" ht="15.75" customHeight="1" x14ac:dyDescent="0.3">
      <c r="A250" s="85" t="s">
        <v>407</v>
      </c>
      <c r="B250" s="85"/>
      <c r="C250" s="85"/>
      <c r="D250" s="85"/>
      <c r="E250" s="85"/>
      <c r="F250" s="85"/>
      <c r="G250" s="85"/>
      <c r="H250" s="85"/>
      <c r="I250" s="33"/>
      <c r="N250" s="33"/>
      <c r="T250" s="32"/>
    </row>
    <row r="251" spans="1:20" ht="15.75" customHeight="1" x14ac:dyDescent="0.3">
      <c r="A251" s="85" t="s">
        <v>406</v>
      </c>
      <c r="B251" s="85"/>
      <c r="C251" s="85"/>
      <c r="D251" s="85"/>
      <c r="E251" s="85"/>
      <c r="F251" s="85"/>
      <c r="G251" s="85"/>
      <c r="H251" s="85"/>
    </row>
    <row r="252" spans="1:20" x14ac:dyDescent="0.3">
      <c r="A252" s="85" t="s">
        <v>365</v>
      </c>
      <c r="B252" s="85"/>
      <c r="C252" s="85"/>
      <c r="D252" s="85"/>
      <c r="E252" s="85"/>
      <c r="F252" s="85"/>
      <c r="G252" s="85"/>
      <c r="H252" s="85"/>
    </row>
    <row r="253" spans="1:20" s="34" customFormat="1" x14ac:dyDescent="0.3">
      <c r="A253" s="85" t="s">
        <v>405</v>
      </c>
      <c r="B253" s="85"/>
      <c r="C253" s="85"/>
      <c r="D253" s="85"/>
      <c r="E253" s="85"/>
      <c r="F253" s="85"/>
      <c r="G253" s="85"/>
      <c r="H253" s="85"/>
      <c r="I253" s="33"/>
    </row>
    <row r="254" spans="1:20" s="34" customFormat="1" ht="30.75" customHeight="1" x14ac:dyDescent="0.3">
      <c r="A254" s="85" t="s">
        <v>410</v>
      </c>
      <c r="B254" s="85"/>
      <c r="C254" s="85"/>
      <c r="D254" s="85"/>
      <c r="E254" s="85"/>
      <c r="F254" s="85"/>
      <c r="G254" s="85"/>
      <c r="H254" s="85"/>
      <c r="I254" s="33">
        <f>(3*4.15+1.62*2.2+2.73*2.1+3*3+1.35*2.2+2.95*3.3+1.48*2.45+1.35*2.3+1.05*2.25)</f>
        <v>52.545499999999997</v>
      </c>
    </row>
    <row r="255" spans="1:20" s="34" customFormat="1" ht="15.75" customHeight="1" x14ac:dyDescent="0.3">
      <c r="A255" s="85" t="s">
        <v>390</v>
      </c>
      <c r="B255" s="85"/>
      <c r="C255" s="85"/>
      <c r="D255" s="85"/>
      <c r="E255" s="85"/>
      <c r="F255" s="85"/>
      <c r="G255" s="85"/>
      <c r="H255" s="85"/>
      <c r="I255" s="33">
        <f>(2.7*4.2+1.15*0.55+1.95*1.7+2.7*2.6+1.35*0.55+1.15*0.9+1.15*1.9*2)</f>
        <v>28.454999999999998</v>
      </c>
      <c r="N255" s="34" t="s">
        <v>412</v>
      </c>
    </row>
    <row r="256" spans="1:20" s="32" customFormat="1" ht="15.75" customHeight="1" x14ac:dyDescent="0.3">
      <c r="A256" s="86">
        <v>1</v>
      </c>
      <c r="B256" s="87"/>
      <c r="C256" s="72" t="s">
        <v>370</v>
      </c>
      <c r="D256" s="79">
        <f>(55.67)*10.764</f>
        <v>599.23187999999993</v>
      </c>
      <c r="E256" s="73">
        <f>(1.15*2.1+0.9*(3+3+2.95))*10.764</f>
        <v>112.69907999999998</v>
      </c>
      <c r="F256" s="39">
        <f t="shared" ref="F256:F263" si="28">D256+E256</f>
        <v>711.93095999999991</v>
      </c>
      <c r="G256" s="39">
        <v>0</v>
      </c>
      <c r="H256" s="39">
        <f t="shared" ref="H256:H263" si="29">F256*(($H$135)+1)+(IF(G256&lt;101,G256,IF(G256&lt;201,G256/2,IF(G256&lt;=301,G256/3,G256/4))))</f>
        <v>1067.89644</v>
      </c>
      <c r="T256" s="34"/>
    </row>
    <row r="257" spans="1:20" s="32" customFormat="1" ht="15.75" customHeight="1" x14ac:dyDescent="0.3">
      <c r="A257" s="86">
        <f>A256+1</f>
        <v>2</v>
      </c>
      <c r="B257" s="87"/>
      <c r="C257" s="74" t="s">
        <v>371</v>
      </c>
      <c r="D257" s="79">
        <f>(29.79)*10.764</f>
        <v>320.65956</v>
      </c>
      <c r="E257" s="73">
        <f>(2.1*1.55+0.9*(1.95+2.7))*10.764</f>
        <v>80.084160000000011</v>
      </c>
      <c r="F257" s="39">
        <f t="shared" si="28"/>
        <v>400.74372</v>
      </c>
      <c r="G257" s="39">
        <v>0</v>
      </c>
      <c r="H257" s="39">
        <f t="shared" si="29"/>
        <v>601.11558000000002</v>
      </c>
      <c r="T257" s="34"/>
    </row>
    <row r="258" spans="1:20" s="32" customFormat="1" ht="15.75" customHeight="1" x14ac:dyDescent="0.3">
      <c r="A258" s="86">
        <f>A257+1</f>
        <v>3</v>
      </c>
      <c r="B258" s="87"/>
      <c r="C258" s="74" t="s">
        <v>371</v>
      </c>
      <c r="D258" s="79">
        <f>(29.79)*10.764</f>
        <v>320.65956</v>
      </c>
      <c r="E258" s="73">
        <f t="shared" ref="E258:E261" si="30">(2.1*1.55+0.9*(1.95+2.7))*10.764</f>
        <v>80.084160000000011</v>
      </c>
      <c r="F258" s="39">
        <f t="shared" si="28"/>
        <v>400.74372</v>
      </c>
      <c r="G258" s="39">
        <v>0</v>
      </c>
      <c r="H258" s="39">
        <f t="shared" si="29"/>
        <v>601.11558000000002</v>
      </c>
      <c r="T258" s="34"/>
    </row>
    <row r="259" spans="1:20" s="32" customFormat="1" ht="15.75" customHeight="1" x14ac:dyDescent="0.3">
      <c r="A259" s="86">
        <f>A258+1</f>
        <v>4</v>
      </c>
      <c r="B259" s="87"/>
      <c r="C259" s="74" t="s">
        <v>371</v>
      </c>
      <c r="D259" s="79">
        <f t="shared" ref="D259:D260" si="31">(29.79)*10.764</f>
        <v>320.65956</v>
      </c>
      <c r="E259" s="73">
        <f t="shared" si="30"/>
        <v>80.084160000000011</v>
      </c>
      <c r="F259" s="39">
        <f t="shared" si="28"/>
        <v>400.74372</v>
      </c>
      <c r="G259" s="39">
        <v>0</v>
      </c>
      <c r="H259" s="39">
        <f t="shared" si="29"/>
        <v>601.11558000000002</v>
      </c>
      <c r="T259" s="34"/>
    </row>
    <row r="260" spans="1:20" s="32" customFormat="1" ht="15.75" customHeight="1" x14ac:dyDescent="0.3">
      <c r="A260" s="86">
        <f>A259+1</f>
        <v>5</v>
      </c>
      <c r="B260" s="87"/>
      <c r="C260" s="74" t="s">
        <v>371</v>
      </c>
      <c r="D260" s="79">
        <f t="shared" si="31"/>
        <v>320.65956</v>
      </c>
      <c r="E260" s="73">
        <f t="shared" si="30"/>
        <v>80.084160000000011</v>
      </c>
      <c r="F260" s="39">
        <f t="shared" si="28"/>
        <v>400.74372</v>
      </c>
      <c r="G260" s="39">
        <v>0</v>
      </c>
      <c r="H260" s="39">
        <f t="shared" si="29"/>
        <v>601.11558000000002</v>
      </c>
      <c r="T260" s="34"/>
    </row>
    <row r="261" spans="1:20" s="32" customFormat="1" ht="15.75" customHeight="1" x14ac:dyDescent="0.3">
      <c r="A261" s="91">
        <v>6</v>
      </c>
      <c r="B261" s="91"/>
      <c r="C261" s="74" t="s">
        <v>371</v>
      </c>
      <c r="D261" s="79">
        <f>(29.79)*10.764</f>
        <v>320.65956</v>
      </c>
      <c r="E261" s="73">
        <f t="shared" si="30"/>
        <v>80.084160000000011</v>
      </c>
      <c r="F261" s="39">
        <f t="shared" si="28"/>
        <v>400.74372</v>
      </c>
      <c r="G261" s="39">
        <v>0</v>
      </c>
      <c r="H261" s="39">
        <f t="shared" si="29"/>
        <v>601.11558000000002</v>
      </c>
      <c r="T261" s="34"/>
    </row>
    <row r="262" spans="1:20" s="34" customFormat="1" x14ac:dyDescent="0.3">
      <c r="A262" s="91">
        <f>A261+1</f>
        <v>7</v>
      </c>
      <c r="B262" s="91"/>
      <c r="C262" s="72" t="s">
        <v>371</v>
      </c>
      <c r="D262" s="79">
        <f>(28.61)*10.764</f>
        <v>307.95803999999998</v>
      </c>
      <c r="E262" s="73">
        <f>(1.3*1.55+0.9*(1.95+2.4))*10.764</f>
        <v>63.830519999999993</v>
      </c>
      <c r="F262" s="39">
        <f t="shared" si="28"/>
        <v>371.78855999999996</v>
      </c>
      <c r="G262" s="39">
        <v>0</v>
      </c>
      <c r="H262" s="39">
        <f t="shared" si="29"/>
        <v>557.68283999999994</v>
      </c>
      <c r="I262" s="33"/>
    </row>
    <row r="263" spans="1:20" s="34" customFormat="1" ht="15.75" customHeight="1" x14ac:dyDescent="0.3">
      <c r="A263" s="91">
        <f>A262+1</f>
        <v>8</v>
      </c>
      <c r="B263" s="91"/>
      <c r="C263" s="72" t="s">
        <v>370</v>
      </c>
      <c r="D263" s="79">
        <f>(55)*10.764</f>
        <v>592.02</v>
      </c>
      <c r="E263" s="73">
        <f>(2.35*1+0.9*(3+2.95))*10.764</f>
        <v>82.936619999999991</v>
      </c>
      <c r="F263" s="39">
        <f t="shared" si="28"/>
        <v>674.95661999999993</v>
      </c>
      <c r="G263" s="39">
        <v>0</v>
      </c>
      <c r="H263" s="39">
        <f t="shared" si="29"/>
        <v>1012.4349299999999</v>
      </c>
      <c r="I263" s="33"/>
    </row>
    <row r="264" spans="1:20" s="34" customFormat="1" ht="15.75" customHeight="1" x14ac:dyDescent="0.3">
      <c r="A264" s="85" t="s">
        <v>416</v>
      </c>
      <c r="B264" s="85"/>
      <c r="C264" s="85"/>
      <c r="D264" s="85"/>
      <c r="E264" s="85"/>
      <c r="F264" s="85"/>
      <c r="G264" s="85"/>
      <c r="H264" s="85"/>
      <c r="I264" s="33"/>
    </row>
    <row r="265" spans="1:20" s="32" customFormat="1" ht="15.75" customHeight="1" x14ac:dyDescent="0.3">
      <c r="A265" s="86">
        <v>1</v>
      </c>
      <c r="B265" s="87"/>
      <c r="C265" s="72" t="s">
        <v>370</v>
      </c>
      <c r="D265" s="79">
        <f>(55.67)*10.764</f>
        <v>599.23187999999993</v>
      </c>
      <c r="E265" s="73">
        <f>(1.15*2.1+0.9*(3+3+2.95))*10.764</f>
        <v>112.69907999999998</v>
      </c>
      <c r="F265" s="39">
        <f t="shared" ref="F265:F272" si="32">D265+E265</f>
        <v>711.93095999999991</v>
      </c>
      <c r="G265" s="39">
        <v>0</v>
      </c>
      <c r="H265" s="39">
        <f t="shared" ref="H265:H272" si="33">F265*(($H$135)+1)+(IF(G265&lt;101,G265,IF(G265&lt;201,G265/2,IF(G265&lt;=301,G265/3,G265/4))))</f>
        <v>1067.89644</v>
      </c>
      <c r="T265" s="34"/>
    </row>
    <row r="266" spans="1:20" s="32" customFormat="1" ht="15.75" customHeight="1" x14ac:dyDescent="0.3">
      <c r="A266" s="86">
        <f>A265+1</f>
        <v>2</v>
      </c>
      <c r="B266" s="87"/>
      <c r="C266" s="74" t="s">
        <v>371</v>
      </c>
      <c r="D266" s="79">
        <f>(29.79)*10.764</f>
        <v>320.65956</v>
      </c>
      <c r="E266" s="73">
        <f>(2.1*1.55+0.9*(1.95+2.7))*10.764</f>
        <v>80.084160000000011</v>
      </c>
      <c r="F266" s="39">
        <f t="shared" si="32"/>
        <v>400.74372</v>
      </c>
      <c r="G266" s="39">
        <v>0</v>
      </c>
      <c r="H266" s="39">
        <f t="shared" si="33"/>
        <v>601.11558000000002</v>
      </c>
      <c r="T266" s="34"/>
    </row>
    <row r="267" spans="1:20" s="32" customFormat="1" ht="15.75" customHeight="1" x14ac:dyDescent="0.3">
      <c r="A267" s="86">
        <f>A266+1</f>
        <v>3</v>
      </c>
      <c r="B267" s="87"/>
      <c r="C267" s="74" t="s">
        <v>371</v>
      </c>
      <c r="D267" s="79">
        <f>(29.79)*10.764</f>
        <v>320.65956</v>
      </c>
      <c r="E267" s="73">
        <f t="shared" ref="E267:E270" si="34">(2.1*1.55+0.9*(1.95+2.7))*10.764</f>
        <v>80.084160000000011</v>
      </c>
      <c r="F267" s="39">
        <f t="shared" si="32"/>
        <v>400.74372</v>
      </c>
      <c r="G267" s="39">
        <v>0</v>
      </c>
      <c r="H267" s="39">
        <f t="shared" si="33"/>
        <v>601.11558000000002</v>
      </c>
      <c r="T267" s="34"/>
    </row>
    <row r="268" spans="1:20" s="32" customFormat="1" ht="15.75" customHeight="1" x14ac:dyDescent="0.3">
      <c r="A268" s="86">
        <f>A267+1</f>
        <v>4</v>
      </c>
      <c r="B268" s="87"/>
      <c r="C268" s="74" t="s">
        <v>371</v>
      </c>
      <c r="D268" s="79">
        <f t="shared" ref="D268:D269" si="35">(29.79)*10.764</f>
        <v>320.65956</v>
      </c>
      <c r="E268" s="73">
        <f t="shared" si="34"/>
        <v>80.084160000000011</v>
      </c>
      <c r="F268" s="39">
        <f t="shared" si="32"/>
        <v>400.74372</v>
      </c>
      <c r="G268" s="39">
        <v>0</v>
      </c>
      <c r="H268" s="39">
        <f t="shared" si="33"/>
        <v>601.11558000000002</v>
      </c>
      <c r="T268" s="34"/>
    </row>
    <row r="269" spans="1:20" s="32" customFormat="1" ht="15.75" customHeight="1" x14ac:dyDescent="0.3">
      <c r="A269" s="86">
        <f>A268+1</f>
        <v>5</v>
      </c>
      <c r="B269" s="87"/>
      <c r="C269" s="74" t="s">
        <v>371</v>
      </c>
      <c r="D269" s="79">
        <f t="shared" si="35"/>
        <v>320.65956</v>
      </c>
      <c r="E269" s="73">
        <f t="shared" si="34"/>
        <v>80.084160000000011</v>
      </c>
      <c r="F269" s="39">
        <f t="shared" si="32"/>
        <v>400.74372</v>
      </c>
      <c r="G269" s="39">
        <v>0</v>
      </c>
      <c r="H269" s="39">
        <f t="shared" si="33"/>
        <v>601.11558000000002</v>
      </c>
      <c r="T269" s="34"/>
    </row>
    <row r="270" spans="1:20" s="32" customFormat="1" ht="15.75" customHeight="1" x14ac:dyDescent="0.3">
      <c r="A270" s="91">
        <v>6</v>
      </c>
      <c r="B270" s="91"/>
      <c r="C270" s="74" t="s">
        <v>371</v>
      </c>
      <c r="D270" s="79">
        <f>(29.79)*10.764</f>
        <v>320.65956</v>
      </c>
      <c r="E270" s="73">
        <f t="shared" si="34"/>
        <v>80.084160000000011</v>
      </c>
      <c r="F270" s="39">
        <f t="shared" si="32"/>
        <v>400.74372</v>
      </c>
      <c r="G270" s="39">
        <v>0</v>
      </c>
      <c r="H270" s="39">
        <f t="shared" si="33"/>
        <v>601.11558000000002</v>
      </c>
      <c r="T270" s="34"/>
    </row>
    <row r="271" spans="1:20" s="34" customFormat="1" x14ac:dyDescent="0.3">
      <c r="A271" s="91">
        <f>A270+1</f>
        <v>7</v>
      </c>
      <c r="B271" s="91"/>
      <c r="C271" s="72" t="s">
        <v>371</v>
      </c>
      <c r="D271" s="79">
        <f>(28.61)*10.764</f>
        <v>307.95803999999998</v>
      </c>
      <c r="E271" s="73">
        <f>(1.3*1.55+0.9*(1.95+2.4))*10.764</f>
        <v>63.830519999999993</v>
      </c>
      <c r="F271" s="39">
        <f t="shared" si="32"/>
        <v>371.78855999999996</v>
      </c>
      <c r="G271" s="39">
        <v>0</v>
      </c>
      <c r="H271" s="39">
        <f t="shared" si="33"/>
        <v>557.68283999999994</v>
      </c>
      <c r="I271" s="33"/>
    </row>
    <row r="272" spans="1:20" s="34" customFormat="1" ht="15.75" customHeight="1" x14ac:dyDescent="0.3">
      <c r="A272" s="91">
        <f>A271+1</f>
        <v>8</v>
      </c>
      <c r="B272" s="91"/>
      <c r="C272" s="72" t="s">
        <v>370</v>
      </c>
      <c r="D272" s="79">
        <f>(55)*10.764</f>
        <v>592.02</v>
      </c>
      <c r="E272" s="73">
        <f>(2.35*1+0.9*(3+2.95))*10.764</f>
        <v>82.936619999999991</v>
      </c>
      <c r="F272" s="39">
        <f t="shared" si="32"/>
        <v>674.95661999999993</v>
      </c>
      <c r="G272" s="39">
        <v>0</v>
      </c>
      <c r="H272" s="39">
        <f t="shared" si="33"/>
        <v>1012.4349299999999</v>
      </c>
      <c r="I272" s="33">
        <f>(3*4.15+1.62*2.2+2.73*2.1+3*3+1.35*2.2+3.05*3.3+1.48*2.45+1.45*2.3+1.05*2.25)</f>
        <v>53.105499999999999</v>
      </c>
    </row>
    <row r="273" spans="1:20" s="34" customFormat="1" ht="15.75" customHeight="1" x14ac:dyDescent="0.3">
      <c r="A273" s="85" t="s">
        <v>396</v>
      </c>
      <c r="B273" s="85"/>
      <c r="C273" s="85"/>
      <c r="D273" s="85"/>
      <c r="E273" s="85"/>
      <c r="F273" s="85"/>
      <c r="G273" s="85"/>
      <c r="H273" s="85"/>
      <c r="I273" s="33"/>
    </row>
    <row r="274" spans="1:20" s="32" customFormat="1" ht="15.75" customHeight="1" x14ac:dyDescent="0.3">
      <c r="A274" s="86">
        <v>1</v>
      </c>
      <c r="B274" s="87"/>
      <c r="C274" s="72" t="s">
        <v>370</v>
      </c>
      <c r="D274" s="79">
        <f>(56.24)*10.764</f>
        <v>605.36735999999996</v>
      </c>
      <c r="E274" s="73">
        <f>(1.15*2.1+0.9*(3+3+3.05))*10.764</f>
        <v>113.66784000000001</v>
      </c>
      <c r="F274" s="39">
        <f t="shared" ref="F274:F281" si="36">D274+E274</f>
        <v>719.03520000000003</v>
      </c>
      <c r="G274" s="39">
        <v>0</v>
      </c>
      <c r="H274" s="39">
        <f t="shared" ref="H274:H281" si="37">F274*(($H$135)+1)+(IF(G274&lt;101,G274,IF(G274&lt;201,G274/2,IF(G274&lt;=301,G274/3,G274/4))))</f>
        <v>1078.5527999999999</v>
      </c>
      <c r="T274" s="34"/>
    </row>
    <row r="275" spans="1:20" s="32" customFormat="1" ht="15.75" customHeight="1" x14ac:dyDescent="0.3">
      <c r="A275" s="86">
        <f>A274+1</f>
        <v>2</v>
      </c>
      <c r="B275" s="87"/>
      <c r="C275" s="74" t="s">
        <v>371</v>
      </c>
      <c r="D275" s="79">
        <f>(29.79)*10.764</f>
        <v>320.65956</v>
      </c>
      <c r="E275" s="73">
        <f>(2.1*1.55+0.9*(1.95+2.7))*10.764</f>
        <v>80.084160000000011</v>
      </c>
      <c r="F275" s="39">
        <f t="shared" si="36"/>
        <v>400.74372</v>
      </c>
      <c r="G275" s="39">
        <v>0</v>
      </c>
      <c r="H275" s="39">
        <f t="shared" si="37"/>
        <v>601.11558000000002</v>
      </c>
      <c r="T275" s="34"/>
    </row>
    <row r="276" spans="1:20" s="32" customFormat="1" ht="15.75" customHeight="1" x14ac:dyDescent="0.3">
      <c r="A276" s="86">
        <f>A275+1</f>
        <v>3</v>
      </c>
      <c r="B276" s="87"/>
      <c r="C276" s="74" t="s">
        <v>371</v>
      </c>
      <c r="D276" s="79">
        <f>(29.79)*10.764</f>
        <v>320.65956</v>
      </c>
      <c r="E276" s="73">
        <f t="shared" ref="E276:E279" si="38">(2.1*1.55+0.9*(1.95+2.7))*10.764</f>
        <v>80.084160000000011</v>
      </c>
      <c r="F276" s="39">
        <f t="shared" si="36"/>
        <v>400.74372</v>
      </c>
      <c r="G276" s="39">
        <v>0</v>
      </c>
      <c r="H276" s="39">
        <f t="shared" si="37"/>
        <v>601.11558000000002</v>
      </c>
      <c r="T276" s="34"/>
    </row>
    <row r="277" spans="1:20" s="32" customFormat="1" ht="15.75" customHeight="1" x14ac:dyDescent="0.3">
      <c r="A277" s="86">
        <f>A276+1</f>
        <v>4</v>
      </c>
      <c r="B277" s="87"/>
      <c r="C277" s="74" t="s">
        <v>371</v>
      </c>
      <c r="D277" s="79">
        <f t="shared" ref="D277:D278" si="39">(29.79)*10.764</f>
        <v>320.65956</v>
      </c>
      <c r="E277" s="73">
        <f t="shared" si="38"/>
        <v>80.084160000000011</v>
      </c>
      <c r="F277" s="39">
        <f t="shared" si="36"/>
        <v>400.74372</v>
      </c>
      <c r="G277" s="39">
        <v>0</v>
      </c>
      <c r="H277" s="39">
        <f t="shared" si="37"/>
        <v>601.11558000000002</v>
      </c>
      <c r="T277" s="34"/>
    </row>
    <row r="278" spans="1:20" s="32" customFormat="1" ht="15.75" customHeight="1" x14ac:dyDescent="0.3">
      <c r="A278" s="86">
        <f>A277+1</f>
        <v>5</v>
      </c>
      <c r="B278" s="87"/>
      <c r="C278" s="74" t="s">
        <v>371</v>
      </c>
      <c r="D278" s="79">
        <f t="shared" si="39"/>
        <v>320.65956</v>
      </c>
      <c r="E278" s="73">
        <f t="shared" si="38"/>
        <v>80.084160000000011</v>
      </c>
      <c r="F278" s="39">
        <f t="shared" si="36"/>
        <v>400.74372</v>
      </c>
      <c r="G278" s="39">
        <v>0</v>
      </c>
      <c r="H278" s="39">
        <f t="shared" si="37"/>
        <v>601.11558000000002</v>
      </c>
      <c r="T278" s="34"/>
    </row>
    <row r="279" spans="1:20" s="32" customFormat="1" ht="15.75" customHeight="1" x14ac:dyDescent="0.3">
      <c r="A279" s="91">
        <v>6</v>
      </c>
      <c r="B279" s="91"/>
      <c r="C279" s="74" t="s">
        <v>371</v>
      </c>
      <c r="D279" s="79">
        <f>(29.79)*10.764</f>
        <v>320.65956</v>
      </c>
      <c r="E279" s="73">
        <f t="shared" si="38"/>
        <v>80.084160000000011</v>
      </c>
      <c r="F279" s="39">
        <f t="shared" si="36"/>
        <v>400.74372</v>
      </c>
      <c r="G279" s="39">
        <v>0</v>
      </c>
      <c r="H279" s="39">
        <f t="shared" si="37"/>
        <v>601.11558000000002</v>
      </c>
      <c r="T279" s="34"/>
    </row>
    <row r="280" spans="1:20" s="34" customFormat="1" x14ac:dyDescent="0.3">
      <c r="A280" s="91">
        <f>A279+1</f>
        <v>7</v>
      </c>
      <c r="B280" s="91"/>
      <c r="C280" s="72" t="s">
        <v>371</v>
      </c>
      <c r="D280" s="79">
        <f>(28.61)*10.764</f>
        <v>307.95803999999998</v>
      </c>
      <c r="E280" s="73">
        <f>(1.3*1.55+0.9*(1.95+2.4))*10.764</f>
        <v>63.830519999999993</v>
      </c>
      <c r="F280" s="39">
        <f t="shared" si="36"/>
        <v>371.78855999999996</v>
      </c>
      <c r="G280" s="39">
        <v>0</v>
      </c>
      <c r="H280" s="39">
        <f t="shared" si="37"/>
        <v>557.68283999999994</v>
      </c>
      <c r="I280" s="33"/>
    </row>
    <row r="281" spans="1:20" s="34" customFormat="1" ht="15.75" customHeight="1" x14ac:dyDescent="0.3">
      <c r="A281" s="91">
        <f>A280+1</f>
        <v>8</v>
      </c>
      <c r="B281" s="91"/>
      <c r="C281" s="72" t="s">
        <v>370</v>
      </c>
      <c r="D281" s="79">
        <f>(55.59)*10.764</f>
        <v>598.37076000000002</v>
      </c>
      <c r="E281" s="73">
        <f>(2.35*1+0.9*(3+3.05))*10.764</f>
        <v>83.905379999999994</v>
      </c>
      <c r="F281" s="39">
        <f t="shared" si="36"/>
        <v>682.27614000000005</v>
      </c>
      <c r="G281" s="39">
        <v>0</v>
      </c>
      <c r="H281" s="39">
        <f t="shared" si="37"/>
        <v>1023.4142100000001</v>
      </c>
      <c r="I281" s="33"/>
    </row>
    <row r="282" spans="1:20" s="34" customFormat="1" ht="15.75" customHeight="1" x14ac:dyDescent="0.3">
      <c r="A282" s="85" t="s">
        <v>392</v>
      </c>
      <c r="B282" s="85"/>
      <c r="C282" s="85"/>
      <c r="D282" s="85"/>
      <c r="E282" s="85"/>
      <c r="F282" s="85"/>
      <c r="G282" s="85"/>
      <c r="H282" s="85"/>
      <c r="I282" s="33"/>
    </row>
    <row r="283" spans="1:20" s="32" customFormat="1" ht="15.75" customHeight="1" x14ac:dyDescent="0.3">
      <c r="A283" s="86">
        <v>1</v>
      </c>
      <c r="B283" s="87"/>
      <c r="C283" s="72" t="s">
        <v>370</v>
      </c>
      <c r="D283" s="79">
        <f>(56.24)*10.764</f>
        <v>605.36735999999996</v>
      </c>
      <c r="E283" s="73">
        <f>(1.15*2.1+0.9*(3+3+3.05))*10.764</f>
        <v>113.66784000000001</v>
      </c>
      <c r="F283" s="39">
        <f t="shared" ref="F283:F290" si="40">D283+E283</f>
        <v>719.03520000000003</v>
      </c>
      <c r="G283" s="39">
        <v>0</v>
      </c>
      <c r="H283" s="39">
        <f t="shared" ref="H283:H290" si="41">F283*(($H$135)+1)+(IF(G283&lt;101,G283,IF(G283&lt;201,G283/2,IF(G283&lt;=301,G283/3,G283/4))))</f>
        <v>1078.5527999999999</v>
      </c>
      <c r="T283" s="34"/>
    </row>
    <row r="284" spans="1:20" s="32" customFormat="1" ht="15.75" customHeight="1" x14ac:dyDescent="0.3">
      <c r="A284" s="86">
        <f>A283+1</f>
        <v>2</v>
      </c>
      <c r="B284" s="87"/>
      <c r="C284" s="74" t="s">
        <v>371</v>
      </c>
      <c r="D284" s="79">
        <f>(29.79)*10.764</f>
        <v>320.65956</v>
      </c>
      <c r="E284" s="73">
        <f>(2.1*1.55+0.9*(1.95+2.7))*10.764</f>
        <v>80.084160000000011</v>
      </c>
      <c r="F284" s="39">
        <f t="shared" si="40"/>
        <v>400.74372</v>
      </c>
      <c r="G284" s="39">
        <v>0</v>
      </c>
      <c r="H284" s="39">
        <f t="shared" si="41"/>
        <v>601.11558000000002</v>
      </c>
      <c r="T284" s="34"/>
    </row>
    <row r="285" spans="1:20" s="32" customFormat="1" ht="15.75" customHeight="1" x14ac:dyDescent="0.3">
      <c r="A285" s="86">
        <f>A284+1</f>
        <v>3</v>
      </c>
      <c r="B285" s="87"/>
      <c r="C285" s="74" t="s">
        <v>371</v>
      </c>
      <c r="D285" s="79">
        <f>(29.79)*10.764</f>
        <v>320.65956</v>
      </c>
      <c r="E285" s="73">
        <f t="shared" ref="E285:E288" si="42">(2.1*1.55+0.9*(1.95+2.7))*10.764</f>
        <v>80.084160000000011</v>
      </c>
      <c r="F285" s="39">
        <f t="shared" si="40"/>
        <v>400.74372</v>
      </c>
      <c r="G285" s="39">
        <v>0</v>
      </c>
      <c r="H285" s="39">
        <f t="shared" si="41"/>
        <v>601.11558000000002</v>
      </c>
      <c r="T285" s="34"/>
    </row>
    <row r="286" spans="1:20" s="32" customFormat="1" ht="15.75" customHeight="1" x14ac:dyDescent="0.3">
      <c r="A286" s="86">
        <f>A285+1</f>
        <v>4</v>
      </c>
      <c r="B286" s="87"/>
      <c r="C286" s="74" t="s">
        <v>371</v>
      </c>
      <c r="D286" s="79">
        <f t="shared" ref="D286:D287" si="43">(29.79)*10.764</f>
        <v>320.65956</v>
      </c>
      <c r="E286" s="73">
        <f t="shared" si="42"/>
        <v>80.084160000000011</v>
      </c>
      <c r="F286" s="39">
        <f t="shared" si="40"/>
        <v>400.74372</v>
      </c>
      <c r="G286" s="39">
        <v>0</v>
      </c>
      <c r="H286" s="39">
        <f t="shared" si="41"/>
        <v>601.11558000000002</v>
      </c>
      <c r="T286" s="34"/>
    </row>
    <row r="287" spans="1:20" s="32" customFormat="1" ht="15.75" customHeight="1" x14ac:dyDescent="0.3">
      <c r="A287" s="86">
        <f>A286+1</f>
        <v>5</v>
      </c>
      <c r="B287" s="87"/>
      <c r="C287" s="74" t="s">
        <v>371</v>
      </c>
      <c r="D287" s="79">
        <f t="shared" si="43"/>
        <v>320.65956</v>
      </c>
      <c r="E287" s="73">
        <f t="shared" si="42"/>
        <v>80.084160000000011</v>
      </c>
      <c r="F287" s="39">
        <f t="shared" si="40"/>
        <v>400.74372</v>
      </c>
      <c r="G287" s="39">
        <v>0</v>
      </c>
      <c r="H287" s="39">
        <f t="shared" si="41"/>
        <v>601.11558000000002</v>
      </c>
      <c r="T287" s="34"/>
    </row>
    <row r="288" spans="1:20" s="32" customFormat="1" ht="15.75" customHeight="1" x14ac:dyDescent="0.3">
      <c r="A288" s="91">
        <v>6</v>
      </c>
      <c r="B288" s="91"/>
      <c r="C288" s="74" t="s">
        <v>371</v>
      </c>
      <c r="D288" s="79">
        <f>(29.79)*10.764</f>
        <v>320.65956</v>
      </c>
      <c r="E288" s="73">
        <f t="shared" si="42"/>
        <v>80.084160000000011</v>
      </c>
      <c r="F288" s="39">
        <f t="shared" si="40"/>
        <v>400.74372</v>
      </c>
      <c r="G288" s="39">
        <v>0</v>
      </c>
      <c r="H288" s="39">
        <f t="shared" si="41"/>
        <v>601.11558000000002</v>
      </c>
      <c r="T288" s="34"/>
    </row>
    <row r="289" spans="1:20" s="34" customFormat="1" x14ac:dyDescent="0.3">
      <c r="A289" s="91">
        <f>A288+1</f>
        <v>7</v>
      </c>
      <c r="B289" s="91"/>
      <c r="C289" s="72" t="s">
        <v>371</v>
      </c>
      <c r="D289" s="79">
        <f>(28.61)*10.764</f>
        <v>307.95803999999998</v>
      </c>
      <c r="E289" s="73">
        <f>(1.3*1.55+0.9*(1.95+2.4))*10.764</f>
        <v>63.830519999999993</v>
      </c>
      <c r="F289" s="39">
        <f t="shared" si="40"/>
        <v>371.78855999999996</v>
      </c>
      <c r="G289" s="39">
        <v>0</v>
      </c>
      <c r="H289" s="39">
        <f t="shared" si="41"/>
        <v>557.68283999999994</v>
      </c>
      <c r="I289" s="33"/>
    </row>
    <row r="290" spans="1:20" s="34" customFormat="1" ht="15.75" customHeight="1" x14ac:dyDescent="0.3">
      <c r="A290" s="91">
        <f>A289+1</f>
        <v>8</v>
      </c>
      <c r="B290" s="91"/>
      <c r="C290" s="72" t="s">
        <v>370</v>
      </c>
      <c r="D290" s="79">
        <f>(55.59)*10.764</f>
        <v>598.37076000000002</v>
      </c>
      <c r="E290" s="73">
        <f>(2.35*1+0.9*(3+3.05))*10.764</f>
        <v>83.905379999999994</v>
      </c>
      <c r="F290" s="39">
        <f t="shared" si="40"/>
        <v>682.27614000000005</v>
      </c>
      <c r="G290" s="39">
        <v>0</v>
      </c>
      <c r="H290" s="39">
        <f t="shared" si="41"/>
        <v>1023.4142100000001</v>
      </c>
    </row>
    <row r="291" spans="1:20" s="34" customFormat="1" ht="15.75" customHeight="1" x14ac:dyDescent="0.3">
      <c r="A291" s="92" t="s">
        <v>417</v>
      </c>
      <c r="B291" s="92"/>
      <c r="C291" s="92"/>
      <c r="D291" s="92"/>
      <c r="E291" s="92"/>
      <c r="F291" s="92"/>
      <c r="G291" s="92"/>
      <c r="H291" s="92"/>
      <c r="I291" s="33">
        <f>(3.3*4.4+1.05*2.15+3*2.1+3.4*3.27+2.35*0.9+2.35*1.3+3.25*3+3.4*4+1.95*1.65+2*1.25+2.8*0.55+3.45*0.9+1.05*2.15)</f>
        <v>75.33550000000001</v>
      </c>
    </row>
    <row r="292" spans="1:20" s="32" customFormat="1" ht="15.75" customHeight="1" x14ac:dyDescent="0.3">
      <c r="A292" s="91">
        <v>1</v>
      </c>
      <c r="B292" s="91"/>
      <c r="C292" s="74" t="s">
        <v>370</v>
      </c>
      <c r="D292" s="79">
        <f>(61.07)*10.764</f>
        <v>657.35748000000001</v>
      </c>
      <c r="E292" s="73">
        <f>(0.7*3+0.9*(3+3.05)+1.15*2.1)*10.764</f>
        <v>107.20944</v>
      </c>
      <c r="F292" s="39">
        <f t="shared" ref="F292:F296" si="44">D292+E292</f>
        <v>764.56691999999998</v>
      </c>
      <c r="G292" s="39">
        <v>0</v>
      </c>
      <c r="H292" s="39">
        <f t="shared" ref="H292:H296" si="45">F292*(($H$135)+1)+(IF(G292&lt;101,G292,IF(G292&lt;201,G292/2,IF(G292&lt;=301,G292/3,G292/4))))</f>
        <v>1146.8503799999999</v>
      </c>
      <c r="T292" s="34"/>
    </row>
    <row r="293" spans="1:20" s="32" customFormat="1" ht="15.75" customHeight="1" x14ac:dyDescent="0.3">
      <c r="A293" s="91">
        <f>A292+1</f>
        <v>2</v>
      </c>
      <c r="B293" s="91"/>
      <c r="C293" s="74" t="s">
        <v>372</v>
      </c>
      <c r="D293" s="79">
        <f>(79.91)*10.764</f>
        <v>860.15123999999992</v>
      </c>
      <c r="E293" s="73">
        <f>(0.9*(3.3+3.4+3.25+3.4+2.1))*10.764</f>
        <v>149.67341999999999</v>
      </c>
      <c r="F293" s="39">
        <f t="shared" si="44"/>
        <v>1009.8246599999999</v>
      </c>
      <c r="G293" s="39">
        <v>0</v>
      </c>
      <c r="H293" s="39">
        <f t="shared" si="45"/>
        <v>1514.7369899999999</v>
      </c>
      <c r="T293" s="34"/>
    </row>
    <row r="294" spans="1:20" s="32" customFormat="1" ht="15.75" customHeight="1" x14ac:dyDescent="0.3">
      <c r="A294" s="91">
        <f>A293+1</f>
        <v>3</v>
      </c>
      <c r="B294" s="91"/>
      <c r="C294" s="74" t="s">
        <v>372</v>
      </c>
      <c r="D294" s="79">
        <f>(79.31)*10.764</f>
        <v>853.69283999999993</v>
      </c>
      <c r="E294" s="73">
        <f>(0.9*(3.3+3.4+3.25+1.9))*10.764</f>
        <v>114.79805999999998</v>
      </c>
      <c r="F294" s="39">
        <f t="shared" si="44"/>
        <v>968.4908999999999</v>
      </c>
      <c r="G294" s="39">
        <v>0</v>
      </c>
      <c r="H294" s="39">
        <f t="shared" si="45"/>
        <v>1452.7363499999999</v>
      </c>
      <c r="T294" s="34"/>
    </row>
    <row r="295" spans="1:20" s="34" customFormat="1" x14ac:dyDescent="0.3">
      <c r="A295" s="91">
        <f>A294+1</f>
        <v>4</v>
      </c>
      <c r="B295" s="91"/>
      <c r="C295" s="74" t="s">
        <v>372</v>
      </c>
      <c r="D295" s="79">
        <f>(75.76)*10.764</f>
        <v>815.48063999999999</v>
      </c>
      <c r="E295" s="73">
        <f>(0.9*(3.3+2.95+3.06+2.1))*10.764</f>
        <v>110.535516</v>
      </c>
      <c r="F295" s="39">
        <f t="shared" si="44"/>
        <v>926.01615600000002</v>
      </c>
      <c r="G295" s="39">
        <v>0</v>
      </c>
      <c r="H295" s="39">
        <f t="shared" si="45"/>
        <v>1389.024234</v>
      </c>
      <c r="I295" s="33"/>
    </row>
    <row r="296" spans="1:20" s="34" customFormat="1" ht="15.75" customHeight="1" x14ac:dyDescent="0.3">
      <c r="A296" s="86">
        <f>A295+1</f>
        <v>5</v>
      </c>
      <c r="B296" s="87"/>
      <c r="C296" s="74" t="s">
        <v>370</v>
      </c>
      <c r="D296" s="79">
        <f>(61.1)*10.764</f>
        <v>657.68039999999996</v>
      </c>
      <c r="E296" s="73">
        <f>(2.35*1+0.9*(3+3.05))*10.764</f>
        <v>83.905379999999994</v>
      </c>
      <c r="F296" s="39">
        <f t="shared" si="44"/>
        <v>741.58578</v>
      </c>
      <c r="G296" s="39">
        <v>0</v>
      </c>
      <c r="H296" s="39">
        <f t="shared" si="45"/>
        <v>1112.3786700000001</v>
      </c>
      <c r="I296" s="33"/>
    </row>
    <row r="297" spans="1:20" s="34" customFormat="1" ht="15.75" customHeight="1" x14ac:dyDescent="0.3">
      <c r="A297" s="92" t="s">
        <v>394</v>
      </c>
      <c r="B297" s="92"/>
      <c r="C297" s="92"/>
      <c r="D297" s="92"/>
      <c r="E297" s="92"/>
      <c r="F297" s="92"/>
      <c r="G297" s="92"/>
      <c r="H297" s="92"/>
      <c r="I297" s="33"/>
    </row>
    <row r="298" spans="1:20" s="32" customFormat="1" ht="15.75" customHeight="1" x14ac:dyDescent="0.3">
      <c r="A298" s="86">
        <v>1</v>
      </c>
      <c r="B298" s="87"/>
      <c r="C298" s="74" t="s">
        <v>370</v>
      </c>
      <c r="D298" s="79">
        <f>(61.07)*10.764</f>
        <v>657.35748000000001</v>
      </c>
      <c r="E298" s="73">
        <f>(0.7*3+0.9*(3+3.05)+1.15*2.1)*10.764</f>
        <v>107.20944</v>
      </c>
      <c r="F298" s="39">
        <f t="shared" ref="F298:F302" si="46">D298+E298</f>
        <v>764.56691999999998</v>
      </c>
      <c r="G298" s="39">
        <v>0</v>
      </c>
      <c r="H298" s="39">
        <f t="shared" ref="H298:H302" si="47">F298*(($H$135)+1)+(IF(G298&lt;101,G298,IF(G298&lt;201,G298/2,IF(G298&lt;=301,G298/3,G298/4))))</f>
        <v>1146.8503799999999</v>
      </c>
      <c r="T298" s="34"/>
    </row>
    <row r="299" spans="1:20" s="32" customFormat="1" ht="15.75" customHeight="1" x14ac:dyDescent="0.3">
      <c r="A299" s="86">
        <f>A298+1</f>
        <v>2</v>
      </c>
      <c r="B299" s="87"/>
      <c r="C299" s="74" t="s">
        <v>372</v>
      </c>
      <c r="D299" s="79">
        <f>(77.53)*10.764</f>
        <v>834.53291999999999</v>
      </c>
      <c r="E299" s="73">
        <f>(0.9*(3.3+3.4+3.25+3.4+2.1))*10.764</f>
        <v>149.67341999999999</v>
      </c>
      <c r="F299" s="39">
        <f t="shared" si="46"/>
        <v>984.20633999999995</v>
      </c>
      <c r="G299" s="39">
        <v>0</v>
      </c>
      <c r="H299" s="39">
        <f t="shared" si="47"/>
        <v>1476.30951</v>
      </c>
      <c r="T299" s="34"/>
    </row>
    <row r="300" spans="1:20" s="32" customFormat="1" ht="15.75" customHeight="1" x14ac:dyDescent="0.3">
      <c r="A300" s="86">
        <f>A299+1</f>
        <v>3</v>
      </c>
      <c r="B300" s="87"/>
      <c r="C300" s="74" t="s">
        <v>372</v>
      </c>
      <c r="D300" s="79">
        <f>(76.83)*10.764</f>
        <v>826.99811999999997</v>
      </c>
      <c r="E300" s="73">
        <f>(0.9*(3.3+3.4+3.25+1.9))*10.764</f>
        <v>114.79805999999998</v>
      </c>
      <c r="F300" s="39">
        <f t="shared" si="46"/>
        <v>941.79617999999994</v>
      </c>
      <c r="G300" s="39">
        <v>0</v>
      </c>
      <c r="H300" s="39">
        <f t="shared" si="47"/>
        <v>1412.69427</v>
      </c>
      <c r="T300" s="34"/>
    </row>
    <row r="301" spans="1:20" s="34" customFormat="1" x14ac:dyDescent="0.3">
      <c r="A301" s="86">
        <f>A300+1</f>
        <v>4</v>
      </c>
      <c r="B301" s="87"/>
      <c r="C301" s="74" t="s">
        <v>372</v>
      </c>
      <c r="D301" s="79">
        <f>(73.37)*10.764</f>
        <v>789.75468000000001</v>
      </c>
      <c r="E301" s="73">
        <f>(0.9*(3.3+2.9+3.06+2.1))*10.764</f>
        <v>110.051136</v>
      </c>
      <c r="F301" s="39">
        <f t="shared" si="46"/>
        <v>899.80581600000005</v>
      </c>
      <c r="G301" s="39">
        <v>0</v>
      </c>
      <c r="H301" s="39">
        <f t="shared" si="47"/>
        <v>1349.7087240000001</v>
      </c>
      <c r="I301" s="33"/>
    </row>
    <row r="302" spans="1:20" s="34" customFormat="1" ht="15.75" customHeight="1" x14ac:dyDescent="0.3">
      <c r="A302" s="86">
        <f>A301+1</f>
        <v>5</v>
      </c>
      <c r="B302" s="87"/>
      <c r="C302" s="74" t="s">
        <v>370</v>
      </c>
      <c r="D302" s="79">
        <f>(61.1)*10.764</f>
        <v>657.68039999999996</v>
      </c>
      <c r="E302" s="73">
        <f>(2.35*1+0.9*(3+3.05))*10.764</f>
        <v>83.905379999999994</v>
      </c>
      <c r="F302" s="39">
        <f t="shared" si="46"/>
        <v>741.58578</v>
      </c>
      <c r="G302" s="39">
        <v>0</v>
      </c>
      <c r="H302" s="39">
        <f t="shared" si="47"/>
        <v>1112.3786700000001</v>
      </c>
      <c r="I302" s="33"/>
    </row>
    <row r="303" spans="1:20" s="34" customFormat="1" ht="15.75" customHeight="1" x14ac:dyDescent="0.3">
      <c r="A303" s="85" t="s">
        <v>395</v>
      </c>
      <c r="B303" s="85"/>
      <c r="C303" s="85"/>
      <c r="D303" s="85"/>
      <c r="E303" s="85"/>
      <c r="F303" s="85"/>
      <c r="G303" s="85"/>
      <c r="H303" s="85"/>
      <c r="I303" s="33"/>
    </row>
    <row r="304" spans="1:20" s="32" customFormat="1" ht="15.75" customHeight="1" x14ac:dyDescent="0.3">
      <c r="A304" s="86">
        <v>1</v>
      </c>
      <c r="B304" s="87"/>
      <c r="C304" s="74" t="s">
        <v>370</v>
      </c>
      <c r="D304" s="79">
        <f>(61.07)*10.764</f>
        <v>657.35748000000001</v>
      </c>
      <c r="E304" s="73">
        <f>(0.7*3+0.9*(3+3.05)+1.15*2.1)*10.764</f>
        <v>107.20944</v>
      </c>
      <c r="F304" s="39">
        <f t="shared" ref="F304:F308" si="48">D304+E304</f>
        <v>764.56691999999998</v>
      </c>
      <c r="G304" s="39">
        <v>0</v>
      </c>
      <c r="H304" s="39">
        <f t="shared" ref="H304:H308" si="49">F304*(($H$135)+1)+(IF(G304&lt;101,G304,IF(G304&lt;201,G304/2,IF(G304&lt;=301,G304/3,G304/4))))</f>
        <v>1146.8503799999999</v>
      </c>
      <c r="T304" s="34"/>
    </row>
    <row r="305" spans="1:20" s="32" customFormat="1" ht="15.75" customHeight="1" x14ac:dyDescent="0.3">
      <c r="A305" s="86">
        <f>A304+1</f>
        <v>2</v>
      </c>
      <c r="B305" s="87"/>
      <c r="C305" s="74" t="s">
        <v>372</v>
      </c>
      <c r="D305" s="79">
        <f>(77.53)*10.764</f>
        <v>834.53291999999999</v>
      </c>
      <c r="E305" s="73">
        <f>(0.9*(3.3+3.4+3.25+3.4+2.1))*10.764</f>
        <v>149.67341999999999</v>
      </c>
      <c r="F305" s="39">
        <f t="shared" si="48"/>
        <v>984.20633999999995</v>
      </c>
      <c r="G305" s="39">
        <v>0</v>
      </c>
      <c r="H305" s="39">
        <f t="shared" si="49"/>
        <v>1476.30951</v>
      </c>
      <c r="T305" s="34"/>
    </row>
    <row r="306" spans="1:20" s="32" customFormat="1" ht="15.75" customHeight="1" x14ac:dyDescent="0.3">
      <c r="A306" s="86">
        <f>A305+1</f>
        <v>3</v>
      </c>
      <c r="B306" s="87"/>
      <c r="C306" s="74" t="s">
        <v>372</v>
      </c>
      <c r="D306" s="79">
        <f>(76.83)*10.764</f>
        <v>826.99811999999997</v>
      </c>
      <c r="E306" s="73">
        <f>(0.9*(3.3+3.4+3.25+1.9))*10.764</f>
        <v>114.79805999999998</v>
      </c>
      <c r="F306" s="39">
        <f t="shared" si="48"/>
        <v>941.79617999999994</v>
      </c>
      <c r="G306" s="39">
        <v>0</v>
      </c>
      <c r="H306" s="39">
        <f t="shared" si="49"/>
        <v>1412.69427</v>
      </c>
      <c r="T306" s="34"/>
    </row>
    <row r="307" spans="1:20" s="34" customFormat="1" x14ac:dyDescent="0.3">
      <c r="A307" s="86">
        <f>A306+1</f>
        <v>4</v>
      </c>
      <c r="B307" s="87"/>
      <c r="C307" s="74" t="s">
        <v>372</v>
      </c>
      <c r="D307" s="79">
        <f>(73.37)*10.764</f>
        <v>789.75468000000001</v>
      </c>
      <c r="E307" s="73">
        <f>(0.9*(3.3+2.9+3.06+2.1))*10.764</f>
        <v>110.051136</v>
      </c>
      <c r="F307" s="39">
        <f t="shared" si="48"/>
        <v>899.80581600000005</v>
      </c>
      <c r="G307" s="39">
        <v>0</v>
      </c>
      <c r="H307" s="39">
        <f t="shared" si="49"/>
        <v>1349.7087240000001</v>
      </c>
      <c r="I307" s="33"/>
    </row>
    <row r="308" spans="1:20" s="34" customFormat="1" ht="15.75" customHeight="1" x14ac:dyDescent="0.3">
      <c r="A308" s="86">
        <f>A307+1</f>
        <v>5</v>
      </c>
      <c r="B308" s="87"/>
      <c r="C308" s="74" t="s">
        <v>370</v>
      </c>
      <c r="D308" s="79">
        <f>(61.1)*10.764</f>
        <v>657.68039999999996</v>
      </c>
      <c r="E308" s="73">
        <f>(2.35*1+0.9*(3+3.05))*10.764</f>
        <v>83.905379999999994</v>
      </c>
      <c r="F308" s="39">
        <f t="shared" si="48"/>
        <v>741.58578</v>
      </c>
      <c r="G308" s="39">
        <v>0</v>
      </c>
      <c r="H308" s="39">
        <f t="shared" si="49"/>
        <v>1112.3786700000001</v>
      </c>
      <c r="I308" s="33"/>
    </row>
    <row r="309" spans="1:20" s="34" customFormat="1" ht="15.75" customHeight="1" x14ac:dyDescent="0.3">
      <c r="A309" s="85" t="s">
        <v>398</v>
      </c>
      <c r="B309" s="85"/>
      <c r="C309" s="85"/>
      <c r="D309" s="85"/>
      <c r="E309" s="85"/>
      <c r="F309" s="85"/>
      <c r="G309" s="85"/>
      <c r="H309" s="85"/>
      <c r="I309" s="33"/>
    </row>
    <row r="310" spans="1:20" s="32" customFormat="1" ht="15.75" customHeight="1" x14ac:dyDescent="0.3">
      <c r="A310" s="86">
        <v>1</v>
      </c>
      <c r="B310" s="87"/>
      <c r="C310" s="74" t="s">
        <v>370</v>
      </c>
      <c r="D310" s="79">
        <f>(61.07)*10.764</f>
        <v>657.35748000000001</v>
      </c>
      <c r="E310" s="73">
        <f>(0.7*3+0.9*(3+3.05)+1.15*2.1)*10.764</f>
        <v>107.20944</v>
      </c>
      <c r="F310" s="39">
        <f t="shared" ref="F310:F314" si="50">D310+E310</f>
        <v>764.56691999999998</v>
      </c>
      <c r="G310" s="39">
        <v>0</v>
      </c>
      <c r="H310" s="39">
        <f t="shared" ref="H310:H314" si="51">F310*(($H$135)+1)+(IF(G310&lt;101,G310,IF(G310&lt;201,G310/2,IF(G310&lt;=301,G310/3,G310/4))))</f>
        <v>1146.8503799999999</v>
      </c>
      <c r="T310" s="34"/>
    </row>
    <row r="311" spans="1:20" s="32" customFormat="1" ht="15.75" customHeight="1" x14ac:dyDescent="0.3">
      <c r="A311" s="86">
        <f>A310+1</f>
        <v>2</v>
      </c>
      <c r="B311" s="87"/>
      <c r="C311" s="74" t="s">
        <v>372</v>
      </c>
      <c r="D311" s="79">
        <f>(77.53)*10.764</f>
        <v>834.53291999999999</v>
      </c>
      <c r="E311" s="73">
        <f>(0.9*(3.3+3.4+3.25+3.4+2.1))*10.764</f>
        <v>149.67341999999999</v>
      </c>
      <c r="F311" s="39">
        <f t="shared" si="50"/>
        <v>984.20633999999995</v>
      </c>
      <c r="G311" s="39">
        <v>0</v>
      </c>
      <c r="H311" s="39">
        <f t="shared" si="51"/>
        <v>1476.30951</v>
      </c>
      <c r="T311" s="34"/>
    </row>
    <row r="312" spans="1:20" s="32" customFormat="1" ht="15.75" customHeight="1" x14ac:dyDescent="0.3">
      <c r="A312" s="86">
        <f>A311+1</f>
        <v>3</v>
      </c>
      <c r="B312" s="87"/>
      <c r="C312" s="74" t="s">
        <v>372</v>
      </c>
      <c r="D312" s="79">
        <f>(76.83)*10.764</f>
        <v>826.99811999999997</v>
      </c>
      <c r="E312" s="73">
        <f>(0.9*(3.3+3.4+3.25+1.9))*10.764</f>
        <v>114.79805999999998</v>
      </c>
      <c r="F312" s="39">
        <f t="shared" si="50"/>
        <v>941.79617999999994</v>
      </c>
      <c r="G312" s="39">
        <v>0</v>
      </c>
      <c r="H312" s="39">
        <f t="shared" si="51"/>
        <v>1412.69427</v>
      </c>
      <c r="T312" s="34"/>
    </row>
    <row r="313" spans="1:20" x14ac:dyDescent="0.3">
      <c r="A313" s="86">
        <f>A312+1</f>
        <v>4</v>
      </c>
      <c r="B313" s="87"/>
      <c r="C313" s="74" t="s">
        <v>372</v>
      </c>
      <c r="D313" s="79">
        <f>(73.37)*10.764</f>
        <v>789.75468000000001</v>
      </c>
      <c r="E313" s="73">
        <f>(0.9*(3.3+2.9+3.06+2.1))*10.764</f>
        <v>110.051136</v>
      </c>
      <c r="F313" s="39">
        <f t="shared" si="50"/>
        <v>899.80581600000005</v>
      </c>
      <c r="G313" s="39">
        <v>0</v>
      </c>
      <c r="H313" s="39">
        <f t="shared" si="51"/>
        <v>1349.7087240000001</v>
      </c>
    </row>
    <row r="314" spans="1:20" x14ac:dyDescent="0.3">
      <c r="A314" s="86">
        <f>A313+1</f>
        <v>5</v>
      </c>
      <c r="B314" s="87"/>
      <c r="C314" s="74" t="s">
        <v>370</v>
      </c>
      <c r="D314" s="79">
        <f>(61.1)*10.764</f>
        <v>657.68039999999996</v>
      </c>
      <c r="E314" s="73">
        <f>(2.35*1+0.9*(3+3.05))*10.764</f>
        <v>83.905379999999994</v>
      </c>
      <c r="F314" s="39">
        <f t="shared" si="50"/>
        <v>741.58578</v>
      </c>
      <c r="G314" s="39">
        <v>0</v>
      </c>
      <c r="H314" s="39">
        <f t="shared" si="51"/>
        <v>1112.3786700000001</v>
      </c>
    </row>
    <row r="315" spans="1:20" x14ac:dyDescent="0.3">
      <c r="A315" s="85" t="s">
        <v>397</v>
      </c>
      <c r="B315" s="85"/>
      <c r="C315" s="85"/>
      <c r="D315" s="85"/>
      <c r="E315" s="85"/>
      <c r="F315" s="85"/>
      <c r="G315" s="85"/>
      <c r="H315" s="85"/>
    </row>
    <row r="316" spans="1:20" s="34" customFormat="1" ht="15.75" customHeight="1" x14ac:dyDescent="0.3">
      <c r="A316" s="85" t="s">
        <v>362</v>
      </c>
      <c r="B316" s="85"/>
      <c r="C316" s="85"/>
      <c r="D316" s="85"/>
      <c r="E316" s="85"/>
      <c r="F316" s="85"/>
      <c r="G316" s="85"/>
      <c r="H316" s="85"/>
      <c r="I316" s="33"/>
      <c r="N316" s="33"/>
      <c r="T316" s="32"/>
    </row>
    <row r="317" spans="1:20" s="34" customFormat="1" ht="15.75" customHeight="1" x14ac:dyDescent="0.3">
      <c r="A317" s="85" t="s">
        <v>363</v>
      </c>
      <c r="B317" s="85"/>
      <c r="C317" s="85"/>
      <c r="D317" s="85"/>
      <c r="E317" s="85"/>
      <c r="F317" s="85"/>
      <c r="G317" s="85"/>
      <c r="H317" s="85"/>
      <c r="I317" s="33"/>
      <c r="N317" s="33"/>
      <c r="T317" s="32"/>
    </row>
    <row r="318" spans="1:20" s="34" customFormat="1" ht="15.75" customHeight="1" x14ac:dyDescent="0.3">
      <c r="A318" s="88" t="s">
        <v>364</v>
      </c>
      <c r="B318" s="89"/>
      <c r="C318" s="89"/>
      <c r="D318" s="89"/>
      <c r="E318" s="89"/>
      <c r="F318" s="89"/>
      <c r="G318" s="89"/>
      <c r="H318" s="90"/>
      <c r="I318" s="33"/>
      <c r="N318" s="33"/>
      <c r="T318" s="32"/>
    </row>
    <row r="319" spans="1:20" s="34" customFormat="1" ht="15.75" customHeight="1" x14ac:dyDescent="0.3">
      <c r="A319" s="88" t="s">
        <v>408</v>
      </c>
      <c r="B319" s="89"/>
      <c r="C319" s="89"/>
      <c r="D319" s="89"/>
      <c r="E319" s="89"/>
      <c r="F319" s="89"/>
      <c r="G319" s="89"/>
      <c r="H319" s="90"/>
      <c r="I319" s="33"/>
      <c r="N319" s="33"/>
      <c r="T319" s="32"/>
    </row>
    <row r="320" spans="1:20" s="34" customFormat="1" ht="15.75" customHeight="1" x14ac:dyDescent="0.3">
      <c r="A320" s="88" t="s">
        <v>407</v>
      </c>
      <c r="B320" s="89"/>
      <c r="C320" s="89"/>
      <c r="D320" s="89"/>
      <c r="E320" s="89"/>
      <c r="F320" s="89"/>
      <c r="G320" s="89"/>
      <c r="H320" s="90"/>
      <c r="I320" s="33"/>
      <c r="N320" s="33"/>
      <c r="T320" s="32"/>
    </row>
    <row r="321" spans="1:20" ht="15.75" customHeight="1" x14ac:dyDescent="0.3">
      <c r="A321" s="88" t="s">
        <v>406</v>
      </c>
      <c r="B321" s="89"/>
      <c r="C321" s="89"/>
      <c r="D321" s="89"/>
      <c r="E321" s="89"/>
      <c r="F321" s="89"/>
      <c r="G321" s="89"/>
      <c r="H321" s="90"/>
    </row>
    <row r="322" spans="1:20" x14ac:dyDescent="0.3">
      <c r="A322" s="88" t="s">
        <v>365</v>
      </c>
      <c r="B322" s="89"/>
      <c r="C322" s="89"/>
      <c r="D322" s="89"/>
      <c r="E322" s="89"/>
      <c r="F322" s="89"/>
      <c r="G322" s="89"/>
      <c r="H322" s="90"/>
    </row>
    <row r="323" spans="1:20" s="34" customFormat="1" x14ac:dyDescent="0.3">
      <c r="A323" s="88" t="s">
        <v>405</v>
      </c>
      <c r="B323" s="89"/>
      <c r="C323" s="89"/>
      <c r="D323" s="89"/>
      <c r="E323" s="89"/>
      <c r="F323" s="89"/>
      <c r="G323" s="89"/>
      <c r="H323" s="90"/>
      <c r="I323" s="33"/>
    </row>
    <row r="324" spans="1:20" s="34" customFormat="1" ht="33" customHeight="1" x14ac:dyDescent="0.3">
      <c r="A324" s="85" t="s">
        <v>410</v>
      </c>
      <c r="B324" s="85"/>
      <c r="C324" s="85"/>
      <c r="D324" s="85"/>
      <c r="E324" s="85"/>
      <c r="F324" s="85"/>
      <c r="G324" s="85"/>
      <c r="H324" s="85"/>
      <c r="I324" s="33">
        <f>(2.75*4.1+1.38*2.15+2.93*2.1+2.7*3.48+1.37*2.23+1.2*2.1+2.7*3+1.3*2.15+1.05*2.25)</f>
        <v>48.623600000000003</v>
      </c>
    </row>
    <row r="325" spans="1:20" s="34" customFormat="1" ht="15.75" customHeight="1" x14ac:dyDescent="0.3">
      <c r="A325" s="85" t="s">
        <v>390</v>
      </c>
      <c r="B325" s="85"/>
      <c r="C325" s="85"/>
      <c r="D325" s="85"/>
      <c r="E325" s="85"/>
      <c r="F325" s="85"/>
      <c r="G325" s="85"/>
      <c r="H325" s="85"/>
      <c r="I325" s="33"/>
    </row>
    <row r="326" spans="1:20" s="32" customFormat="1" ht="15.75" customHeight="1" x14ac:dyDescent="0.3">
      <c r="A326" s="91">
        <v>1</v>
      </c>
      <c r="B326" s="91"/>
      <c r="C326" s="72" t="s">
        <v>370</v>
      </c>
      <c r="D326" s="79">
        <f>(51.62)*10.764</f>
        <v>555.63767999999993</v>
      </c>
      <c r="E326" s="79">
        <f>(1.2*1.8+0.9*(2.7+2.75+2.7))*10.764</f>
        <v>102.20418000000001</v>
      </c>
      <c r="F326" s="39">
        <f t="shared" ref="F326:F333" si="52">D326+E326</f>
        <v>657.84186</v>
      </c>
      <c r="G326" s="39">
        <v>0</v>
      </c>
      <c r="H326" s="39">
        <f t="shared" ref="H326:H333" si="53">F326*(($H$135)+1)+(IF(G326&lt;101,G326,IF(G326&lt;201,G326/2,IF(G326&lt;=301,G326/3,G326/4))))</f>
        <v>986.76279</v>
      </c>
      <c r="T326" s="34"/>
    </row>
    <row r="327" spans="1:20" s="32" customFormat="1" ht="15.75" customHeight="1" x14ac:dyDescent="0.3">
      <c r="A327" s="91">
        <f>A326+1</f>
        <v>2</v>
      </c>
      <c r="B327" s="91"/>
      <c r="C327" s="72" t="s">
        <v>370</v>
      </c>
      <c r="D327" s="79">
        <f>(51.62)*10.764</f>
        <v>555.63767999999993</v>
      </c>
      <c r="E327" s="79">
        <f>(1.2*1.8+0.9*(2.7+2.75+2.7))*10.764</f>
        <v>102.20418000000001</v>
      </c>
      <c r="F327" s="39">
        <f t="shared" si="52"/>
        <v>657.84186</v>
      </c>
      <c r="G327" s="39">
        <v>0</v>
      </c>
      <c r="H327" s="39">
        <f t="shared" si="53"/>
        <v>986.76279</v>
      </c>
      <c r="T327" s="34"/>
    </row>
    <row r="328" spans="1:20" s="32" customFormat="1" ht="15.75" customHeight="1" x14ac:dyDescent="0.3">
      <c r="A328" s="91">
        <f>A327+1</f>
        <v>3</v>
      </c>
      <c r="B328" s="91"/>
      <c r="C328" s="74" t="s">
        <v>371</v>
      </c>
      <c r="D328" s="79">
        <f>(29.79)*10.764</f>
        <v>320.65956</v>
      </c>
      <c r="E328" s="79">
        <f t="shared" ref="E328:E333" si="54">(2.1*1.55+0.9*(1.95+2.7))*10.764</f>
        <v>80.084160000000011</v>
      </c>
      <c r="F328" s="39">
        <f t="shared" si="52"/>
        <v>400.74372</v>
      </c>
      <c r="G328" s="39">
        <v>0</v>
      </c>
      <c r="H328" s="39">
        <f t="shared" si="53"/>
        <v>601.11558000000002</v>
      </c>
      <c r="T328" s="34"/>
    </row>
    <row r="329" spans="1:20" s="32" customFormat="1" ht="15.75" customHeight="1" x14ac:dyDescent="0.3">
      <c r="A329" s="91">
        <f>A328+1</f>
        <v>4</v>
      </c>
      <c r="B329" s="91"/>
      <c r="C329" s="74" t="s">
        <v>371</v>
      </c>
      <c r="D329" s="79">
        <f t="shared" ref="D329:D330" si="55">(29.79)*10.764</f>
        <v>320.65956</v>
      </c>
      <c r="E329" s="79">
        <f t="shared" si="54"/>
        <v>80.084160000000011</v>
      </c>
      <c r="F329" s="39">
        <f t="shared" si="52"/>
        <v>400.74372</v>
      </c>
      <c r="G329" s="39">
        <v>0</v>
      </c>
      <c r="H329" s="39">
        <f t="shared" si="53"/>
        <v>601.11558000000002</v>
      </c>
      <c r="T329" s="34"/>
    </row>
    <row r="330" spans="1:20" s="32" customFormat="1" ht="15.75" customHeight="1" x14ac:dyDescent="0.3">
      <c r="A330" s="91">
        <f>A329+1</f>
        <v>5</v>
      </c>
      <c r="B330" s="91"/>
      <c r="C330" s="74" t="s">
        <v>371</v>
      </c>
      <c r="D330" s="79">
        <f t="shared" si="55"/>
        <v>320.65956</v>
      </c>
      <c r="E330" s="79">
        <f t="shared" si="54"/>
        <v>80.084160000000011</v>
      </c>
      <c r="F330" s="39">
        <f t="shared" si="52"/>
        <v>400.74372</v>
      </c>
      <c r="G330" s="39">
        <v>0</v>
      </c>
      <c r="H330" s="39">
        <f t="shared" si="53"/>
        <v>601.11558000000002</v>
      </c>
      <c r="T330" s="34"/>
    </row>
    <row r="331" spans="1:20" s="32" customFormat="1" ht="15.75" customHeight="1" x14ac:dyDescent="0.3">
      <c r="A331" s="91">
        <v>6</v>
      </c>
      <c r="B331" s="91"/>
      <c r="C331" s="74" t="s">
        <v>371</v>
      </c>
      <c r="D331" s="79">
        <f>(29.79)*10.764</f>
        <v>320.65956</v>
      </c>
      <c r="E331" s="79">
        <f t="shared" si="54"/>
        <v>80.084160000000011</v>
      </c>
      <c r="F331" s="39">
        <f t="shared" si="52"/>
        <v>400.74372</v>
      </c>
      <c r="G331" s="39">
        <v>0</v>
      </c>
      <c r="H331" s="39">
        <f t="shared" si="53"/>
        <v>601.11558000000002</v>
      </c>
      <c r="T331" s="34"/>
    </row>
    <row r="332" spans="1:20" s="32" customFormat="1" ht="15.75" customHeight="1" x14ac:dyDescent="0.3">
      <c r="A332" s="91">
        <f>A331+1</f>
        <v>7</v>
      </c>
      <c r="B332" s="91"/>
      <c r="C332" s="72" t="s">
        <v>370</v>
      </c>
      <c r="D332" s="79">
        <f>(52.08)*10.764</f>
        <v>560.58911999999998</v>
      </c>
      <c r="E332" s="79">
        <f>(1.2*1.8+0.9*(2.7+2.75))*10.764</f>
        <v>76.047659999999993</v>
      </c>
      <c r="F332" s="39">
        <f t="shared" si="52"/>
        <v>636.63677999999993</v>
      </c>
      <c r="G332" s="39">
        <v>0</v>
      </c>
      <c r="H332" s="39">
        <f t="shared" si="53"/>
        <v>954.95516999999995</v>
      </c>
      <c r="I332" s="80">
        <f>(2.66*4.26+1.95*1.7+2.4*2.68+0.9*0.6+1.6*0.8+1.1*1.9*2)</f>
        <v>27.078600000000002</v>
      </c>
      <c r="T332" s="34"/>
    </row>
    <row r="333" spans="1:20" s="32" customFormat="1" ht="15.75" customHeight="1" x14ac:dyDescent="0.3">
      <c r="A333" s="91">
        <f>A332+1</f>
        <v>8</v>
      </c>
      <c r="B333" s="91"/>
      <c r="C333" s="72" t="s">
        <v>371</v>
      </c>
      <c r="D333" s="79">
        <f>(29.79)*10.764</f>
        <v>320.65956</v>
      </c>
      <c r="E333" s="79">
        <f t="shared" si="54"/>
        <v>80.084160000000011</v>
      </c>
      <c r="F333" s="39">
        <f t="shared" si="52"/>
        <v>400.74372</v>
      </c>
      <c r="G333" s="39">
        <v>0</v>
      </c>
      <c r="H333" s="39">
        <f t="shared" si="53"/>
        <v>601.11558000000002</v>
      </c>
      <c r="T333" s="34"/>
    </row>
    <row r="334" spans="1:20" s="34" customFormat="1" x14ac:dyDescent="0.3">
      <c r="A334" s="91">
        <f>A333+1</f>
        <v>9</v>
      </c>
      <c r="B334" s="91"/>
      <c r="C334" s="72" t="s">
        <v>371</v>
      </c>
      <c r="D334" s="79">
        <f>(28.62)*10.764</f>
        <v>308.06567999999999</v>
      </c>
      <c r="E334" s="79">
        <f>(1.55*1.35+0.9*(1.95+2.4))*10.764</f>
        <v>64.664730000000006</v>
      </c>
      <c r="F334" s="39">
        <f t="shared" ref="F334:F335" si="56">D334+E334</f>
        <v>372.73041000000001</v>
      </c>
      <c r="G334" s="39">
        <v>0</v>
      </c>
      <c r="H334" s="39">
        <f t="shared" ref="H334:H335" si="57">F334*(($H$135)+1)+(IF(G334&lt;101,G334,IF(G334&lt;201,G334/2,IF(G334&lt;=301,G334/3,G334/4))))</f>
        <v>559.09561499999995</v>
      </c>
      <c r="I334" s="33"/>
    </row>
    <row r="335" spans="1:20" s="34" customFormat="1" ht="15.75" customHeight="1" x14ac:dyDescent="0.3">
      <c r="A335" s="91">
        <f>A334+1</f>
        <v>10</v>
      </c>
      <c r="B335" s="91"/>
      <c r="C335" s="72" t="s">
        <v>370</v>
      </c>
      <c r="D335" s="79">
        <f>(50.91)*10.764</f>
        <v>547.99523999999997</v>
      </c>
      <c r="E335" s="79">
        <f>(1.2*1.8+0.9*(2.7+2.75))*10.764</f>
        <v>76.047659999999993</v>
      </c>
      <c r="F335" s="39">
        <f t="shared" si="56"/>
        <v>624.04289999999992</v>
      </c>
      <c r="G335" s="39">
        <v>0</v>
      </c>
      <c r="H335" s="39">
        <f t="shared" si="57"/>
        <v>936.06434999999988</v>
      </c>
      <c r="I335" s="33"/>
    </row>
    <row r="336" spans="1:20" s="34" customFormat="1" ht="15.75" customHeight="1" x14ac:dyDescent="0.3">
      <c r="A336" s="85" t="s">
        <v>391</v>
      </c>
      <c r="B336" s="85"/>
      <c r="C336" s="85"/>
      <c r="D336" s="85"/>
      <c r="E336" s="85"/>
      <c r="F336" s="85"/>
      <c r="G336" s="85"/>
      <c r="H336" s="85"/>
      <c r="I336" s="33"/>
    </row>
    <row r="337" spans="1:20" s="32" customFormat="1" ht="15.75" customHeight="1" x14ac:dyDescent="0.3">
      <c r="A337" s="86">
        <v>1</v>
      </c>
      <c r="B337" s="87"/>
      <c r="C337" s="225" t="s">
        <v>375</v>
      </c>
      <c r="D337" s="226"/>
      <c r="E337" s="226"/>
      <c r="F337" s="226"/>
      <c r="G337" s="226"/>
      <c r="H337" s="227"/>
      <c r="T337" s="34"/>
    </row>
    <row r="338" spans="1:20" s="32" customFormat="1" ht="15.75" customHeight="1" x14ac:dyDescent="0.3">
      <c r="A338" s="86">
        <f>A337+1</f>
        <v>2</v>
      </c>
      <c r="B338" s="87"/>
      <c r="C338" s="72" t="s">
        <v>370</v>
      </c>
      <c r="D338" s="79">
        <f>(51.62)*10.764</f>
        <v>555.63767999999993</v>
      </c>
      <c r="E338" s="79">
        <f>(1.2*1.8+0.9*(2.7+2.75+2.7))*10.764</f>
        <v>102.20418000000001</v>
      </c>
      <c r="F338" s="39">
        <f t="shared" ref="F338:F344" si="58">D338+E338</f>
        <v>657.84186</v>
      </c>
      <c r="G338" s="39">
        <v>0</v>
      </c>
      <c r="H338" s="39">
        <f t="shared" ref="H338:H344" si="59">F338*(($H$135)+1)+(IF(G338&lt;101,G338,IF(G338&lt;201,G338/2,IF(G338&lt;=301,G338/3,G338/4))))</f>
        <v>986.76279</v>
      </c>
      <c r="T338" s="34"/>
    </row>
    <row r="339" spans="1:20" s="32" customFormat="1" ht="15.75" customHeight="1" x14ac:dyDescent="0.3">
      <c r="A339" s="86">
        <f>A338+1</f>
        <v>3</v>
      </c>
      <c r="B339" s="87"/>
      <c r="C339" s="74" t="s">
        <v>371</v>
      </c>
      <c r="D339" s="79">
        <f>(29.79)*10.764</f>
        <v>320.65956</v>
      </c>
      <c r="E339" s="79">
        <f t="shared" ref="E339:E344" si="60">(2.1*1.55+0.9*(1.95+2.7))*10.764</f>
        <v>80.084160000000011</v>
      </c>
      <c r="F339" s="39">
        <f t="shared" si="58"/>
        <v>400.74372</v>
      </c>
      <c r="G339" s="39">
        <v>0</v>
      </c>
      <c r="H339" s="39">
        <f t="shared" si="59"/>
        <v>601.11558000000002</v>
      </c>
      <c r="T339" s="34"/>
    </row>
    <row r="340" spans="1:20" s="32" customFormat="1" ht="15.75" customHeight="1" x14ac:dyDescent="0.3">
      <c r="A340" s="86">
        <f>A339+1</f>
        <v>4</v>
      </c>
      <c r="B340" s="87"/>
      <c r="C340" s="74" t="s">
        <v>371</v>
      </c>
      <c r="D340" s="79">
        <f t="shared" ref="D340:D341" si="61">(29.79)*10.764</f>
        <v>320.65956</v>
      </c>
      <c r="E340" s="79">
        <f t="shared" si="60"/>
        <v>80.084160000000011</v>
      </c>
      <c r="F340" s="39">
        <f t="shared" si="58"/>
        <v>400.74372</v>
      </c>
      <c r="G340" s="39">
        <v>0</v>
      </c>
      <c r="H340" s="39">
        <f t="shared" si="59"/>
        <v>601.11558000000002</v>
      </c>
      <c r="T340" s="34"/>
    </row>
    <row r="341" spans="1:20" s="32" customFormat="1" ht="15.75" customHeight="1" x14ac:dyDescent="0.3">
      <c r="A341" s="86">
        <f>A340+1</f>
        <v>5</v>
      </c>
      <c r="B341" s="87"/>
      <c r="C341" s="74" t="s">
        <v>371</v>
      </c>
      <c r="D341" s="79">
        <f t="shared" si="61"/>
        <v>320.65956</v>
      </c>
      <c r="E341" s="79">
        <f t="shared" si="60"/>
        <v>80.084160000000011</v>
      </c>
      <c r="F341" s="39">
        <f t="shared" si="58"/>
        <v>400.74372</v>
      </c>
      <c r="G341" s="39">
        <v>0</v>
      </c>
      <c r="H341" s="39">
        <f t="shared" si="59"/>
        <v>601.11558000000002</v>
      </c>
      <c r="T341" s="34"/>
    </row>
    <row r="342" spans="1:20" s="32" customFormat="1" ht="15.75" customHeight="1" x14ac:dyDescent="0.3">
      <c r="A342" s="91">
        <v>6</v>
      </c>
      <c r="B342" s="91"/>
      <c r="C342" s="74" t="s">
        <v>371</v>
      </c>
      <c r="D342" s="79">
        <f>(29.79)*10.764</f>
        <v>320.65956</v>
      </c>
      <c r="E342" s="79">
        <f t="shared" si="60"/>
        <v>80.084160000000011</v>
      </c>
      <c r="F342" s="39">
        <f t="shared" si="58"/>
        <v>400.74372</v>
      </c>
      <c r="G342" s="39">
        <v>0</v>
      </c>
      <c r="H342" s="39">
        <f t="shared" si="59"/>
        <v>601.11558000000002</v>
      </c>
      <c r="T342" s="34"/>
    </row>
    <row r="343" spans="1:20" s="32" customFormat="1" ht="15.75" customHeight="1" x14ac:dyDescent="0.3">
      <c r="A343" s="91">
        <f>A342+1</f>
        <v>7</v>
      </c>
      <c r="B343" s="91"/>
      <c r="C343" s="72" t="s">
        <v>370</v>
      </c>
      <c r="D343" s="79">
        <f>(52.08)*10.764</f>
        <v>560.58911999999998</v>
      </c>
      <c r="E343" s="79">
        <f>(1.2*1.8+0.9*(2.7+2.75))*10.764</f>
        <v>76.047659999999993</v>
      </c>
      <c r="F343" s="39">
        <f t="shared" si="58"/>
        <v>636.63677999999993</v>
      </c>
      <c r="G343" s="39">
        <v>0</v>
      </c>
      <c r="H343" s="39">
        <f t="shared" si="59"/>
        <v>954.95516999999995</v>
      </c>
      <c r="T343" s="34"/>
    </row>
    <row r="344" spans="1:20" s="32" customFormat="1" ht="15.75" customHeight="1" x14ac:dyDescent="0.3">
      <c r="A344" s="91">
        <f>A343+1</f>
        <v>8</v>
      </c>
      <c r="B344" s="91"/>
      <c r="C344" s="72" t="s">
        <v>371</v>
      </c>
      <c r="D344" s="79">
        <f>(29.79)*10.764</f>
        <v>320.65956</v>
      </c>
      <c r="E344" s="79">
        <f t="shared" si="60"/>
        <v>80.084160000000011</v>
      </c>
      <c r="F344" s="39">
        <f t="shared" si="58"/>
        <v>400.74372</v>
      </c>
      <c r="G344" s="39">
        <v>0</v>
      </c>
      <c r="H344" s="39">
        <f t="shared" si="59"/>
        <v>601.11558000000002</v>
      </c>
      <c r="T344" s="34"/>
    </row>
    <row r="345" spans="1:20" s="34" customFormat="1" x14ac:dyDescent="0.3">
      <c r="A345" s="91">
        <f>A344+1</f>
        <v>9</v>
      </c>
      <c r="B345" s="91"/>
      <c r="C345" s="72" t="s">
        <v>371</v>
      </c>
      <c r="D345" s="79">
        <f>(28.62)*10.764</f>
        <v>308.06567999999999</v>
      </c>
      <c r="E345" s="79">
        <f>(1.55*1.35+0.9*(1.95+2.4))*10.764</f>
        <v>64.664730000000006</v>
      </c>
      <c r="F345" s="39">
        <f t="shared" ref="F345:F346" si="62">D345+E345</f>
        <v>372.73041000000001</v>
      </c>
      <c r="G345" s="39">
        <v>0</v>
      </c>
      <c r="H345" s="39">
        <f t="shared" ref="H345:H346" si="63">F345*(($H$135)+1)+(IF(G345&lt;101,G345,IF(G345&lt;201,G345/2,IF(G345&lt;=301,G345/3,G345/4))))</f>
        <v>559.09561499999995</v>
      </c>
      <c r="I345" s="33"/>
    </row>
    <row r="346" spans="1:20" s="34" customFormat="1" ht="15.75" customHeight="1" x14ac:dyDescent="0.3">
      <c r="A346" s="91">
        <f>A345+1</f>
        <v>10</v>
      </c>
      <c r="B346" s="91"/>
      <c r="C346" s="72" t="s">
        <v>370</v>
      </c>
      <c r="D346" s="79">
        <f>(50.91)*10.764</f>
        <v>547.99523999999997</v>
      </c>
      <c r="E346" s="79">
        <f>(1.2*1.8+0.9*(2.7+2.75))*10.764</f>
        <v>76.047659999999993</v>
      </c>
      <c r="F346" s="39">
        <f t="shared" si="62"/>
        <v>624.04289999999992</v>
      </c>
      <c r="G346" s="39">
        <v>0</v>
      </c>
      <c r="H346" s="39">
        <f t="shared" si="63"/>
        <v>936.06434999999988</v>
      </c>
      <c r="I346" s="33"/>
    </row>
    <row r="347" spans="1:20" s="34" customFormat="1" ht="15.75" customHeight="1" x14ac:dyDescent="0.3">
      <c r="A347" s="85" t="s">
        <v>396</v>
      </c>
      <c r="B347" s="85"/>
      <c r="C347" s="85"/>
      <c r="D347" s="85"/>
      <c r="E347" s="85"/>
      <c r="F347" s="85"/>
      <c r="G347" s="85"/>
      <c r="H347" s="85"/>
      <c r="I347" s="33"/>
    </row>
    <row r="348" spans="1:20" s="32" customFormat="1" ht="15.75" customHeight="1" x14ac:dyDescent="0.3">
      <c r="A348" s="86">
        <v>1</v>
      </c>
      <c r="B348" s="87"/>
      <c r="C348" s="72" t="s">
        <v>370</v>
      </c>
      <c r="D348" s="79">
        <f>(52.72)*10.764</f>
        <v>567.47807999999998</v>
      </c>
      <c r="E348" s="79">
        <f>(1.2*1.8+0.9*(2.8+2.75+2.7))*10.764</f>
        <v>103.17294</v>
      </c>
      <c r="F348" s="39">
        <f t="shared" ref="F348:F357" si="64">D348+E348</f>
        <v>670.65102000000002</v>
      </c>
      <c r="G348" s="39">
        <v>0</v>
      </c>
      <c r="H348" s="39">
        <f t="shared" ref="H348:H357" si="65">F348*(($H$135)+1)+(IF(G348&lt;101,G348,IF(G348&lt;201,G348/2,IF(G348&lt;=301,G348/3,G348/4))))</f>
        <v>1005.97653</v>
      </c>
      <c r="T348" s="34"/>
    </row>
    <row r="349" spans="1:20" s="32" customFormat="1" ht="15.75" customHeight="1" x14ac:dyDescent="0.3">
      <c r="A349" s="86">
        <f>A348+1</f>
        <v>2</v>
      </c>
      <c r="B349" s="87"/>
      <c r="C349" s="72" t="s">
        <v>370</v>
      </c>
      <c r="D349" s="79">
        <f>(52.43)*10.764</f>
        <v>564.35651999999993</v>
      </c>
      <c r="E349" s="79">
        <f>(1.2*1.8+0.9*(2.8+2.75+2.7))*10.764</f>
        <v>103.17294</v>
      </c>
      <c r="F349" s="39">
        <f t="shared" si="64"/>
        <v>667.52945999999997</v>
      </c>
      <c r="G349" s="39">
        <v>0</v>
      </c>
      <c r="H349" s="39">
        <f t="shared" si="65"/>
        <v>1001.29419</v>
      </c>
      <c r="T349" s="34"/>
    </row>
    <row r="350" spans="1:20" s="32" customFormat="1" ht="15.75" customHeight="1" x14ac:dyDescent="0.3">
      <c r="A350" s="86">
        <f>A349+1</f>
        <v>3</v>
      </c>
      <c r="B350" s="87"/>
      <c r="C350" s="74" t="s">
        <v>371</v>
      </c>
      <c r="D350" s="79">
        <f>(29.79)*10.764</f>
        <v>320.65956</v>
      </c>
      <c r="E350" s="79">
        <f t="shared" ref="E350:E355" si="66">(2.1*1.55+0.9*(1.95+2.7))*10.764</f>
        <v>80.084160000000011</v>
      </c>
      <c r="F350" s="39">
        <f t="shared" si="64"/>
        <v>400.74372</v>
      </c>
      <c r="G350" s="39">
        <v>0</v>
      </c>
      <c r="H350" s="39">
        <f t="shared" si="65"/>
        <v>601.11558000000002</v>
      </c>
      <c r="T350" s="34"/>
    </row>
    <row r="351" spans="1:20" s="32" customFormat="1" ht="15.75" customHeight="1" x14ac:dyDescent="0.3">
      <c r="A351" s="86">
        <f>A350+1</f>
        <v>4</v>
      </c>
      <c r="B351" s="87"/>
      <c r="C351" s="74" t="s">
        <v>371</v>
      </c>
      <c r="D351" s="79">
        <f t="shared" ref="D351:D352" si="67">(29.79)*10.764</f>
        <v>320.65956</v>
      </c>
      <c r="E351" s="79">
        <f t="shared" si="66"/>
        <v>80.084160000000011</v>
      </c>
      <c r="F351" s="39">
        <f t="shared" si="64"/>
        <v>400.74372</v>
      </c>
      <c r="G351" s="39">
        <v>0</v>
      </c>
      <c r="H351" s="39">
        <f t="shared" si="65"/>
        <v>601.11558000000002</v>
      </c>
      <c r="T351" s="34"/>
    </row>
    <row r="352" spans="1:20" s="32" customFormat="1" ht="15.75" customHeight="1" x14ac:dyDescent="0.3">
      <c r="A352" s="86">
        <f>A351+1</f>
        <v>5</v>
      </c>
      <c r="B352" s="87"/>
      <c r="C352" s="74" t="s">
        <v>371</v>
      </c>
      <c r="D352" s="79">
        <f t="shared" si="67"/>
        <v>320.65956</v>
      </c>
      <c r="E352" s="79">
        <f t="shared" si="66"/>
        <v>80.084160000000011</v>
      </c>
      <c r="F352" s="39">
        <f t="shared" si="64"/>
        <v>400.74372</v>
      </c>
      <c r="G352" s="39">
        <v>0</v>
      </c>
      <c r="H352" s="39">
        <f t="shared" si="65"/>
        <v>601.11558000000002</v>
      </c>
      <c r="T352" s="34"/>
    </row>
    <row r="353" spans="1:20" s="32" customFormat="1" ht="15.75" customHeight="1" x14ac:dyDescent="0.3">
      <c r="A353" s="91">
        <v>6</v>
      </c>
      <c r="B353" s="91"/>
      <c r="C353" s="74" t="s">
        <v>371</v>
      </c>
      <c r="D353" s="79">
        <f>(29.79)*10.764</f>
        <v>320.65956</v>
      </c>
      <c r="E353" s="79">
        <f t="shared" si="66"/>
        <v>80.084160000000011</v>
      </c>
      <c r="F353" s="39">
        <f t="shared" si="64"/>
        <v>400.74372</v>
      </c>
      <c r="G353" s="39">
        <v>0</v>
      </c>
      <c r="H353" s="39">
        <f t="shared" si="65"/>
        <v>601.11558000000002</v>
      </c>
      <c r="T353" s="34"/>
    </row>
    <row r="354" spans="1:20" s="32" customFormat="1" ht="15.75" customHeight="1" x14ac:dyDescent="0.3">
      <c r="A354" s="91">
        <f>A353+1</f>
        <v>7</v>
      </c>
      <c r="B354" s="91"/>
      <c r="C354" s="72" t="s">
        <v>370</v>
      </c>
      <c r="D354" s="79">
        <f>(52.92)*10.764</f>
        <v>569.63087999999993</v>
      </c>
      <c r="E354" s="79">
        <f>(1.2*1.8+0.9*(2.75+2.75))*10.764</f>
        <v>76.532039999999995</v>
      </c>
      <c r="F354" s="39">
        <f t="shared" si="64"/>
        <v>646.16291999999999</v>
      </c>
      <c r="G354" s="39">
        <v>0</v>
      </c>
      <c r="H354" s="39">
        <f t="shared" si="65"/>
        <v>969.24437999999998</v>
      </c>
      <c r="T354" s="34"/>
    </row>
    <row r="355" spans="1:20" s="32" customFormat="1" ht="15.75" customHeight="1" x14ac:dyDescent="0.3">
      <c r="A355" s="91">
        <f>A354+1</f>
        <v>8</v>
      </c>
      <c r="B355" s="91"/>
      <c r="C355" s="72" t="s">
        <v>371</v>
      </c>
      <c r="D355" s="79">
        <f>(29.79)*10.764</f>
        <v>320.65956</v>
      </c>
      <c r="E355" s="79">
        <f t="shared" si="66"/>
        <v>80.084160000000011</v>
      </c>
      <c r="F355" s="39">
        <f t="shared" si="64"/>
        <v>400.74372</v>
      </c>
      <c r="G355" s="39">
        <v>0</v>
      </c>
      <c r="H355" s="39">
        <f t="shared" si="65"/>
        <v>601.11558000000002</v>
      </c>
      <c r="T355" s="34"/>
    </row>
    <row r="356" spans="1:20" s="34" customFormat="1" x14ac:dyDescent="0.3">
      <c r="A356" s="91">
        <f>A355+1</f>
        <v>9</v>
      </c>
      <c r="B356" s="91"/>
      <c r="C356" s="72" t="s">
        <v>371</v>
      </c>
      <c r="D356" s="79">
        <f>(28.62)*10.764</f>
        <v>308.06567999999999</v>
      </c>
      <c r="E356" s="79">
        <f>(1.55*1.35+0.9*(1.95+2.4))*10.764</f>
        <v>64.664730000000006</v>
      </c>
      <c r="F356" s="39">
        <f t="shared" si="64"/>
        <v>372.73041000000001</v>
      </c>
      <c r="G356" s="39">
        <v>0</v>
      </c>
      <c r="H356" s="39">
        <f t="shared" si="65"/>
        <v>559.09561499999995</v>
      </c>
      <c r="I356" s="33"/>
    </row>
    <row r="357" spans="1:20" s="34" customFormat="1" ht="15.75" customHeight="1" x14ac:dyDescent="0.3">
      <c r="A357" s="91">
        <f>A356+1</f>
        <v>10</v>
      </c>
      <c r="B357" s="91"/>
      <c r="C357" s="72" t="s">
        <v>370</v>
      </c>
      <c r="D357" s="79">
        <f>(52.03)*10.764</f>
        <v>560.05092000000002</v>
      </c>
      <c r="E357" s="79">
        <f>(1.2*1.8+0.9*(2.75+2.8))*10.764</f>
        <v>77.016419999999997</v>
      </c>
      <c r="F357" s="39">
        <f t="shared" si="64"/>
        <v>637.06734000000006</v>
      </c>
      <c r="G357" s="39">
        <v>0</v>
      </c>
      <c r="H357" s="39">
        <f t="shared" si="65"/>
        <v>955.60101000000009</v>
      </c>
      <c r="I357" s="33"/>
    </row>
    <row r="358" spans="1:20" s="34" customFormat="1" ht="15.75" customHeight="1" x14ac:dyDescent="0.3">
      <c r="A358" s="85" t="s">
        <v>392</v>
      </c>
      <c r="B358" s="85"/>
      <c r="C358" s="85"/>
      <c r="D358" s="85"/>
      <c r="E358" s="85"/>
      <c r="F358" s="85"/>
      <c r="G358" s="85"/>
      <c r="H358" s="85"/>
      <c r="I358" s="33"/>
    </row>
    <row r="359" spans="1:20" s="32" customFormat="1" ht="15.75" customHeight="1" x14ac:dyDescent="0.3">
      <c r="A359" s="86">
        <v>1</v>
      </c>
      <c r="B359" s="87"/>
      <c r="C359" s="225" t="s">
        <v>375</v>
      </c>
      <c r="D359" s="226"/>
      <c r="E359" s="226"/>
      <c r="F359" s="226"/>
      <c r="G359" s="226"/>
      <c r="H359" s="227"/>
      <c r="T359" s="34"/>
    </row>
    <row r="360" spans="1:20" s="32" customFormat="1" ht="15.75" customHeight="1" x14ac:dyDescent="0.3">
      <c r="A360" s="86">
        <f>A359+1</f>
        <v>2</v>
      </c>
      <c r="B360" s="87"/>
      <c r="C360" s="72" t="s">
        <v>370</v>
      </c>
      <c r="D360" s="79">
        <f>(52.43)*10.764</f>
        <v>564.35651999999993</v>
      </c>
      <c r="E360" s="79">
        <f>(1.2*1.8+0.9*(2.8+2.75+2.7))*10.764</f>
        <v>103.17294</v>
      </c>
      <c r="F360" s="39">
        <f t="shared" ref="F360:F366" si="68">D360+E360</f>
        <v>667.52945999999997</v>
      </c>
      <c r="G360" s="39">
        <v>0</v>
      </c>
      <c r="H360" s="39">
        <f t="shared" ref="H360:H366" si="69">F360*(($H$135)+1)+(IF(G360&lt;101,G360,IF(G360&lt;201,G360/2,IF(G360&lt;=301,G360/3,G360/4))))</f>
        <v>1001.29419</v>
      </c>
      <c r="T360" s="34"/>
    </row>
    <row r="361" spans="1:20" s="32" customFormat="1" ht="15.75" customHeight="1" x14ac:dyDescent="0.3">
      <c r="A361" s="86">
        <f>A360+1</f>
        <v>3</v>
      </c>
      <c r="B361" s="87"/>
      <c r="C361" s="74" t="s">
        <v>371</v>
      </c>
      <c r="D361" s="79">
        <f>(29.79)*10.764</f>
        <v>320.65956</v>
      </c>
      <c r="E361" s="79">
        <f t="shared" ref="E361:E366" si="70">(2.1*1.55+0.9*(1.95+2.7))*10.764</f>
        <v>80.084160000000011</v>
      </c>
      <c r="F361" s="39">
        <f t="shared" si="68"/>
        <v>400.74372</v>
      </c>
      <c r="G361" s="39">
        <v>0</v>
      </c>
      <c r="H361" s="39">
        <f t="shared" si="69"/>
        <v>601.11558000000002</v>
      </c>
      <c r="T361" s="34"/>
    </row>
    <row r="362" spans="1:20" s="32" customFormat="1" ht="15.75" customHeight="1" x14ac:dyDescent="0.3">
      <c r="A362" s="86">
        <f>A361+1</f>
        <v>4</v>
      </c>
      <c r="B362" s="87"/>
      <c r="C362" s="74" t="s">
        <v>371</v>
      </c>
      <c r="D362" s="79">
        <f t="shared" ref="D362:D363" si="71">(29.79)*10.764</f>
        <v>320.65956</v>
      </c>
      <c r="E362" s="79">
        <f t="shared" si="70"/>
        <v>80.084160000000011</v>
      </c>
      <c r="F362" s="39">
        <f t="shared" si="68"/>
        <v>400.74372</v>
      </c>
      <c r="G362" s="39">
        <v>0</v>
      </c>
      <c r="H362" s="39">
        <f t="shared" si="69"/>
        <v>601.11558000000002</v>
      </c>
      <c r="T362" s="34"/>
    </row>
    <row r="363" spans="1:20" s="32" customFormat="1" ht="15.75" customHeight="1" x14ac:dyDescent="0.3">
      <c r="A363" s="86">
        <f>A362+1</f>
        <v>5</v>
      </c>
      <c r="B363" s="87"/>
      <c r="C363" s="74" t="s">
        <v>371</v>
      </c>
      <c r="D363" s="79">
        <f t="shared" si="71"/>
        <v>320.65956</v>
      </c>
      <c r="E363" s="79">
        <f t="shared" si="70"/>
        <v>80.084160000000011</v>
      </c>
      <c r="F363" s="39">
        <f t="shared" si="68"/>
        <v>400.74372</v>
      </c>
      <c r="G363" s="39">
        <v>0</v>
      </c>
      <c r="H363" s="39">
        <f t="shared" si="69"/>
        <v>601.11558000000002</v>
      </c>
      <c r="T363" s="34"/>
    </row>
    <row r="364" spans="1:20" s="32" customFormat="1" ht="15.75" customHeight="1" x14ac:dyDescent="0.3">
      <c r="A364" s="91">
        <v>6</v>
      </c>
      <c r="B364" s="91"/>
      <c r="C364" s="74" t="s">
        <v>371</v>
      </c>
      <c r="D364" s="79">
        <f>(29.79)*10.764</f>
        <v>320.65956</v>
      </c>
      <c r="E364" s="79">
        <f t="shared" si="70"/>
        <v>80.084160000000011</v>
      </c>
      <c r="F364" s="39">
        <f t="shared" si="68"/>
        <v>400.74372</v>
      </c>
      <c r="G364" s="39">
        <v>0</v>
      </c>
      <c r="H364" s="39">
        <f t="shared" si="69"/>
        <v>601.11558000000002</v>
      </c>
      <c r="T364" s="34"/>
    </row>
    <row r="365" spans="1:20" s="32" customFormat="1" ht="15.75" customHeight="1" x14ac:dyDescent="0.3">
      <c r="A365" s="91">
        <f>A364+1</f>
        <v>7</v>
      </c>
      <c r="B365" s="91"/>
      <c r="C365" s="72" t="s">
        <v>370</v>
      </c>
      <c r="D365" s="79">
        <f>(52.92)*10.764</f>
        <v>569.63087999999993</v>
      </c>
      <c r="E365" s="79">
        <f>(1.2*1.8+0.9*(2.75+2.75))*10.764</f>
        <v>76.532039999999995</v>
      </c>
      <c r="F365" s="39">
        <f t="shared" si="68"/>
        <v>646.16291999999999</v>
      </c>
      <c r="G365" s="39">
        <v>0</v>
      </c>
      <c r="H365" s="39">
        <f t="shared" si="69"/>
        <v>969.24437999999998</v>
      </c>
      <c r="T365" s="34"/>
    </row>
    <row r="366" spans="1:20" s="32" customFormat="1" ht="15.75" customHeight="1" x14ac:dyDescent="0.3">
      <c r="A366" s="91">
        <f>A365+1</f>
        <v>8</v>
      </c>
      <c r="B366" s="91"/>
      <c r="C366" s="72" t="s">
        <v>371</v>
      </c>
      <c r="D366" s="79">
        <f>(29.79)*10.764</f>
        <v>320.65956</v>
      </c>
      <c r="E366" s="79">
        <f t="shared" si="70"/>
        <v>80.084160000000011</v>
      </c>
      <c r="F366" s="39">
        <f t="shared" si="68"/>
        <v>400.74372</v>
      </c>
      <c r="G366" s="39">
        <v>0</v>
      </c>
      <c r="H366" s="39">
        <f t="shared" si="69"/>
        <v>601.11558000000002</v>
      </c>
      <c r="T366" s="34"/>
    </row>
    <row r="367" spans="1:20" s="34" customFormat="1" x14ac:dyDescent="0.3">
      <c r="A367" s="91">
        <f>A366+1</f>
        <v>9</v>
      </c>
      <c r="B367" s="91"/>
      <c r="C367" s="72" t="s">
        <v>371</v>
      </c>
      <c r="D367" s="79">
        <f>(28.62)*10.764</f>
        <v>308.06567999999999</v>
      </c>
      <c r="E367" s="79">
        <f>(1.55*1.35+0.9*(1.95+2.4))*10.764</f>
        <v>64.664730000000006</v>
      </c>
      <c r="F367" s="39">
        <f t="shared" ref="F367:F368" si="72">D367+E367</f>
        <v>372.73041000000001</v>
      </c>
      <c r="G367" s="39">
        <v>0</v>
      </c>
      <c r="H367" s="39">
        <f t="shared" ref="H367:H368" si="73">F367*(($H$135)+1)+(IF(G367&lt;101,G367,IF(G367&lt;201,G367/2,IF(G367&lt;=301,G367/3,G367/4))))</f>
        <v>559.09561499999995</v>
      </c>
      <c r="I367" s="33"/>
    </row>
    <row r="368" spans="1:20" s="34" customFormat="1" ht="15.75" customHeight="1" x14ac:dyDescent="0.3">
      <c r="A368" s="91">
        <f>A367+1</f>
        <v>10</v>
      </c>
      <c r="B368" s="91"/>
      <c r="C368" s="72" t="s">
        <v>370</v>
      </c>
      <c r="D368" s="79">
        <f>(52.03)*10.764</f>
        <v>560.05092000000002</v>
      </c>
      <c r="E368" s="79">
        <f>(1.2*1.8+0.9*(2.75+2.8))*10.764</f>
        <v>77.016419999999997</v>
      </c>
      <c r="F368" s="39">
        <f t="shared" si="72"/>
        <v>637.06734000000006</v>
      </c>
      <c r="G368" s="39">
        <v>0</v>
      </c>
      <c r="H368" s="39">
        <f t="shared" si="73"/>
        <v>955.60101000000009</v>
      </c>
    </row>
    <row r="369" spans="1:20" s="34" customFormat="1" ht="15.75" customHeight="1" x14ac:dyDescent="0.3">
      <c r="A369" s="85" t="s">
        <v>393</v>
      </c>
      <c r="B369" s="85"/>
      <c r="C369" s="85"/>
      <c r="D369" s="85"/>
      <c r="E369" s="85"/>
      <c r="F369" s="85"/>
      <c r="G369" s="85"/>
      <c r="H369" s="85"/>
      <c r="I369" s="33"/>
    </row>
    <row r="370" spans="1:20" s="32" customFormat="1" ht="15.75" customHeight="1" x14ac:dyDescent="0.3">
      <c r="A370" s="91">
        <v>1</v>
      </c>
      <c r="B370" s="91"/>
      <c r="C370" s="228" t="s">
        <v>375</v>
      </c>
      <c r="D370" s="228"/>
      <c r="E370" s="228"/>
      <c r="F370" s="228"/>
      <c r="G370" s="228"/>
      <c r="H370" s="228"/>
      <c r="T370" s="34"/>
    </row>
    <row r="371" spans="1:20" s="32" customFormat="1" ht="15.75" customHeight="1" x14ac:dyDescent="0.3">
      <c r="A371" s="91">
        <f t="shared" ref="A371:A376" si="74">A370+1</f>
        <v>2</v>
      </c>
      <c r="B371" s="91"/>
      <c r="C371" s="74" t="s">
        <v>370</v>
      </c>
      <c r="D371" s="79">
        <f>(57.99)*10.764</f>
        <v>624.20435999999995</v>
      </c>
      <c r="E371" s="79">
        <f>(1.2*1.8+0.9*(2.8+2.75+2.75))*10.764</f>
        <v>103.65732</v>
      </c>
      <c r="F371" s="39">
        <f t="shared" ref="F371:F374" si="75">D371+E371</f>
        <v>727.86167999999998</v>
      </c>
      <c r="G371" s="39">
        <v>0</v>
      </c>
      <c r="H371" s="39">
        <f t="shared" ref="H371:H374" si="76">F371*(($H$135)+1)+(IF(G371&lt;101,G371,IF(G371&lt;201,G371/2,IF(G371&lt;=301,G371/3,G371/4))))</f>
        <v>1091.79252</v>
      </c>
      <c r="T371" s="34"/>
    </row>
    <row r="372" spans="1:20" s="32" customFormat="1" ht="15.75" customHeight="1" x14ac:dyDescent="0.3">
      <c r="A372" s="91">
        <f t="shared" si="74"/>
        <v>3</v>
      </c>
      <c r="B372" s="91"/>
      <c r="C372" s="74" t="s">
        <v>372</v>
      </c>
      <c r="D372" s="79">
        <f>(79.34)*10.764</f>
        <v>854.01576</v>
      </c>
      <c r="E372" s="79">
        <f>(0.9*(3.3+3.25+3.4+3.3+2.1))*10.764</f>
        <v>148.70465999999999</v>
      </c>
      <c r="F372" s="39">
        <f t="shared" si="75"/>
        <v>1002.72042</v>
      </c>
      <c r="G372" s="39">
        <v>0</v>
      </c>
      <c r="H372" s="39">
        <f t="shared" si="76"/>
        <v>1504.0806299999999</v>
      </c>
      <c r="T372" s="34"/>
    </row>
    <row r="373" spans="1:20" s="34" customFormat="1" ht="15.75" customHeight="1" x14ac:dyDescent="0.3">
      <c r="A373" s="91">
        <f t="shared" si="74"/>
        <v>4</v>
      </c>
      <c r="B373" s="91"/>
      <c r="C373" s="74" t="s">
        <v>372</v>
      </c>
      <c r="D373" s="79">
        <f>(79.46)*10.764</f>
        <v>855.30743999999993</v>
      </c>
      <c r="E373" s="79">
        <f>(0.9*(3.3+3.25+3.4+1.9))*10.764</f>
        <v>114.79805999999998</v>
      </c>
      <c r="F373" s="39">
        <f t="shared" si="75"/>
        <v>970.10549999999989</v>
      </c>
      <c r="G373" s="39">
        <v>0</v>
      </c>
      <c r="H373" s="39">
        <f t="shared" si="76"/>
        <v>1455.15825</v>
      </c>
      <c r="I373" s="33"/>
    </row>
    <row r="374" spans="1:20" s="32" customFormat="1" ht="15.75" customHeight="1" x14ac:dyDescent="0.3">
      <c r="A374" s="91">
        <f t="shared" si="74"/>
        <v>5</v>
      </c>
      <c r="B374" s="91"/>
      <c r="C374" s="74" t="s">
        <v>370</v>
      </c>
      <c r="D374" s="79">
        <f>(58.48)*10.764</f>
        <v>629.47871999999995</v>
      </c>
      <c r="E374" s="79">
        <f>(0.85*1.8+0.9*(2.75+2.75))*10.764</f>
        <v>69.750720000000001</v>
      </c>
      <c r="F374" s="39">
        <f t="shared" si="75"/>
        <v>699.22943999999995</v>
      </c>
      <c r="G374" s="39">
        <v>0</v>
      </c>
      <c r="H374" s="39">
        <f t="shared" si="76"/>
        <v>1048.8441599999999</v>
      </c>
      <c r="T374" s="34"/>
    </row>
    <row r="375" spans="1:20" s="34" customFormat="1" x14ac:dyDescent="0.3">
      <c r="A375" s="91">
        <f t="shared" si="74"/>
        <v>6</v>
      </c>
      <c r="B375" s="91"/>
      <c r="C375" s="74" t="s">
        <v>372</v>
      </c>
      <c r="D375" s="79">
        <f>(75.45)*10.764</f>
        <v>812.14379999999994</v>
      </c>
      <c r="E375" s="79">
        <f>(0.9*(3.25+2.95+3.01+1.9))*10.764</f>
        <v>107.62923600000001</v>
      </c>
      <c r="F375" s="39">
        <f t="shared" ref="F375:F376" si="77">D375+E375</f>
        <v>919.77303599999993</v>
      </c>
      <c r="G375" s="39">
        <v>0</v>
      </c>
      <c r="H375" s="39">
        <f t="shared" ref="H375:H376" si="78">F375*(($H$135)+1)+(IF(G375&lt;101,G375,IF(G375&lt;201,G375/2,IF(G375&lt;=301,G375/3,G375/4))))</f>
        <v>1379.6595539999998</v>
      </c>
      <c r="I375" s="33"/>
    </row>
    <row r="376" spans="1:20" s="34" customFormat="1" ht="15.75" customHeight="1" x14ac:dyDescent="0.3">
      <c r="A376" s="91">
        <f t="shared" si="74"/>
        <v>7</v>
      </c>
      <c r="B376" s="91"/>
      <c r="C376" s="74" t="s">
        <v>370</v>
      </c>
      <c r="D376" s="79">
        <f>(57.68)*10.764</f>
        <v>620.86752000000001</v>
      </c>
      <c r="E376" s="79">
        <f>(0.85*1.8+0.9*(2.8+2.75))*10.764</f>
        <v>70.235100000000003</v>
      </c>
      <c r="F376" s="39">
        <f t="shared" si="77"/>
        <v>691.10262</v>
      </c>
      <c r="G376" s="39">
        <v>0</v>
      </c>
      <c r="H376" s="39">
        <f t="shared" si="78"/>
        <v>1036.6539299999999</v>
      </c>
      <c r="I376" s="33">
        <f>(2.75*4.75+1.38*2.15+2.93*2.1+2.8*3.65+1.37*2.22+1.3*2.1+2.8*3.65+1.4*2.15+1.05*2.25)</f>
        <v>53.766399999999997</v>
      </c>
    </row>
    <row r="377" spans="1:20" s="34" customFormat="1" ht="15.75" customHeight="1" x14ac:dyDescent="0.3">
      <c r="A377" s="92" t="s">
        <v>394</v>
      </c>
      <c r="B377" s="92"/>
      <c r="C377" s="92"/>
      <c r="D377" s="92"/>
      <c r="E377" s="92"/>
      <c r="F377" s="92"/>
      <c r="G377" s="92"/>
      <c r="H377" s="92"/>
      <c r="I377" s="33"/>
    </row>
    <row r="378" spans="1:20" s="32" customFormat="1" ht="15.75" customHeight="1" x14ac:dyDescent="0.3">
      <c r="A378" s="91">
        <v>1</v>
      </c>
      <c r="B378" s="91"/>
      <c r="C378" s="74" t="s">
        <v>370</v>
      </c>
      <c r="D378" s="79">
        <f>(58.33)*10.764</f>
        <v>627.86411999999996</v>
      </c>
      <c r="E378" s="79">
        <f>(1.2*1.8+0.9*(2.8+2.75+2.8))*10.764</f>
        <v>104.1417</v>
      </c>
      <c r="F378" s="39">
        <f t="shared" ref="F378:F382" si="79">D378+E378</f>
        <v>732.00581999999997</v>
      </c>
      <c r="G378" s="39">
        <v>0</v>
      </c>
      <c r="H378" s="39">
        <f t="shared" ref="H378:H382" si="80">F378*(($H$135)+1)+(IF(G378&lt;101,G378,IF(G378&lt;201,G378/2,IF(G378&lt;=301,G378/3,G378/4))))</f>
        <v>1098.00873</v>
      </c>
      <c r="I378" s="33">
        <f>(3.3*4.4+1.05*2.15+3*2.1+3.3*3.35+2.25*1.3+3.25*3+3.4*4.05+2.25*1.3+1.85*0.9+1.6*0.9+1.25*2.1+1.05*2.25)</f>
        <v>71.594999999999999</v>
      </c>
      <c r="T378" s="34"/>
    </row>
    <row r="379" spans="1:20" s="32" customFormat="1" ht="15.75" customHeight="1" x14ac:dyDescent="0.3">
      <c r="A379" s="86">
        <f t="shared" ref="A379:A384" si="81">A378+1</f>
        <v>2</v>
      </c>
      <c r="B379" s="87"/>
      <c r="C379" s="74" t="s">
        <v>370</v>
      </c>
      <c r="D379" s="79">
        <f>(57.99)*10.764</f>
        <v>624.20435999999995</v>
      </c>
      <c r="E379" s="79">
        <f>(1*1.8+0.9*(2.8+2.75+2.75))*10.764</f>
        <v>99.782280000000014</v>
      </c>
      <c r="F379" s="39">
        <f t="shared" si="79"/>
        <v>723.98663999999997</v>
      </c>
      <c r="G379" s="39">
        <v>0</v>
      </c>
      <c r="H379" s="39">
        <f t="shared" si="80"/>
        <v>1085.9799599999999</v>
      </c>
      <c r="T379" s="34"/>
    </row>
    <row r="380" spans="1:20" s="32" customFormat="1" ht="15.75" customHeight="1" x14ac:dyDescent="0.3">
      <c r="A380" s="86">
        <f t="shared" si="81"/>
        <v>3</v>
      </c>
      <c r="B380" s="87"/>
      <c r="C380" s="74" t="s">
        <v>372</v>
      </c>
      <c r="D380" s="79">
        <f>(77.04)*10.764</f>
        <v>829.25855999999999</v>
      </c>
      <c r="E380" s="79">
        <f>(0.9*(3.3+3.25+3.4+3.3+2.1))*10.764</f>
        <v>148.70465999999999</v>
      </c>
      <c r="F380" s="39">
        <f t="shared" si="79"/>
        <v>977.96321999999998</v>
      </c>
      <c r="G380" s="39">
        <v>0</v>
      </c>
      <c r="H380" s="39">
        <f t="shared" si="80"/>
        <v>1466.9448299999999</v>
      </c>
      <c r="T380" s="34"/>
    </row>
    <row r="381" spans="1:20" s="32" customFormat="1" ht="15.75" customHeight="1" x14ac:dyDescent="0.3">
      <c r="A381" s="86">
        <f t="shared" si="81"/>
        <v>4</v>
      </c>
      <c r="B381" s="87"/>
      <c r="C381" s="74" t="s">
        <v>372</v>
      </c>
      <c r="D381" s="79">
        <f>(77.06)*10.764</f>
        <v>829.47384</v>
      </c>
      <c r="E381" s="79">
        <f>(0.9*(3.3+3.25+3.4+1.8))*10.764</f>
        <v>113.8293</v>
      </c>
      <c r="F381" s="39">
        <f t="shared" si="79"/>
        <v>943.30313999999998</v>
      </c>
      <c r="G381" s="39">
        <v>0</v>
      </c>
      <c r="H381" s="39">
        <f t="shared" si="80"/>
        <v>1414.95471</v>
      </c>
      <c r="T381" s="34"/>
    </row>
    <row r="382" spans="1:20" s="32" customFormat="1" ht="15.75" customHeight="1" x14ac:dyDescent="0.3">
      <c r="A382" s="86">
        <f t="shared" si="81"/>
        <v>5</v>
      </c>
      <c r="B382" s="87"/>
      <c r="C382" s="74" t="s">
        <v>370</v>
      </c>
      <c r="D382" s="79">
        <f>(58.48)*10.764</f>
        <v>629.47871999999995</v>
      </c>
      <c r="E382" s="79">
        <f>(0.85*1.8+0.9*(2.75+2.75))*10.764</f>
        <v>69.750720000000001</v>
      </c>
      <c r="F382" s="39">
        <f t="shared" si="79"/>
        <v>699.22943999999995</v>
      </c>
      <c r="G382" s="39">
        <v>0</v>
      </c>
      <c r="H382" s="39">
        <f t="shared" si="80"/>
        <v>1048.8441599999999</v>
      </c>
      <c r="T382" s="34"/>
    </row>
    <row r="383" spans="1:20" s="34" customFormat="1" x14ac:dyDescent="0.3">
      <c r="A383" s="86">
        <f t="shared" si="81"/>
        <v>6</v>
      </c>
      <c r="B383" s="87"/>
      <c r="C383" s="74" t="s">
        <v>372</v>
      </c>
      <c r="D383" s="79">
        <f>(73.14)*10.764</f>
        <v>787.27895999999998</v>
      </c>
      <c r="E383" s="79">
        <f>(0.9*(3.25+2.95+3.01+1.9))*10.764</f>
        <v>107.62923600000001</v>
      </c>
      <c r="F383" s="39">
        <f t="shared" ref="F383:F384" si="82">D383+E383</f>
        <v>894.90819599999998</v>
      </c>
      <c r="G383" s="39">
        <v>0</v>
      </c>
      <c r="H383" s="39">
        <f t="shared" ref="H383:H384" si="83">F383*(($H$135)+1)+(IF(G383&lt;101,G383,IF(G383&lt;201,G383/2,IF(G383&lt;=301,G383/3,G383/4))))</f>
        <v>1342.362294</v>
      </c>
      <c r="I383" s="33"/>
    </row>
    <row r="384" spans="1:20" s="34" customFormat="1" ht="15.75" customHeight="1" x14ac:dyDescent="0.3">
      <c r="A384" s="86">
        <f t="shared" si="81"/>
        <v>7</v>
      </c>
      <c r="B384" s="87"/>
      <c r="C384" s="74" t="s">
        <v>370</v>
      </c>
      <c r="D384" s="79">
        <f>(57.68)*10.764</f>
        <v>620.86752000000001</v>
      </c>
      <c r="E384" s="79">
        <f>(0.85*1.8+0.9*(2.8+2.75))*10.764</f>
        <v>70.235100000000003</v>
      </c>
      <c r="F384" s="39">
        <f t="shared" si="82"/>
        <v>691.10262</v>
      </c>
      <c r="G384" s="39">
        <v>0</v>
      </c>
      <c r="H384" s="39">
        <f t="shared" si="83"/>
        <v>1036.6539299999999</v>
      </c>
      <c r="I384" s="33"/>
    </row>
    <row r="385" spans="1:20" s="34" customFormat="1" ht="15.75" customHeight="1" x14ac:dyDescent="0.3">
      <c r="A385" s="85" t="s">
        <v>395</v>
      </c>
      <c r="B385" s="85"/>
      <c r="C385" s="85"/>
      <c r="D385" s="85"/>
      <c r="E385" s="85"/>
      <c r="F385" s="85"/>
      <c r="G385" s="85"/>
      <c r="H385" s="85"/>
      <c r="I385" s="33"/>
    </row>
    <row r="386" spans="1:20" s="32" customFormat="1" ht="15.75" customHeight="1" x14ac:dyDescent="0.3">
      <c r="A386" s="86">
        <v>1</v>
      </c>
      <c r="B386" s="87"/>
      <c r="C386" s="74" t="s">
        <v>370</v>
      </c>
      <c r="D386" s="79">
        <f>(58.33)*10.764</f>
        <v>627.86411999999996</v>
      </c>
      <c r="E386" s="79">
        <f>(1.2*1.8+0.9*(2.8+2.75+2.8))*10.764</f>
        <v>104.1417</v>
      </c>
      <c r="F386" s="39">
        <f t="shared" ref="F386:F390" si="84">D386+E386</f>
        <v>732.00581999999997</v>
      </c>
      <c r="G386" s="39">
        <v>0</v>
      </c>
      <c r="H386" s="39">
        <f t="shared" ref="H386:H390" si="85">F386*(($H$135)+1)+(IF(G386&lt;101,G386,IF(G386&lt;201,G386/2,IF(G386&lt;=301,G386/3,G386/4))))</f>
        <v>1098.00873</v>
      </c>
      <c r="T386" s="34"/>
    </row>
    <row r="387" spans="1:20" s="32" customFormat="1" ht="15.75" customHeight="1" x14ac:dyDescent="0.3">
      <c r="A387" s="86">
        <f t="shared" ref="A387:A392" si="86">A386+1</f>
        <v>2</v>
      </c>
      <c r="B387" s="87"/>
      <c r="C387" s="74" t="s">
        <v>370</v>
      </c>
      <c r="D387" s="79">
        <f>(57.99)*10.764</f>
        <v>624.20435999999995</v>
      </c>
      <c r="E387" s="79">
        <f>(1*1.8+0.9*(2.8+2.75+2.75))*10.764</f>
        <v>99.782280000000014</v>
      </c>
      <c r="F387" s="39">
        <f t="shared" si="84"/>
        <v>723.98663999999997</v>
      </c>
      <c r="G387" s="39">
        <v>0</v>
      </c>
      <c r="H387" s="39">
        <f t="shared" si="85"/>
        <v>1085.9799599999999</v>
      </c>
      <c r="T387" s="34"/>
    </row>
    <row r="388" spans="1:20" s="32" customFormat="1" ht="15.75" customHeight="1" x14ac:dyDescent="0.3">
      <c r="A388" s="86">
        <f t="shared" si="86"/>
        <v>3</v>
      </c>
      <c r="B388" s="87"/>
      <c r="C388" s="74" t="s">
        <v>372</v>
      </c>
      <c r="D388" s="79">
        <f>(77.04)*10.764</f>
        <v>829.25855999999999</v>
      </c>
      <c r="E388" s="79">
        <f>(0.9*(3.3+3.25+3.4+3.3+2.1))*10.764</f>
        <v>148.70465999999999</v>
      </c>
      <c r="F388" s="39">
        <f t="shared" si="84"/>
        <v>977.96321999999998</v>
      </c>
      <c r="G388" s="39">
        <v>0</v>
      </c>
      <c r="H388" s="39">
        <f t="shared" si="85"/>
        <v>1466.9448299999999</v>
      </c>
      <c r="T388" s="34"/>
    </row>
    <row r="389" spans="1:20" s="32" customFormat="1" ht="15.75" customHeight="1" x14ac:dyDescent="0.3">
      <c r="A389" s="86">
        <f t="shared" si="86"/>
        <v>4</v>
      </c>
      <c r="B389" s="87"/>
      <c r="C389" s="74" t="s">
        <v>372</v>
      </c>
      <c r="D389" s="79">
        <f>(77.06)*10.764</f>
        <v>829.47384</v>
      </c>
      <c r="E389" s="79">
        <f>(0.9*(3.3+3.25+3.4+1.8))*10.764</f>
        <v>113.8293</v>
      </c>
      <c r="F389" s="39">
        <f t="shared" si="84"/>
        <v>943.30313999999998</v>
      </c>
      <c r="G389" s="39">
        <v>0</v>
      </c>
      <c r="H389" s="39">
        <f t="shared" si="85"/>
        <v>1414.95471</v>
      </c>
      <c r="T389" s="34"/>
    </row>
    <row r="390" spans="1:20" s="32" customFormat="1" ht="15.75" customHeight="1" x14ac:dyDescent="0.3">
      <c r="A390" s="86">
        <f t="shared" si="86"/>
        <v>5</v>
      </c>
      <c r="B390" s="87"/>
      <c r="C390" s="74" t="s">
        <v>370</v>
      </c>
      <c r="D390" s="79">
        <f>(58.48)*10.764</f>
        <v>629.47871999999995</v>
      </c>
      <c r="E390" s="79">
        <f>(0.85*1.8+0.9*(2.75+2.75))*10.764</f>
        <v>69.750720000000001</v>
      </c>
      <c r="F390" s="39">
        <f t="shared" si="84"/>
        <v>699.22943999999995</v>
      </c>
      <c r="G390" s="39">
        <v>0</v>
      </c>
      <c r="H390" s="39">
        <f t="shared" si="85"/>
        <v>1048.8441599999999</v>
      </c>
      <c r="T390" s="34"/>
    </row>
    <row r="391" spans="1:20" s="34" customFormat="1" x14ac:dyDescent="0.3">
      <c r="A391" s="86">
        <f t="shared" si="86"/>
        <v>6</v>
      </c>
      <c r="B391" s="87"/>
      <c r="C391" s="74" t="s">
        <v>372</v>
      </c>
      <c r="D391" s="79">
        <f>(73.14)*10.764</f>
        <v>787.27895999999998</v>
      </c>
      <c r="E391" s="79">
        <f>(0.9*(3.25+2.95+3.01+1.9))*10.764</f>
        <v>107.62923600000001</v>
      </c>
      <c r="F391" s="39">
        <f t="shared" ref="F391:F392" si="87">D391+E391</f>
        <v>894.90819599999998</v>
      </c>
      <c r="G391" s="39">
        <v>0</v>
      </c>
      <c r="H391" s="39">
        <f t="shared" ref="H391:H392" si="88">F391*(($H$135)+1)+(IF(G391&lt;101,G391,IF(G391&lt;201,G391/2,IF(G391&lt;=301,G391/3,G391/4))))</f>
        <v>1342.362294</v>
      </c>
      <c r="I391" s="33"/>
    </row>
    <row r="392" spans="1:20" s="34" customFormat="1" ht="15.75" customHeight="1" x14ac:dyDescent="0.3">
      <c r="A392" s="86">
        <f t="shared" si="86"/>
        <v>7</v>
      </c>
      <c r="B392" s="87"/>
      <c r="C392" s="74" t="s">
        <v>370</v>
      </c>
      <c r="D392" s="79">
        <f>(57.68)*10.764</f>
        <v>620.86752000000001</v>
      </c>
      <c r="E392" s="79">
        <f>(0.85*1.8+0.9*(2.8+2.75))*10.764</f>
        <v>70.235100000000003</v>
      </c>
      <c r="F392" s="39">
        <f t="shared" si="87"/>
        <v>691.10262</v>
      </c>
      <c r="G392" s="39">
        <v>0</v>
      </c>
      <c r="H392" s="39">
        <f t="shared" si="88"/>
        <v>1036.6539299999999</v>
      </c>
      <c r="I392" s="33"/>
    </row>
    <row r="393" spans="1:20" s="34" customFormat="1" ht="15.75" customHeight="1" x14ac:dyDescent="0.3">
      <c r="A393" s="85" t="s">
        <v>398</v>
      </c>
      <c r="B393" s="85"/>
      <c r="C393" s="85"/>
      <c r="D393" s="85"/>
      <c r="E393" s="85"/>
      <c r="F393" s="85"/>
      <c r="G393" s="85"/>
      <c r="H393" s="85"/>
      <c r="I393" s="33"/>
    </row>
    <row r="394" spans="1:20" s="32" customFormat="1" ht="15.75" customHeight="1" x14ac:dyDescent="0.3">
      <c r="A394" s="86">
        <v>1</v>
      </c>
      <c r="B394" s="87"/>
      <c r="C394" s="225" t="s">
        <v>375</v>
      </c>
      <c r="D394" s="226"/>
      <c r="E394" s="226"/>
      <c r="F394" s="226"/>
      <c r="G394" s="226"/>
      <c r="H394" s="227"/>
      <c r="T394" s="34"/>
    </row>
    <row r="395" spans="1:20" s="32" customFormat="1" ht="15.75" customHeight="1" x14ac:dyDescent="0.3">
      <c r="A395" s="86">
        <f t="shared" ref="A395:A400" si="89">A394+1</f>
        <v>2</v>
      </c>
      <c r="B395" s="87"/>
      <c r="C395" s="74" t="s">
        <v>370</v>
      </c>
      <c r="D395" s="79">
        <f>(57.99)*10.764</f>
        <v>624.20435999999995</v>
      </c>
      <c r="E395" s="79">
        <f>(1*1.8+0.9*(2.8+2.75+2.75))*10.764</f>
        <v>99.782280000000014</v>
      </c>
      <c r="F395" s="39">
        <f t="shared" ref="F395:F398" si="90">D395+E395</f>
        <v>723.98663999999997</v>
      </c>
      <c r="G395" s="39">
        <v>0</v>
      </c>
      <c r="H395" s="39">
        <f t="shared" ref="H395:H398" si="91">F395*(($H$135)+1)+(IF(G395&lt;101,G395,IF(G395&lt;201,G395/2,IF(G395&lt;=301,G395/3,G395/4))))</f>
        <v>1085.9799599999999</v>
      </c>
      <c r="T395" s="34"/>
    </row>
    <row r="396" spans="1:20" s="32" customFormat="1" ht="15.75" customHeight="1" x14ac:dyDescent="0.3">
      <c r="A396" s="86">
        <f t="shared" si="89"/>
        <v>3</v>
      </c>
      <c r="B396" s="87"/>
      <c r="C396" s="74" t="s">
        <v>372</v>
      </c>
      <c r="D396" s="79">
        <f>(77.04)*10.764</f>
        <v>829.25855999999999</v>
      </c>
      <c r="E396" s="79">
        <f>(0.9*(3.3+3.25+3.4+3.3+2.1))*10.764</f>
        <v>148.70465999999999</v>
      </c>
      <c r="F396" s="39">
        <f t="shared" si="90"/>
        <v>977.96321999999998</v>
      </c>
      <c r="G396" s="39">
        <v>0</v>
      </c>
      <c r="H396" s="39">
        <f t="shared" si="91"/>
        <v>1466.9448299999999</v>
      </c>
      <c r="T396" s="34"/>
    </row>
    <row r="397" spans="1:20" s="32" customFormat="1" ht="15.75" customHeight="1" x14ac:dyDescent="0.3">
      <c r="A397" s="86">
        <f t="shared" si="89"/>
        <v>4</v>
      </c>
      <c r="B397" s="87"/>
      <c r="C397" s="74" t="s">
        <v>372</v>
      </c>
      <c r="D397" s="79">
        <f>(77.06)*10.764</f>
        <v>829.47384</v>
      </c>
      <c r="E397" s="79">
        <f>(0.9*(3.3+3.25+3.4+1.8))*10.764</f>
        <v>113.8293</v>
      </c>
      <c r="F397" s="39">
        <f t="shared" si="90"/>
        <v>943.30313999999998</v>
      </c>
      <c r="G397" s="39">
        <v>0</v>
      </c>
      <c r="H397" s="39">
        <f t="shared" si="91"/>
        <v>1414.95471</v>
      </c>
      <c r="T397" s="34"/>
    </row>
    <row r="398" spans="1:20" s="32" customFormat="1" ht="15.75" customHeight="1" x14ac:dyDescent="0.3">
      <c r="A398" s="86">
        <f t="shared" si="89"/>
        <v>5</v>
      </c>
      <c r="B398" s="87"/>
      <c r="C398" s="74" t="s">
        <v>370</v>
      </c>
      <c r="D398" s="79">
        <f>(58.48)*10.764</f>
        <v>629.47871999999995</v>
      </c>
      <c r="E398" s="79">
        <f>(0.85*1.8+0.9*(2.75+2.75))*10.764</f>
        <v>69.750720000000001</v>
      </c>
      <c r="F398" s="39">
        <f t="shared" si="90"/>
        <v>699.22943999999995</v>
      </c>
      <c r="G398" s="39">
        <v>0</v>
      </c>
      <c r="H398" s="39">
        <f t="shared" si="91"/>
        <v>1048.8441599999999</v>
      </c>
      <c r="T398" s="34"/>
    </row>
    <row r="399" spans="1:20" x14ac:dyDescent="0.3">
      <c r="A399" s="86">
        <f t="shared" si="89"/>
        <v>6</v>
      </c>
      <c r="B399" s="87"/>
      <c r="C399" s="74" t="s">
        <v>372</v>
      </c>
      <c r="D399" s="79">
        <f>(73.14)*10.764</f>
        <v>787.27895999999998</v>
      </c>
      <c r="E399" s="79">
        <f>(0.9*(3.25+2.95+3.01+1.9))*10.764</f>
        <v>107.62923600000001</v>
      </c>
      <c r="F399" s="39">
        <f t="shared" ref="F399:F400" si="92">D399+E399</f>
        <v>894.90819599999998</v>
      </c>
      <c r="G399" s="39">
        <v>0</v>
      </c>
      <c r="H399" s="39">
        <f t="shared" ref="H399:H400" si="93">F399*(($H$135)+1)+(IF(G399&lt;101,G399,IF(G399&lt;201,G399/2,IF(G399&lt;=301,G399/3,G399/4))))</f>
        <v>1342.362294</v>
      </c>
    </row>
    <row r="400" spans="1:20" x14ac:dyDescent="0.3">
      <c r="A400" s="86">
        <f t="shared" si="89"/>
        <v>7</v>
      </c>
      <c r="B400" s="87"/>
      <c r="C400" s="74" t="s">
        <v>370</v>
      </c>
      <c r="D400" s="79">
        <f>(57.68)*10.764</f>
        <v>620.86752000000001</v>
      </c>
      <c r="E400" s="79">
        <f>(0.85*1.8+0.9*(2.8+2.75))*10.764</f>
        <v>70.235100000000003</v>
      </c>
      <c r="F400" s="39">
        <f t="shared" si="92"/>
        <v>691.10262</v>
      </c>
      <c r="G400" s="39">
        <v>0</v>
      </c>
      <c r="H400" s="39">
        <f t="shared" si="93"/>
        <v>1036.6539299999999</v>
      </c>
    </row>
    <row r="401" spans="1:15" x14ac:dyDescent="0.3">
      <c r="A401" s="88"/>
      <c r="B401" s="89"/>
      <c r="C401" s="89"/>
      <c r="D401" s="89"/>
      <c r="E401" s="89"/>
      <c r="F401" s="89"/>
      <c r="G401" s="89"/>
      <c r="H401" s="90"/>
    </row>
    <row r="402" spans="1:15" x14ac:dyDescent="0.3">
      <c r="A402" s="196" t="s">
        <v>64</v>
      </c>
      <c r="B402" s="196"/>
      <c r="C402" s="196"/>
      <c r="D402" s="196"/>
      <c r="E402" s="196"/>
      <c r="F402" s="196"/>
      <c r="G402" s="196"/>
      <c r="H402" s="196"/>
    </row>
    <row r="403" spans="1:15" ht="36" customHeight="1" x14ac:dyDescent="0.3">
      <c r="A403" s="41" t="s">
        <v>149</v>
      </c>
      <c r="B403" s="82" t="s">
        <v>427</v>
      </c>
      <c r="C403" s="83"/>
      <c r="D403" s="83"/>
      <c r="E403" s="83"/>
      <c r="F403" s="83"/>
      <c r="G403" s="83"/>
      <c r="H403" s="84"/>
      <c r="I403" s="82" t="s">
        <v>425</v>
      </c>
      <c r="J403" s="83"/>
      <c r="K403" s="83"/>
      <c r="L403" s="83"/>
      <c r="M403" s="83"/>
      <c r="N403" s="83"/>
      <c r="O403" s="84"/>
    </row>
    <row r="404" spans="1:15" x14ac:dyDescent="0.3">
      <c r="A404" s="41" t="s">
        <v>149</v>
      </c>
      <c r="B404" s="82" t="str">
        <f>(IF(H134="Saleable area Loading :","We have considered Saleable area of Flats as per our Calculation.","We considered Saleable area of Flat as per Builder area Sheet."))</f>
        <v>We have considered Saleable area of Flats as per our Calculation.</v>
      </c>
      <c r="C404" s="83"/>
      <c r="D404" s="83"/>
      <c r="E404" s="83"/>
      <c r="F404" s="83"/>
      <c r="G404" s="83"/>
      <c r="H404" s="84"/>
    </row>
    <row r="405" spans="1:15" x14ac:dyDescent="0.3">
      <c r="A405" s="41" t="s">
        <v>149</v>
      </c>
      <c r="B405" s="82" t="str">
        <f>(IF(H115="Saleable area Loading :","We have considered Saleable area of Commercial as per our Calculation.","We considered Saleable area of Commercial as per Builder area Sheet."))</f>
        <v>We have considered Saleable area of Commercial as per our Calculation.</v>
      </c>
      <c r="C405" s="83"/>
      <c r="D405" s="83"/>
      <c r="E405" s="83"/>
      <c r="F405" s="83"/>
      <c r="G405" s="83"/>
      <c r="H405" s="84"/>
    </row>
    <row r="406" spans="1:15" x14ac:dyDescent="0.3">
      <c r="A406" s="41" t="s">
        <v>149</v>
      </c>
      <c r="B406" s="112" t="s">
        <v>119</v>
      </c>
      <c r="C406" s="113"/>
      <c r="D406" s="113"/>
      <c r="E406" s="113"/>
      <c r="F406" s="113"/>
      <c r="G406" s="113"/>
      <c r="H406" s="114"/>
    </row>
    <row r="407" spans="1:15" x14ac:dyDescent="0.3">
      <c r="A407" s="41" t="s">
        <v>149</v>
      </c>
      <c r="B407" s="112" t="s">
        <v>358</v>
      </c>
      <c r="C407" s="113"/>
      <c r="D407" s="113"/>
      <c r="E407" s="113"/>
      <c r="F407" s="113"/>
      <c r="G407" s="113"/>
      <c r="H407" s="114"/>
    </row>
    <row r="408" spans="1:15" x14ac:dyDescent="0.3">
      <c r="A408" s="41" t="s">
        <v>149</v>
      </c>
      <c r="B408" s="112" t="s">
        <v>148</v>
      </c>
      <c r="C408" s="113"/>
      <c r="D408" s="113"/>
      <c r="E408" s="113"/>
      <c r="F408" s="113"/>
      <c r="G408" s="113"/>
      <c r="H408" s="114"/>
    </row>
    <row r="409" spans="1:15" x14ac:dyDescent="0.3">
      <c r="A409" s="41" t="s">
        <v>149</v>
      </c>
      <c r="B409" s="112" t="s">
        <v>120</v>
      </c>
      <c r="C409" s="113"/>
      <c r="D409" s="113"/>
      <c r="E409" s="113"/>
      <c r="F409" s="113"/>
      <c r="G409" s="113"/>
      <c r="H409" s="114"/>
    </row>
    <row r="410" spans="1:15" ht="34.5" customHeight="1" x14ac:dyDescent="0.3">
      <c r="A410" s="41" t="s">
        <v>149</v>
      </c>
      <c r="B410" s="112" t="s">
        <v>150</v>
      </c>
      <c r="C410" s="113"/>
      <c r="D410" s="113"/>
      <c r="E410" s="113"/>
      <c r="F410" s="113"/>
      <c r="G410" s="113"/>
      <c r="H410" s="114"/>
    </row>
    <row r="411" spans="1:15" x14ac:dyDescent="0.3">
      <c r="A411" s="41" t="s">
        <v>149</v>
      </c>
      <c r="B411" s="112" t="s">
        <v>121</v>
      </c>
      <c r="C411" s="113"/>
      <c r="D411" s="113"/>
      <c r="E411" s="113"/>
      <c r="F411" s="113"/>
      <c r="G411" s="113"/>
      <c r="H411" s="114"/>
    </row>
    <row r="412" spans="1:15" x14ac:dyDescent="0.3">
      <c r="A412" s="41" t="s">
        <v>149</v>
      </c>
      <c r="B412" s="112" t="s">
        <v>422</v>
      </c>
      <c r="C412" s="113"/>
      <c r="D412" s="113"/>
      <c r="E412" s="113"/>
      <c r="F412" s="113"/>
      <c r="G412" s="113"/>
      <c r="H412" s="114"/>
    </row>
    <row r="413" spans="1:15" ht="31.5" customHeight="1" x14ac:dyDescent="0.3">
      <c r="A413" s="41" t="s">
        <v>149</v>
      </c>
      <c r="B413" s="82" t="s">
        <v>380</v>
      </c>
      <c r="C413" s="83"/>
      <c r="D413" s="83"/>
      <c r="E413" s="83"/>
      <c r="F413" s="83"/>
      <c r="G413" s="83"/>
      <c r="H413" s="84"/>
    </row>
    <row r="414" spans="1:15" hidden="1" x14ac:dyDescent="0.3">
      <c r="A414" s="41" t="s">
        <v>149</v>
      </c>
      <c r="B414" s="203" t="s">
        <v>329</v>
      </c>
      <c r="C414" s="204"/>
      <c r="D414" s="204"/>
      <c r="E414" s="204"/>
      <c r="F414" s="204"/>
      <c r="G414" s="204"/>
      <c r="H414" s="205"/>
    </row>
    <row r="415" spans="1:15" hidden="1" x14ac:dyDescent="0.3">
      <c r="A415" s="41" t="s">
        <v>149</v>
      </c>
      <c r="B415" s="203" t="s">
        <v>229</v>
      </c>
      <c r="C415" s="204"/>
      <c r="D415" s="204"/>
      <c r="E415" s="204"/>
      <c r="F415" s="204"/>
      <c r="G415" s="204"/>
      <c r="H415" s="205"/>
    </row>
    <row r="416" spans="1:15" x14ac:dyDescent="0.3">
      <c r="A416" s="41" t="s">
        <v>149</v>
      </c>
      <c r="B416" s="82" t="s">
        <v>423</v>
      </c>
      <c r="C416" s="83"/>
      <c r="D416" s="83"/>
      <c r="E416" s="83"/>
      <c r="F416" s="83"/>
      <c r="G416" s="83"/>
      <c r="H416" s="84"/>
    </row>
    <row r="417" spans="1:8" x14ac:dyDescent="0.3">
      <c r="A417" s="194" t="s">
        <v>57</v>
      </c>
      <c r="B417" s="194"/>
      <c r="C417" s="194"/>
      <c r="D417" s="194"/>
      <c r="E417" s="194"/>
      <c r="F417" s="194"/>
      <c r="G417" s="194"/>
      <c r="H417" s="194"/>
    </row>
    <row r="418" spans="1:8" x14ac:dyDescent="0.3">
      <c r="A418" s="116" t="s">
        <v>58</v>
      </c>
      <c r="B418" s="116"/>
      <c r="C418" s="116"/>
      <c r="D418" s="116"/>
      <c r="E418" s="116"/>
      <c r="F418" s="116"/>
      <c r="G418" s="116"/>
      <c r="H418" s="116"/>
    </row>
    <row r="419" spans="1:8" x14ac:dyDescent="0.3">
      <c r="A419" s="202" t="s">
        <v>59</v>
      </c>
      <c r="B419" s="202"/>
      <c r="C419" s="202"/>
      <c r="D419" s="202"/>
      <c r="E419" s="202"/>
      <c r="F419" s="202"/>
      <c r="G419" s="202"/>
      <c r="H419" s="202"/>
    </row>
    <row r="420" spans="1:8" x14ac:dyDescent="0.3">
      <c r="A420" s="116" t="s">
        <v>60</v>
      </c>
      <c r="B420" s="116"/>
      <c r="C420" s="116"/>
      <c r="D420" s="116"/>
      <c r="E420" s="116"/>
      <c r="F420" s="116"/>
      <c r="G420" s="116"/>
      <c r="H420" s="116"/>
    </row>
    <row r="421" spans="1:8" x14ac:dyDescent="0.3">
      <c r="A421" s="116" t="s">
        <v>61</v>
      </c>
      <c r="B421" s="116"/>
      <c r="C421" s="116"/>
      <c r="D421" s="116"/>
      <c r="E421" s="116"/>
      <c r="F421" s="116"/>
      <c r="G421" s="116"/>
      <c r="H421" s="116"/>
    </row>
    <row r="422" spans="1:8" x14ac:dyDescent="0.3">
      <c r="A422" s="116" t="s">
        <v>122</v>
      </c>
      <c r="B422" s="116"/>
      <c r="C422" s="116"/>
      <c r="D422" s="116"/>
      <c r="E422" s="116"/>
      <c r="F422" s="116"/>
      <c r="G422" s="116"/>
      <c r="H422" s="116"/>
    </row>
    <row r="423" spans="1:8" x14ac:dyDescent="0.3">
      <c r="A423" s="131" t="s">
        <v>123</v>
      </c>
      <c r="B423" s="131"/>
      <c r="C423" s="131"/>
      <c r="D423" s="131"/>
      <c r="E423" s="131"/>
      <c r="F423" s="131"/>
      <c r="G423" s="131"/>
      <c r="H423" s="131"/>
    </row>
    <row r="424" spans="1:8" x14ac:dyDescent="0.3">
      <c r="A424" s="192" t="s">
        <v>73</v>
      </c>
      <c r="B424" s="192"/>
      <c r="C424" s="192" t="s">
        <v>426</v>
      </c>
      <c r="D424" s="192"/>
      <c r="E424" s="192" t="s">
        <v>103</v>
      </c>
      <c r="F424" s="192"/>
      <c r="G424" s="192" t="s">
        <v>428</v>
      </c>
      <c r="H424" s="192"/>
    </row>
    <row r="425" spans="1:8" x14ac:dyDescent="0.3">
      <c r="A425" s="191" t="s">
        <v>75</v>
      </c>
      <c r="B425" s="191"/>
      <c r="C425" s="191"/>
      <c r="D425" s="191"/>
      <c r="E425" s="191"/>
      <c r="F425" s="191"/>
      <c r="G425" s="191"/>
      <c r="H425" s="191"/>
    </row>
    <row r="426" spans="1:8" x14ac:dyDescent="0.3">
      <c r="A426" s="191"/>
      <c r="B426" s="191"/>
      <c r="C426" s="191"/>
      <c r="D426" s="191"/>
      <c r="E426" s="191"/>
      <c r="F426" s="191"/>
      <c r="G426" s="191"/>
      <c r="H426" s="191"/>
    </row>
    <row r="427" spans="1:8" x14ac:dyDescent="0.3">
      <c r="A427" s="191"/>
      <c r="B427" s="191"/>
      <c r="C427" s="191"/>
      <c r="D427" s="191"/>
      <c r="E427" s="191"/>
      <c r="F427" s="191"/>
      <c r="G427" s="191"/>
      <c r="H427" s="191"/>
    </row>
    <row r="428" spans="1:8" x14ac:dyDescent="0.3">
      <c r="A428" s="191"/>
      <c r="B428" s="191"/>
      <c r="C428" s="191"/>
      <c r="D428" s="191"/>
      <c r="E428" s="191"/>
      <c r="F428" s="191"/>
      <c r="G428" s="191"/>
      <c r="H428" s="191"/>
    </row>
    <row r="429" spans="1:8" x14ac:dyDescent="0.3">
      <c r="A429" s="35" t="s">
        <v>62</v>
      </c>
      <c r="B429" s="36"/>
      <c r="C429" s="36"/>
      <c r="D429" s="35" t="str">
        <f>E9</f>
        <v>Codename StarLife</v>
      </c>
      <c r="F429" s="36"/>
      <c r="G429" s="36"/>
      <c r="H429" s="36"/>
    </row>
    <row r="430" spans="1:8" x14ac:dyDescent="0.3">
      <c r="A430" s="36"/>
      <c r="B430" s="36"/>
      <c r="C430" s="36"/>
      <c r="D430" s="36"/>
      <c r="E430" s="36"/>
      <c r="F430" s="36"/>
      <c r="G430" s="36"/>
      <c r="H430" s="36"/>
    </row>
    <row r="431" spans="1:8" x14ac:dyDescent="0.3">
      <c r="A431" s="36"/>
      <c r="B431" s="36"/>
      <c r="C431" s="36"/>
      <c r="D431" s="36"/>
      <c r="E431" s="36"/>
      <c r="F431" s="36"/>
      <c r="G431" s="36"/>
      <c r="H431" s="36"/>
    </row>
    <row r="471" spans="1:1" x14ac:dyDescent="0.3">
      <c r="A471" s="38" t="s">
        <v>160</v>
      </c>
    </row>
    <row r="513" spans="1:1" x14ac:dyDescent="0.3">
      <c r="A513" s="38" t="s">
        <v>63</v>
      </c>
    </row>
  </sheetData>
  <mergeCells count="588">
    <mergeCell ref="C107:D107"/>
    <mergeCell ref="E107:F107"/>
    <mergeCell ref="G107:H107"/>
    <mergeCell ref="C108:D108"/>
    <mergeCell ref="E108:F108"/>
    <mergeCell ref="G108:H108"/>
    <mergeCell ref="A107:A110"/>
    <mergeCell ref="A232:B232"/>
    <mergeCell ref="A233:B233"/>
    <mergeCell ref="A223:H223"/>
    <mergeCell ref="A224:B224"/>
    <mergeCell ref="A225:B225"/>
    <mergeCell ref="A214:B214"/>
    <mergeCell ref="A191:H191"/>
    <mergeCell ref="A209:B209"/>
    <mergeCell ref="A210:B210"/>
    <mergeCell ref="A211:B211"/>
    <mergeCell ref="A212:H212"/>
    <mergeCell ref="A213:B213"/>
    <mergeCell ref="A183:B183"/>
    <mergeCell ref="A184:B184"/>
    <mergeCell ref="A185:B185"/>
    <mergeCell ref="A111:B111"/>
    <mergeCell ref="A131:B131"/>
    <mergeCell ref="A371:B371"/>
    <mergeCell ref="A372:B372"/>
    <mergeCell ref="A373:B373"/>
    <mergeCell ref="A374:B374"/>
    <mergeCell ref="A377:H377"/>
    <mergeCell ref="A378:B378"/>
    <mergeCell ref="A379:B379"/>
    <mergeCell ref="B416:H416"/>
    <mergeCell ref="A241:B241"/>
    <mergeCell ref="A242:B242"/>
    <mergeCell ref="A243:B243"/>
    <mergeCell ref="A244:B244"/>
    <mergeCell ref="A399:B399"/>
    <mergeCell ref="A400:B400"/>
    <mergeCell ref="C394:H394"/>
    <mergeCell ref="A385:H385"/>
    <mergeCell ref="A386:B386"/>
    <mergeCell ref="A387:B387"/>
    <mergeCell ref="A388:B388"/>
    <mergeCell ref="A389:B389"/>
    <mergeCell ref="A390:B390"/>
    <mergeCell ref="A393:H393"/>
    <mergeCell ref="A394:B394"/>
    <mergeCell ref="A395:B395"/>
    <mergeCell ref="L181:M181"/>
    <mergeCell ref="A182:B182"/>
    <mergeCell ref="L182:M182"/>
    <mergeCell ref="A169:H169"/>
    <mergeCell ref="A170:B170"/>
    <mergeCell ref="L170:M170"/>
    <mergeCell ref="A171:B171"/>
    <mergeCell ref="L171:M171"/>
    <mergeCell ref="A172:B172"/>
    <mergeCell ref="A173:B173"/>
    <mergeCell ref="A174:B174"/>
    <mergeCell ref="A175:B175"/>
    <mergeCell ref="A176:B176"/>
    <mergeCell ref="A177:B177"/>
    <mergeCell ref="A178:B178"/>
    <mergeCell ref="A179:B179"/>
    <mergeCell ref="A180:H180"/>
    <mergeCell ref="A181:B181"/>
    <mergeCell ref="A396:B396"/>
    <mergeCell ref="A397:B397"/>
    <mergeCell ref="A398:B398"/>
    <mergeCell ref="A334:B334"/>
    <mergeCell ref="A335:B335"/>
    <mergeCell ref="A345:B345"/>
    <mergeCell ref="A346:B346"/>
    <mergeCell ref="A356:B356"/>
    <mergeCell ref="A357:B357"/>
    <mergeCell ref="A367:B367"/>
    <mergeCell ref="A368:B368"/>
    <mergeCell ref="A375:B375"/>
    <mergeCell ref="A376:B376"/>
    <mergeCell ref="A383:B383"/>
    <mergeCell ref="A384:B384"/>
    <mergeCell ref="A391:B391"/>
    <mergeCell ref="A392:B392"/>
    <mergeCell ref="A381:B381"/>
    <mergeCell ref="A382:B382"/>
    <mergeCell ref="A355:B355"/>
    <mergeCell ref="A358:H358"/>
    <mergeCell ref="A380:B380"/>
    <mergeCell ref="C370:H370"/>
    <mergeCell ref="A359:B359"/>
    <mergeCell ref="C337:H337"/>
    <mergeCell ref="A348:B348"/>
    <mergeCell ref="A349:B349"/>
    <mergeCell ref="A350:B350"/>
    <mergeCell ref="A351:B351"/>
    <mergeCell ref="A352:B352"/>
    <mergeCell ref="A353:B353"/>
    <mergeCell ref="A354:B354"/>
    <mergeCell ref="A360:B360"/>
    <mergeCell ref="C359:H359"/>
    <mergeCell ref="A338:B338"/>
    <mergeCell ref="A339:B339"/>
    <mergeCell ref="A340:B340"/>
    <mergeCell ref="A341:B341"/>
    <mergeCell ref="A342:B342"/>
    <mergeCell ref="A343:B343"/>
    <mergeCell ref="A344:B344"/>
    <mergeCell ref="A370:B370"/>
    <mergeCell ref="A347:H347"/>
    <mergeCell ref="A361:B361"/>
    <mergeCell ref="A362:B362"/>
    <mergeCell ref="A363:B363"/>
    <mergeCell ref="A364:B364"/>
    <mergeCell ref="A365:B365"/>
    <mergeCell ref="A366:B366"/>
    <mergeCell ref="A369:H369"/>
    <mergeCell ref="A253:H253"/>
    <mergeCell ref="A254:H254"/>
    <mergeCell ref="A401:H401"/>
    <mergeCell ref="B413:H413"/>
    <mergeCell ref="B412:H412"/>
    <mergeCell ref="A218:B218"/>
    <mergeCell ref="A219:B219"/>
    <mergeCell ref="A220:B220"/>
    <mergeCell ref="A221:B221"/>
    <mergeCell ref="A222:B222"/>
    <mergeCell ref="A245:H245"/>
    <mergeCell ref="A246:H246"/>
    <mergeCell ref="A247:H247"/>
    <mergeCell ref="A315:H315"/>
    <mergeCell ref="A316:H316"/>
    <mergeCell ref="A317:H317"/>
    <mergeCell ref="A323:H323"/>
    <mergeCell ref="A324:H324"/>
    <mergeCell ref="A325:H325"/>
    <mergeCell ref="A318:H318"/>
    <mergeCell ref="A319:H319"/>
    <mergeCell ref="A320:H320"/>
    <mergeCell ref="A321:H321"/>
    <mergeCell ref="A237:B237"/>
    <mergeCell ref="I15:P15"/>
    <mergeCell ref="F97:H97"/>
    <mergeCell ref="F95:H95"/>
    <mergeCell ref="A160:B160"/>
    <mergeCell ref="A114:H114"/>
    <mergeCell ref="G101:H101"/>
    <mergeCell ref="A96:E96"/>
    <mergeCell ref="A130:B130"/>
    <mergeCell ref="A60:B60"/>
    <mergeCell ref="C60:E60"/>
    <mergeCell ref="D62:H62"/>
    <mergeCell ref="F96:H96"/>
    <mergeCell ref="E101:F101"/>
    <mergeCell ref="A101:B101"/>
    <mergeCell ref="A103:B103"/>
    <mergeCell ref="C106:D106"/>
    <mergeCell ref="A119:H119"/>
    <mergeCell ref="A139:H139"/>
    <mergeCell ref="A140:H140"/>
    <mergeCell ref="A141:H141"/>
    <mergeCell ref="A142:H142"/>
    <mergeCell ref="A145:H145"/>
    <mergeCell ref="A146:H146"/>
    <mergeCell ref="A147:H147"/>
    <mergeCell ref="E43:H43"/>
    <mergeCell ref="A43:D43"/>
    <mergeCell ref="A82:B82"/>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9:E59"/>
    <mergeCell ref="G59:H59"/>
    <mergeCell ref="C51:E51"/>
    <mergeCell ref="C52:E52"/>
    <mergeCell ref="A422:H422"/>
    <mergeCell ref="A419:H419"/>
    <mergeCell ref="A153:B153"/>
    <mergeCell ref="A106:B106"/>
    <mergeCell ref="D134:D135"/>
    <mergeCell ref="E134:E135"/>
    <mergeCell ref="F88:H88"/>
    <mergeCell ref="G102:H102"/>
    <mergeCell ref="F94:H94"/>
    <mergeCell ref="C101:D101"/>
    <mergeCell ref="C111:D111"/>
    <mergeCell ref="A136:H136"/>
    <mergeCell ref="A162:B162"/>
    <mergeCell ref="A159:B159"/>
    <mergeCell ref="A129:B129"/>
    <mergeCell ref="B414:H414"/>
    <mergeCell ref="A112:B112"/>
    <mergeCell ref="C112:D112"/>
    <mergeCell ref="B415:H415"/>
    <mergeCell ref="C103:D103"/>
    <mergeCell ref="E103:F103"/>
    <mergeCell ref="G103:H103"/>
    <mergeCell ref="A65:C65"/>
    <mergeCell ref="D65:H65"/>
    <mergeCell ref="B411:H411"/>
    <mergeCell ref="B409:H409"/>
    <mergeCell ref="B405:H405"/>
    <mergeCell ref="A204:B204"/>
    <mergeCell ref="A201:H201"/>
    <mergeCell ref="A202:B202"/>
    <mergeCell ref="A203:B203"/>
    <mergeCell ref="A206:B206"/>
    <mergeCell ref="A205:B205"/>
    <mergeCell ref="B403:H403"/>
    <mergeCell ref="B404:H404"/>
    <mergeCell ref="B406:H406"/>
    <mergeCell ref="B407:H407"/>
    <mergeCell ref="A402:H402"/>
    <mergeCell ref="D69:H69"/>
    <mergeCell ref="A72:C72"/>
    <mergeCell ref="D72:H72"/>
    <mergeCell ref="D70:H70"/>
    <mergeCell ref="A71:C71"/>
    <mergeCell ref="A70:C70"/>
    <mergeCell ref="D71:H71"/>
    <mergeCell ref="A77:B77"/>
    <mergeCell ref="A425:H428"/>
    <mergeCell ref="A424:B424"/>
    <mergeCell ref="E424:F424"/>
    <mergeCell ref="C424:D424"/>
    <mergeCell ref="G424:H424"/>
    <mergeCell ref="A100:H100"/>
    <mergeCell ref="A98:E98"/>
    <mergeCell ref="F98:H98"/>
    <mergeCell ref="A99:E99"/>
    <mergeCell ref="F99:H99"/>
    <mergeCell ref="A161:B161"/>
    <mergeCell ref="A102:B102"/>
    <mergeCell ref="A420:H420"/>
    <mergeCell ref="A105:H105"/>
    <mergeCell ref="A423:H423"/>
    <mergeCell ref="A421:H421"/>
    <mergeCell ref="A417:H417"/>
    <mergeCell ref="G106:H106"/>
    <mergeCell ref="A163:B163"/>
    <mergeCell ref="C115:C116"/>
    <mergeCell ref="B134:B135"/>
    <mergeCell ref="A418:H418"/>
    <mergeCell ref="E112:F112"/>
    <mergeCell ref="A127:H127"/>
    <mergeCell ref="G76:H76"/>
    <mergeCell ref="E77:F86"/>
    <mergeCell ref="G77:H86"/>
    <mergeCell ref="A85:B85"/>
    <mergeCell ref="A86:B86"/>
    <mergeCell ref="A83:B83"/>
    <mergeCell ref="E76:F76"/>
    <mergeCell ref="C104:D104"/>
    <mergeCell ref="E104:F104"/>
    <mergeCell ref="G104:H104"/>
    <mergeCell ref="C110:D110"/>
    <mergeCell ref="E110:F110"/>
    <mergeCell ref="G110:H110"/>
    <mergeCell ref="A121:H121"/>
    <mergeCell ref="B410:H410"/>
    <mergeCell ref="A167:B167"/>
    <mergeCell ref="A120:H120"/>
    <mergeCell ref="A122:H122"/>
    <mergeCell ref="A123:H123"/>
    <mergeCell ref="A126:H126"/>
    <mergeCell ref="A208:B20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A45:D4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A39:B39"/>
    <mergeCell ref="C39:H39"/>
    <mergeCell ref="A46:D46"/>
    <mergeCell ref="A47:D47"/>
    <mergeCell ref="A48:H48"/>
    <mergeCell ref="D64:H64"/>
    <mergeCell ref="A40:B40"/>
    <mergeCell ref="A64:C64"/>
    <mergeCell ref="C40:H40"/>
    <mergeCell ref="F115:F116"/>
    <mergeCell ref="C102:D102"/>
    <mergeCell ref="E102:F102"/>
    <mergeCell ref="B115:B116"/>
    <mergeCell ref="A115:A116"/>
    <mergeCell ref="C134:C135"/>
    <mergeCell ref="G134:G135"/>
    <mergeCell ref="G112:H112"/>
    <mergeCell ref="C55:H55"/>
    <mergeCell ref="A76:B76"/>
    <mergeCell ref="A84:B84"/>
    <mergeCell ref="C109:D109"/>
    <mergeCell ref="E109:F109"/>
    <mergeCell ref="G109:H109"/>
    <mergeCell ref="A88:E88"/>
    <mergeCell ref="A117:H117"/>
    <mergeCell ref="E115:E116"/>
    <mergeCell ref="F87:H87"/>
    <mergeCell ref="F92:H92"/>
    <mergeCell ref="A93:E93"/>
    <mergeCell ref="F93:H93"/>
    <mergeCell ref="A95:E95"/>
    <mergeCell ref="A78:B78"/>
    <mergeCell ref="A69:C69"/>
    <mergeCell ref="L149:M149"/>
    <mergeCell ref="A157:B157"/>
    <mergeCell ref="A154:B154"/>
    <mergeCell ref="A155:B155"/>
    <mergeCell ref="A165:B165"/>
    <mergeCell ref="L148:M148"/>
    <mergeCell ref="L135:M135"/>
    <mergeCell ref="A149:B149"/>
    <mergeCell ref="L136:M136"/>
    <mergeCell ref="A150:B150"/>
    <mergeCell ref="L137:M137"/>
    <mergeCell ref="A151:B151"/>
    <mergeCell ref="L130:M130"/>
    <mergeCell ref="L129:M129"/>
    <mergeCell ref="L127:M127"/>
    <mergeCell ref="L118:M118"/>
    <mergeCell ref="F90:H90"/>
    <mergeCell ref="A94:E94"/>
    <mergeCell ref="E106:F106"/>
    <mergeCell ref="A113:H113"/>
    <mergeCell ref="A118:H118"/>
    <mergeCell ref="A92:E92"/>
    <mergeCell ref="A104:B104"/>
    <mergeCell ref="A49:B49"/>
    <mergeCell ref="C49:H49"/>
    <mergeCell ref="B408:H408"/>
    <mergeCell ref="F89:H89"/>
    <mergeCell ref="A89:E89"/>
    <mergeCell ref="D115:D116"/>
    <mergeCell ref="A91:E91"/>
    <mergeCell ref="A90:E90"/>
    <mergeCell ref="A87:E87"/>
    <mergeCell ref="F91:H91"/>
    <mergeCell ref="G115:G116"/>
    <mergeCell ref="A166:B166"/>
    <mergeCell ref="A79:B79"/>
    <mergeCell ref="A75:B75"/>
    <mergeCell ref="A73:B73"/>
    <mergeCell ref="C73:H73"/>
    <mergeCell ref="A81:B81"/>
    <mergeCell ref="A68:C68"/>
    <mergeCell ref="D68:H68"/>
    <mergeCell ref="C75:H75"/>
    <mergeCell ref="E111:F111"/>
    <mergeCell ref="A97:E97"/>
    <mergeCell ref="A80:B80"/>
    <mergeCell ref="G111:H111"/>
    <mergeCell ref="A235:B235"/>
    <mergeCell ref="A236:B236"/>
    <mergeCell ref="A215:B215"/>
    <mergeCell ref="A216:B216"/>
    <mergeCell ref="A217:B217"/>
    <mergeCell ref="A137:H137"/>
    <mergeCell ref="A138:H138"/>
    <mergeCell ref="A132:B132"/>
    <mergeCell ref="A156:B156"/>
    <mergeCell ref="A148:B148"/>
    <mergeCell ref="A133:H133"/>
    <mergeCell ref="A134:A135"/>
    <mergeCell ref="F134:F135"/>
    <mergeCell ref="A168:B168"/>
    <mergeCell ref="A158:H158"/>
    <mergeCell ref="A199:H199"/>
    <mergeCell ref="A143:H143"/>
    <mergeCell ref="A144:H144"/>
    <mergeCell ref="A194:H194"/>
    <mergeCell ref="A195:H195"/>
    <mergeCell ref="A196:H196"/>
    <mergeCell ref="A197:H197"/>
    <mergeCell ref="A198:H198"/>
    <mergeCell ref="A124:H124"/>
    <mergeCell ref="A125:H125"/>
    <mergeCell ref="A128:H128"/>
    <mergeCell ref="A188:B188"/>
    <mergeCell ref="A189:B189"/>
    <mergeCell ref="A186:B186"/>
    <mergeCell ref="A187:B187"/>
    <mergeCell ref="A192:H192"/>
    <mergeCell ref="A193:H193"/>
    <mergeCell ref="A190:B190"/>
    <mergeCell ref="A248:H248"/>
    <mergeCell ref="A249:H249"/>
    <mergeCell ref="C181:H182"/>
    <mergeCell ref="C159:H160"/>
    <mergeCell ref="A152:B152"/>
    <mergeCell ref="A164:B164"/>
    <mergeCell ref="A266:B266"/>
    <mergeCell ref="A267:B267"/>
    <mergeCell ref="A268:B268"/>
    <mergeCell ref="A238:B238"/>
    <mergeCell ref="A239:B239"/>
    <mergeCell ref="A240:B240"/>
    <mergeCell ref="A250:H250"/>
    <mergeCell ref="A251:H251"/>
    <mergeCell ref="A252:H252"/>
    <mergeCell ref="A200:H200"/>
    <mergeCell ref="A207:B207"/>
    <mergeCell ref="A226:B226"/>
    <mergeCell ref="A227:B227"/>
    <mergeCell ref="A228:B228"/>
    <mergeCell ref="A229:B229"/>
    <mergeCell ref="A230:B230"/>
    <mergeCell ref="A231:B231"/>
    <mergeCell ref="A234:H234"/>
    <mergeCell ref="A269:B269"/>
    <mergeCell ref="A270:B270"/>
    <mergeCell ref="A271:B271"/>
    <mergeCell ref="A255:H255"/>
    <mergeCell ref="A256:B256"/>
    <mergeCell ref="A257:B257"/>
    <mergeCell ref="A258:B258"/>
    <mergeCell ref="A259:B259"/>
    <mergeCell ref="A260:B260"/>
    <mergeCell ref="A261:B261"/>
    <mergeCell ref="A262:B262"/>
    <mergeCell ref="A263:B263"/>
    <mergeCell ref="A265:B265"/>
    <mergeCell ref="A264:H264"/>
    <mergeCell ref="A272:B272"/>
    <mergeCell ref="A273:H273"/>
    <mergeCell ref="A274:B274"/>
    <mergeCell ref="A275:B275"/>
    <mergeCell ref="A276:B276"/>
    <mergeCell ref="A277:B277"/>
    <mergeCell ref="A278:B278"/>
    <mergeCell ref="A279:B279"/>
    <mergeCell ref="A280:B280"/>
    <mergeCell ref="A281:B281"/>
    <mergeCell ref="A282:H282"/>
    <mergeCell ref="A283:B283"/>
    <mergeCell ref="A284:B284"/>
    <mergeCell ref="A285:B285"/>
    <mergeCell ref="A286:B286"/>
    <mergeCell ref="A287:B287"/>
    <mergeCell ref="A288:B288"/>
    <mergeCell ref="A289:B289"/>
    <mergeCell ref="A297:H297"/>
    <mergeCell ref="A298:B298"/>
    <mergeCell ref="A299:B299"/>
    <mergeCell ref="A300:B300"/>
    <mergeCell ref="A301:B301"/>
    <mergeCell ref="A302:B302"/>
    <mergeCell ref="A290:B290"/>
    <mergeCell ref="A291:H291"/>
    <mergeCell ref="A292:B292"/>
    <mergeCell ref="A293:B293"/>
    <mergeCell ref="A294:B294"/>
    <mergeCell ref="A295:B295"/>
    <mergeCell ref="A296:B296"/>
    <mergeCell ref="I403:O403"/>
    <mergeCell ref="A309:H309"/>
    <mergeCell ref="A310:B310"/>
    <mergeCell ref="A311:B311"/>
    <mergeCell ref="A312:B312"/>
    <mergeCell ref="A313:B313"/>
    <mergeCell ref="A314:B314"/>
    <mergeCell ref="A303:H303"/>
    <mergeCell ref="A304:B304"/>
    <mergeCell ref="A305:B305"/>
    <mergeCell ref="A306:B306"/>
    <mergeCell ref="A307:B307"/>
    <mergeCell ref="A308:B308"/>
    <mergeCell ref="A322:H322"/>
    <mergeCell ref="A326:B326"/>
    <mergeCell ref="A327:B327"/>
    <mergeCell ref="A328:B328"/>
    <mergeCell ref="A329:B329"/>
    <mergeCell ref="A330:B330"/>
    <mergeCell ref="A331:B331"/>
    <mergeCell ref="A332:B332"/>
    <mergeCell ref="A333:B333"/>
    <mergeCell ref="A336:H336"/>
    <mergeCell ref="A337:B337"/>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5:E116" xr:uid="{00000000-0002-0000-0000-000003000000}">
      <formula1>"Attached Loft area,Attached Otla area,Attached Mezzanine area"</formula1>
    </dataValidation>
    <dataValidation type="list" allowBlank="1" showInputMessage="1" showErrorMessage="1" sqref="G424:H424" xr:uid="{00000000-0002-0000-0000-000004000000}">
      <formula1>"Kunal Kadam,Pranita Mhatre,Shruti Fule,Pooja Kawale,Neha Dhokale,Shruti Tathare,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5:B116" xr:uid="{00000000-0002-0000-0000-000007000000}">
      <formula1>"Shop No. (Sale Plan),Sale / Rehab,Sale / Mhada"</formula1>
    </dataValidation>
    <dataValidation type="list" allowBlank="1" showInputMessage="1" showErrorMessage="1" sqref="B134:B135"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34:E135" xr:uid="{00000000-0002-0000-0000-00000B000000}">
      <formula1>"Fungible area,Balcony Area,Chajja Area,Cornice Area,AP Area,WS Area"</formula1>
    </dataValidation>
    <dataValidation type="list" allowBlank="1" showInputMessage="1" showErrorMessage="1" sqref="H116 H135"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2" xr:uid="{00000000-0002-0000-0000-00000F000000}">
      <formula1>0</formula1>
      <formula2>H74</formula2>
    </dataValidation>
    <dataValidation type="list" allowBlank="1" showInputMessage="1" showErrorMessage="1" sqref="H115 H134" xr:uid="{00000000-0002-0000-0000-000010000000}">
      <formula1>"Saleable area Loading :,Builder Saleable Area"</formula1>
    </dataValidation>
    <dataValidation type="list" allowBlank="1" showInputMessage="1" showErrorMessage="1" sqref="D115:D116 D134:D135" xr:uid="{00000000-0002-0000-0000-000011000000}">
      <formula1>"Carpet area,RERA Carpet area"</formula1>
    </dataValidation>
  </dataValidations>
  <hyperlinks>
    <hyperlink ref="C40" r:id="rId1" xr:uid="{00000000-0004-0000-0000-000000000000}"/>
    <hyperlink ref="I69" display="https://jpinfra.com/codenamestarlife/?utm_source=Google&amp;utm_medium=Search&amp;utm_campaign=FE137_Search_Brand_Karan_Johar_Codename_Starlife_LeadGen27022024&amp;utm_term=cpc&amp;utm_content=AG-01-AD-01&amp;gad_source=1&amp;gclid=Cj0KCQjwlZixBhCoARIsAIC745CD1Mri3BSTXLt07pEZqVx" xr:uid="{00000000-0004-0000-0000-000001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55" max="16383" man="1"/>
    <brk id="428" max="7" man="1"/>
    <brk id="470" max="7" man="1"/>
    <brk id="512"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33" t="s">
        <v>104</v>
      </c>
      <c r="C3" s="233"/>
      <c r="D3" s="233"/>
      <c r="E3" s="233"/>
      <c r="F3" s="233"/>
      <c r="G3" s="233"/>
      <c r="H3" s="233"/>
    </row>
    <row r="4" spans="1:9" x14ac:dyDescent="0.3">
      <c r="A4" s="2"/>
      <c r="B4" s="3" t="s">
        <v>105</v>
      </c>
      <c r="C4" s="3" t="s">
        <v>106</v>
      </c>
      <c r="D4" s="3" t="s">
        <v>65</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175</v>
      </c>
      <c r="E4" s="48" t="s">
        <v>185</v>
      </c>
      <c r="F4" s="48" t="s">
        <v>169</v>
      </c>
      <c r="G4" s="48" t="s">
        <v>190</v>
      </c>
      <c r="H4" s="48" t="s">
        <v>208</v>
      </c>
      <c r="J4" t="s">
        <v>190</v>
      </c>
      <c r="K4" t="s">
        <v>206</v>
      </c>
    </row>
    <row r="5" spans="2:11" x14ac:dyDescent="0.3">
      <c r="B5" s="47"/>
      <c r="C5" s="47"/>
      <c r="D5" s="48" t="s">
        <v>176</v>
      </c>
      <c r="E5" s="48" t="s">
        <v>183</v>
      </c>
      <c r="F5" s="48" t="s">
        <v>205</v>
      </c>
      <c r="G5" s="48" t="s">
        <v>191</v>
      </c>
      <c r="H5" s="48" t="s">
        <v>209</v>
      </c>
    </row>
    <row r="6" spans="2:11" x14ac:dyDescent="0.3">
      <c r="B6" s="47"/>
      <c r="C6" s="47"/>
      <c r="D6" s="48" t="s">
        <v>177</v>
      </c>
      <c r="E6" s="48" t="s">
        <v>184</v>
      </c>
      <c r="F6" s="48" t="s">
        <v>206</v>
      </c>
      <c r="G6" s="48" t="s">
        <v>192</v>
      </c>
      <c r="H6" s="48" t="s">
        <v>222</v>
      </c>
    </row>
    <row r="7" spans="2:11" x14ac:dyDescent="0.3">
      <c r="B7" s="47"/>
      <c r="C7" s="47"/>
      <c r="D7" s="48" t="s">
        <v>178</v>
      </c>
      <c r="E7" s="48" t="s">
        <v>186</v>
      </c>
      <c r="F7" s="48" t="s">
        <v>207</v>
      </c>
      <c r="G7" s="48" t="s">
        <v>193</v>
      </c>
      <c r="H7" s="48" t="s">
        <v>210</v>
      </c>
    </row>
    <row r="8" spans="2:11" x14ac:dyDescent="0.3">
      <c r="B8" s="47"/>
      <c r="C8" s="47"/>
      <c r="D8" s="48" t="s">
        <v>179</v>
      </c>
      <c r="E8" s="48" t="s">
        <v>187</v>
      </c>
      <c r="F8" s="48"/>
      <c r="G8" s="48" t="s">
        <v>194</v>
      </c>
      <c r="H8" s="48" t="s">
        <v>211</v>
      </c>
    </row>
    <row r="9" spans="2:11" x14ac:dyDescent="0.3">
      <c r="B9" s="47"/>
      <c r="C9" s="47"/>
      <c r="D9" s="48" t="s">
        <v>180</v>
      </c>
      <c r="E9" s="48" t="s">
        <v>185</v>
      </c>
      <c r="F9" s="48"/>
      <c r="G9" s="48" t="s">
        <v>195</v>
      </c>
      <c r="H9" s="48" t="s">
        <v>212</v>
      </c>
    </row>
    <row r="10" spans="2:11" x14ac:dyDescent="0.3">
      <c r="B10" s="47"/>
      <c r="C10" s="47"/>
      <c r="D10" s="48" t="s">
        <v>181</v>
      </c>
      <c r="E10" s="48" t="s">
        <v>188</v>
      </c>
      <c r="F10" s="48"/>
      <c r="G10" s="48" t="s">
        <v>196</v>
      </c>
      <c r="H10" s="48" t="s">
        <v>213</v>
      </c>
    </row>
    <row r="11" spans="2:11" x14ac:dyDescent="0.3">
      <c r="B11" s="47"/>
      <c r="C11" s="47"/>
      <c r="D11" s="48" t="s">
        <v>182</v>
      </c>
      <c r="E11" s="48" t="s">
        <v>189</v>
      </c>
      <c r="F11" s="48"/>
      <c r="G11" s="48" t="s">
        <v>197</v>
      </c>
      <c r="H11" s="48" t="s">
        <v>214</v>
      </c>
    </row>
    <row r="12" spans="2:11" x14ac:dyDescent="0.3">
      <c r="B12" s="47"/>
      <c r="C12" s="47"/>
      <c r="D12" s="48"/>
      <c r="E12" s="48"/>
      <c r="F12" s="48"/>
      <c r="G12" s="48" t="s">
        <v>198</v>
      </c>
      <c r="H12" s="48" t="s">
        <v>215</v>
      </c>
    </row>
    <row r="13" spans="2:11" x14ac:dyDescent="0.3">
      <c r="B13" s="47"/>
      <c r="C13" s="47"/>
      <c r="D13" s="48"/>
      <c r="E13" s="48"/>
      <c r="F13" s="48"/>
      <c r="G13" s="48" t="s">
        <v>199</v>
      </c>
      <c r="H13" s="48" t="s">
        <v>216</v>
      </c>
    </row>
    <row r="14" spans="2:11" x14ac:dyDescent="0.3">
      <c r="B14" s="47"/>
      <c r="C14" s="47"/>
      <c r="D14" s="48"/>
      <c r="E14" s="48"/>
      <c r="F14" s="48"/>
      <c r="G14" s="48" t="s">
        <v>200</v>
      </c>
      <c r="H14" s="48" t="s">
        <v>217</v>
      </c>
    </row>
    <row r="15" spans="2:11" x14ac:dyDescent="0.3">
      <c r="B15" s="47"/>
      <c r="C15" s="47"/>
      <c r="D15" s="48"/>
      <c r="E15" s="48"/>
      <c r="F15" s="48"/>
      <c r="G15" s="48" t="s">
        <v>201</v>
      </c>
      <c r="H15" s="48" t="s">
        <v>218</v>
      </c>
    </row>
    <row r="16" spans="2:11" x14ac:dyDescent="0.3">
      <c r="B16" s="47"/>
      <c r="C16" s="47"/>
      <c r="D16" s="48"/>
      <c r="E16" s="48"/>
      <c r="F16" s="48"/>
      <c r="G16" s="48" t="s">
        <v>202</v>
      </c>
      <c r="H16" s="48" t="s">
        <v>219</v>
      </c>
    </row>
    <row r="17" spans="2:8" x14ac:dyDescent="0.3">
      <c r="B17" s="47"/>
      <c r="C17" s="47"/>
      <c r="D17" s="48"/>
      <c r="E17" s="48"/>
      <c r="F17" s="48"/>
      <c r="G17" s="48" t="s">
        <v>203</v>
      </c>
      <c r="H17" s="48" t="s">
        <v>220</v>
      </c>
    </row>
    <row r="18" spans="2:8" x14ac:dyDescent="0.3">
      <c r="B18" s="47"/>
      <c r="C18" s="47"/>
      <c r="D18" s="48"/>
      <c r="E18" s="48"/>
      <c r="F18" s="48"/>
      <c r="G18" s="48" t="s">
        <v>204</v>
      </c>
      <c r="H18" s="48" t="s">
        <v>221</v>
      </c>
    </row>
    <row r="24" spans="2:8" x14ac:dyDescent="0.3">
      <c r="C24" t="s">
        <v>166</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166</v>
      </c>
    </row>
    <row r="33" spans="3:11" x14ac:dyDescent="0.3">
      <c r="J33">
        <v>1</v>
      </c>
      <c r="K33">
        <v>2</v>
      </c>
    </row>
    <row r="34" spans="3:11" x14ac:dyDescent="0.3">
      <c r="C34" s="49" t="s">
        <v>233</v>
      </c>
      <c r="D34" s="48" t="s">
        <v>231</v>
      </c>
      <c r="E34" s="48" t="s">
        <v>236</v>
      </c>
      <c r="F34" s="48" t="s">
        <v>234</v>
      </c>
      <c r="G34" s="48" t="s">
        <v>235</v>
      </c>
      <c r="H34" s="48" t="s">
        <v>237</v>
      </c>
      <c r="J34" t="s">
        <v>190</v>
      </c>
      <c r="K34" t="s">
        <v>206</v>
      </c>
    </row>
    <row r="35" spans="3:11" x14ac:dyDescent="0.3">
      <c r="C35" s="47" t="s">
        <v>232</v>
      </c>
      <c r="D35" s="48" t="s">
        <v>167</v>
      </c>
      <c r="E35" s="48" t="s">
        <v>241</v>
      </c>
      <c r="F35" s="48" t="s">
        <v>243</v>
      </c>
      <c r="G35" s="48" t="s">
        <v>245</v>
      </c>
      <c r="H35" s="48"/>
    </row>
    <row r="36" spans="3:11" x14ac:dyDescent="0.3">
      <c r="C36" s="47"/>
      <c r="D36" s="48" t="s">
        <v>238</v>
      </c>
      <c r="E36" s="48" t="s">
        <v>242</v>
      </c>
      <c r="F36" s="48" t="s">
        <v>244</v>
      </c>
      <c r="G36" s="48" t="s">
        <v>246</v>
      </c>
      <c r="H36" s="48"/>
    </row>
    <row r="37" spans="3:11" x14ac:dyDescent="0.3">
      <c r="C37" s="47"/>
      <c r="D37" s="48" t="s">
        <v>239</v>
      </c>
      <c r="E37" s="48"/>
      <c r="F37" s="48"/>
      <c r="G37" s="48" t="s">
        <v>247</v>
      </c>
      <c r="H37" s="48"/>
    </row>
    <row r="38" spans="3:11" x14ac:dyDescent="0.3">
      <c r="C38" s="47"/>
      <c r="D38" s="48" t="s">
        <v>240</v>
      </c>
      <c r="E38" s="48"/>
      <c r="F38" s="48"/>
      <c r="G38" s="48" t="s">
        <v>247</v>
      </c>
      <c r="H38" s="48"/>
    </row>
    <row r="39" spans="3:11" x14ac:dyDescent="0.3">
      <c r="C39" s="47"/>
      <c r="D39" s="48"/>
      <c r="E39" s="48"/>
      <c r="F39" s="48"/>
      <c r="G39" s="48" t="s">
        <v>248</v>
      </c>
      <c r="H39" s="48"/>
    </row>
    <row r="40" spans="3:11" x14ac:dyDescent="0.3">
      <c r="C40" s="47"/>
      <c r="D40" s="48"/>
      <c r="E40" s="48"/>
      <c r="F40" s="48"/>
      <c r="G40" s="48" t="s">
        <v>249</v>
      </c>
      <c r="H40" s="48"/>
    </row>
    <row r="41" spans="3:11" x14ac:dyDescent="0.3">
      <c r="C41" s="47"/>
      <c r="D41" s="48"/>
      <c r="E41" s="48"/>
      <c r="F41" s="48"/>
      <c r="G41" s="48"/>
      <c r="H41" s="48"/>
    </row>
    <row r="43" spans="3:11" x14ac:dyDescent="0.3">
      <c r="C43" t="s">
        <v>250</v>
      </c>
    </row>
    <row r="44" spans="3:11" x14ac:dyDescent="0.3">
      <c r="C44" t="s">
        <v>169</v>
      </c>
      <c r="D44" t="s">
        <v>251</v>
      </c>
    </row>
    <row r="45" spans="3:11" x14ac:dyDescent="0.3">
      <c r="D45" t="s">
        <v>252</v>
      </c>
    </row>
    <row r="46" spans="3:11" x14ac:dyDescent="0.3">
      <c r="D46" t="s">
        <v>253</v>
      </c>
    </row>
    <row r="47" spans="3:11" x14ac:dyDescent="0.3">
      <c r="D47" t="s">
        <v>254</v>
      </c>
    </row>
    <row r="48" spans="3:11" x14ac:dyDescent="0.3">
      <c r="D48" t="s">
        <v>255</v>
      </c>
    </row>
    <row r="49" spans="3:4" x14ac:dyDescent="0.3">
      <c r="C49" t="s">
        <v>175</v>
      </c>
      <c r="D49" t="s">
        <v>256</v>
      </c>
    </row>
    <row r="50" spans="3:4" x14ac:dyDescent="0.3">
      <c r="D50" t="s">
        <v>257</v>
      </c>
    </row>
    <row r="51" spans="3:4" x14ac:dyDescent="0.3">
      <c r="D51" t="s">
        <v>258</v>
      </c>
    </row>
    <row r="52" spans="3:4" x14ac:dyDescent="0.3">
      <c r="D52" t="s">
        <v>261</v>
      </c>
    </row>
    <row r="53" spans="3:4" x14ac:dyDescent="0.3">
      <c r="D53" t="s">
        <v>259</v>
      </c>
    </row>
    <row r="54" spans="3:4" x14ac:dyDescent="0.3">
      <c r="D54" t="s">
        <v>260</v>
      </c>
    </row>
    <row r="55" spans="3:4" x14ac:dyDescent="0.3">
      <c r="D55" t="s">
        <v>262</v>
      </c>
    </row>
    <row r="56" spans="3:4" x14ac:dyDescent="0.3">
      <c r="D56" t="s">
        <v>263</v>
      </c>
    </row>
    <row r="57" spans="3:4" x14ac:dyDescent="0.3">
      <c r="D57" t="s">
        <v>264</v>
      </c>
    </row>
    <row r="58" spans="3:4" x14ac:dyDescent="0.3">
      <c r="D58" t="s">
        <v>266</v>
      </c>
    </row>
    <row r="59" spans="3:4" x14ac:dyDescent="0.3">
      <c r="D59" t="s">
        <v>275</v>
      </c>
    </row>
    <row r="60" spans="3:4" x14ac:dyDescent="0.3">
      <c r="C60" t="s">
        <v>190</v>
      </c>
      <c r="D60" t="s">
        <v>267</v>
      </c>
    </row>
    <row r="61" spans="3:4" x14ac:dyDescent="0.3">
      <c r="D61" t="s">
        <v>265</v>
      </c>
    </row>
    <row r="62" spans="3:4" x14ac:dyDescent="0.3">
      <c r="D62" t="s">
        <v>255</v>
      </c>
    </row>
    <row r="63" spans="3:4" x14ac:dyDescent="0.3">
      <c r="D63" t="s">
        <v>268</v>
      </c>
    </row>
    <row r="64" spans="3:4" x14ac:dyDescent="0.3">
      <c r="D64" t="s">
        <v>269</v>
      </c>
    </row>
    <row r="65" spans="3:4" x14ac:dyDescent="0.3">
      <c r="D65" t="s">
        <v>270</v>
      </c>
    </row>
    <row r="66" spans="3:4" x14ac:dyDescent="0.3">
      <c r="D66" t="s">
        <v>271</v>
      </c>
    </row>
    <row r="67" spans="3:4" x14ac:dyDescent="0.3">
      <c r="C67" t="s">
        <v>185</v>
      </c>
      <c r="D67" t="s">
        <v>272</v>
      </c>
    </row>
    <row r="68" spans="3:4" x14ac:dyDescent="0.3">
      <c r="D68" t="s">
        <v>273</v>
      </c>
    </row>
    <row r="69" spans="3:4" x14ac:dyDescent="0.3">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13" workbookViewId="0">
      <selection activeCell="C14" sqref="C14"/>
    </sheetView>
  </sheetViews>
  <sheetFormatPr defaultRowHeight="14.4" x14ac:dyDescent="0.3"/>
  <cols>
    <col min="2" max="2" width="3" bestFit="1" customWidth="1"/>
    <col min="3" max="3" width="130" customWidth="1"/>
  </cols>
  <sheetData>
    <row r="2" spans="2:3" ht="15" customHeight="1" x14ac:dyDescent="0.3">
      <c r="B2" s="50">
        <v>1</v>
      </c>
      <c r="C2" s="52" t="s">
        <v>281</v>
      </c>
    </row>
    <row r="3" spans="2:3" x14ac:dyDescent="0.3">
      <c r="B3" s="50">
        <v>2</v>
      </c>
      <c r="C3" s="51" t="s">
        <v>282</v>
      </c>
    </row>
    <row r="4" spans="2:3" x14ac:dyDescent="0.3">
      <c r="B4" s="50">
        <v>3</v>
      </c>
      <c r="C4" s="50" t="s">
        <v>283</v>
      </c>
    </row>
    <row r="5" spans="2:3" x14ac:dyDescent="0.3">
      <c r="B5" s="50">
        <v>4</v>
      </c>
      <c r="C5" s="51" t="s">
        <v>284</v>
      </c>
    </row>
    <row r="6" spans="2:3" x14ac:dyDescent="0.3">
      <c r="B6" s="50">
        <v>5</v>
      </c>
      <c r="C6" s="50" t="s">
        <v>285</v>
      </c>
    </row>
    <row r="7" spans="2:3" ht="28.8" x14ac:dyDescent="0.3">
      <c r="B7" s="50">
        <v>6</v>
      </c>
      <c r="C7" s="51" t="s">
        <v>286</v>
      </c>
    </row>
    <row r="8" spans="2:3" ht="72" x14ac:dyDescent="0.3">
      <c r="B8" s="50">
        <v>7</v>
      </c>
      <c r="C8" s="51" t="s">
        <v>287</v>
      </c>
    </row>
    <row r="9" spans="2:3" x14ac:dyDescent="0.3">
      <c r="B9" s="50">
        <v>8</v>
      </c>
      <c r="C9" s="50" t="s">
        <v>288</v>
      </c>
    </row>
    <row r="10" spans="2:3" x14ac:dyDescent="0.3">
      <c r="B10" s="50">
        <v>9</v>
      </c>
      <c r="C10" s="50" t="s">
        <v>289</v>
      </c>
    </row>
    <row r="11" spans="2:3" x14ac:dyDescent="0.3">
      <c r="B11" s="50">
        <v>10</v>
      </c>
      <c r="C11" s="50" t="s">
        <v>290</v>
      </c>
    </row>
    <row r="12" spans="2:3" x14ac:dyDescent="0.3">
      <c r="B12" s="50">
        <v>11</v>
      </c>
      <c r="C12" s="50" t="s">
        <v>291</v>
      </c>
    </row>
    <row r="13" spans="2:3" x14ac:dyDescent="0.3">
      <c r="B13" s="50">
        <v>12</v>
      </c>
      <c r="C13" s="50" t="s">
        <v>292</v>
      </c>
    </row>
    <row r="14" spans="2:3" x14ac:dyDescent="0.3">
      <c r="B14" s="50">
        <v>13</v>
      </c>
      <c r="C14" s="50" t="s">
        <v>293</v>
      </c>
    </row>
    <row r="15" spans="2:3" x14ac:dyDescent="0.3">
      <c r="B15" s="50">
        <v>14</v>
      </c>
      <c r="C15" s="50" t="s">
        <v>283</v>
      </c>
    </row>
    <row r="16" spans="2:3" x14ac:dyDescent="0.3">
      <c r="B16" s="50">
        <v>15</v>
      </c>
      <c r="C16" s="50" t="s">
        <v>295</v>
      </c>
    </row>
    <row r="17" spans="2:3" ht="31.5" customHeight="1" x14ac:dyDescent="0.3">
      <c r="B17" s="53">
        <v>16</v>
      </c>
      <c r="C17" s="55" t="s">
        <v>296</v>
      </c>
    </row>
    <row r="18" spans="2:3" x14ac:dyDescent="0.3">
      <c r="B18" s="54">
        <v>17</v>
      </c>
      <c r="C18" s="55" t="s">
        <v>297</v>
      </c>
    </row>
    <row r="19" spans="2:3" x14ac:dyDescent="0.3">
      <c r="B19" s="53">
        <v>18</v>
      </c>
      <c r="C19" s="50" t="s">
        <v>298</v>
      </c>
    </row>
    <row r="20" spans="2:3" x14ac:dyDescent="0.3">
      <c r="B20" s="54">
        <v>19</v>
      </c>
      <c r="C20" s="50" t="s">
        <v>299</v>
      </c>
    </row>
    <row r="21" spans="2:3" x14ac:dyDescent="0.3">
      <c r="B21" s="50">
        <v>20</v>
      </c>
      <c r="C21" s="50" t="s">
        <v>300</v>
      </c>
    </row>
    <row r="22" spans="2:3" x14ac:dyDescent="0.3">
      <c r="B22" s="54">
        <v>21</v>
      </c>
      <c r="C22" s="50" t="s">
        <v>298</v>
      </c>
    </row>
    <row r="23" spans="2:3" s="64" customFormat="1" ht="29.25" customHeight="1" x14ac:dyDescent="0.3">
      <c r="B23" s="63">
        <v>22</v>
      </c>
      <c r="C23" s="52" t="s">
        <v>327</v>
      </c>
    </row>
    <row r="24" spans="2:3" s="64" customFormat="1" ht="30.75" customHeight="1" x14ac:dyDescent="0.3">
      <c r="B24" s="65">
        <v>23</v>
      </c>
      <c r="C24" s="52" t="s">
        <v>328</v>
      </c>
    </row>
    <row r="25" spans="2:3" x14ac:dyDescent="0.3">
      <c r="B25" s="50">
        <v>24</v>
      </c>
      <c r="C25" s="50"/>
    </row>
    <row r="26" spans="2:3" x14ac:dyDescent="0.3">
      <c r="B26" s="54">
        <v>25</v>
      </c>
      <c r="C26"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109375" defaultRowHeight="14.4" x14ac:dyDescent="0.3"/>
  <cols>
    <col min="1" max="1" width="9.109375" style="47"/>
    <col min="2" max="2" width="12.33203125" style="47" customWidth="1"/>
    <col min="3" max="16384" width="9.109375" style="47"/>
  </cols>
  <sheetData>
    <row r="2" spans="1:12" x14ac:dyDescent="0.3">
      <c r="B2" s="57" t="s">
        <v>301</v>
      </c>
      <c r="C2" s="234"/>
      <c r="D2" s="234"/>
    </row>
    <row r="3" spans="1:12" x14ac:dyDescent="0.3">
      <c r="D3" s="58"/>
      <c r="E3" s="58"/>
      <c r="F3" s="58"/>
      <c r="G3" s="58"/>
      <c r="H3" s="58"/>
      <c r="I3" s="58"/>
    </row>
    <row r="4" spans="1:12" x14ac:dyDescent="0.3">
      <c r="A4" s="57" t="s">
        <v>65</v>
      </c>
      <c r="B4" s="59" t="s">
        <v>302</v>
      </c>
      <c r="C4" s="235" t="s">
        <v>303</v>
      </c>
      <c r="D4" s="235"/>
      <c r="E4" s="235"/>
      <c r="F4" s="59"/>
      <c r="G4" s="236" t="s">
        <v>304</v>
      </c>
      <c r="H4" s="236"/>
      <c r="I4" s="236"/>
      <c r="J4" s="237" t="s">
        <v>305</v>
      </c>
      <c r="K4" s="237"/>
      <c r="L4" s="237"/>
    </row>
    <row r="5" spans="1:12" x14ac:dyDescent="0.3">
      <c r="A5" s="57"/>
      <c r="B5" s="59"/>
      <c r="C5" s="59" t="s">
        <v>306</v>
      </c>
      <c r="D5" s="59" t="s">
        <v>307</v>
      </c>
      <c r="E5" s="59" t="s">
        <v>308</v>
      </c>
      <c r="F5" s="59"/>
      <c r="G5" s="59" t="s">
        <v>306</v>
      </c>
      <c r="H5" s="59" t="s">
        <v>307</v>
      </c>
      <c r="I5" s="59" t="s">
        <v>308</v>
      </c>
      <c r="J5" s="59" t="s">
        <v>306</v>
      </c>
      <c r="K5" s="59" t="s">
        <v>307</v>
      </c>
      <c r="L5" s="59" t="s">
        <v>308</v>
      </c>
    </row>
    <row r="6" spans="1:12" x14ac:dyDescent="0.3">
      <c r="B6" s="48" t="s">
        <v>309</v>
      </c>
      <c r="C6" s="48"/>
      <c r="D6" s="48"/>
      <c r="E6" s="48">
        <f>C6*D6</f>
        <v>0</v>
      </c>
      <c r="F6" s="48" t="s">
        <v>326</v>
      </c>
      <c r="G6" s="48"/>
      <c r="H6" s="48"/>
      <c r="I6" s="48">
        <f>G6*H6</f>
        <v>0</v>
      </c>
      <c r="J6" s="48"/>
      <c r="K6" s="48"/>
      <c r="L6" s="48">
        <f>J6*K6</f>
        <v>0</v>
      </c>
    </row>
    <row r="7" spans="1:12" x14ac:dyDescent="0.3">
      <c r="B7" s="48"/>
      <c r="C7" s="48"/>
      <c r="D7" s="48"/>
      <c r="E7" s="48">
        <f t="shared" ref="E7:E41" si="0">C7*D7</f>
        <v>0</v>
      </c>
      <c r="F7" s="48" t="s">
        <v>326</v>
      </c>
      <c r="G7" s="48"/>
      <c r="H7" s="48"/>
      <c r="I7" s="48">
        <f t="shared" ref="I7:I35" si="1">G7*H7</f>
        <v>0</v>
      </c>
      <c r="J7" s="48"/>
      <c r="K7" s="48"/>
      <c r="L7" s="48">
        <f t="shared" ref="L7:L35" si="2">J7*K7</f>
        <v>0</v>
      </c>
    </row>
    <row r="8" spans="1:12" x14ac:dyDescent="0.3">
      <c r="B8" s="48"/>
      <c r="C8" s="48"/>
      <c r="D8" s="48"/>
      <c r="E8" s="48">
        <f t="shared" si="0"/>
        <v>0</v>
      </c>
      <c r="F8" s="48"/>
      <c r="G8" s="48"/>
      <c r="H8" s="48"/>
      <c r="I8" s="48">
        <f t="shared" si="1"/>
        <v>0</v>
      </c>
      <c r="J8" s="48"/>
      <c r="K8" s="48"/>
      <c r="L8" s="48">
        <f t="shared" si="2"/>
        <v>0</v>
      </c>
    </row>
    <row r="9" spans="1:12" x14ac:dyDescent="0.3">
      <c r="B9" s="48"/>
      <c r="C9" s="48"/>
      <c r="D9" s="48"/>
      <c r="E9" s="48">
        <f t="shared" si="0"/>
        <v>0</v>
      </c>
      <c r="F9" s="48" t="s">
        <v>310</v>
      </c>
      <c r="G9" s="48"/>
      <c r="H9" s="48"/>
      <c r="I9" s="48">
        <f t="shared" si="1"/>
        <v>0</v>
      </c>
      <c r="J9" s="48"/>
      <c r="K9" s="48"/>
      <c r="L9" s="48">
        <f t="shared" si="2"/>
        <v>0</v>
      </c>
    </row>
    <row r="10" spans="1:12" x14ac:dyDescent="0.3">
      <c r="B10" s="48" t="s">
        <v>311</v>
      </c>
      <c r="C10" s="48"/>
      <c r="D10" s="48"/>
      <c r="E10" s="48">
        <f t="shared" si="0"/>
        <v>0</v>
      </c>
      <c r="F10" s="48" t="s">
        <v>310</v>
      </c>
      <c r="G10" s="48"/>
      <c r="H10" s="48"/>
      <c r="I10" s="48">
        <f t="shared" si="1"/>
        <v>0</v>
      </c>
      <c r="J10" s="48"/>
      <c r="K10" s="48"/>
      <c r="L10" s="48">
        <f t="shared" si="2"/>
        <v>0</v>
      </c>
    </row>
    <row r="11" spans="1:12" x14ac:dyDescent="0.3">
      <c r="B11" s="48"/>
      <c r="C11" s="48"/>
      <c r="D11" s="48"/>
      <c r="E11" s="48">
        <f t="shared" si="0"/>
        <v>0</v>
      </c>
      <c r="F11" s="48" t="s">
        <v>312</v>
      </c>
      <c r="G11" s="48"/>
      <c r="H11" s="48"/>
      <c r="I11" s="48">
        <f t="shared" si="1"/>
        <v>0</v>
      </c>
      <c r="J11" s="48"/>
      <c r="K11" s="48"/>
      <c r="L11" s="48">
        <f t="shared" si="2"/>
        <v>0</v>
      </c>
    </row>
    <row r="12" spans="1:12" x14ac:dyDescent="0.3">
      <c r="B12" s="48"/>
      <c r="C12" s="48"/>
      <c r="D12" s="48"/>
      <c r="E12" s="48">
        <f t="shared" si="0"/>
        <v>0</v>
      </c>
      <c r="F12" s="48"/>
      <c r="G12" s="48"/>
      <c r="H12" s="48"/>
      <c r="I12" s="48">
        <f t="shared" si="1"/>
        <v>0</v>
      </c>
      <c r="J12" s="48"/>
      <c r="K12" s="48"/>
      <c r="L12" s="48">
        <f t="shared" si="2"/>
        <v>0</v>
      </c>
    </row>
    <row r="13" spans="1:12" x14ac:dyDescent="0.3">
      <c r="B13" s="48"/>
      <c r="C13" s="48"/>
      <c r="D13" s="48"/>
      <c r="E13" s="48">
        <f t="shared" si="0"/>
        <v>0</v>
      </c>
      <c r="F13" s="48"/>
      <c r="G13" s="48"/>
      <c r="H13" s="48"/>
      <c r="I13" s="48">
        <f t="shared" si="1"/>
        <v>0</v>
      </c>
      <c r="J13" s="48"/>
      <c r="K13" s="48"/>
      <c r="L13" s="48">
        <f t="shared" si="2"/>
        <v>0</v>
      </c>
    </row>
    <row r="14" spans="1:12" x14ac:dyDescent="0.3">
      <c r="B14" s="48" t="s">
        <v>313</v>
      </c>
      <c r="C14" s="48"/>
      <c r="D14" s="48"/>
      <c r="E14" s="48">
        <f t="shared" si="0"/>
        <v>0</v>
      </c>
      <c r="F14" s="48" t="s">
        <v>310</v>
      </c>
      <c r="G14" s="48"/>
      <c r="H14" s="48"/>
      <c r="I14" s="48">
        <f t="shared" si="1"/>
        <v>0</v>
      </c>
      <c r="J14" s="48"/>
      <c r="K14" s="48"/>
      <c r="L14" s="48">
        <f t="shared" si="2"/>
        <v>0</v>
      </c>
    </row>
    <row r="15" spans="1:12" x14ac:dyDescent="0.3">
      <c r="B15" s="48"/>
      <c r="C15" s="48"/>
      <c r="D15" s="48"/>
      <c r="E15" s="48">
        <f t="shared" si="0"/>
        <v>0</v>
      </c>
      <c r="F15" s="48" t="s">
        <v>312</v>
      </c>
      <c r="G15" s="48"/>
      <c r="H15" s="48"/>
      <c r="I15" s="48">
        <f t="shared" si="1"/>
        <v>0</v>
      </c>
      <c r="J15" s="48"/>
      <c r="K15" s="48"/>
      <c r="L15" s="48">
        <f t="shared" si="2"/>
        <v>0</v>
      </c>
    </row>
    <row r="16" spans="1:12" x14ac:dyDescent="0.3">
      <c r="B16" s="48"/>
      <c r="C16" s="48"/>
      <c r="D16" s="48"/>
      <c r="E16" s="48">
        <f t="shared" si="0"/>
        <v>0</v>
      </c>
      <c r="F16" s="48"/>
      <c r="G16" s="48"/>
      <c r="H16" s="48"/>
      <c r="I16" s="48">
        <f t="shared" si="1"/>
        <v>0</v>
      </c>
      <c r="J16" s="48"/>
      <c r="K16" s="48"/>
      <c r="L16" s="48">
        <f t="shared" si="2"/>
        <v>0</v>
      </c>
    </row>
    <row r="17" spans="2:12" x14ac:dyDescent="0.3">
      <c r="B17" s="48"/>
      <c r="C17" s="48"/>
      <c r="D17" s="48"/>
      <c r="E17" s="48">
        <f t="shared" si="0"/>
        <v>0</v>
      </c>
      <c r="F17" s="48"/>
      <c r="G17" s="48"/>
      <c r="H17" s="48"/>
      <c r="I17" s="48">
        <f t="shared" si="1"/>
        <v>0</v>
      </c>
      <c r="J17" s="48"/>
      <c r="K17" s="48"/>
      <c r="L17" s="48">
        <f t="shared" si="2"/>
        <v>0</v>
      </c>
    </row>
    <row r="18" spans="2:12" x14ac:dyDescent="0.3">
      <c r="B18" s="48" t="s">
        <v>314</v>
      </c>
      <c r="C18" s="48"/>
      <c r="D18" s="48"/>
      <c r="E18" s="48">
        <f t="shared" si="0"/>
        <v>0</v>
      </c>
      <c r="F18" s="48" t="s">
        <v>310</v>
      </c>
      <c r="G18" s="48"/>
      <c r="H18" s="48"/>
      <c r="I18" s="48">
        <f t="shared" si="1"/>
        <v>0</v>
      </c>
      <c r="J18" s="48"/>
      <c r="K18" s="48"/>
      <c r="L18" s="48">
        <f t="shared" si="2"/>
        <v>0</v>
      </c>
    </row>
    <row r="19" spans="2:12" x14ac:dyDescent="0.3">
      <c r="B19" s="48"/>
      <c r="C19" s="48"/>
      <c r="D19" s="48"/>
      <c r="E19" s="48">
        <f t="shared" si="0"/>
        <v>0</v>
      </c>
      <c r="F19" s="48" t="s">
        <v>312</v>
      </c>
      <c r="G19" s="48"/>
      <c r="H19" s="48"/>
      <c r="I19" s="48">
        <f t="shared" si="1"/>
        <v>0</v>
      </c>
      <c r="J19" s="48"/>
      <c r="K19" s="48"/>
      <c r="L19" s="48">
        <f t="shared" si="2"/>
        <v>0</v>
      </c>
    </row>
    <row r="20" spans="2:12" x14ac:dyDescent="0.3">
      <c r="B20" s="48"/>
      <c r="C20" s="48"/>
      <c r="D20" s="48"/>
      <c r="E20" s="48">
        <f t="shared" si="0"/>
        <v>0</v>
      </c>
      <c r="F20" s="48"/>
      <c r="G20" s="48"/>
      <c r="H20" s="48"/>
      <c r="I20" s="48">
        <f t="shared" si="1"/>
        <v>0</v>
      </c>
      <c r="J20" s="48"/>
      <c r="K20" s="48"/>
      <c r="L20" s="48">
        <f t="shared" si="2"/>
        <v>0</v>
      </c>
    </row>
    <row r="21" spans="2:12" x14ac:dyDescent="0.3">
      <c r="B21" s="48" t="s">
        <v>315</v>
      </c>
      <c r="C21" s="48"/>
      <c r="D21" s="48"/>
      <c r="E21" s="48">
        <f t="shared" si="0"/>
        <v>0</v>
      </c>
      <c r="F21" s="48" t="s">
        <v>310</v>
      </c>
      <c r="G21" s="48"/>
      <c r="H21" s="48"/>
      <c r="I21" s="48">
        <f t="shared" si="1"/>
        <v>0</v>
      </c>
      <c r="J21" s="48"/>
      <c r="K21" s="48"/>
      <c r="L21" s="48">
        <f t="shared" si="2"/>
        <v>0</v>
      </c>
    </row>
    <row r="22" spans="2:12" x14ac:dyDescent="0.3">
      <c r="B22" s="48"/>
      <c r="C22" s="48"/>
      <c r="D22" s="48"/>
      <c r="E22" s="48">
        <f t="shared" si="0"/>
        <v>0</v>
      </c>
      <c r="F22" s="48" t="s">
        <v>312</v>
      </c>
      <c r="G22" s="48"/>
      <c r="H22" s="48"/>
      <c r="I22" s="48">
        <f t="shared" si="1"/>
        <v>0</v>
      </c>
      <c r="J22" s="48"/>
      <c r="K22" s="48"/>
      <c r="L22" s="48">
        <f t="shared" si="2"/>
        <v>0</v>
      </c>
    </row>
    <row r="23" spans="2:12" x14ac:dyDescent="0.3">
      <c r="B23" s="48"/>
      <c r="C23" s="48"/>
      <c r="D23" s="48"/>
      <c r="E23" s="48">
        <f t="shared" si="0"/>
        <v>0</v>
      </c>
      <c r="F23" s="48"/>
      <c r="G23" s="48"/>
      <c r="H23" s="48"/>
      <c r="I23" s="48">
        <f t="shared" si="1"/>
        <v>0</v>
      </c>
      <c r="J23" s="48"/>
      <c r="K23" s="48"/>
      <c r="L23" s="48">
        <f t="shared" si="2"/>
        <v>0</v>
      </c>
    </row>
    <row r="24" spans="2:12" x14ac:dyDescent="0.3">
      <c r="B24" s="48" t="s">
        <v>316</v>
      </c>
      <c r="C24" s="48"/>
      <c r="D24" s="48"/>
      <c r="E24" s="48">
        <f t="shared" si="0"/>
        <v>0</v>
      </c>
      <c r="F24" s="48" t="s">
        <v>317</v>
      </c>
      <c r="G24" s="48"/>
      <c r="H24" s="48"/>
      <c r="I24" s="48">
        <f t="shared" si="1"/>
        <v>0</v>
      </c>
      <c r="J24" s="48"/>
      <c r="K24" s="48"/>
      <c r="L24" s="48">
        <f t="shared" si="2"/>
        <v>0</v>
      </c>
    </row>
    <row r="25" spans="2:12" x14ac:dyDescent="0.3">
      <c r="B25" s="48"/>
      <c r="C25" s="48"/>
      <c r="D25" s="48"/>
      <c r="E25" s="48">
        <f t="shared" ref="E25:E27" si="3">C25*D25</f>
        <v>0</v>
      </c>
      <c r="F25" s="48" t="s">
        <v>317</v>
      </c>
      <c r="G25" s="48"/>
      <c r="H25" s="48"/>
      <c r="I25" s="48">
        <f t="shared" ref="I25:I27" si="4">G25*H25</f>
        <v>0</v>
      </c>
      <c r="J25" s="48"/>
      <c r="K25" s="48"/>
      <c r="L25" s="48">
        <f t="shared" ref="L25:L27" si="5">J25*K25</f>
        <v>0</v>
      </c>
    </row>
    <row r="26" spans="2:12" x14ac:dyDescent="0.3">
      <c r="B26" s="48"/>
      <c r="C26" s="48"/>
      <c r="D26" s="48"/>
      <c r="E26" s="48">
        <f t="shared" si="3"/>
        <v>0</v>
      </c>
      <c r="F26" s="48" t="s">
        <v>317</v>
      </c>
      <c r="G26" s="48"/>
      <c r="H26" s="48"/>
      <c r="I26" s="48">
        <f t="shared" si="4"/>
        <v>0</v>
      </c>
      <c r="J26" s="48"/>
      <c r="K26" s="48"/>
      <c r="L26" s="48">
        <f t="shared" si="5"/>
        <v>0</v>
      </c>
    </row>
    <row r="27" spans="2:12" x14ac:dyDescent="0.3">
      <c r="B27" s="48"/>
      <c r="C27" s="48"/>
      <c r="D27" s="48"/>
      <c r="E27" s="48">
        <f t="shared" si="3"/>
        <v>0</v>
      </c>
      <c r="F27" s="48" t="s">
        <v>317</v>
      </c>
      <c r="G27" s="48"/>
      <c r="H27" s="48"/>
      <c r="I27" s="48">
        <f t="shared" si="4"/>
        <v>0</v>
      </c>
      <c r="J27" s="48"/>
      <c r="K27" s="48"/>
      <c r="L27" s="48">
        <f t="shared" si="5"/>
        <v>0</v>
      </c>
    </row>
    <row r="28" spans="2:12" x14ac:dyDescent="0.3">
      <c r="B28" s="48" t="s">
        <v>318</v>
      </c>
      <c r="C28" s="48"/>
      <c r="D28" s="48"/>
      <c r="E28" s="48">
        <f t="shared" si="0"/>
        <v>0</v>
      </c>
      <c r="F28" s="48" t="s">
        <v>317</v>
      </c>
      <c r="G28" s="48"/>
      <c r="H28" s="48"/>
      <c r="I28" s="48">
        <f t="shared" si="1"/>
        <v>0</v>
      </c>
      <c r="J28" s="48"/>
      <c r="K28" s="48"/>
      <c r="L28" s="48">
        <f t="shared" si="2"/>
        <v>0</v>
      </c>
    </row>
    <row r="29" spans="2:12" x14ac:dyDescent="0.3">
      <c r="B29" s="48" t="s">
        <v>319</v>
      </c>
      <c r="C29" s="48"/>
      <c r="D29" s="48"/>
      <c r="E29" s="48">
        <f t="shared" si="0"/>
        <v>0</v>
      </c>
      <c r="F29" s="48" t="s">
        <v>317</v>
      </c>
      <c r="G29" s="48"/>
      <c r="H29" s="48"/>
      <c r="I29" s="48">
        <f t="shared" si="1"/>
        <v>0</v>
      </c>
      <c r="J29" s="48"/>
      <c r="K29" s="48"/>
      <c r="L29" s="48">
        <f t="shared" si="2"/>
        <v>0</v>
      </c>
    </row>
    <row r="30" spans="2:12" x14ac:dyDescent="0.3">
      <c r="B30" s="48" t="s">
        <v>323</v>
      </c>
      <c r="C30" s="48"/>
      <c r="D30" s="48"/>
      <c r="E30" s="48">
        <f t="shared" si="0"/>
        <v>0</v>
      </c>
      <c r="F30" s="48"/>
      <c r="G30" s="48"/>
      <c r="H30" s="48"/>
      <c r="I30" s="48">
        <f t="shared" si="1"/>
        <v>0</v>
      </c>
      <c r="J30" s="48"/>
      <c r="K30" s="48"/>
      <c r="L30" s="48">
        <f t="shared" si="2"/>
        <v>0</v>
      </c>
    </row>
    <row r="31" spans="2:12" x14ac:dyDescent="0.3">
      <c r="B31" s="48"/>
      <c r="C31" s="48"/>
      <c r="D31" s="48"/>
      <c r="E31" s="48">
        <f t="shared" ref="E31:E32" si="6">C31*D31</f>
        <v>0</v>
      </c>
      <c r="F31" s="48"/>
      <c r="G31" s="48"/>
      <c r="H31" s="48"/>
      <c r="I31" s="48">
        <f t="shared" ref="I31:I32" si="7">G31*H31</f>
        <v>0</v>
      </c>
      <c r="J31" s="48"/>
      <c r="K31" s="48"/>
      <c r="L31" s="48">
        <f t="shared" ref="L31:L32" si="8">J31*K31</f>
        <v>0</v>
      </c>
    </row>
    <row r="32" spans="2:12" x14ac:dyDescent="0.3">
      <c r="B32" s="48"/>
      <c r="C32" s="48"/>
      <c r="D32" s="48"/>
      <c r="E32" s="48">
        <f t="shared" si="6"/>
        <v>0</v>
      </c>
      <c r="F32" s="48"/>
      <c r="G32" s="48"/>
      <c r="H32" s="48"/>
      <c r="I32" s="48">
        <f t="shared" si="7"/>
        <v>0</v>
      </c>
      <c r="J32" s="48"/>
      <c r="K32" s="48"/>
      <c r="L32" s="48">
        <f t="shared" si="8"/>
        <v>0</v>
      </c>
    </row>
    <row r="33" spans="2:12" x14ac:dyDescent="0.3">
      <c r="B33" s="48" t="s">
        <v>320</v>
      </c>
      <c r="C33" s="48"/>
      <c r="D33" s="48"/>
      <c r="E33" s="48">
        <f t="shared" si="0"/>
        <v>0</v>
      </c>
      <c r="F33" s="48"/>
      <c r="G33" s="48"/>
      <c r="H33" s="48"/>
      <c r="I33" s="48">
        <f t="shared" si="1"/>
        <v>0</v>
      </c>
      <c r="J33" s="48"/>
      <c r="K33" s="48"/>
      <c r="L33" s="48">
        <f t="shared" si="2"/>
        <v>0</v>
      </c>
    </row>
    <row r="34" spans="2:12" x14ac:dyDescent="0.3">
      <c r="B34" s="48" t="s">
        <v>324</v>
      </c>
      <c r="C34" s="48"/>
      <c r="D34" s="48"/>
      <c r="E34" s="48">
        <f t="shared" si="0"/>
        <v>0</v>
      </c>
      <c r="F34" s="48"/>
      <c r="G34" s="48"/>
      <c r="H34" s="48"/>
      <c r="I34" s="48">
        <f t="shared" si="1"/>
        <v>0</v>
      </c>
      <c r="J34" s="48"/>
      <c r="K34" s="48"/>
      <c r="L34" s="48">
        <f t="shared" si="2"/>
        <v>0</v>
      </c>
    </row>
    <row r="35" spans="2:12" x14ac:dyDescent="0.3">
      <c r="B35" s="48" t="s">
        <v>321</v>
      </c>
      <c r="C35" s="48"/>
      <c r="D35" s="48"/>
      <c r="E35" s="48">
        <f t="shared" si="0"/>
        <v>0</v>
      </c>
      <c r="F35" s="48"/>
      <c r="G35" s="48"/>
      <c r="H35" s="48"/>
      <c r="I35" s="48">
        <f t="shared" si="1"/>
        <v>0</v>
      </c>
      <c r="J35" s="48"/>
      <c r="K35" s="48"/>
      <c r="L35" s="48">
        <f t="shared" si="2"/>
        <v>0</v>
      </c>
    </row>
    <row r="36" spans="2:12" x14ac:dyDescent="0.3">
      <c r="B36" s="48" t="s">
        <v>322</v>
      </c>
      <c r="C36" s="48"/>
      <c r="D36" s="48"/>
      <c r="E36" s="48">
        <f t="shared" si="0"/>
        <v>0</v>
      </c>
      <c r="F36" s="48"/>
      <c r="G36" s="48"/>
      <c r="H36" s="48"/>
      <c r="I36" s="48">
        <f>G36*H36</f>
        <v>0</v>
      </c>
      <c r="J36" s="48"/>
      <c r="K36" s="48"/>
      <c r="L36" s="48">
        <f>J36*K36</f>
        <v>0</v>
      </c>
    </row>
    <row r="37" spans="2:12" x14ac:dyDescent="0.3">
      <c r="B37" s="48"/>
      <c r="C37" s="48"/>
      <c r="D37" s="48"/>
      <c r="E37" s="48">
        <f t="shared" ref="E37:E38" si="9">C37*D37</f>
        <v>0</v>
      </c>
      <c r="F37" s="48"/>
      <c r="G37" s="48"/>
      <c r="H37" s="48"/>
      <c r="I37" s="48">
        <f t="shared" ref="I37:I38" si="10">G37*H37</f>
        <v>0</v>
      </c>
      <c r="J37" s="48"/>
      <c r="K37" s="48"/>
      <c r="L37" s="48">
        <f t="shared" ref="L37:L38" si="11">J37*K37</f>
        <v>0</v>
      </c>
    </row>
    <row r="38" spans="2:12" x14ac:dyDescent="0.3">
      <c r="B38" s="48" t="s">
        <v>325</v>
      </c>
      <c r="C38" s="48"/>
      <c r="D38" s="48"/>
      <c r="E38" s="48">
        <f t="shared" si="9"/>
        <v>0</v>
      </c>
      <c r="F38" s="48"/>
      <c r="G38" s="48"/>
      <c r="H38" s="48"/>
      <c r="I38" s="48">
        <f t="shared" si="10"/>
        <v>0</v>
      </c>
      <c r="J38" s="48"/>
      <c r="K38" s="48"/>
      <c r="L38" s="48">
        <f t="shared" si="11"/>
        <v>0</v>
      </c>
    </row>
    <row r="39" spans="2:12" x14ac:dyDescent="0.3">
      <c r="B39" s="48"/>
      <c r="C39" s="48"/>
      <c r="D39" s="48"/>
      <c r="E39" s="48">
        <f t="shared" si="0"/>
        <v>0</v>
      </c>
      <c r="F39" s="48"/>
      <c r="G39" s="48"/>
      <c r="H39" s="48"/>
      <c r="I39" s="48">
        <f>G39*H39</f>
        <v>0</v>
      </c>
      <c r="J39" s="48"/>
      <c r="K39" s="48"/>
      <c r="L39" s="48">
        <f>J39*K39</f>
        <v>0</v>
      </c>
    </row>
    <row r="40" spans="2:12" x14ac:dyDescent="0.3">
      <c r="B40" s="48"/>
      <c r="C40" s="48"/>
      <c r="D40" s="48"/>
      <c r="E40" s="48">
        <f t="shared" si="0"/>
        <v>0</v>
      </c>
      <c r="F40" s="48"/>
      <c r="G40" s="48"/>
      <c r="H40" s="48"/>
      <c r="I40" s="48">
        <f>G40*H40</f>
        <v>0</v>
      </c>
      <c r="J40" s="48"/>
      <c r="K40" s="48"/>
      <c r="L40" s="48">
        <f>J40*K40</f>
        <v>0</v>
      </c>
    </row>
    <row r="41" spans="2:12" x14ac:dyDescent="0.3">
      <c r="B41" s="48"/>
      <c r="C41" s="48"/>
      <c r="D41" s="48"/>
      <c r="E41" s="48">
        <f t="shared" si="0"/>
        <v>0</v>
      </c>
      <c r="F41" s="48"/>
      <c r="G41" s="48"/>
      <c r="H41" s="48"/>
      <c r="I41" s="48">
        <f>G41*H41</f>
        <v>0</v>
      </c>
      <c r="J41" s="48"/>
      <c r="K41" s="48"/>
      <c r="L41" s="48">
        <f>J41*K41</f>
        <v>0</v>
      </c>
    </row>
    <row r="42" spans="2:12" x14ac:dyDescent="0.3">
      <c r="B42" s="48" t="s">
        <v>146</v>
      </c>
      <c r="C42" s="48"/>
      <c r="D42" s="48">
        <f>E42*10.764</f>
        <v>0</v>
      </c>
      <c r="E42" s="62">
        <f>SUM(E6:E41)</f>
        <v>0</v>
      </c>
      <c r="F42" s="48"/>
      <c r="G42" s="48"/>
      <c r="H42" s="48">
        <f>I42*10.764</f>
        <v>0</v>
      </c>
      <c r="I42" s="61">
        <f>SUM(I6:I41)</f>
        <v>0</v>
      </c>
      <c r="J42" s="48"/>
      <c r="K42" s="48">
        <f>L42*10.764</f>
        <v>0</v>
      </c>
      <c r="L42" s="60">
        <f>SUM(L6:L41)</f>
        <v>0</v>
      </c>
    </row>
    <row r="44" spans="2:12" x14ac:dyDescent="0.3">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2025-09-19T07:41:53Z</cp:lastPrinted>
  <dcterms:created xsi:type="dcterms:W3CDTF">2019-07-16T09:29:46Z</dcterms:created>
  <dcterms:modified xsi:type="dcterms:W3CDTF">2025-09-19T07:42:03Z</dcterms:modified>
</cp:coreProperties>
</file>