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351D3237-E319-4F7A-B1A6-D9A8ED8E00F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6" i="1" l="1"/>
  <c r="K175" i="1"/>
  <c r="D187" i="1"/>
  <c r="D186" i="1"/>
  <c r="D185" i="1"/>
  <c r="D184" i="1"/>
  <c r="D183" i="1"/>
  <c r="D155" i="1"/>
  <c r="D154" i="1"/>
  <c r="D153" i="1"/>
  <c r="D152" i="1"/>
  <c r="D157" i="1"/>
  <c r="D156" i="1"/>
  <c r="D168" i="1"/>
  <c r="D167" i="1"/>
  <c r="D171" i="1"/>
  <c r="D172" i="1"/>
  <c r="E155" i="1"/>
  <c r="E154" i="1"/>
  <c r="E157" i="1"/>
  <c r="E156" i="1"/>
  <c r="E153" i="1"/>
  <c r="E152" i="1"/>
  <c r="K153" i="1"/>
  <c r="D140" i="1"/>
  <c r="J139" i="1"/>
  <c r="C65" i="1"/>
  <c r="E78" i="1" l="1"/>
  <c r="E77" i="1"/>
  <c r="J76" i="1"/>
  <c r="E76" i="1"/>
  <c r="J75" i="1"/>
  <c r="E75" i="1"/>
  <c r="J74" i="1"/>
  <c r="E74" i="1"/>
  <c r="J73" i="1"/>
  <c r="E73" i="1"/>
  <c r="E72" i="1"/>
  <c r="E71" i="1"/>
  <c r="H66" i="1"/>
  <c r="F78" i="1" l="1"/>
  <c r="F74" i="1"/>
  <c r="J71" i="1"/>
  <c r="J72" i="1" s="1"/>
  <c r="J77" i="1" s="1"/>
  <c r="J78" i="1" s="1"/>
  <c r="F76" i="1"/>
  <c r="F72" i="1"/>
  <c r="J69" i="1"/>
  <c r="J65" i="1"/>
  <c r="J67" i="1" s="1"/>
  <c r="F77" i="1"/>
  <c r="F73" i="1"/>
  <c r="J70" i="1"/>
  <c r="J68" i="1"/>
  <c r="F75" i="1"/>
  <c r="F71" i="1"/>
  <c r="C70" i="1" l="1"/>
  <c r="D70" i="1"/>
  <c r="C69" i="1"/>
  <c r="D69" i="1"/>
  <c r="E70" i="1" l="1"/>
  <c r="E69" i="1"/>
  <c r="G69" i="1" l="1"/>
  <c r="F70" i="1"/>
  <c r="H69" i="1"/>
  <c r="D63" i="1" s="1"/>
  <c r="F69" i="1"/>
  <c r="D192" i="1"/>
  <c r="D191" i="1"/>
  <c r="D190" i="1"/>
  <c r="D189" i="1"/>
  <c r="D181" i="1"/>
  <c r="D180" i="1"/>
  <c r="D179" i="1"/>
  <c r="D178" i="1"/>
  <c r="D177" i="1"/>
  <c r="D176" i="1"/>
  <c r="D175" i="1"/>
  <c r="D174" i="1"/>
  <c r="D170" i="1"/>
  <c r="D169" i="1"/>
  <c r="D166" i="1"/>
  <c r="D165" i="1"/>
  <c r="D164" i="1"/>
  <c r="D163" i="1"/>
  <c r="D162" i="1"/>
  <c r="D161" i="1"/>
  <c r="D160" i="1"/>
  <c r="D159" i="1"/>
  <c r="D151" i="1"/>
  <c r="D150" i="1"/>
  <c r="D149" i="1"/>
  <c r="D148" i="1"/>
  <c r="D147" i="1"/>
  <c r="D146" i="1"/>
  <c r="D145" i="1"/>
  <c r="D144" i="1"/>
  <c r="D142" i="1"/>
  <c r="D141" i="1"/>
  <c r="D139" i="1"/>
  <c r="D129" i="1"/>
  <c r="D128" i="1"/>
  <c r="D127" i="1"/>
  <c r="D126" i="1"/>
  <c r="D125" i="1"/>
  <c r="D124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J104" i="1"/>
  <c r="I66" i="1" l="1"/>
  <c r="J66" i="1"/>
  <c r="C94" i="1"/>
  <c r="E95" i="1"/>
  <c r="E99" i="1"/>
  <c r="E94" i="1"/>
  <c r="C99" i="1"/>
  <c r="C95" i="1"/>
  <c r="F185" i="1"/>
  <c r="F169" i="1"/>
  <c r="K169" i="1" s="1"/>
  <c r="F187" i="1"/>
  <c r="F186" i="1"/>
  <c r="F184" i="1"/>
  <c r="F183" i="1"/>
  <c r="F181" i="1"/>
  <c r="I181" i="1" s="1"/>
  <c r="F180" i="1"/>
  <c r="F179" i="1"/>
  <c r="F178" i="1"/>
  <c r="F177" i="1"/>
  <c r="F176" i="1"/>
  <c r="F175" i="1"/>
  <c r="I175" i="1" s="1"/>
  <c r="A175" i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G174" i="1"/>
  <c r="F174" i="1"/>
  <c r="F168" i="1"/>
  <c r="K168" i="1" s="1"/>
  <c r="F165" i="1"/>
  <c r="F164" i="1"/>
  <c r="K164" i="1" s="1"/>
  <c r="F163" i="1"/>
  <c r="F161" i="1"/>
  <c r="F160" i="1"/>
  <c r="F159" i="1"/>
  <c r="F172" i="1"/>
  <c r="K172" i="1" s="1"/>
  <c r="F171" i="1"/>
  <c r="K171" i="1" s="1"/>
  <c r="F170" i="1"/>
  <c r="K170" i="1" s="1"/>
  <c r="F167" i="1"/>
  <c r="K167" i="1" s="1"/>
  <c r="F166" i="1"/>
  <c r="K166" i="1" s="1"/>
  <c r="F162" i="1"/>
  <c r="K162" i="1" s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G159" i="1"/>
  <c r="J152" i="1"/>
  <c r="J151" i="1"/>
  <c r="J150" i="1"/>
  <c r="J149" i="1"/>
  <c r="J148" i="1"/>
  <c r="J147" i="1"/>
  <c r="F153" i="1"/>
  <c r="F154" i="1"/>
  <c r="F151" i="1"/>
  <c r="F150" i="1"/>
  <c r="F149" i="1"/>
  <c r="F148" i="1"/>
  <c r="F146" i="1"/>
  <c r="F145" i="1"/>
  <c r="F144" i="1"/>
  <c r="F147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G144" i="1"/>
  <c r="F141" i="1"/>
  <c r="F140" i="1"/>
  <c r="F142" i="1"/>
  <c r="F139" i="1"/>
  <c r="J140" i="1"/>
  <c r="A140" i="1"/>
  <c r="A141" i="1" s="1"/>
  <c r="A142" i="1" s="1"/>
  <c r="G139" i="1"/>
  <c r="F126" i="1"/>
  <c r="F127" i="1"/>
  <c r="F129" i="1"/>
  <c r="F124" i="1"/>
  <c r="F128" i="1"/>
  <c r="F125" i="1"/>
  <c r="A125" i="1"/>
  <c r="A126" i="1" s="1"/>
  <c r="A127" i="1" s="1"/>
  <c r="A128" i="1" s="1"/>
  <c r="A129" i="1" s="1"/>
  <c r="G124" i="1"/>
  <c r="C96" i="1" l="1"/>
  <c r="J159" i="1"/>
  <c r="K159" i="1"/>
  <c r="K161" i="1"/>
  <c r="J161" i="1"/>
  <c r="J163" i="1"/>
  <c r="K163" i="1"/>
  <c r="J160" i="1"/>
  <c r="K160" i="1"/>
  <c r="K165" i="1"/>
  <c r="J165" i="1"/>
  <c r="E96" i="1"/>
  <c r="K98" i="1" s="1"/>
  <c r="I67" i="1"/>
  <c r="I65" i="1" s="1"/>
  <c r="C67" i="1" s="1"/>
  <c r="L149" i="1"/>
  <c r="K149" i="1"/>
  <c r="G95" i="1"/>
  <c r="F152" i="1"/>
  <c r="F157" i="1"/>
  <c r="F156" i="1"/>
  <c r="F155" i="1"/>
  <c r="F118" i="1"/>
  <c r="F115" i="1"/>
  <c r="F112" i="1"/>
  <c r="F109" i="1"/>
  <c r="F106" i="1"/>
  <c r="F108" i="1"/>
  <c r="F110" i="1"/>
  <c r="F111" i="1"/>
  <c r="F114" i="1"/>
  <c r="F116" i="1"/>
  <c r="F119" i="1"/>
  <c r="F120" i="1"/>
  <c r="F121" i="1"/>
  <c r="F122" i="1"/>
  <c r="F105" i="1"/>
  <c r="F117" i="1"/>
  <c r="F113" i="1"/>
  <c r="F107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G105" i="1"/>
  <c r="G94" i="1" l="1"/>
  <c r="G96" i="1" s="1"/>
  <c r="C14" i="1"/>
  <c r="E29" i="1" l="1"/>
  <c r="F190" i="1" l="1"/>
  <c r="F191" i="1"/>
  <c r="F192" i="1"/>
  <c r="F189" i="1"/>
  <c r="A190" i="1"/>
  <c r="A191" i="1" s="1"/>
  <c r="A192" i="1" s="1"/>
  <c r="G189" i="1"/>
  <c r="G99" i="1" l="1"/>
  <c r="J98" i="1" s="1"/>
  <c r="F91" i="1"/>
  <c r="F132" i="1" l="1"/>
  <c r="F133" i="1"/>
  <c r="F134" i="1"/>
  <c r="F131" i="1"/>
  <c r="B219" i="1" l="1"/>
  <c r="A212" i="1"/>
  <c r="A200" i="1"/>
  <c r="A206" i="1"/>
  <c r="F216" i="1" l="1"/>
  <c r="F215" i="1"/>
  <c r="F214" i="1"/>
  <c r="F213" i="1"/>
  <c r="F212" i="1"/>
  <c r="F210" i="1"/>
  <c r="F209" i="1"/>
  <c r="F208" i="1"/>
  <c r="F207" i="1"/>
  <c r="F206" i="1"/>
  <c r="F204" i="1"/>
  <c r="F203" i="1"/>
  <c r="F202" i="1"/>
  <c r="F201" i="1"/>
  <c r="F200" i="1"/>
  <c r="F198" i="1"/>
  <c r="F197" i="1"/>
  <c r="F195" i="1"/>
  <c r="F194" i="1"/>
  <c r="F196" i="1"/>
  <c r="A207" i="1"/>
  <c r="A201" i="1"/>
  <c r="A213" i="1"/>
  <c r="B220" i="1" l="1"/>
  <c r="A208" i="1"/>
  <c r="A214" i="1"/>
  <c r="A20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9" i="1"/>
  <c r="G212" i="1"/>
  <c r="G213" i="1" s="1"/>
  <c r="G214" i="1" s="1"/>
  <c r="G215" i="1" s="1"/>
  <c r="G216" i="1" s="1"/>
  <c r="G206" i="1"/>
  <c r="G207" i="1" s="1"/>
  <c r="G208" i="1" s="1"/>
  <c r="G209" i="1" s="1"/>
  <c r="G210" i="1" s="1"/>
  <c r="G200" i="1"/>
  <c r="G201" i="1" s="1"/>
  <c r="G202" i="1" s="1"/>
  <c r="G203" i="1" s="1"/>
  <c r="G204" i="1" s="1"/>
  <c r="G194" i="1"/>
  <c r="G195" i="1" s="1"/>
  <c r="G196" i="1" s="1"/>
  <c r="G197" i="1" s="1"/>
  <c r="G198" i="1" s="1"/>
  <c r="A194" i="1"/>
  <c r="A195" i="1" s="1"/>
  <c r="A196" i="1" s="1"/>
  <c r="A197" i="1" s="1"/>
  <c r="A198" i="1" s="1"/>
  <c r="A132" i="1"/>
  <c r="A133" i="1" s="1"/>
  <c r="A134" i="1" s="1"/>
  <c r="G131" i="1"/>
  <c r="G132" i="1" s="1"/>
  <c r="G133" i="1" s="1"/>
  <c r="G134" i="1" s="1"/>
  <c r="D54" i="1"/>
  <c r="G49" i="1"/>
  <c r="G50" i="1" s="1"/>
  <c r="C49" i="1"/>
  <c r="C50" i="1" s="1"/>
  <c r="E42" i="1"/>
  <c r="E43" i="1" s="1"/>
  <c r="E26" i="1"/>
  <c r="E24" i="1"/>
  <c r="E7" i="1"/>
  <c r="E3" i="1"/>
  <c r="A209" i="1"/>
  <c r="A215" i="1"/>
  <c r="A203" i="1"/>
  <c r="D59" i="1" l="1"/>
  <c r="A204" i="1"/>
  <c r="A210" i="1"/>
  <c r="A216" i="1"/>
  <c r="D64" i="1" l="1"/>
  <c r="F64" i="1" l="1"/>
</calcChain>
</file>

<file path=xl/sharedStrings.xml><?xml version="1.0" encoding="utf-8"?>
<sst xmlns="http://schemas.openxmlformats.org/spreadsheetml/2006/main" count="293" uniqueCount="229">
  <si>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</si>
  <si>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</si>
  <si>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</si>
  <si>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</si>
  <si>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</si>
  <si>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</si>
  <si>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</si>
  <si>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</si>
  <si>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</si>
  <si>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</si>
  <si>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</si>
  <si>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</si>
  <si>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</si>
  <si>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</si>
  <si>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</si>
  <si>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</si>
  <si>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</si>
  <si>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</si>
  <si>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</si>
  <si>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</si>
  <si>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</si>
  <si>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</si>
  <si>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</si>
  <si>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</si>
  <si>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</si>
  <si>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</si>
  <si>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</si>
  <si>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</si>
  <si>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</si>
  <si>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</si>
  <si>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</si>
  <si>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</si>
  <si>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</si>
  <si>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</si>
  <si>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</si>
  <si>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</si>
  <si>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</si>
  <si>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</si>
  <si>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</si>
  <si>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</si>
  <si>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</si>
  <si>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</si>
  <si>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</si>
  <si>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</si>
  <si>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</si>
  <si>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</si>
  <si>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</si>
  <si>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</si>
  <si>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</si>
  <si>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</si>
  <si>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</si>
  <si>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</si>
  <si>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</si>
  <si>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</si>
  <si>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</si>
  <si>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</si>
  <si>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</si>
  <si>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</si>
  <si>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</si>
  <si>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</si>
  <si>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</si>
  <si>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</si>
  <si>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</si>
  <si>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</si>
  <si>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</si>
  <si>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</si>
  <si>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</si>
  <si>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</si>
  <si>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</si>
  <si>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</si>
  <si>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</si>
  <si>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</si>
  <si>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</si>
  <si>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</si>
  <si>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</si>
  <si>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</si>
  <si>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</si>
  <si>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</si>
  <si>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</si>
  <si>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</si>
  <si>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</si>
  <si>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</si>
  <si>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</si>
  <si>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</si>
  <si>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</si>
  <si>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</si>
  <si>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</si>
  <si>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</si>
  <si>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</si>
  <si>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</si>
  <si>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</si>
  <si>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</si>
  <si>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</si>
  <si>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</si>
  <si>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</si>
  <si>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</si>
  <si>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</si>
  <si>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</si>
  <si>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</si>
  <si>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</si>
  <si>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</si>
  <si>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</si>
  <si>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</si>
  <si>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</si>
  <si>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</si>
  <si>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</si>
  <si>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</si>
  <si>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</si>
  <si>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</si>
  <si>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</si>
  <si>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</si>
  <si>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</si>
  <si>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</si>
  <si>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</si>
  <si>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</si>
  <si>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</si>
  <si>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</si>
  <si>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</si>
  <si>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</si>
  <si>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</si>
  <si>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</si>
  <si>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</si>
  <si>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</si>
  <si>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</si>
  <si>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</si>
  <si>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</si>
  <si>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</si>
  <si>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</si>
  <si>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</si>
  <si>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</si>
  <si>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</si>
  <si>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</si>
  <si>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</si>
  <si>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</si>
  <si>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</si>
  <si>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</si>
  <si>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</si>
  <si>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</si>
  <si>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</si>
  <si>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</si>
  <si>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</si>
  <si>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</si>
  <si>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</si>
  <si>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</si>
  <si>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</si>
  <si>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</si>
  <si>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</si>
  <si>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</si>
  <si>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</si>
  <si>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</si>
  <si>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</si>
  <si>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</si>
  <si>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</si>
  <si>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</si>
  <si>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</si>
  <si>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</si>
  <si>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</si>
  <si>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</si>
  <si>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</si>
  <si>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</si>
  <si>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</si>
  <si>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</si>
  <si>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</si>
  <si>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</si>
  <si>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</si>
  <si>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</si>
  <si>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</si>
  <si>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</si>
  <si>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</si>
  <si>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</si>
  <si>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</si>
  <si>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</si>
  <si>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</si>
  <si>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</si>
  <si>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</si>
  <si>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</si>
  <si>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</si>
  <si>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</si>
  <si>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</si>
  <si>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</si>
  <si>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Green Park Residency</t>
  </si>
  <si>
    <t>9967777400/ 9607319777</t>
  </si>
  <si>
    <t>1 Building</t>
  </si>
  <si>
    <t>P51700018080</t>
  </si>
  <si>
    <t>141/2/A/2</t>
  </si>
  <si>
    <t>Survey No</t>
  </si>
  <si>
    <t>Koliwali</t>
  </si>
  <si>
    <t>Kawad Khurd</t>
  </si>
  <si>
    <t>Bhiwandi Wada Road</t>
  </si>
  <si>
    <t>Bhiwandi</t>
  </si>
  <si>
    <t>Thane</t>
  </si>
  <si>
    <t>Platinum Decor India</t>
  </si>
  <si>
    <t>Bhiwandi East</t>
  </si>
  <si>
    <t>10KM from Bhiwandi Railway Station</t>
  </si>
  <si>
    <t>Kumavat Farm House</t>
  </si>
  <si>
    <t>Open Plot</t>
  </si>
  <si>
    <t>Mumbai Metropolitan Region Development Authority</t>
  </si>
  <si>
    <t>SROT/BSNA/2501/BP/CC/Kawad Khurd-04/339/2022</t>
  </si>
  <si>
    <t>or 1.95</t>
  </si>
  <si>
    <t xml:space="preserve">Commencement-CC No
Valid Up to: </t>
  </si>
  <si>
    <t>G + 1st to 12th Floor</t>
  </si>
  <si>
    <t>Shop</t>
  </si>
  <si>
    <t>Ground Floor For Commercial &amp; Part Parking</t>
  </si>
  <si>
    <t>Office</t>
  </si>
  <si>
    <t>1st Floor For Part Commercial &amp; Part Amenities</t>
  </si>
  <si>
    <t>3rd to 7th, 9th to 11th Floor</t>
  </si>
  <si>
    <t>Refuge Area</t>
  </si>
  <si>
    <t>8th Floor (Part Refuge Area)</t>
  </si>
  <si>
    <t>We considered Gross carpet area = Net carpet + balcony</t>
  </si>
  <si>
    <t xml:space="preserve"> </t>
  </si>
  <si>
    <t>Shops</t>
  </si>
  <si>
    <t>Offices</t>
  </si>
  <si>
    <t>Flats</t>
  </si>
  <si>
    <t>12th Floor (Part Terrace Area)</t>
  </si>
  <si>
    <t>1st Floor For Part Residential</t>
  </si>
  <si>
    <t>Flats - 147, Shops - 16, Offices - 8</t>
  </si>
  <si>
    <t>https://goo.gl/maps/78Z1AqnAuRm5ecaW8</t>
  </si>
  <si>
    <t>Part 1
(Flat No.1)</t>
  </si>
  <si>
    <t>Part 2
(Flat No.2 to 4)</t>
  </si>
  <si>
    <t>Slab/Floor
Average of Part 1 &amp; 2</t>
  </si>
  <si>
    <t>Approved Plans, CC, Sale Plans, Cost Sheet</t>
  </si>
  <si>
    <t xml:space="preserve">GYM, Jogging Track &amp; Club </t>
  </si>
  <si>
    <t>G + 1st to 16th Floor</t>
  </si>
  <si>
    <t>Mangesh Laxman Bapardekar</t>
  </si>
  <si>
    <t>Office No. 1031, Wing J, Akshar Business Park, Plot No. 03 Sector 25, Near APMC Market,
Vashi, Navi Mumbai, Maharashtra 400703 TEL: 022-46090378/79/8
E mail : vsjcapf@gmail.com. Web site : www.vsjadon.com</t>
  </si>
  <si>
    <t>Mr.Yadav - 9323036886 &amp; Mr. Anil  9607319777</t>
  </si>
  <si>
    <t>As per RERA - 30/12/2028</t>
  </si>
  <si>
    <t>Part I  = Construction work is in process at the time of visit (Very Slow Speed).
Part II = Construction work is same as last visit (11/03/2025).
Phase II = Work is in process at the time of visit (Very Slow Speed).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</si>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</sst>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"/>
    <numFmt numFmtId="170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0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24" fillId="2" borderId="12" xfId="0" applyFont="1" applyFill="1" applyBorder="1"/>
    <xf numFmtId="0" fontId="25" fillId="0" borderId="8" xfId="0" applyFont="1" applyBorder="1"/>
    <xf numFmtId="0" fontId="14" fillId="3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vertical="top" wrapText="1"/>
      <protection locked="0"/>
    </xf>
    <xf numFmtId="0" fontId="7" fillId="0" borderId="4" xfId="1" applyFont="1" applyBorder="1" applyAlignment="1" applyProtection="1">
      <alignment vertical="top" wrapText="1"/>
      <protection locked="0"/>
    </xf>
    <xf numFmtId="0" fontId="7" fillId="0" borderId="9" xfId="1" applyFont="1" applyBorder="1"/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0" fontId="12" fillId="0" borderId="6" xfId="1" applyFont="1" applyBorder="1" applyAlignment="1" applyProtection="1">
      <alignment horizontal="center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3" borderId="6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1" xfId="0" applyNumberFormat="1" applyBorder="1"/>
    <xf numFmtId="1" fontId="12" fillId="0" borderId="1" xfId="1" applyNumberFormat="1" applyFont="1" applyBorder="1" applyAlignment="1" applyProtection="1">
      <alignment horizontal="center"/>
      <protection locked="0"/>
    </xf>
    <xf numFmtId="0" fontId="24" fillId="0" borderId="8" xfId="0" applyFont="1" applyBorder="1"/>
    <xf numFmtId="0" fontId="24" fillId="0" borderId="4" xfId="0" applyFont="1" applyBorder="1"/>
    <xf numFmtId="0" fontId="24" fillId="0" borderId="0" xfId="0" applyFont="1"/>
    <xf numFmtId="170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32" xfId="1" applyNumberFormat="1" applyFont="1" applyBorder="1" applyAlignment="1" applyProtection="1">
      <alignment horizontal="center" vertical="center" wrapText="1"/>
      <protection locked="0"/>
    </xf>
    <xf numFmtId="1" fontId="6" fillId="0" borderId="3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12" fillId="3" borderId="2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28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30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27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29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3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291351</xdr:colOff>
      <xdr:row>282</xdr:row>
      <xdr:rowOff>89648</xdr:rowOff>
    </xdr:from>
    <xdr:to>
      <xdr:col>7</xdr:col>
      <xdr:colOff>641733</xdr:colOff>
      <xdr:row>306</xdr:row>
      <xdr:rowOff>108706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51" y="54830383"/>
          <a:ext cx="6480000" cy="48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682662</xdr:colOff>
      <xdr:row>319</xdr:row>
      <xdr:rowOff>131330</xdr:rowOff>
    </xdr:from>
    <xdr:to>
      <xdr:col>7</xdr:col>
      <xdr:colOff>115644</xdr:colOff>
      <xdr:row>340</xdr:row>
      <xdr:rowOff>86506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2662" y="59651150"/>
          <a:ext cx="5315622" cy="4115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728383</xdr:colOff>
      <xdr:row>340</xdr:row>
      <xdr:rowOff>152396</xdr:rowOff>
    </xdr:from>
    <xdr:to>
      <xdr:col>7</xdr:col>
      <xdr:colOff>228600</xdr:colOff>
      <xdr:row>359</xdr:row>
      <xdr:rowOff>15239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C55EED4-BFAE-114B-35F9-2CEFAE8E785D}"/>
            </a:ext>
          </a:extLst>
        </xdr:cNvPr>
        <xdr:cNvGrpSpPr/>
      </xdr:nvGrpSpPr>
      <xdr:grpSpPr>
        <a:xfrm>
          <a:off x="728383" y="63832736"/>
          <a:ext cx="5382857" cy="3627123"/>
          <a:chOff x="728383" y="63832736"/>
          <a:chExt cx="5315622" cy="3790839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8383" y="63832736"/>
            <a:ext cx="5315622" cy="37908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4265853" y="65043868"/>
            <a:ext cx="635367" cy="280205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PART</a:t>
            </a:r>
            <a:r>
              <a:rPr lang="en-IN" sz="1200" b="1" baseline="0"/>
              <a:t> 1</a:t>
            </a:r>
            <a:endParaRPr lang="en-IN" sz="1200" b="1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858409" y="66456256"/>
            <a:ext cx="635367" cy="280205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PART</a:t>
            </a:r>
            <a:r>
              <a:rPr lang="en-IN" sz="1200" b="1" baseline="0"/>
              <a:t> 2</a:t>
            </a:r>
            <a:endParaRPr lang="en-IN" sz="1200" b="1"/>
          </a:p>
        </xdr:txBody>
      </xdr:sp>
    </xdr:grpSp>
    <xdr:clientData/>
  </xdr:twoCellAnchor>
  <xdr:twoCellAnchor>
    <xdr:from>
      <xdr:col>11</xdr:col>
      <xdr:colOff>80818</xdr:colOff>
      <xdr:row>238</xdr:row>
      <xdr:rowOff>86591</xdr:rowOff>
    </xdr:from>
    <xdr:to>
      <xdr:col>12</xdr:col>
      <xdr:colOff>698873</xdr:colOff>
      <xdr:row>241</xdr:row>
      <xdr:rowOff>176236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682018" y="43279291"/>
          <a:ext cx="1354655" cy="680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002060"/>
              </a:solidFill>
            </a:rPr>
            <a:t>Phase II</a:t>
          </a:r>
        </a:p>
      </xdr:txBody>
    </xdr:sp>
    <xdr:clientData/>
  </xdr:twoCellAnchor>
  <xdr:twoCellAnchor>
    <xdr:from>
      <xdr:col>11</xdr:col>
      <xdr:colOff>558102</xdr:colOff>
      <xdr:row>241</xdr:row>
      <xdr:rowOff>176236</xdr:rowOff>
    </xdr:from>
    <xdr:to>
      <xdr:col>12</xdr:col>
      <xdr:colOff>21834</xdr:colOff>
      <xdr:row>247</xdr:row>
      <xdr:rowOff>109681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stCxn id="23" idx="2"/>
        </xdr:cNvCxnSpPr>
      </xdr:nvCxnSpPr>
      <xdr:spPr>
        <a:xfrm flipH="1">
          <a:off x="10159302" y="43959486"/>
          <a:ext cx="200332" cy="1108195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457200</xdr:colOff>
      <xdr:row>267</xdr:row>
      <xdr:rowOff>152400</xdr:rowOff>
    </xdr:from>
    <xdr:ext cx="571888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21700" y="48863250"/>
          <a:ext cx="57188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</a:t>
          </a:r>
        </a:p>
      </xdr:txBody>
    </xdr:sp>
    <xdr:clientData/>
  </xdr:oneCellAnchor>
  <xdr:twoCellAnchor>
    <xdr:from>
      <xdr:col>9</xdr:col>
      <xdr:colOff>511810</xdr:colOff>
      <xdr:row>235</xdr:row>
      <xdr:rowOff>184150</xdr:rowOff>
    </xdr:from>
    <xdr:to>
      <xdr:col>18</xdr:col>
      <xdr:colOff>203248</xdr:colOff>
      <xdr:row>274</xdr:row>
      <xdr:rowOff>47456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444230" y="43069510"/>
          <a:ext cx="6336078" cy="7582366"/>
          <a:chOff x="298450" y="43313350"/>
          <a:chExt cx="6428788" cy="7535376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3569" y="4868872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0" y="46361038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3388" y="4636103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4930" y="4331335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1550" y="433133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8925" y="4636103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2941280" y="43853100"/>
            <a:ext cx="571888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1023580" y="44900850"/>
            <a:ext cx="61709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</xdr:grpSp>
    <xdr:clientData/>
  </xdr:twoCellAnchor>
  <xdr:twoCellAnchor>
    <xdr:from>
      <xdr:col>0</xdr:col>
      <xdr:colOff>304800</xdr:colOff>
      <xdr:row>239</xdr:row>
      <xdr:rowOff>182880</xdr:rowOff>
    </xdr:from>
    <xdr:to>
      <xdr:col>7</xdr:col>
      <xdr:colOff>555452</xdr:colOff>
      <xdr:row>276</xdr:row>
      <xdr:rowOff>16035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11610AC-F947-349C-5D29-B3D4C9C26864}"/>
            </a:ext>
          </a:extLst>
        </xdr:cNvPr>
        <xdr:cNvGrpSpPr/>
      </xdr:nvGrpSpPr>
      <xdr:grpSpPr>
        <a:xfrm>
          <a:off x="304800" y="43860720"/>
          <a:ext cx="6133292" cy="7155975"/>
          <a:chOff x="521722" y="268480"/>
          <a:chExt cx="6133292" cy="715597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83A6447-EAC9-0E78-6C15-44D2CA6D1A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4064" y="3320850"/>
            <a:ext cx="2880000" cy="21617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F53FB09-0E1D-12C4-496F-FF44D32B22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25470" y="5624455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947C07E-243C-1912-5B2F-8767CA3AA3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1722" y="298960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D4AC080-3E2D-C565-7BD3-50E813A618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2653" y="3320850"/>
            <a:ext cx="2880000" cy="21617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0753BA7-57E0-5692-B3A0-91F20877B2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2653" y="5624455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4DAB159-2CCC-9275-6D53-4634998707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18061" y="298960"/>
            <a:ext cx="383695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" name="TextBox 17">
            <a:extLst>
              <a:ext uri="{FF2B5EF4-FFF2-40B4-BE49-F238E27FC236}">
                <a16:creationId xmlns:a16="http://schemas.microsoft.com/office/drawing/2014/main" id="{F9F30E76-4F35-E055-C2C7-9DC340D0179F}"/>
              </a:ext>
            </a:extLst>
          </xdr:cNvPr>
          <xdr:cNvSpPr txBox="1"/>
        </xdr:nvSpPr>
        <xdr:spPr>
          <a:xfrm>
            <a:off x="4516673" y="268480"/>
            <a:ext cx="52309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Part I</a:t>
            </a:r>
          </a:p>
        </xdr:txBody>
      </xdr:sp>
      <xdr:sp macro="" textlink="">
        <xdr:nvSpPr>
          <xdr:cNvPr id="13" name="TextBox 18">
            <a:extLst>
              <a:ext uri="{FF2B5EF4-FFF2-40B4-BE49-F238E27FC236}">
                <a16:creationId xmlns:a16="http://schemas.microsoft.com/office/drawing/2014/main" id="{975DB829-808C-EE30-F9DE-9A622DD8C1DF}"/>
              </a:ext>
            </a:extLst>
          </xdr:cNvPr>
          <xdr:cNvSpPr txBox="1"/>
        </xdr:nvSpPr>
        <xdr:spPr>
          <a:xfrm>
            <a:off x="3391379" y="664720"/>
            <a:ext cx="55996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Part 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8Z1AqnAuRm5ecaW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9"/>
  <sheetViews>
    <sheetView tabSelected="1" view="pageBreakPreview" topLeftCell="A64" zoomScaleNormal="100" zoomScaleSheetLayoutView="100" zoomScalePageLayoutView="85" workbookViewId="0">
      <selection activeCell="K69" sqref="K69"/>
    </sheetView>
  </sheetViews>
  <sheetFormatPr defaultColWidth="9.21875" defaultRowHeight="15.6" x14ac:dyDescent="0.3"/>
  <cols>
    <col min="1" max="1" width="11.44140625" style="33" customWidth="1"/>
    <col min="2" max="2" width="12" style="33" customWidth="1"/>
    <col min="3" max="3" width="12.77734375" style="33" customWidth="1"/>
    <col min="4" max="4" width="14.21875" style="33" customWidth="1"/>
    <col min="5" max="7" width="11.77734375" style="33" customWidth="1"/>
    <col min="8" max="8" width="12.44140625" style="33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8" ht="46.5" customHeight="1" x14ac:dyDescent="0.3">
      <c r="A1" s="181" t="s">
        <v>224</v>
      </c>
      <c r="B1" s="181"/>
      <c r="C1" s="181"/>
      <c r="D1" s="181"/>
      <c r="E1" s="181"/>
      <c r="F1" s="181"/>
      <c r="G1" s="181"/>
      <c r="H1" s="181"/>
    </row>
    <row r="2" spans="1:8" ht="16.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</row>
    <row r="3" spans="1:8" x14ac:dyDescent="0.3">
      <c r="A3" s="122" t="s">
        <v>1</v>
      </c>
      <c r="B3" s="122"/>
      <c r="C3" s="122"/>
      <c r="D3" s="122"/>
      <c r="E3" s="122" t="str">
        <f ca="1">TEXT(TODAY(),"DD/MM/YYYY")</f>
        <v>08/09/2025</v>
      </c>
      <c r="F3" s="122"/>
      <c r="G3" s="122"/>
      <c r="H3" s="122"/>
    </row>
    <row r="4" spans="1:8" ht="15" customHeight="1" x14ac:dyDescent="0.3">
      <c r="A4" s="122" t="s">
        <v>2</v>
      </c>
      <c r="B4" s="122"/>
      <c r="C4" s="122"/>
      <c r="D4" s="122"/>
      <c r="E4" s="122" t="s">
        <v>179</v>
      </c>
      <c r="F4" s="122"/>
      <c r="G4" s="122"/>
      <c r="H4" s="122"/>
    </row>
    <row r="5" spans="1:8" x14ac:dyDescent="0.3">
      <c r="A5" s="122" t="s">
        <v>3</v>
      </c>
      <c r="B5" s="122"/>
      <c r="C5" s="122"/>
      <c r="D5" s="122"/>
      <c r="E5" s="182">
        <v>45907</v>
      </c>
      <c r="F5" s="122"/>
      <c r="G5" s="122"/>
      <c r="H5" s="122"/>
    </row>
    <row r="6" spans="1:8" ht="16.5" customHeight="1" x14ac:dyDescent="0.3">
      <c r="A6" s="122" t="s">
        <v>4</v>
      </c>
      <c r="B6" s="122"/>
      <c r="C6" s="122"/>
      <c r="D6" s="122"/>
      <c r="E6" s="122" t="s">
        <v>180</v>
      </c>
      <c r="F6" s="122"/>
      <c r="G6" s="122"/>
      <c r="H6" s="122"/>
    </row>
    <row r="7" spans="1:8" ht="15" customHeight="1" x14ac:dyDescent="0.3">
      <c r="A7" s="122" t="s">
        <v>5</v>
      </c>
      <c r="B7" s="122"/>
      <c r="C7" s="122"/>
      <c r="D7" s="122"/>
      <c r="E7" s="122" t="str">
        <f>E6</f>
        <v>Green Park Residency</v>
      </c>
      <c r="F7" s="122"/>
      <c r="G7" s="122"/>
      <c r="H7" s="122"/>
    </row>
    <row r="8" spans="1:8" x14ac:dyDescent="0.3">
      <c r="A8" s="122" t="s">
        <v>6</v>
      </c>
      <c r="B8" s="122"/>
      <c r="C8" s="122"/>
      <c r="D8" s="122"/>
      <c r="E8" s="147" t="s">
        <v>180</v>
      </c>
      <c r="F8" s="147"/>
      <c r="G8" s="147"/>
      <c r="H8" s="147"/>
    </row>
    <row r="9" spans="1:8" x14ac:dyDescent="0.3">
      <c r="A9" s="122" t="s">
        <v>176</v>
      </c>
      <c r="B9" s="122"/>
      <c r="C9" s="122"/>
      <c r="D9" s="122"/>
      <c r="E9" s="122" t="s">
        <v>181</v>
      </c>
      <c r="F9" s="122"/>
      <c r="G9" s="122"/>
      <c r="H9" s="122"/>
    </row>
    <row r="10" spans="1:8" x14ac:dyDescent="0.3">
      <c r="A10" s="122" t="s">
        <v>177</v>
      </c>
      <c r="B10" s="122"/>
      <c r="C10" s="122"/>
      <c r="D10" s="122"/>
      <c r="E10" s="122" t="s">
        <v>225</v>
      </c>
      <c r="F10" s="122"/>
      <c r="G10" s="122"/>
      <c r="H10" s="122"/>
    </row>
    <row r="11" spans="1:8" x14ac:dyDescent="0.3">
      <c r="A11" s="122" t="s">
        <v>7</v>
      </c>
      <c r="B11" s="122"/>
      <c r="C11" s="122"/>
      <c r="D11" s="122"/>
      <c r="E11" s="122" t="s">
        <v>182</v>
      </c>
      <c r="F11" s="122"/>
      <c r="G11" s="122"/>
      <c r="H11" s="122"/>
    </row>
    <row r="12" spans="1:8" x14ac:dyDescent="0.3">
      <c r="A12" s="91" t="s">
        <v>8</v>
      </c>
      <c r="B12" s="91"/>
      <c r="C12" s="91"/>
      <c r="D12" s="91"/>
      <c r="E12" s="138" t="s">
        <v>220</v>
      </c>
      <c r="F12" s="138"/>
      <c r="G12" s="138"/>
      <c r="H12" s="138"/>
    </row>
    <row r="13" spans="1:8" x14ac:dyDescent="0.3">
      <c r="A13" s="91" t="s">
        <v>9</v>
      </c>
      <c r="B13" s="91"/>
      <c r="C13" s="91"/>
      <c r="D13" s="91"/>
      <c r="E13" s="138" t="s">
        <v>183</v>
      </c>
      <c r="F13" s="122"/>
      <c r="G13" s="122"/>
      <c r="H13" s="122"/>
    </row>
    <row r="14" spans="1:8" ht="33" customHeight="1" x14ac:dyDescent="0.3">
      <c r="A14" s="138" t="s">
        <v>10</v>
      </c>
      <c r="B14" s="138"/>
      <c r="C14" s="13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Green Park Residency, Survey No.141/2/A/2, near Platinum Decor India, Bhiwandi Wada Road, Koliwali, Kawad Khurd, Bhiwandi East, Bhiwandi, Thane - 421302.</v>
      </c>
      <c r="D14" s="138"/>
      <c r="E14" s="138"/>
      <c r="F14" s="138"/>
      <c r="G14" s="138"/>
      <c r="H14" s="138"/>
    </row>
    <row r="15" spans="1:8" x14ac:dyDescent="0.3">
      <c r="A15" s="138" t="s">
        <v>185</v>
      </c>
      <c r="B15" s="138"/>
      <c r="C15" s="138" t="s">
        <v>184</v>
      </c>
      <c r="D15" s="138"/>
      <c r="E15" s="138"/>
      <c r="F15" s="138"/>
      <c r="G15" s="138"/>
      <c r="H15" s="138"/>
    </row>
    <row r="16" spans="1:8" ht="15.75" customHeight="1" x14ac:dyDescent="0.3">
      <c r="A16" s="138" t="s">
        <v>175</v>
      </c>
      <c r="B16" s="138"/>
      <c r="C16" s="138" t="s">
        <v>186</v>
      </c>
      <c r="D16" s="138"/>
      <c r="E16" s="138"/>
      <c r="F16" s="138"/>
      <c r="G16" s="138"/>
      <c r="H16" s="138"/>
    </row>
    <row r="17" spans="1:8" ht="15.75" customHeight="1" x14ac:dyDescent="0.3">
      <c r="A17" s="137" t="s">
        <v>11</v>
      </c>
      <c r="B17" s="137"/>
      <c r="C17" s="122" t="s">
        <v>188</v>
      </c>
      <c r="D17" s="122"/>
      <c r="E17" s="137" t="s">
        <v>77</v>
      </c>
      <c r="F17" s="137"/>
      <c r="G17" s="138" t="s">
        <v>187</v>
      </c>
      <c r="H17" s="138"/>
    </row>
    <row r="18" spans="1:8" x14ac:dyDescent="0.3">
      <c r="A18" s="91" t="s">
        <v>13</v>
      </c>
      <c r="B18" s="91"/>
      <c r="C18" s="138" t="s">
        <v>192</v>
      </c>
      <c r="D18" s="138"/>
      <c r="E18" s="137" t="s">
        <v>12</v>
      </c>
      <c r="F18" s="137"/>
      <c r="G18" s="178" t="s">
        <v>190</v>
      </c>
      <c r="H18" s="178"/>
    </row>
    <row r="19" spans="1:8" x14ac:dyDescent="0.3">
      <c r="A19" s="91" t="s">
        <v>78</v>
      </c>
      <c r="B19" s="91"/>
      <c r="C19" s="138" t="s">
        <v>189</v>
      </c>
      <c r="D19" s="138"/>
      <c r="E19" s="137" t="s">
        <v>14</v>
      </c>
      <c r="F19" s="137"/>
      <c r="G19" s="138">
        <v>421302</v>
      </c>
      <c r="H19" s="138"/>
    </row>
    <row r="20" spans="1:8" ht="32.25" customHeight="1" x14ac:dyDescent="0.3">
      <c r="A20" s="91" t="s">
        <v>132</v>
      </c>
      <c r="B20" s="91"/>
      <c r="C20" s="138" t="s">
        <v>191</v>
      </c>
      <c r="D20" s="138"/>
      <c r="E20" s="137" t="s">
        <v>15</v>
      </c>
      <c r="F20" s="137"/>
      <c r="G20" s="138" t="s">
        <v>193</v>
      </c>
      <c r="H20" s="138"/>
    </row>
    <row r="21" spans="1:8" ht="15" customHeight="1" x14ac:dyDescent="0.3">
      <c r="A21" s="137" t="s">
        <v>81</v>
      </c>
      <c r="B21" s="137"/>
      <c r="C21" s="137"/>
      <c r="D21" s="137"/>
      <c r="E21" s="122" t="s">
        <v>16</v>
      </c>
      <c r="F21" s="122"/>
      <c r="G21" s="122"/>
      <c r="H21" s="122"/>
    </row>
    <row r="22" spans="1:8" ht="18.75" customHeight="1" x14ac:dyDescent="0.3">
      <c r="A22" s="137"/>
      <c r="B22" s="137"/>
      <c r="C22" s="137"/>
      <c r="D22" s="137"/>
      <c r="E22" s="122"/>
      <c r="F22" s="122"/>
      <c r="G22" s="122"/>
      <c r="H22" s="122"/>
    </row>
    <row r="23" spans="1:8" ht="15" customHeight="1" x14ac:dyDescent="0.3">
      <c r="A23" s="137" t="s">
        <v>17</v>
      </c>
      <c r="B23" s="137"/>
      <c r="C23" s="137"/>
      <c r="D23" s="137"/>
      <c r="E23" s="138" t="s">
        <v>18</v>
      </c>
      <c r="F23" s="138"/>
      <c r="G23" s="138"/>
      <c r="H23" s="138"/>
    </row>
    <row r="24" spans="1:8" ht="15" customHeight="1" x14ac:dyDescent="0.3">
      <c r="A24" s="91" t="s">
        <v>19</v>
      </c>
      <c r="B24" s="91"/>
      <c r="C24" s="91"/>
      <c r="D24" s="91"/>
      <c r="E24" s="138" t="str">
        <f>IF(AND(G18="Mumbai"),"Upper Class","Middle Class")</f>
        <v>Middle Class</v>
      </c>
      <c r="F24" s="138"/>
      <c r="G24" s="138"/>
      <c r="H24" s="138"/>
    </row>
    <row r="25" spans="1:8" x14ac:dyDescent="0.3">
      <c r="A25" s="91" t="s">
        <v>20</v>
      </c>
      <c r="B25" s="91"/>
      <c r="C25" s="91"/>
      <c r="D25" s="91"/>
      <c r="E25" s="138" t="s">
        <v>21</v>
      </c>
      <c r="F25" s="138"/>
      <c r="G25" s="138"/>
      <c r="H25" s="138"/>
    </row>
    <row r="26" spans="1:8" ht="15.75" customHeight="1" x14ac:dyDescent="0.3">
      <c r="A26" s="91" t="s">
        <v>22</v>
      </c>
      <c r="B26" s="91"/>
      <c r="C26" s="91"/>
      <c r="D26" s="91"/>
      <c r="E26" s="138" t="str">
        <f>IF(AND(G18="Mumbai"),"Developed","Developing")</f>
        <v>Developing</v>
      </c>
      <c r="F26" s="138"/>
      <c r="G26" s="138"/>
      <c r="H26" s="138"/>
    </row>
    <row r="27" spans="1:8" x14ac:dyDescent="0.3">
      <c r="A27" s="91" t="s">
        <v>23</v>
      </c>
      <c r="B27" s="91"/>
      <c r="C27" s="91"/>
      <c r="D27" s="91"/>
      <c r="E27" s="138" t="s">
        <v>24</v>
      </c>
      <c r="F27" s="138"/>
      <c r="G27" s="138"/>
      <c r="H27" s="138"/>
    </row>
    <row r="28" spans="1:8" ht="15.75" customHeight="1" x14ac:dyDescent="0.3">
      <c r="A28" s="91" t="s">
        <v>86</v>
      </c>
      <c r="B28" s="91"/>
      <c r="C28" s="91"/>
      <c r="D28" s="91"/>
      <c r="E28" s="138" t="s">
        <v>87</v>
      </c>
      <c r="F28" s="138"/>
      <c r="G28" s="138"/>
      <c r="H28" s="138"/>
    </row>
    <row r="29" spans="1:8" ht="15" customHeight="1" x14ac:dyDescent="0.3">
      <c r="A29" s="91" t="s">
        <v>35</v>
      </c>
      <c r="B29" s="91"/>
      <c r="C29" s="91"/>
      <c r="D29" s="91"/>
      <c r="E29" s="13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8"/>
      <c r="G29" s="138"/>
      <c r="H29" s="138"/>
    </row>
    <row r="30" spans="1:8" ht="15.75" customHeight="1" x14ac:dyDescent="0.3">
      <c r="A30" s="91" t="s">
        <v>98</v>
      </c>
      <c r="B30" s="91"/>
      <c r="C30" s="91"/>
      <c r="D30" s="91"/>
      <c r="E30" s="138" t="s">
        <v>36</v>
      </c>
      <c r="F30" s="138"/>
      <c r="G30" s="138"/>
      <c r="H30" s="138"/>
    </row>
    <row r="31" spans="1:8" s="20" customFormat="1" x14ac:dyDescent="0.3">
      <c r="A31" s="177" t="s">
        <v>99</v>
      </c>
      <c r="B31" s="177"/>
      <c r="C31" s="176" t="s">
        <v>29</v>
      </c>
      <c r="D31" s="176"/>
      <c r="E31" s="176"/>
      <c r="F31" s="176" t="s">
        <v>31</v>
      </c>
      <c r="G31" s="176"/>
      <c r="H31" s="176"/>
    </row>
    <row r="32" spans="1:8" s="20" customFormat="1" x14ac:dyDescent="0.3">
      <c r="A32" s="161" t="s">
        <v>25</v>
      </c>
      <c r="B32" s="161" t="s">
        <v>30</v>
      </c>
      <c r="C32" s="162" t="s">
        <v>30</v>
      </c>
      <c r="D32" s="162"/>
      <c r="E32" s="162"/>
      <c r="F32" s="162" t="s">
        <v>195</v>
      </c>
      <c r="G32" s="162"/>
      <c r="H32" s="162"/>
    </row>
    <row r="33" spans="1:9" x14ac:dyDescent="0.3">
      <c r="A33" s="161" t="s">
        <v>26</v>
      </c>
      <c r="B33" s="161" t="s">
        <v>30</v>
      </c>
      <c r="C33" s="162" t="s">
        <v>30</v>
      </c>
      <c r="D33" s="162"/>
      <c r="E33" s="162"/>
      <c r="F33" s="162" t="s">
        <v>188</v>
      </c>
      <c r="G33" s="162"/>
      <c r="H33" s="162"/>
    </row>
    <row r="34" spans="1:9" s="20" customFormat="1" x14ac:dyDescent="0.3">
      <c r="A34" s="161" t="s">
        <v>28</v>
      </c>
      <c r="B34" s="161" t="s">
        <v>30</v>
      </c>
      <c r="C34" s="162" t="s">
        <v>30</v>
      </c>
      <c r="D34" s="162"/>
      <c r="E34" s="162"/>
      <c r="F34" s="162" t="s">
        <v>194</v>
      </c>
      <c r="G34" s="162"/>
      <c r="H34" s="162"/>
    </row>
    <row r="35" spans="1:9" x14ac:dyDescent="0.3">
      <c r="A35" s="161" t="s">
        <v>27</v>
      </c>
      <c r="B35" s="161" t="s">
        <v>30</v>
      </c>
      <c r="C35" s="162" t="s">
        <v>30</v>
      </c>
      <c r="D35" s="162"/>
      <c r="E35" s="162"/>
      <c r="F35" s="162" t="s">
        <v>195</v>
      </c>
      <c r="G35" s="162"/>
      <c r="H35" s="162"/>
    </row>
    <row r="36" spans="1:9" x14ac:dyDescent="0.3">
      <c r="A36" s="91" t="s">
        <v>32</v>
      </c>
      <c r="B36" s="91"/>
      <c r="C36" s="91"/>
      <c r="D36" s="91"/>
      <c r="E36" s="91"/>
      <c r="F36" s="91"/>
      <c r="G36" s="91"/>
      <c r="H36" s="91"/>
    </row>
    <row r="37" spans="1:9" ht="15.75" customHeight="1" x14ac:dyDescent="0.3">
      <c r="A37" s="165" t="s">
        <v>33</v>
      </c>
      <c r="B37" s="165"/>
      <c r="C37" s="166">
        <v>19.346253999999998</v>
      </c>
      <c r="D37" s="166"/>
      <c r="E37" s="165" t="s">
        <v>34</v>
      </c>
      <c r="F37" s="165"/>
      <c r="G37" s="167">
        <v>73.071265999999994</v>
      </c>
      <c r="H37" s="167"/>
    </row>
    <row r="38" spans="1:9" x14ac:dyDescent="0.3">
      <c r="A38" s="165" t="s">
        <v>174</v>
      </c>
      <c r="B38" s="165"/>
      <c r="C38" s="175" t="s">
        <v>216</v>
      </c>
      <c r="D38" s="138"/>
      <c r="E38" s="138"/>
      <c r="F38" s="138"/>
      <c r="G38" s="138"/>
      <c r="H38" s="138"/>
    </row>
    <row r="39" spans="1:9" x14ac:dyDescent="0.3">
      <c r="A39" s="164" t="s">
        <v>37</v>
      </c>
      <c r="B39" s="164"/>
      <c r="C39" s="164"/>
      <c r="D39" s="164"/>
      <c r="E39" s="164"/>
      <c r="F39" s="164"/>
      <c r="G39" s="164"/>
      <c r="H39" s="164"/>
    </row>
    <row r="40" spans="1:9" x14ac:dyDescent="0.3">
      <c r="A40" s="91" t="s">
        <v>38</v>
      </c>
      <c r="B40" s="91"/>
      <c r="C40" s="91"/>
      <c r="D40" s="91"/>
      <c r="E40" s="163">
        <v>4440</v>
      </c>
      <c r="F40" s="163"/>
      <c r="G40" s="163"/>
      <c r="H40" s="163"/>
    </row>
    <row r="41" spans="1:9" x14ac:dyDescent="0.3">
      <c r="A41" s="91" t="s">
        <v>39</v>
      </c>
      <c r="B41" s="91"/>
      <c r="C41" s="91"/>
      <c r="D41" s="91"/>
      <c r="E41" s="193">
        <v>1.55</v>
      </c>
      <c r="F41" s="193"/>
      <c r="G41" s="193"/>
      <c r="H41" s="193"/>
      <c r="I41" s="19" t="s">
        <v>198</v>
      </c>
    </row>
    <row r="42" spans="1:9" x14ac:dyDescent="0.3">
      <c r="A42" s="91" t="s">
        <v>40</v>
      </c>
      <c r="B42" s="91"/>
      <c r="C42" s="91"/>
      <c r="D42" s="91"/>
      <c r="E42" s="120">
        <f>E44/E40-E41</f>
        <v>-1.9121621621620566E-3</v>
      </c>
      <c r="F42" s="120"/>
      <c r="G42" s="120"/>
      <c r="H42" s="120"/>
    </row>
    <row r="43" spans="1:9" x14ac:dyDescent="0.3">
      <c r="A43" s="91" t="s">
        <v>41</v>
      </c>
      <c r="B43" s="91"/>
      <c r="C43" s="91"/>
      <c r="D43" s="91"/>
      <c r="E43" s="120">
        <f>E41+E42</f>
        <v>1.548087837837838</v>
      </c>
      <c r="F43" s="120"/>
      <c r="G43" s="120"/>
      <c r="H43" s="120"/>
    </row>
    <row r="44" spans="1:9" x14ac:dyDescent="0.3">
      <c r="A44" s="91" t="s">
        <v>97</v>
      </c>
      <c r="B44" s="91"/>
      <c r="C44" s="91"/>
      <c r="D44" s="91"/>
      <c r="E44" s="121">
        <v>6873.51</v>
      </c>
      <c r="F44" s="121"/>
      <c r="G44" s="121"/>
      <c r="H44" s="121"/>
    </row>
    <row r="45" spans="1:9" x14ac:dyDescent="0.3">
      <c r="A45" s="122" t="s">
        <v>42</v>
      </c>
      <c r="B45" s="122"/>
      <c r="C45" s="122"/>
      <c r="D45" s="122"/>
      <c r="E45" s="122" t="s">
        <v>131</v>
      </c>
      <c r="F45" s="122"/>
      <c r="G45" s="122"/>
      <c r="H45" s="122"/>
    </row>
    <row r="46" spans="1:9" x14ac:dyDescent="0.3">
      <c r="A46" s="147" t="s">
        <v>43</v>
      </c>
      <c r="B46" s="147"/>
      <c r="C46" s="147"/>
      <c r="D46" s="147"/>
      <c r="E46" s="147"/>
      <c r="F46" s="147"/>
      <c r="G46" s="147"/>
      <c r="H46" s="147"/>
    </row>
    <row r="47" spans="1:9" ht="33.75" customHeight="1" x14ac:dyDescent="0.3">
      <c r="A47" s="86" t="s">
        <v>163</v>
      </c>
      <c r="B47" s="87"/>
      <c r="C47" s="88" t="s">
        <v>196</v>
      </c>
      <c r="D47" s="89"/>
      <c r="E47" s="89"/>
      <c r="F47" s="89"/>
      <c r="G47" s="89"/>
      <c r="H47" s="90"/>
    </row>
    <row r="48" spans="1:9" ht="31.5" customHeight="1" x14ac:dyDescent="0.3">
      <c r="A48" s="125" t="s">
        <v>44</v>
      </c>
      <c r="B48" s="127"/>
      <c r="C48" s="125" t="s">
        <v>197</v>
      </c>
      <c r="D48" s="126"/>
      <c r="E48" s="127"/>
      <c r="F48" s="18" t="s">
        <v>45</v>
      </c>
      <c r="G48" s="123">
        <v>44631</v>
      </c>
      <c r="H48" s="127"/>
    </row>
    <row r="49" spans="1:14" ht="31.5" customHeight="1" x14ac:dyDescent="0.3">
      <c r="A49" s="125" t="s">
        <v>46</v>
      </c>
      <c r="B49" s="127"/>
      <c r="C49" s="125" t="str">
        <f>C48</f>
        <v>SROT/BSNA/2501/BP/CC/Kawad Khurd-04/339/2022</v>
      </c>
      <c r="D49" s="126"/>
      <c r="E49" s="127"/>
      <c r="F49" s="18" t="s">
        <v>45</v>
      </c>
      <c r="G49" s="123">
        <f>G48</f>
        <v>44631</v>
      </c>
      <c r="H49" s="124"/>
    </row>
    <row r="50" spans="1:14" s="21" customFormat="1" ht="31.5" customHeight="1" x14ac:dyDescent="0.3">
      <c r="A50" s="171" t="s">
        <v>199</v>
      </c>
      <c r="B50" s="172"/>
      <c r="C50" s="125" t="str">
        <f>C49</f>
        <v>SROT/BSNA/2501/BP/CC/Kawad Khurd-04/339/2022</v>
      </c>
      <c r="D50" s="126"/>
      <c r="E50" s="127"/>
      <c r="F50" s="18" t="s">
        <v>45</v>
      </c>
      <c r="G50" s="123">
        <f>G49</f>
        <v>44631</v>
      </c>
      <c r="H50" s="124"/>
    </row>
    <row r="51" spans="1:14" s="21" customFormat="1" x14ac:dyDescent="0.3">
      <c r="A51" s="173"/>
      <c r="B51" s="174"/>
      <c r="C51" s="125" t="s">
        <v>200</v>
      </c>
      <c r="D51" s="126"/>
      <c r="E51" s="126"/>
      <c r="F51" s="126"/>
      <c r="G51" s="126"/>
      <c r="H51" s="127"/>
    </row>
    <row r="52" spans="1:14" x14ac:dyDescent="0.3">
      <c r="A52" s="133" t="s">
        <v>47</v>
      </c>
      <c r="B52" s="134"/>
      <c r="C52" s="133" t="s">
        <v>111</v>
      </c>
      <c r="D52" s="135"/>
      <c r="E52" s="134"/>
      <c r="F52" s="37" t="s">
        <v>45</v>
      </c>
      <c r="G52" s="139" t="s">
        <v>30</v>
      </c>
      <c r="H52" s="140"/>
    </row>
    <row r="53" spans="1:14" x14ac:dyDescent="0.3">
      <c r="A53" s="136" t="s">
        <v>49</v>
      </c>
      <c r="B53" s="136"/>
      <c r="C53" s="136"/>
      <c r="D53" s="136"/>
      <c r="E53" s="136"/>
      <c r="F53" s="136"/>
      <c r="G53" s="136"/>
      <c r="H53" s="136"/>
    </row>
    <row r="54" spans="1:14" x14ac:dyDescent="0.3">
      <c r="A54" s="137" t="s">
        <v>96</v>
      </c>
      <c r="B54" s="137"/>
      <c r="C54" s="137"/>
      <c r="D54" s="91">
        <f>E44</f>
        <v>6873.51</v>
      </c>
      <c r="E54" s="91"/>
      <c r="F54" s="91"/>
      <c r="G54" s="91"/>
      <c r="H54" s="91"/>
    </row>
    <row r="55" spans="1:14" x14ac:dyDescent="0.3">
      <c r="A55" s="138" t="s">
        <v>50</v>
      </c>
      <c r="B55" s="122"/>
      <c r="C55" s="122"/>
      <c r="D55" s="122" t="s">
        <v>215</v>
      </c>
      <c r="E55" s="122"/>
      <c r="F55" s="122"/>
      <c r="G55" s="122"/>
      <c r="H55" s="122"/>
      <c r="I55" s="22"/>
    </row>
    <row r="56" spans="1:14" ht="17.25" customHeight="1" x14ac:dyDescent="0.3">
      <c r="A56" s="128" t="s">
        <v>51</v>
      </c>
      <c r="B56" s="129"/>
      <c r="C56" s="170"/>
      <c r="D56" s="168" t="s">
        <v>200</v>
      </c>
      <c r="E56" s="169"/>
      <c r="F56" s="169"/>
      <c r="G56" s="169"/>
      <c r="H56" s="169"/>
    </row>
    <row r="57" spans="1:14" ht="15.75" customHeight="1" x14ac:dyDescent="0.3">
      <c r="A57" s="128" t="s">
        <v>94</v>
      </c>
      <c r="B57" s="129"/>
      <c r="C57" s="129"/>
      <c r="D57" s="130" t="s">
        <v>222</v>
      </c>
      <c r="E57" s="131"/>
      <c r="F57" s="131"/>
      <c r="G57" s="131"/>
      <c r="H57" s="132"/>
    </row>
    <row r="58" spans="1:14" ht="15.75" customHeight="1" x14ac:dyDescent="0.3">
      <c r="A58" s="91" t="s">
        <v>48</v>
      </c>
      <c r="B58" s="91"/>
      <c r="C58" s="91"/>
      <c r="D58" s="118" t="s">
        <v>226</v>
      </c>
      <c r="E58" s="118"/>
      <c r="F58" s="118"/>
      <c r="G58" s="118"/>
      <c r="H58" s="118"/>
      <c r="J58" s="23"/>
      <c r="K58" s="22"/>
      <c r="N58" s="22"/>
    </row>
    <row r="59" spans="1:14" ht="15.75" customHeight="1" x14ac:dyDescent="0.3">
      <c r="A59" s="91" t="s">
        <v>92</v>
      </c>
      <c r="B59" s="91"/>
      <c r="C59" s="91"/>
      <c r="D59" s="119" t="str">
        <f>(IF(G52="NA","60 Years After Completion",IF(G52&lt;&gt;"NA",""&amp;60-ROUNDDOWN((E3-G52)/360,0)&amp;" Years"," ")))</f>
        <v>60 Years After Completion</v>
      </c>
      <c r="E59" s="119"/>
      <c r="F59" s="119"/>
      <c r="G59" s="119"/>
      <c r="H59" s="119"/>
      <c r="N59" s="22"/>
    </row>
    <row r="60" spans="1:14" ht="15.75" customHeight="1" x14ac:dyDescent="0.3">
      <c r="A60" s="91" t="s">
        <v>93</v>
      </c>
      <c r="B60" s="91"/>
      <c r="C60" s="91"/>
      <c r="D60" s="137" t="s">
        <v>24</v>
      </c>
      <c r="E60" s="137"/>
      <c r="F60" s="137"/>
      <c r="G60" s="137"/>
      <c r="H60" s="137"/>
      <c r="J60" s="24"/>
      <c r="K60" s="24"/>
    </row>
    <row r="61" spans="1:14" ht="15" customHeight="1" x14ac:dyDescent="0.3">
      <c r="A61" s="91" t="s">
        <v>79</v>
      </c>
      <c r="B61" s="91"/>
      <c r="C61" s="91"/>
      <c r="D61" s="138" t="s">
        <v>221</v>
      </c>
      <c r="E61" s="137"/>
      <c r="F61" s="137"/>
      <c r="G61" s="137"/>
      <c r="H61" s="137"/>
    </row>
    <row r="62" spans="1:14" x14ac:dyDescent="0.3">
      <c r="A62" s="137" t="s">
        <v>159</v>
      </c>
      <c r="B62" s="137"/>
      <c r="C62" s="137"/>
      <c r="D62" s="137" t="s">
        <v>30</v>
      </c>
      <c r="E62" s="137"/>
      <c r="F62" s="137"/>
      <c r="G62" s="137"/>
      <c r="H62" s="137"/>
      <c r="I62" s="25"/>
      <c r="J62" s="25"/>
      <c r="K62" s="25"/>
      <c r="L62" s="25"/>
      <c r="M62" s="25"/>
      <c r="N62" s="25"/>
    </row>
    <row r="63" spans="1:14" ht="15.75" customHeight="1" x14ac:dyDescent="0.3">
      <c r="A63" s="180" t="s">
        <v>91</v>
      </c>
      <c r="B63" s="180"/>
      <c r="C63" s="180"/>
      <c r="D63" s="168" t="str">
        <f ca="1">(IF(H69&gt;95%,"Nothing",IF(H69&gt;0%,"Cement, Aggregate, Steel, etc",IF(H69=0%,"Work not yet Started"))))</f>
        <v>Cement, Aggregate, Steel, etc</v>
      </c>
      <c r="E63" s="168"/>
      <c r="F63" s="168"/>
      <c r="G63" s="168"/>
      <c r="H63" s="168"/>
      <c r="J63" s="24"/>
    </row>
    <row r="64" spans="1:14" ht="33.75" customHeight="1" thickBot="1" x14ac:dyDescent="0.35">
      <c r="A64" s="179" t="s">
        <v>124</v>
      </c>
      <c r="B64" s="179"/>
      <c r="C64" s="179"/>
      <c r="D64" s="168" t="str">
        <f ca="1">(IF(D63="Nothing","Yes",IF(D63="Cement, Aggregate, Steel, etc","Under Construction",IF(D63="Work not yet Started","Work not yet Started"))))</f>
        <v>Under Construction</v>
      </c>
      <c r="E64" s="168"/>
      <c r="F64" s="168" t="str">
        <f ca="1">(IF(D63="Nothing","Yes",IF(D63="Cement, Aggregate, Steel, etc","Under Construction",IF(D63="Work not yet Started","Work not yet Started"))))</f>
        <v>Under Construction</v>
      </c>
      <c r="G64" s="168"/>
      <c r="H64" s="168"/>
    </row>
    <row r="65" spans="1:10" customFormat="1" x14ac:dyDescent="0.3">
      <c r="A65" s="141" t="s">
        <v>149</v>
      </c>
      <c r="B65" s="142"/>
      <c r="C65" s="143" t="str">
        <f>D57</f>
        <v>G + 1st to 16th Floor</v>
      </c>
      <c r="D65" s="144"/>
      <c r="E65" s="144"/>
      <c r="F65" s="144"/>
      <c r="G65" s="144"/>
      <c r="H65" s="145"/>
      <c r="I65" s="46" t="str">
        <f ca="1">IF(F78=100%,"All work Completed. Possession granted to the Building.",IF(F77=100%,"All work Completed, Waiting for OC",I66&amp;""&amp;I67&amp;""&amp;J66&amp;""&amp;J65&amp;" "&amp;J67))</f>
        <v>Excavation, Plinth Completed, RCC upto 4 Slab, Brickwork upto 2 Floor, Internal Plaster upto 1.5 Floor Completed</v>
      </c>
      <c r="J65" s="39" t="str">
        <f ca="1">(IF(E71=(D66+F66+H66),"",IF(E71&gt;0,", RCC upto "&amp;E71&amp;" Slab","")))&amp;(IF(E72=H66,"",IF(E72&gt;0,", Brickwork upto "&amp;E72&amp;" Floor","")))&amp;(IF(E73=H66,"",IF(E73&gt;0,", Internal Plaster upto "&amp;E73&amp;" Floor","")))&amp;(IF(E74=H66,"",IF(E74&gt;0,", External Plaster upto "&amp;E74&amp;" Floor","")))&amp;(IF(E75=H66,"",IF(E75&gt;0,", Flooring upto "&amp;E75&amp;" Floor","")))&amp;(IF(E76=H66,"",IF(E76&gt;0,", Painting upto "&amp;E76&amp;" Floor","")))&amp;(IF(E77=H66,"",IF(E77&gt;0,", Finishing upto "&amp;E77&amp;" Floor","")))&amp;(IF(E78=H66,"",IF(E78&gt;0,", Possession upto "&amp;E78&amp;" Floor","")))</f>
        <v>, RCC upto 4 Slab, Brickwork upto 2 Floor, Internal Plaster upto 1.5 Floor</v>
      </c>
    </row>
    <row r="66" spans="1:10" s="66" customFormat="1" x14ac:dyDescent="0.3">
      <c r="A66" s="16" t="s">
        <v>151</v>
      </c>
      <c r="B66" s="43">
        <v>0</v>
      </c>
      <c r="C66" s="43" t="s">
        <v>76</v>
      </c>
      <c r="D66" s="43">
        <v>1</v>
      </c>
      <c r="E66" s="43" t="s">
        <v>75</v>
      </c>
      <c r="F66" s="43">
        <v>0</v>
      </c>
      <c r="G66" s="43" t="s">
        <v>85</v>
      </c>
      <c r="H66" s="17">
        <f ca="1">--TRIM(RIGHT(SUBSTITUTE(LEFT(C65,_xlfn.AGGREGATE(16,6,FIND({0,1,2,3,4,5,6,7,8,9},C65,ROW(INDIRECT("1:"&amp;LEN(C65)))),1))," ",REPT(" ",LEN(C65))),LEN(C65)))</f>
        <v>16</v>
      </c>
      <c r="I66" s="64" t="str">
        <f ca="1">IF(F69=100%,"Excavation","")&amp;IF(F70=100%,", Plinth","")&amp;IF(F71=100%,", RCC Slab","")&amp;IF(F72=100%,", Brickwork","")&amp;IF(F73=100%,", Internal Plaster","")&amp;IF(F74=100%,", External Plaster","")&amp;IF(F75=100%,", Flooring","")&amp;IF(F76=100%,", Painting","")&amp;IF(F77=100%,", Building common Amenities","")</f>
        <v>Excavation, Plinth</v>
      </c>
      <c r="J66" s="65" t="str">
        <f ca="1">(IF(C69=0,"Work not yet Started.",IF(F69=25%,"Piling work in process",IF(F69=50%,"Excavation work in process",IF(F69=100%,"","0")))))&amp;(IF(C70=0%,"",IF(C70=J71,",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customFormat="1" ht="35.1" customHeight="1" x14ac:dyDescent="0.3">
      <c r="A67" s="146" t="s">
        <v>95</v>
      </c>
      <c r="B67" s="147"/>
      <c r="C67" s="148" t="str">
        <f ca="1">I65</f>
        <v>Excavation, Plinth Completed, RCC upto 4 Slab, Brickwork upto 2 Floor, Internal Plaster upto 1.5 Floor Completed</v>
      </c>
      <c r="D67" s="149"/>
      <c r="E67" s="149"/>
      <c r="F67" s="149"/>
      <c r="G67" s="149"/>
      <c r="H67" s="150"/>
      <c r="I67" s="47" t="str">
        <f ca="1">IF(I66&lt;&gt;""," Completed","")</f>
        <v xml:space="preserve"> Completed</v>
      </c>
      <c r="J67" s="40" t="str">
        <f ca="1">IF(J65&lt;&gt;"","Completed","")</f>
        <v>Completed</v>
      </c>
    </row>
    <row r="68" spans="1:10" customFormat="1" ht="15.75" customHeight="1" x14ac:dyDescent="0.3">
      <c r="A68" s="151" t="s">
        <v>52</v>
      </c>
      <c r="B68" s="152"/>
      <c r="C68" s="48" t="s">
        <v>217</v>
      </c>
      <c r="D68" s="48" t="s">
        <v>218</v>
      </c>
      <c r="E68" s="49" t="s">
        <v>219</v>
      </c>
      <c r="F68" s="42" t="s">
        <v>88</v>
      </c>
      <c r="G68" s="50" t="s">
        <v>90</v>
      </c>
      <c r="H68" s="51" t="s">
        <v>89</v>
      </c>
      <c r="I68" s="14" t="s">
        <v>150</v>
      </c>
      <c r="J68" s="52">
        <f ca="1">H66*25%</f>
        <v>4</v>
      </c>
    </row>
    <row r="69" spans="1:10" customFormat="1" x14ac:dyDescent="0.3">
      <c r="A69" s="151" t="s">
        <v>138</v>
      </c>
      <c r="B69" s="152"/>
      <c r="C69" s="53">
        <f ca="1">J70</f>
        <v>16</v>
      </c>
      <c r="D69" s="53">
        <f ca="1">J70</f>
        <v>16</v>
      </c>
      <c r="E69" s="54">
        <f ca="1">(C69+D69)/2</f>
        <v>16</v>
      </c>
      <c r="F69" s="55">
        <f ca="1">((100/H66)*E69)/100</f>
        <v>1</v>
      </c>
      <c r="G69" s="153">
        <f ca="1">(((E70/H66*10)+(40/(D66+F66+H66)*E71)+(7.5/(H66)*E72)+(7.5/(H66)*E73)+(10/H66*E74)+(10/H66*E75)+(5/H66*E76)+(5/H66*E77)+(5/H66*E78))/100)</f>
        <v>0.21052389705882354</v>
      </c>
      <c r="H69" s="156">
        <f ca="1">((((E69/H66)*20)+((E70/H66)*25)+(30/(H66+F66+D66)*E71)+(5/H66*E72)+(5/H66*E73)+(5/H66*E74)+(5/H66*E75)+(0/H66*E76)+(0/H66*E77)+(5/H66*E78))/100)</f>
        <v>0.53152573529411773</v>
      </c>
      <c r="I69" s="14" t="s">
        <v>106</v>
      </c>
      <c r="J69" s="56">
        <f ca="1">H66*50%</f>
        <v>8</v>
      </c>
    </row>
    <row r="70" spans="1:10" customFormat="1" x14ac:dyDescent="0.3">
      <c r="A70" s="151" t="s">
        <v>53</v>
      </c>
      <c r="B70" s="152"/>
      <c r="C70" s="63">
        <f ca="1">J78</f>
        <v>16</v>
      </c>
      <c r="D70" s="63">
        <f ca="1">J78</f>
        <v>16</v>
      </c>
      <c r="E70" s="54">
        <f ca="1">(C70+D70)/2</f>
        <v>16</v>
      </c>
      <c r="F70" s="55">
        <f ca="1">((100/H66)*E70)/100</f>
        <v>1</v>
      </c>
      <c r="G70" s="154"/>
      <c r="H70" s="157"/>
      <c r="I70" s="14" t="s">
        <v>107</v>
      </c>
      <c r="J70" s="56">
        <f ca="1">H66</f>
        <v>16</v>
      </c>
    </row>
    <row r="71" spans="1:10" customFormat="1" x14ac:dyDescent="0.3">
      <c r="A71" s="151" t="s">
        <v>139</v>
      </c>
      <c r="B71" s="152"/>
      <c r="C71" s="53">
        <v>7</v>
      </c>
      <c r="D71" s="53">
        <v>1</v>
      </c>
      <c r="E71" s="54">
        <f t="shared" ref="E71:E76" si="0">(C71+D71)/2</f>
        <v>4</v>
      </c>
      <c r="F71" s="55">
        <f ca="1">((100/(D66+F66+H66))*E71)/100</f>
        <v>0.23529411764705885</v>
      </c>
      <c r="G71" s="154"/>
      <c r="H71" s="157"/>
      <c r="I71" s="14" t="s">
        <v>108</v>
      </c>
      <c r="J71" s="57">
        <f ca="1">(IF(B66&gt;1,(H66/(B66+2)),H66/4))</f>
        <v>4</v>
      </c>
    </row>
    <row r="72" spans="1:10" customFormat="1" x14ac:dyDescent="0.3">
      <c r="A72" s="151" t="s">
        <v>146</v>
      </c>
      <c r="B72" s="152" t="s">
        <v>140</v>
      </c>
      <c r="C72" s="53">
        <v>4</v>
      </c>
      <c r="D72" s="53">
        <v>0</v>
      </c>
      <c r="E72" s="54">
        <f t="shared" si="0"/>
        <v>2</v>
      </c>
      <c r="F72" s="55">
        <f ca="1">((100/H66)*E72)/100</f>
        <v>0.125</v>
      </c>
      <c r="G72" s="154"/>
      <c r="H72" s="157"/>
      <c r="I72" s="14" t="s">
        <v>109</v>
      </c>
      <c r="J72" s="57">
        <f ca="1">(IF(B66&gt;1,(H66/(B66+2)+J71),H66/4+J71))</f>
        <v>8</v>
      </c>
    </row>
    <row r="73" spans="1:10" customFormat="1" x14ac:dyDescent="0.3">
      <c r="A73" s="151" t="s">
        <v>147</v>
      </c>
      <c r="B73" s="152" t="s">
        <v>140</v>
      </c>
      <c r="C73" s="53">
        <v>3</v>
      </c>
      <c r="D73" s="53">
        <v>0</v>
      </c>
      <c r="E73" s="54">
        <f t="shared" si="0"/>
        <v>1.5</v>
      </c>
      <c r="F73" s="55">
        <f ca="1">((100/H66)*E73)/100</f>
        <v>9.375E-2</v>
      </c>
      <c r="G73" s="154"/>
      <c r="H73" s="157"/>
      <c r="I73" s="14" t="s">
        <v>157</v>
      </c>
      <c r="J73" s="57">
        <f>(IF(B66&gt;1,(H66/(B66+2)+J72),0))</f>
        <v>0</v>
      </c>
    </row>
    <row r="74" spans="1:10" customFormat="1" x14ac:dyDescent="0.3">
      <c r="A74" s="151" t="s">
        <v>145</v>
      </c>
      <c r="B74" s="152" t="s">
        <v>142</v>
      </c>
      <c r="C74" s="53">
        <v>0</v>
      </c>
      <c r="D74" s="53">
        <v>0</v>
      </c>
      <c r="E74" s="54">
        <f t="shared" si="0"/>
        <v>0</v>
      </c>
      <c r="F74" s="55">
        <f ca="1">((100/(H66))*E74)/100</f>
        <v>0</v>
      </c>
      <c r="G74" s="154"/>
      <c r="H74" s="157"/>
      <c r="I74" s="14" t="s">
        <v>152</v>
      </c>
      <c r="J74" s="57">
        <f>(IF(B66&gt;2,(H66/(B66+2)+J73),0))</f>
        <v>0</v>
      </c>
    </row>
    <row r="75" spans="1:10" customFormat="1" x14ac:dyDescent="0.3">
      <c r="A75" s="151" t="s">
        <v>141</v>
      </c>
      <c r="B75" s="152" t="s">
        <v>141</v>
      </c>
      <c r="C75" s="53">
        <v>0</v>
      </c>
      <c r="D75" s="53">
        <v>0</v>
      </c>
      <c r="E75" s="54">
        <f t="shared" si="0"/>
        <v>0</v>
      </c>
      <c r="F75" s="55">
        <f ca="1">((100/H66)*E75)/100</f>
        <v>0</v>
      </c>
      <c r="G75" s="154"/>
      <c r="H75" s="157"/>
      <c r="I75" s="14" t="s">
        <v>153</v>
      </c>
      <c r="J75" s="58">
        <f>(IF(B66&gt;3,(H66/(B66+2)+J74),0))</f>
        <v>0</v>
      </c>
    </row>
    <row r="76" spans="1:10" customFormat="1" x14ac:dyDescent="0.3">
      <c r="A76" s="151" t="s">
        <v>148</v>
      </c>
      <c r="B76" s="152"/>
      <c r="C76" s="53">
        <v>0</v>
      </c>
      <c r="D76" s="53">
        <v>0</v>
      </c>
      <c r="E76" s="54">
        <f t="shared" si="0"/>
        <v>0</v>
      </c>
      <c r="F76" s="55">
        <f ca="1">((100/H66)*E76)/100</f>
        <v>0</v>
      </c>
      <c r="G76" s="154"/>
      <c r="H76" s="157"/>
      <c r="I76" s="14" t="s">
        <v>154</v>
      </c>
      <c r="J76" s="57">
        <f>(IF(B66&gt;4,(H66/(B66+2)+J75),0))</f>
        <v>0</v>
      </c>
    </row>
    <row r="77" spans="1:10" customFormat="1" x14ac:dyDescent="0.3">
      <c r="A77" s="151" t="s">
        <v>143</v>
      </c>
      <c r="B77" s="152" t="s">
        <v>143</v>
      </c>
      <c r="C77" s="53">
        <v>0</v>
      </c>
      <c r="D77" s="53">
        <v>0</v>
      </c>
      <c r="E77" s="54">
        <f>(C77+D77)/2</f>
        <v>0</v>
      </c>
      <c r="F77" s="55">
        <f ca="1">((100/(H66))*E77)/100</f>
        <v>0</v>
      </c>
      <c r="G77" s="154"/>
      <c r="H77" s="157"/>
      <c r="I77" s="14" t="s">
        <v>158</v>
      </c>
      <c r="J77" s="57">
        <f ca="1">(IF(B66=1,(H66/(B66+3)+J72),IF(B66=0,(H66/4+J72),IF(B66&gt;1,0))))</f>
        <v>12</v>
      </c>
    </row>
    <row r="78" spans="1:10" customFormat="1" ht="16.2" thickBot="1" x14ac:dyDescent="0.35">
      <c r="A78" s="159" t="s">
        <v>144</v>
      </c>
      <c r="B78" s="160"/>
      <c r="C78" s="59">
        <v>0</v>
      </c>
      <c r="D78" s="59">
        <v>0</v>
      </c>
      <c r="E78" s="60">
        <f t="shared" ref="E78" si="1">(C78+D78)/2</f>
        <v>0</v>
      </c>
      <c r="F78" s="61">
        <f ca="1">((100/(H66))*E78)/100</f>
        <v>0</v>
      </c>
      <c r="G78" s="155"/>
      <c r="H78" s="158"/>
      <c r="I78" s="15" t="s">
        <v>110</v>
      </c>
      <c r="J78" s="62">
        <f ca="1">(IF(B66&gt;1.5,(H66/(B66+2)+J72+MAX(0,J73-J72)+MAX(0,J74-J73)+MAX(0,J75-J74)+MAX(0,J76-J75)+MAX(0,J77-J76)),IF(B66=1,(H66/(B66+3)+J77),IF(B66=0,H66/4+J77))))</f>
        <v>16</v>
      </c>
    </row>
    <row r="79" spans="1:10" x14ac:dyDescent="0.3">
      <c r="A79" s="111" t="s">
        <v>168</v>
      </c>
      <c r="B79" s="111"/>
      <c r="C79" s="111"/>
      <c r="D79" s="111"/>
      <c r="E79" s="111"/>
      <c r="F79" s="109" t="s">
        <v>172</v>
      </c>
      <c r="G79" s="109"/>
      <c r="H79" s="109"/>
    </row>
    <row r="80" spans="1:10" x14ac:dyDescent="0.3">
      <c r="A80" s="91" t="s">
        <v>170</v>
      </c>
      <c r="B80" s="91"/>
      <c r="C80" s="91"/>
      <c r="D80" s="91"/>
      <c r="E80" s="91"/>
      <c r="F80" s="70">
        <v>3800</v>
      </c>
      <c r="G80" s="70"/>
      <c r="H80" s="70"/>
    </row>
    <row r="81" spans="1:8" x14ac:dyDescent="0.3">
      <c r="A81" s="91" t="s">
        <v>169</v>
      </c>
      <c r="B81" s="91"/>
      <c r="C81" s="91"/>
      <c r="D81" s="91"/>
      <c r="E81" s="91"/>
      <c r="F81" s="70">
        <v>6500</v>
      </c>
      <c r="G81" s="70"/>
      <c r="H81" s="70"/>
    </row>
    <row r="82" spans="1:8" x14ac:dyDescent="0.3">
      <c r="A82" s="91" t="s">
        <v>171</v>
      </c>
      <c r="B82" s="91"/>
      <c r="C82" s="91"/>
      <c r="D82" s="91"/>
      <c r="E82" s="91"/>
      <c r="F82" s="70">
        <v>5500</v>
      </c>
      <c r="G82" s="70"/>
      <c r="H82" s="70"/>
    </row>
    <row r="83" spans="1:8" s="26" customFormat="1" hidden="1" x14ac:dyDescent="0.25">
      <c r="A83" s="91" t="s">
        <v>100</v>
      </c>
      <c r="B83" s="91"/>
      <c r="C83" s="91"/>
      <c r="D83" s="91"/>
      <c r="E83" s="91"/>
      <c r="F83" s="70"/>
      <c r="G83" s="70"/>
      <c r="H83" s="70"/>
    </row>
    <row r="84" spans="1:8" s="26" customFormat="1" hidden="1" x14ac:dyDescent="0.25">
      <c r="A84" s="91" t="s">
        <v>101</v>
      </c>
      <c r="B84" s="91"/>
      <c r="C84" s="91"/>
      <c r="D84" s="91"/>
      <c r="E84" s="91"/>
      <c r="F84" s="70"/>
      <c r="G84" s="70"/>
      <c r="H84" s="70"/>
    </row>
    <row r="85" spans="1:8" s="26" customFormat="1" hidden="1" x14ac:dyDescent="0.25">
      <c r="A85" s="91" t="s">
        <v>173</v>
      </c>
      <c r="B85" s="91"/>
      <c r="C85" s="91"/>
      <c r="D85" s="91"/>
      <c r="E85" s="91"/>
      <c r="F85" s="70"/>
      <c r="G85" s="70"/>
      <c r="H85" s="70"/>
    </row>
    <row r="86" spans="1:8" s="26" customFormat="1" hidden="1" x14ac:dyDescent="0.25">
      <c r="A86" s="91" t="s">
        <v>102</v>
      </c>
      <c r="B86" s="91"/>
      <c r="C86" s="91"/>
      <c r="D86" s="91"/>
      <c r="E86" s="91"/>
      <c r="F86" s="70"/>
      <c r="G86" s="70"/>
      <c r="H86" s="70"/>
    </row>
    <row r="87" spans="1:8" s="26" customFormat="1" hidden="1" x14ac:dyDescent="0.25">
      <c r="A87" s="91" t="s">
        <v>103</v>
      </c>
      <c r="B87" s="91"/>
      <c r="C87" s="91"/>
      <c r="D87" s="91"/>
      <c r="E87" s="91"/>
      <c r="F87" s="70"/>
      <c r="G87" s="70"/>
      <c r="H87" s="70"/>
    </row>
    <row r="88" spans="1:8" s="26" customFormat="1" hidden="1" x14ac:dyDescent="0.25">
      <c r="A88" s="91" t="s">
        <v>104</v>
      </c>
      <c r="B88" s="91"/>
      <c r="C88" s="91"/>
      <c r="D88" s="91"/>
      <c r="E88" s="91"/>
      <c r="F88" s="70"/>
      <c r="G88" s="70"/>
      <c r="H88" s="70"/>
    </row>
    <row r="89" spans="1:8" s="26" customFormat="1" hidden="1" x14ac:dyDescent="0.25">
      <c r="A89" s="91" t="s">
        <v>105</v>
      </c>
      <c r="B89" s="91"/>
      <c r="C89" s="91"/>
      <c r="D89" s="91"/>
      <c r="E89" s="91"/>
      <c r="F89" s="70"/>
      <c r="G89" s="70"/>
      <c r="H89" s="70"/>
    </row>
    <row r="90" spans="1:8" x14ac:dyDescent="0.3">
      <c r="A90" s="91" t="s">
        <v>54</v>
      </c>
      <c r="B90" s="91"/>
      <c r="C90" s="91"/>
      <c r="D90" s="91"/>
      <c r="E90" s="91"/>
      <c r="F90" s="70">
        <v>100000</v>
      </c>
      <c r="G90" s="70"/>
      <c r="H90" s="70"/>
    </row>
    <row r="91" spans="1:8" s="27" customFormat="1" x14ac:dyDescent="0.3">
      <c r="A91" s="164" t="s">
        <v>55</v>
      </c>
      <c r="B91" s="164"/>
      <c r="C91" s="164"/>
      <c r="D91" s="164"/>
      <c r="E91" s="164"/>
      <c r="F91" s="70">
        <f>F80*0.8</f>
        <v>3040</v>
      </c>
      <c r="G91" s="70"/>
      <c r="H91" s="70"/>
    </row>
    <row r="92" spans="1:8" s="28" customFormat="1" ht="15.75" customHeight="1" x14ac:dyDescent="0.3">
      <c r="A92" s="185" t="s">
        <v>80</v>
      </c>
      <c r="B92" s="185"/>
      <c r="C92" s="185"/>
      <c r="D92" s="185"/>
      <c r="E92" s="185"/>
      <c r="F92" s="185"/>
      <c r="G92" s="185"/>
      <c r="H92" s="185"/>
    </row>
    <row r="93" spans="1:8" s="28" customFormat="1" ht="15.75" customHeight="1" x14ac:dyDescent="0.3">
      <c r="A93" s="114" t="s">
        <v>56</v>
      </c>
      <c r="B93" s="114"/>
      <c r="C93" s="110" t="s">
        <v>83</v>
      </c>
      <c r="D93" s="110"/>
      <c r="E93" s="187" t="s">
        <v>57</v>
      </c>
      <c r="F93" s="187"/>
      <c r="G93" s="114" t="s">
        <v>58</v>
      </c>
      <c r="H93" s="114"/>
    </row>
    <row r="94" spans="1:8" s="28" customFormat="1" x14ac:dyDescent="0.3">
      <c r="A94" s="186" t="s">
        <v>210</v>
      </c>
      <c r="B94" s="186"/>
      <c r="C94" s="191">
        <f>COUNT(D105:D122)</f>
        <v>18</v>
      </c>
      <c r="D94" s="117"/>
      <c r="E94" s="69">
        <f>SUM(D105:D122)</f>
        <v>6151.1416200000003</v>
      </c>
      <c r="F94" s="192"/>
      <c r="G94" s="69">
        <f>SUM(F105:F122)</f>
        <v>9534.2695110000004</v>
      </c>
      <c r="H94" s="192"/>
    </row>
    <row r="95" spans="1:8" s="28" customFormat="1" x14ac:dyDescent="0.3">
      <c r="A95" s="115" t="s">
        <v>211</v>
      </c>
      <c r="B95" s="116"/>
      <c r="C95" s="95">
        <f>COUNT(D124:D129)</f>
        <v>6</v>
      </c>
      <c r="D95" s="96"/>
      <c r="E95" s="97">
        <f>SUM(D124:D129)</f>
        <v>6392.3628599999984</v>
      </c>
      <c r="F95" s="98"/>
      <c r="G95" s="97">
        <f>SUM(F124:F129)</f>
        <v>9908.1624329999995</v>
      </c>
      <c r="H95" s="98"/>
    </row>
    <row r="96" spans="1:8" s="28" customFormat="1" x14ac:dyDescent="0.3">
      <c r="A96" s="99" t="s">
        <v>162</v>
      </c>
      <c r="B96" s="100"/>
      <c r="C96" s="112">
        <f>SUM(C94:D95)</f>
        <v>24</v>
      </c>
      <c r="D96" s="113"/>
      <c r="E96" s="112">
        <f t="shared" ref="E96" si="2">SUM(E94:F95)</f>
        <v>12543.50448</v>
      </c>
      <c r="F96" s="113"/>
      <c r="G96" s="112">
        <f t="shared" ref="G96" si="3">SUM(G94:H95)</f>
        <v>19442.431944</v>
      </c>
      <c r="H96" s="113"/>
    </row>
    <row r="97" spans="1:14" s="28" customFormat="1" x14ac:dyDescent="0.3">
      <c r="A97" s="185" t="s">
        <v>74</v>
      </c>
      <c r="B97" s="185"/>
      <c r="C97" s="185"/>
      <c r="D97" s="185"/>
      <c r="E97" s="185"/>
      <c r="F97" s="185"/>
      <c r="G97" s="185"/>
      <c r="H97" s="185"/>
    </row>
    <row r="98" spans="1:14" s="28" customFormat="1" ht="15.75" customHeight="1" x14ac:dyDescent="0.3">
      <c r="A98" s="114" t="s">
        <v>56</v>
      </c>
      <c r="B98" s="114"/>
      <c r="C98" s="110" t="s">
        <v>83</v>
      </c>
      <c r="D98" s="110"/>
      <c r="E98" s="187" t="s">
        <v>57</v>
      </c>
      <c r="F98" s="187"/>
      <c r="G98" s="114" t="s">
        <v>58</v>
      </c>
      <c r="H98" s="114"/>
      <c r="J98" s="68">
        <f>G96+G99</f>
        <v>102740.63354099999</v>
      </c>
      <c r="K98" s="68">
        <f>E96+E99</f>
        <v>67447.304729999989</v>
      </c>
    </row>
    <row r="99" spans="1:14" s="28" customFormat="1" x14ac:dyDescent="0.3">
      <c r="A99" s="186" t="s">
        <v>212</v>
      </c>
      <c r="B99" s="186"/>
      <c r="C99" s="117">
        <f>COUNT(D139:D142)+COUNT(D144:D157)+COUNT(D159:D172)*8+COUNT(D174:D181,D183:D187)+COUNT(D189:D192)</f>
        <v>147</v>
      </c>
      <c r="D99" s="117"/>
      <c r="E99" s="69">
        <f>SUM(D139:D142)+SUM(D144:D157)+SUM(D159:D172)*8+SUM(D174:D181,D183:D187)+SUM(D189:D192)</f>
        <v>54903.800249999986</v>
      </c>
      <c r="F99" s="69"/>
      <c r="G99" s="69">
        <f>SUM(F139:F142)+SUM(F144:F157)+SUM(F159:F172)*8+SUM(F174:F181,F183:F187)+SUM(F189:F192)</f>
        <v>83298.201596999992</v>
      </c>
      <c r="H99" s="69"/>
    </row>
    <row r="100" spans="1:14" s="27" customFormat="1" x14ac:dyDescent="0.3">
      <c r="A100" s="165" t="s">
        <v>59</v>
      </c>
      <c r="B100" s="165"/>
      <c r="C100" s="165"/>
      <c r="D100" s="165"/>
      <c r="E100" s="165"/>
      <c r="F100" s="165"/>
      <c r="G100" s="165"/>
      <c r="H100" s="165"/>
    </row>
    <row r="101" spans="1:14" x14ac:dyDescent="0.3">
      <c r="A101" s="165" t="s">
        <v>60</v>
      </c>
      <c r="B101" s="165"/>
      <c r="C101" s="165"/>
      <c r="D101" s="165"/>
      <c r="E101" s="165"/>
      <c r="F101" s="165"/>
      <c r="G101" s="165"/>
      <c r="H101" s="165"/>
    </row>
    <row r="102" spans="1:14" ht="47.25" customHeight="1" x14ac:dyDescent="0.3">
      <c r="A102" s="93" t="s">
        <v>128</v>
      </c>
      <c r="B102" s="93" t="s">
        <v>127</v>
      </c>
      <c r="C102" s="93" t="s">
        <v>61</v>
      </c>
      <c r="D102" s="93" t="s">
        <v>62</v>
      </c>
      <c r="E102" s="105" t="s">
        <v>167</v>
      </c>
      <c r="F102" s="36" t="s">
        <v>160</v>
      </c>
      <c r="G102" s="102" t="s">
        <v>64</v>
      </c>
      <c r="H102" s="107"/>
    </row>
    <row r="103" spans="1:14" s="30" customFormat="1" x14ac:dyDescent="0.3">
      <c r="A103" s="94"/>
      <c r="B103" s="94"/>
      <c r="C103" s="94"/>
      <c r="D103" s="94"/>
      <c r="E103" s="106"/>
      <c r="F103" s="13">
        <v>0.55000000000000004</v>
      </c>
      <c r="G103" s="103"/>
      <c r="H103" s="108"/>
    </row>
    <row r="104" spans="1:14" s="30" customFormat="1" x14ac:dyDescent="0.3">
      <c r="A104" s="80" t="s">
        <v>202</v>
      </c>
      <c r="B104" s="81"/>
      <c r="C104" s="81"/>
      <c r="D104" s="81"/>
      <c r="E104" s="81"/>
      <c r="F104" s="81"/>
      <c r="G104" s="81"/>
      <c r="H104" s="82"/>
      <c r="J104" s="45">
        <f>10.764</f>
        <v>10.763999999999999</v>
      </c>
    </row>
    <row r="105" spans="1:14" s="30" customFormat="1" ht="15.75" customHeight="1" x14ac:dyDescent="0.3">
      <c r="A105" s="78">
        <v>1</v>
      </c>
      <c r="B105" s="79"/>
      <c r="C105" s="35" t="s">
        <v>201</v>
      </c>
      <c r="D105" s="45">
        <f>(2.7*12.45)*(10.764)</f>
        <v>361.83186000000001</v>
      </c>
      <c r="E105" s="35">
        <v>0</v>
      </c>
      <c r="F105" s="35">
        <f>(D105+E105)*(($F$103)+1)</f>
        <v>560.839383</v>
      </c>
      <c r="G105" s="71" t="str">
        <f>A104</f>
        <v>Ground Floor For Commercial &amp; Part Parking</v>
      </c>
      <c r="H105" s="72"/>
      <c r="I105" s="29"/>
      <c r="L105" s="77"/>
      <c r="M105" s="77"/>
      <c r="N105" s="29"/>
    </row>
    <row r="106" spans="1:14" s="30" customFormat="1" ht="15.75" customHeight="1" x14ac:dyDescent="0.3">
      <c r="A106" s="78">
        <f t="shared" ref="A106:A122" si="4">A105+1</f>
        <v>2</v>
      </c>
      <c r="B106" s="79"/>
      <c r="C106" s="35" t="s">
        <v>201</v>
      </c>
      <c r="D106" s="45">
        <f>(2.25*12.45)*(10.764)</f>
        <v>301.52654999999999</v>
      </c>
      <c r="E106" s="35">
        <v>0</v>
      </c>
      <c r="F106" s="35">
        <f t="shared" ref="F106:F108" si="5">(D106+E106)*(($F$103)+1)</f>
        <v>467.3661525</v>
      </c>
      <c r="G106" s="73"/>
      <c r="H106" s="74"/>
      <c r="I106" s="29"/>
      <c r="L106" s="77"/>
      <c r="M106" s="77"/>
      <c r="N106" s="29"/>
    </row>
    <row r="107" spans="1:14" s="30" customFormat="1" ht="15.75" customHeight="1" x14ac:dyDescent="0.3">
      <c r="A107" s="78">
        <f t="shared" si="4"/>
        <v>3</v>
      </c>
      <c r="B107" s="79"/>
      <c r="C107" s="35" t="s">
        <v>201</v>
      </c>
      <c r="D107" s="45">
        <f>(2.7*12.45)*(10.764)</f>
        <v>361.83186000000001</v>
      </c>
      <c r="E107" s="35">
        <v>0</v>
      </c>
      <c r="F107" s="35">
        <f t="shared" si="5"/>
        <v>560.839383</v>
      </c>
      <c r="G107" s="73"/>
      <c r="H107" s="74"/>
      <c r="I107" s="29"/>
      <c r="L107" s="77"/>
      <c r="M107" s="77"/>
      <c r="N107" s="29"/>
    </row>
    <row r="108" spans="1:14" s="30" customFormat="1" ht="15.75" customHeight="1" x14ac:dyDescent="0.3">
      <c r="A108" s="78">
        <f t="shared" si="4"/>
        <v>4</v>
      </c>
      <c r="B108" s="79"/>
      <c r="C108" s="35" t="s">
        <v>201</v>
      </c>
      <c r="D108" s="45">
        <f>(2.7*12.45)*(10.764)</f>
        <v>361.83186000000001</v>
      </c>
      <c r="E108" s="35">
        <v>0</v>
      </c>
      <c r="F108" s="35">
        <f t="shared" si="5"/>
        <v>560.839383</v>
      </c>
      <c r="G108" s="73"/>
      <c r="H108" s="74"/>
      <c r="I108" s="29"/>
      <c r="L108" s="77"/>
      <c r="M108" s="77"/>
      <c r="N108" s="29"/>
    </row>
    <row r="109" spans="1:14" s="30" customFormat="1" ht="15.75" customHeight="1" x14ac:dyDescent="0.3">
      <c r="A109" s="78">
        <f t="shared" si="4"/>
        <v>5</v>
      </c>
      <c r="B109" s="79"/>
      <c r="C109" s="35" t="s">
        <v>201</v>
      </c>
      <c r="D109" s="45">
        <f>(2.25*12.45)*(10.764)</f>
        <v>301.52654999999999</v>
      </c>
      <c r="E109" s="35">
        <v>0</v>
      </c>
      <c r="F109" s="35">
        <f t="shared" ref="F109:F114" si="6">(D109+E109)*(($F$103)+1)</f>
        <v>467.3661525</v>
      </c>
      <c r="G109" s="73"/>
      <c r="H109" s="74"/>
      <c r="I109" s="29"/>
      <c r="L109" s="77"/>
      <c r="M109" s="77"/>
      <c r="N109" s="29"/>
    </row>
    <row r="110" spans="1:14" s="30" customFormat="1" ht="15.75" customHeight="1" x14ac:dyDescent="0.3">
      <c r="A110" s="78">
        <f t="shared" si="4"/>
        <v>6</v>
      </c>
      <c r="B110" s="79"/>
      <c r="C110" s="35" t="s">
        <v>201</v>
      </c>
      <c r="D110" s="45">
        <f>(2.7*12.45)*(10.764)</f>
        <v>361.83186000000001</v>
      </c>
      <c r="E110" s="35">
        <v>0</v>
      </c>
      <c r="F110" s="35">
        <f t="shared" si="6"/>
        <v>560.839383</v>
      </c>
      <c r="G110" s="73"/>
      <c r="H110" s="74"/>
      <c r="I110" s="29"/>
      <c r="L110" s="77"/>
      <c r="M110" s="77"/>
      <c r="N110" s="29"/>
    </row>
    <row r="111" spans="1:14" s="30" customFormat="1" ht="15.75" customHeight="1" x14ac:dyDescent="0.3">
      <c r="A111" s="78">
        <f t="shared" si="4"/>
        <v>7</v>
      </c>
      <c r="B111" s="79"/>
      <c r="C111" s="35" t="s">
        <v>201</v>
      </c>
      <c r="D111" s="45">
        <f>(2.7*12.45)*(10.764)</f>
        <v>361.83186000000001</v>
      </c>
      <c r="E111" s="35">
        <v>0</v>
      </c>
      <c r="F111" s="35">
        <f t="shared" si="6"/>
        <v>560.839383</v>
      </c>
      <c r="G111" s="73"/>
      <c r="H111" s="74"/>
      <c r="I111" s="29"/>
      <c r="L111" s="77"/>
      <c r="M111" s="77"/>
      <c r="N111" s="29"/>
    </row>
    <row r="112" spans="1:14" s="30" customFormat="1" ht="15.75" customHeight="1" x14ac:dyDescent="0.3">
      <c r="A112" s="78">
        <f t="shared" si="4"/>
        <v>8</v>
      </c>
      <c r="B112" s="79"/>
      <c r="C112" s="35" t="s">
        <v>201</v>
      </c>
      <c r="D112" s="45">
        <f>(2.25*12.45)*(10.764)</f>
        <v>301.52654999999999</v>
      </c>
      <c r="E112" s="35">
        <v>0</v>
      </c>
      <c r="F112" s="35">
        <f t="shared" si="6"/>
        <v>467.3661525</v>
      </c>
      <c r="G112" s="73"/>
      <c r="H112" s="74"/>
      <c r="I112" s="29"/>
      <c r="L112" s="77"/>
      <c r="M112" s="77"/>
      <c r="N112" s="29"/>
    </row>
    <row r="113" spans="1:14" s="30" customFormat="1" ht="15.75" customHeight="1" x14ac:dyDescent="0.3">
      <c r="A113" s="78">
        <f t="shared" si="4"/>
        <v>9</v>
      </c>
      <c r="B113" s="79"/>
      <c r="C113" s="35" t="s">
        <v>201</v>
      </c>
      <c r="D113" s="45">
        <f>(2.7*12.45)*(10.764)</f>
        <v>361.83186000000001</v>
      </c>
      <c r="E113" s="35">
        <v>0</v>
      </c>
      <c r="F113" s="35">
        <f t="shared" si="6"/>
        <v>560.839383</v>
      </c>
      <c r="G113" s="73"/>
      <c r="H113" s="74"/>
      <c r="I113" s="29"/>
      <c r="L113" s="77"/>
      <c r="M113" s="77"/>
      <c r="N113" s="29"/>
    </row>
    <row r="114" spans="1:14" s="30" customFormat="1" ht="15.75" customHeight="1" x14ac:dyDescent="0.3">
      <c r="A114" s="78">
        <f t="shared" si="4"/>
        <v>10</v>
      </c>
      <c r="B114" s="79"/>
      <c r="C114" s="35" t="s">
        <v>201</v>
      </c>
      <c r="D114" s="45">
        <f>(2.7*12.45)*(10.764)</f>
        <v>361.83186000000001</v>
      </c>
      <c r="E114" s="35">
        <v>0</v>
      </c>
      <c r="F114" s="35">
        <f t="shared" si="6"/>
        <v>560.839383</v>
      </c>
      <c r="G114" s="73"/>
      <c r="H114" s="74"/>
      <c r="I114" s="29"/>
      <c r="L114" s="77"/>
      <c r="M114" s="77"/>
      <c r="N114" s="29"/>
    </row>
    <row r="115" spans="1:14" s="30" customFormat="1" ht="15.75" customHeight="1" x14ac:dyDescent="0.3">
      <c r="A115" s="78">
        <f t="shared" si="4"/>
        <v>11</v>
      </c>
      <c r="B115" s="79"/>
      <c r="C115" s="35" t="s">
        <v>201</v>
      </c>
      <c r="D115" s="45">
        <f>(2.25*12.45)*(10.764)</f>
        <v>301.52654999999999</v>
      </c>
      <c r="E115" s="35">
        <v>0</v>
      </c>
      <c r="F115" s="35">
        <f t="shared" ref="F115:F119" si="7">(D115+E115)*(($F$103)+1)</f>
        <v>467.3661525</v>
      </c>
      <c r="G115" s="73"/>
      <c r="H115" s="74"/>
      <c r="I115" s="29"/>
      <c r="L115" s="77"/>
      <c r="M115" s="77"/>
      <c r="N115" s="29"/>
    </row>
    <row r="116" spans="1:14" s="30" customFormat="1" ht="15.75" customHeight="1" x14ac:dyDescent="0.3">
      <c r="A116" s="78">
        <f t="shared" si="4"/>
        <v>12</v>
      </c>
      <c r="B116" s="79"/>
      <c r="C116" s="35" t="s">
        <v>201</v>
      </c>
      <c r="D116" s="45">
        <f>(2.7*12.45)*(10.764)</f>
        <v>361.83186000000001</v>
      </c>
      <c r="E116" s="35">
        <v>0</v>
      </c>
      <c r="F116" s="35">
        <f t="shared" si="7"/>
        <v>560.839383</v>
      </c>
      <c r="G116" s="73"/>
      <c r="H116" s="74"/>
      <c r="I116" s="29"/>
      <c r="L116" s="77"/>
      <c r="M116" s="77"/>
      <c r="N116" s="29"/>
    </row>
    <row r="117" spans="1:14" s="30" customFormat="1" ht="15.75" customHeight="1" x14ac:dyDescent="0.3">
      <c r="A117" s="78">
        <f t="shared" si="4"/>
        <v>13</v>
      </c>
      <c r="B117" s="79"/>
      <c r="C117" s="35" t="s">
        <v>201</v>
      </c>
      <c r="D117" s="45">
        <f>(2.7*12.45)*(10.764)</f>
        <v>361.83186000000001</v>
      </c>
      <c r="E117" s="35">
        <v>0</v>
      </c>
      <c r="F117" s="35">
        <f t="shared" si="7"/>
        <v>560.839383</v>
      </c>
      <c r="G117" s="73"/>
      <c r="H117" s="74"/>
      <c r="I117" s="29"/>
      <c r="L117" s="77"/>
      <c r="M117" s="77"/>
      <c r="N117" s="29"/>
    </row>
    <row r="118" spans="1:14" s="30" customFormat="1" ht="15.75" customHeight="1" x14ac:dyDescent="0.3">
      <c r="A118" s="78">
        <f t="shared" si="4"/>
        <v>14</v>
      </c>
      <c r="B118" s="79"/>
      <c r="C118" s="35" t="s">
        <v>201</v>
      </c>
      <c r="D118" s="45">
        <f>(2.25*12.45)*(10.764)</f>
        <v>301.52654999999999</v>
      </c>
      <c r="E118" s="35">
        <v>0</v>
      </c>
      <c r="F118" s="35">
        <f t="shared" si="7"/>
        <v>467.3661525</v>
      </c>
      <c r="G118" s="73"/>
      <c r="H118" s="74"/>
      <c r="I118" s="29"/>
      <c r="L118" s="77"/>
      <c r="M118" s="77"/>
      <c r="N118" s="29"/>
    </row>
    <row r="119" spans="1:14" s="30" customFormat="1" ht="15.75" customHeight="1" x14ac:dyDescent="0.3">
      <c r="A119" s="78">
        <f t="shared" si="4"/>
        <v>15</v>
      </c>
      <c r="B119" s="79"/>
      <c r="C119" s="35" t="s">
        <v>201</v>
      </c>
      <c r="D119" s="45">
        <f>(2.7*12.45)*(10.764)</f>
        <v>361.83186000000001</v>
      </c>
      <c r="E119" s="35">
        <v>0</v>
      </c>
      <c r="F119" s="35">
        <f t="shared" si="7"/>
        <v>560.839383</v>
      </c>
      <c r="G119" s="73"/>
      <c r="H119" s="74"/>
      <c r="I119" s="29"/>
      <c r="L119" s="77"/>
      <c r="M119" s="77"/>
      <c r="N119" s="29"/>
    </row>
    <row r="120" spans="1:14" s="30" customFormat="1" ht="15.75" customHeight="1" x14ac:dyDescent="0.3">
      <c r="A120" s="78">
        <f t="shared" si="4"/>
        <v>16</v>
      </c>
      <c r="B120" s="79"/>
      <c r="C120" s="35" t="s">
        <v>201</v>
      </c>
      <c r="D120" s="45">
        <f>(2.7*12.45)*(10.764)</f>
        <v>361.83186000000001</v>
      </c>
      <c r="E120" s="35">
        <v>0</v>
      </c>
      <c r="F120" s="35">
        <f t="shared" ref="F120:F122" si="8">(D120+E120)*(($F$103)+1)</f>
        <v>560.839383</v>
      </c>
      <c r="G120" s="73"/>
      <c r="H120" s="74"/>
      <c r="I120" s="29"/>
      <c r="L120" s="77"/>
      <c r="M120" s="77"/>
      <c r="N120" s="29"/>
    </row>
    <row r="121" spans="1:14" s="30" customFormat="1" ht="15.75" customHeight="1" x14ac:dyDescent="0.3">
      <c r="A121" s="78">
        <f t="shared" si="4"/>
        <v>17</v>
      </c>
      <c r="B121" s="79"/>
      <c r="C121" s="35" t="s">
        <v>201</v>
      </c>
      <c r="D121" s="45">
        <f>(2.25*12.45)*(10.764)</f>
        <v>301.52654999999999</v>
      </c>
      <c r="E121" s="35">
        <v>0</v>
      </c>
      <c r="F121" s="35">
        <f t="shared" si="8"/>
        <v>467.3661525</v>
      </c>
      <c r="G121" s="73"/>
      <c r="H121" s="74"/>
      <c r="I121" s="29"/>
      <c r="L121" s="77"/>
      <c r="M121" s="77"/>
      <c r="N121" s="29"/>
    </row>
    <row r="122" spans="1:14" s="30" customFormat="1" ht="15.75" customHeight="1" x14ac:dyDescent="0.3">
      <c r="A122" s="78">
        <f t="shared" si="4"/>
        <v>18</v>
      </c>
      <c r="B122" s="79"/>
      <c r="C122" s="35" t="s">
        <v>201</v>
      </c>
      <c r="D122" s="45">
        <f>(2.7*12.45)*(10.764)</f>
        <v>361.83186000000001</v>
      </c>
      <c r="E122" s="35">
        <v>0</v>
      </c>
      <c r="F122" s="35">
        <f t="shared" si="8"/>
        <v>560.839383</v>
      </c>
      <c r="G122" s="75"/>
      <c r="H122" s="76"/>
      <c r="I122" s="29"/>
      <c r="L122" s="77"/>
      <c r="M122" s="77"/>
      <c r="N122" s="29"/>
    </row>
    <row r="123" spans="1:14" s="30" customFormat="1" x14ac:dyDescent="0.3">
      <c r="A123" s="104" t="s">
        <v>204</v>
      </c>
      <c r="B123" s="104"/>
      <c r="C123" s="104"/>
      <c r="D123" s="104"/>
      <c r="E123" s="104"/>
      <c r="F123" s="104"/>
      <c r="G123" s="104"/>
      <c r="H123" s="104"/>
      <c r="J123" s="29"/>
    </row>
    <row r="124" spans="1:14" s="30" customFormat="1" ht="15.75" customHeight="1" x14ac:dyDescent="0.3">
      <c r="A124" s="92">
        <v>1</v>
      </c>
      <c r="B124" s="92"/>
      <c r="C124" s="35" t="s">
        <v>203</v>
      </c>
      <c r="D124" s="45">
        <f t="shared" ref="D124:D129" si="9">(7.95*12.45)*(10.764)</f>
        <v>1065.3938099999998</v>
      </c>
      <c r="E124" s="35">
        <v>0</v>
      </c>
      <c r="F124" s="35">
        <f>(D124+E124)*(($F$103)+1)</f>
        <v>1651.3604054999998</v>
      </c>
      <c r="G124" s="92" t="str">
        <f>A123</f>
        <v>1st Floor For Part Commercial &amp; Part Amenities</v>
      </c>
      <c r="H124" s="92"/>
      <c r="I124" s="29"/>
      <c r="L124" s="77"/>
      <c r="M124" s="77"/>
      <c r="N124" s="29"/>
    </row>
    <row r="125" spans="1:14" s="30" customFormat="1" ht="15.75" customHeight="1" x14ac:dyDescent="0.3">
      <c r="A125" s="92">
        <f t="shared" ref="A125:A129" si="10">A124+1</f>
        <v>2</v>
      </c>
      <c r="B125" s="92"/>
      <c r="C125" s="35" t="s">
        <v>203</v>
      </c>
      <c r="D125" s="45">
        <f t="shared" si="9"/>
        <v>1065.3938099999998</v>
      </c>
      <c r="E125" s="35">
        <v>0</v>
      </c>
      <c r="F125" s="35">
        <f t="shared" ref="F125:F127" si="11">(D125+E125)*(($F$103)+1)</f>
        <v>1651.3604054999998</v>
      </c>
      <c r="G125" s="92"/>
      <c r="H125" s="92"/>
      <c r="I125" s="29"/>
      <c r="L125" s="77"/>
      <c r="M125" s="77"/>
      <c r="N125" s="29"/>
    </row>
    <row r="126" spans="1:14" s="30" customFormat="1" ht="15.75" customHeight="1" x14ac:dyDescent="0.3">
      <c r="A126" s="92">
        <f t="shared" si="10"/>
        <v>3</v>
      </c>
      <c r="B126" s="92"/>
      <c r="C126" s="35" t="s">
        <v>203</v>
      </c>
      <c r="D126" s="45">
        <f t="shared" si="9"/>
        <v>1065.3938099999998</v>
      </c>
      <c r="E126" s="35">
        <v>0</v>
      </c>
      <c r="F126" s="35">
        <f t="shared" si="11"/>
        <v>1651.3604054999998</v>
      </c>
      <c r="G126" s="92"/>
      <c r="H126" s="92"/>
      <c r="I126" s="29"/>
      <c r="L126" s="77"/>
      <c r="M126" s="77"/>
      <c r="N126" s="29"/>
    </row>
    <row r="127" spans="1:14" s="30" customFormat="1" ht="15.75" customHeight="1" x14ac:dyDescent="0.3">
      <c r="A127" s="92">
        <f t="shared" si="10"/>
        <v>4</v>
      </c>
      <c r="B127" s="92"/>
      <c r="C127" s="35" t="s">
        <v>203</v>
      </c>
      <c r="D127" s="45">
        <f t="shared" si="9"/>
        <v>1065.3938099999998</v>
      </c>
      <c r="E127" s="35">
        <v>0</v>
      </c>
      <c r="F127" s="35">
        <f t="shared" si="11"/>
        <v>1651.3604054999998</v>
      </c>
      <c r="G127" s="92"/>
      <c r="H127" s="92"/>
      <c r="I127" s="29"/>
      <c r="L127" s="77"/>
      <c r="M127" s="77"/>
      <c r="N127" s="29"/>
    </row>
    <row r="128" spans="1:14" s="30" customFormat="1" ht="15.75" customHeight="1" x14ac:dyDescent="0.3">
      <c r="A128" s="92">
        <f t="shared" si="10"/>
        <v>5</v>
      </c>
      <c r="B128" s="92"/>
      <c r="C128" s="35" t="s">
        <v>203</v>
      </c>
      <c r="D128" s="45">
        <f t="shared" si="9"/>
        <v>1065.3938099999998</v>
      </c>
      <c r="E128" s="35">
        <v>0</v>
      </c>
      <c r="F128" s="35">
        <f t="shared" ref="F128:F129" si="12">(D128+E128)*(($F$103)+1)</f>
        <v>1651.3604054999998</v>
      </c>
      <c r="G128" s="92"/>
      <c r="H128" s="92"/>
      <c r="I128" s="29"/>
      <c r="L128" s="77"/>
      <c r="M128" s="77"/>
      <c r="N128" s="29"/>
    </row>
    <row r="129" spans="1:14" s="30" customFormat="1" ht="15.75" customHeight="1" x14ac:dyDescent="0.3">
      <c r="A129" s="92">
        <f t="shared" si="10"/>
        <v>6</v>
      </c>
      <c r="B129" s="92"/>
      <c r="C129" s="35" t="s">
        <v>203</v>
      </c>
      <c r="D129" s="45">
        <f t="shared" si="9"/>
        <v>1065.3938099999998</v>
      </c>
      <c r="E129" s="35">
        <v>0</v>
      </c>
      <c r="F129" s="35">
        <f t="shared" si="12"/>
        <v>1651.3604054999998</v>
      </c>
      <c r="G129" s="92"/>
      <c r="H129" s="92"/>
      <c r="I129" s="29"/>
      <c r="L129" s="77"/>
      <c r="M129" s="77"/>
      <c r="N129" s="29"/>
    </row>
    <row r="130" spans="1:14" s="30" customFormat="1" hidden="1" x14ac:dyDescent="0.3">
      <c r="A130" s="104" t="s">
        <v>125</v>
      </c>
      <c r="B130" s="104"/>
      <c r="C130" s="104"/>
      <c r="D130" s="104"/>
      <c r="E130" s="104"/>
      <c r="F130" s="104"/>
      <c r="G130" s="104"/>
      <c r="H130" s="104"/>
      <c r="J130" s="29"/>
    </row>
    <row r="131" spans="1:14" s="30" customFormat="1" hidden="1" x14ac:dyDescent="0.3">
      <c r="A131" s="92">
        <v>1</v>
      </c>
      <c r="B131" s="92"/>
      <c r="C131" s="35"/>
      <c r="D131" s="35"/>
      <c r="E131" s="35">
        <v>0</v>
      </c>
      <c r="F131" s="35">
        <f>(D131+E131)*(($F$103)+1)</f>
        <v>0</v>
      </c>
      <c r="G131" s="92" t="str">
        <f>A130</f>
        <v>Ground Floor</v>
      </c>
      <c r="H131" s="92"/>
      <c r="I131" s="29"/>
      <c r="L131" s="77"/>
      <c r="M131" s="77"/>
      <c r="N131" s="29"/>
    </row>
    <row r="132" spans="1:14" s="30" customFormat="1" hidden="1" x14ac:dyDescent="0.3">
      <c r="A132" s="92">
        <f t="shared" ref="A132:A134" si="13">A131+1</f>
        <v>2</v>
      </c>
      <c r="B132" s="92"/>
      <c r="C132" s="35"/>
      <c r="D132" s="35"/>
      <c r="E132" s="35">
        <v>0</v>
      </c>
      <c r="F132" s="35">
        <f t="shared" ref="F132:F134" si="14">(D132+E132)*(($F$103)+1)</f>
        <v>0</v>
      </c>
      <c r="G132" s="92" t="str">
        <f t="shared" ref="G132:G134" si="15">G131</f>
        <v>Ground Floor</v>
      </c>
      <c r="H132" s="92"/>
      <c r="I132" s="29"/>
      <c r="L132" s="77"/>
      <c r="M132" s="77"/>
      <c r="N132" s="29"/>
    </row>
    <row r="133" spans="1:14" s="30" customFormat="1" hidden="1" x14ac:dyDescent="0.3">
      <c r="A133" s="92">
        <f t="shared" si="13"/>
        <v>3</v>
      </c>
      <c r="B133" s="92"/>
      <c r="C133" s="35"/>
      <c r="D133" s="35"/>
      <c r="E133" s="35">
        <v>0</v>
      </c>
      <c r="F133" s="35">
        <f t="shared" si="14"/>
        <v>0</v>
      </c>
      <c r="G133" s="92" t="str">
        <f t="shared" si="15"/>
        <v>Ground Floor</v>
      </c>
      <c r="H133" s="92"/>
      <c r="I133" s="29"/>
      <c r="L133" s="77"/>
      <c r="M133" s="77"/>
      <c r="N133" s="29"/>
    </row>
    <row r="134" spans="1:14" s="30" customFormat="1" hidden="1" x14ac:dyDescent="0.3">
      <c r="A134" s="92">
        <f t="shared" si="13"/>
        <v>4</v>
      </c>
      <c r="B134" s="92"/>
      <c r="C134" s="35"/>
      <c r="D134" s="35"/>
      <c r="E134" s="35">
        <v>0</v>
      </c>
      <c r="F134" s="35">
        <f t="shared" si="14"/>
        <v>0</v>
      </c>
      <c r="G134" s="92" t="str">
        <f t="shared" si="15"/>
        <v>Ground Floor</v>
      </c>
      <c r="H134" s="92"/>
      <c r="I134" s="29"/>
      <c r="L134" s="77"/>
      <c r="M134" s="77"/>
      <c r="N134" s="29"/>
    </row>
    <row r="135" spans="1:14" s="30" customFormat="1" x14ac:dyDescent="0.3">
      <c r="A135" s="92"/>
      <c r="B135" s="92"/>
      <c r="C135" s="92"/>
      <c r="D135" s="92"/>
      <c r="E135" s="92"/>
      <c r="F135" s="92"/>
      <c r="G135" s="92"/>
      <c r="H135" s="92"/>
      <c r="I135" s="29"/>
      <c r="N135" s="29"/>
    </row>
    <row r="136" spans="1:14" ht="47.25" customHeight="1" x14ac:dyDescent="0.3">
      <c r="A136" s="102" t="s">
        <v>129</v>
      </c>
      <c r="B136" s="102" t="s">
        <v>130</v>
      </c>
      <c r="C136" s="93" t="s">
        <v>61</v>
      </c>
      <c r="D136" s="93" t="s">
        <v>62</v>
      </c>
      <c r="E136" s="105" t="s">
        <v>63</v>
      </c>
      <c r="F136" s="36" t="s">
        <v>160</v>
      </c>
      <c r="G136" s="102" t="s">
        <v>64</v>
      </c>
      <c r="H136" s="107"/>
      <c r="I136" s="29"/>
    </row>
    <row r="137" spans="1:14" s="30" customFormat="1" x14ac:dyDescent="0.3">
      <c r="A137" s="103"/>
      <c r="B137" s="103"/>
      <c r="C137" s="94"/>
      <c r="D137" s="94"/>
      <c r="E137" s="106"/>
      <c r="F137" s="13">
        <v>0.5</v>
      </c>
      <c r="G137" s="103"/>
      <c r="H137" s="108"/>
      <c r="I137" s="29"/>
    </row>
    <row r="138" spans="1:14" s="30" customFormat="1" x14ac:dyDescent="0.3">
      <c r="A138" s="80" t="s">
        <v>214</v>
      </c>
      <c r="B138" s="81"/>
      <c r="C138" s="81"/>
      <c r="D138" s="81"/>
      <c r="E138" s="81"/>
      <c r="F138" s="81"/>
      <c r="G138" s="81"/>
      <c r="H138" s="82"/>
      <c r="J138" s="29"/>
    </row>
    <row r="139" spans="1:14" s="30" customFormat="1" ht="15.75" customHeight="1" x14ac:dyDescent="0.3">
      <c r="A139" s="78">
        <v>1</v>
      </c>
      <c r="B139" s="79"/>
      <c r="C139" s="41">
        <v>1</v>
      </c>
      <c r="D139" s="45">
        <f>(31.78+0.75*(2.7+2.7))*(10.764)</f>
        <v>385.67411999999996</v>
      </c>
      <c r="E139" s="35">
        <v>0</v>
      </c>
      <c r="F139" s="35">
        <f>D139*(($F$137)+1)+(IF(E139&lt;101,E139,IF(E139&lt;201,E139/2,IF(E139&lt;=301,E139/3,E139/4))))</f>
        <v>578.51117999999997</v>
      </c>
      <c r="G139" s="71" t="str">
        <f>A138</f>
        <v>1st Floor For Part Residential</v>
      </c>
      <c r="H139" s="72"/>
      <c r="I139" s="29"/>
      <c r="J139" s="30">
        <f>2.7*4.5+2.25*2.48+3*2.7+1.85*1.2+2.7*2.7+1.2*1.68+2.25*0.9</f>
        <v>39.381</v>
      </c>
      <c r="L139" s="77"/>
      <c r="M139" s="77"/>
      <c r="N139" s="29"/>
    </row>
    <row r="140" spans="1:14" s="30" customFormat="1" ht="15.75" customHeight="1" x14ac:dyDescent="0.3">
      <c r="A140" s="78">
        <f t="shared" ref="A140:A142" si="16">A139+1</f>
        <v>2</v>
      </c>
      <c r="B140" s="79"/>
      <c r="C140" s="41">
        <v>2</v>
      </c>
      <c r="D140" s="45">
        <f>(40.62+1.5*0.96+0.75*(2.7+3))*(10.764)</f>
        <v>498.74993999999992</v>
      </c>
      <c r="E140" s="35">
        <v>0</v>
      </c>
      <c r="F140" s="35">
        <f>D140*(($F$137)+1)+(IF(E140&lt;101,E140,IF(E140&lt;201,E140/2,IF(E140&lt;=301,E140/3,E140/4))))</f>
        <v>748.12490999999989</v>
      </c>
      <c r="G140" s="73"/>
      <c r="H140" s="74"/>
      <c r="I140" s="29"/>
      <c r="J140" s="30">
        <f>1.5*0.96+0.75*(2.7+3)</f>
        <v>5.7149999999999999</v>
      </c>
      <c r="L140" s="77"/>
      <c r="M140" s="77"/>
      <c r="N140" s="29"/>
    </row>
    <row r="141" spans="1:14" s="30" customFormat="1" ht="15.75" customHeight="1" x14ac:dyDescent="0.3">
      <c r="A141" s="78">
        <f t="shared" si="16"/>
        <v>3</v>
      </c>
      <c r="B141" s="79"/>
      <c r="C141" s="41">
        <v>2</v>
      </c>
      <c r="D141" s="45">
        <f>(40.62+1.5*0.96+0.75*(2.7+3))*(10.764)</f>
        <v>498.74993999999992</v>
      </c>
      <c r="E141" s="35">
        <v>0</v>
      </c>
      <c r="F141" s="35">
        <f>D141*(($F$137)+1)+(IF(E141&lt;101,E141,IF(E141&lt;201,E141/2,IF(E141&lt;=301,E141/3,E141/4))))</f>
        <v>748.12490999999989</v>
      </c>
      <c r="G141" s="73"/>
      <c r="H141" s="74"/>
      <c r="I141" s="29"/>
      <c r="L141" s="77"/>
      <c r="M141" s="77"/>
      <c r="N141" s="29"/>
    </row>
    <row r="142" spans="1:14" s="30" customFormat="1" ht="15.75" customHeight="1" x14ac:dyDescent="0.3">
      <c r="A142" s="78">
        <f t="shared" si="16"/>
        <v>4</v>
      </c>
      <c r="B142" s="79"/>
      <c r="C142" s="41">
        <v>1</v>
      </c>
      <c r="D142" s="45">
        <f>(31.78+0.75*(2.7+2.7))*(10.764)</f>
        <v>385.67411999999996</v>
      </c>
      <c r="E142" s="35">
        <v>0</v>
      </c>
      <c r="F142" s="35">
        <f>D142*(($F$137)+1)+(IF(E142&lt;101,E142,IF(E142&lt;201,E142/2,IF(E142&lt;=301,E142/3,E142/4))))</f>
        <v>578.51117999999997</v>
      </c>
      <c r="G142" s="75"/>
      <c r="H142" s="76"/>
      <c r="I142" s="29"/>
      <c r="L142" s="77"/>
      <c r="M142" s="77"/>
      <c r="N142" s="29"/>
    </row>
    <row r="143" spans="1:14" s="30" customFormat="1" x14ac:dyDescent="0.3">
      <c r="A143" s="80" t="s">
        <v>126</v>
      </c>
      <c r="B143" s="81"/>
      <c r="C143" s="81"/>
      <c r="D143" s="81"/>
      <c r="E143" s="81"/>
      <c r="F143" s="81"/>
      <c r="G143" s="81"/>
      <c r="H143" s="82"/>
      <c r="J143" s="29"/>
    </row>
    <row r="144" spans="1:14" s="30" customFormat="1" x14ac:dyDescent="0.3">
      <c r="A144" s="78">
        <v>1</v>
      </c>
      <c r="B144" s="79"/>
      <c r="C144" s="41">
        <v>1</v>
      </c>
      <c r="D144" s="45">
        <f>(31.78+0.75*(2.7+2.7))*(10.764)</f>
        <v>385.67411999999996</v>
      </c>
      <c r="E144" s="35">
        <v>0</v>
      </c>
      <c r="F144" s="35">
        <f t="shared" ref="F144:F157" si="17">D144*(($F$137)+1)+(IF(E144&lt;101,E144,IF(E144&lt;201,E144/2,IF(E144&lt;=301,E144/3,E144/4))))</f>
        <v>578.51117999999997</v>
      </c>
      <c r="G144" s="71" t="str">
        <f>A143</f>
        <v>2nd Floor</v>
      </c>
      <c r="H144" s="72"/>
      <c r="I144" s="29"/>
      <c r="L144" s="77"/>
      <c r="M144" s="77"/>
      <c r="N144" s="29"/>
    </row>
    <row r="145" spans="1:14" s="30" customFormat="1" x14ac:dyDescent="0.3">
      <c r="A145" s="78">
        <f t="shared" ref="A145:A157" si="18">A144+1</f>
        <v>2</v>
      </c>
      <c r="B145" s="79"/>
      <c r="C145" s="41">
        <v>2</v>
      </c>
      <c r="D145" s="45">
        <f>(40.62+1.5*0.96+0.75*(2.7+3))*(10.764)</f>
        <v>498.74993999999992</v>
      </c>
      <c r="E145" s="35">
        <v>0</v>
      </c>
      <c r="F145" s="35">
        <f t="shared" si="17"/>
        <v>748.12490999999989</v>
      </c>
      <c r="G145" s="73"/>
      <c r="H145" s="74"/>
      <c r="I145" s="29"/>
      <c r="L145" s="77"/>
      <c r="M145" s="77"/>
      <c r="N145" s="29"/>
    </row>
    <row r="146" spans="1:14" s="30" customFormat="1" x14ac:dyDescent="0.3">
      <c r="A146" s="78">
        <f t="shared" si="18"/>
        <v>3</v>
      </c>
      <c r="B146" s="79"/>
      <c r="C146" s="41">
        <v>0</v>
      </c>
      <c r="D146" s="45">
        <f>(21.04+2.55*0.75)*(10.764)</f>
        <v>247.06071</v>
      </c>
      <c r="E146" s="35">
        <v>0</v>
      </c>
      <c r="F146" s="35">
        <f t="shared" si="17"/>
        <v>370.59106500000001</v>
      </c>
      <c r="G146" s="73"/>
      <c r="H146" s="74"/>
      <c r="I146" s="29"/>
      <c r="L146" s="77"/>
      <c r="M146" s="77"/>
      <c r="N146" s="29"/>
    </row>
    <row r="147" spans="1:14" s="30" customFormat="1" x14ac:dyDescent="0.3">
      <c r="A147" s="78">
        <f t="shared" si="18"/>
        <v>4</v>
      </c>
      <c r="B147" s="79"/>
      <c r="C147" s="41">
        <v>0</v>
      </c>
      <c r="D147" s="45">
        <f>(22.87+0.75*2.55)*(10.764)</f>
        <v>266.75882999999999</v>
      </c>
      <c r="E147" s="35">
        <v>0</v>
      </c>
      <c r="F147" s="35">
        <f t="shared" si="17"/>
        <v>400.13824499999998</v>
      </c>
      <c r="G147" s="73"/>
      <c r="H147" s="74"/>
      <c r="I147" s="29"/>
      <c r="J147" s="30">
        <f>4.9*1.66</f>
        <v>8.1340000000000003</v>
      </c>
      <c r="L147" s="77"/>
      <c r="M147" s="77"/>
      <c r="N147" s="29"/>
    </row>
    <row r="148" spans="1:14" s="30" customFormat="1" x14ac:dyDescent="0.3">
      <c r="A148" s="78">
        <f t="shared" si="18"/>
        <v>5</v>
      </c>
      <c r="B148" s="79"/>
      <c r="C148" s="41">
        <v>0</v>
      </c>
      <c r="D148" s="45">
        <f>(22.87+0.75*2.55)*(10.764)</f>
        <v>266.75882999999999</v>
      </c>
      <c r="E148" s="35">
        <v>0</v>
      </c>
      <c r="F148" s="35">
        <f t="shared" si="17"/>
        <v>400.13824499999998</v>
      </c>
      <c r="G148" s="73"/>
      <c r="H148" s="74"/>
      <c r="I148" s="29"/>
      <c r="J148" s="44">
        <f>1.85/2.85</f>
        <v>0.64912280701754388</v>
      </c>
      <c r="L148" s="77"/>
      <c r="M148" s="77"/>
      <c r="N148" s="29"/>
    </row>
    <row r="149" spans="1:14" s="30" customFormat="1" x14ac:dyDescent="0.3">
      <c r="A149" s="78">
        <f t="shared" si="18"/>
        <v>6</v>
      </c>
      <c r="B149" s="79"/>
      <c r="C149" s="41">
        <v>0</v>
      </c>
      <c r="D149" s="45">
        <f>(21.04+2.55*0.75)*(10.764)</f>
        <v>247.06071</v>
      </c>
      <c r="E149" s="35">
        <v>0</v>
      </c>
      <c r="F149" s="35">
        <f t="shared" si="17"/>
        <v>370.59106500000001</v>
      </c>
      <c r="G149" s="73"/>
      <c r="H149" s="74"/>
      <c r="I149" s="29"/>
      <c r="J149" s="30">
        <f>2.85/1.85</f>
        <v>1.5405405405405406</v>
      </c>
      <c r="K149" s="30">
        <f>1450000/F149</f>
        <v>3912.6685366793718</v>
      </c>
      <c r="L149" s="77">
        <f>1690000/F149</f>
        <v>4560.2826393021642</v>
      </c>
      <c r="M149" s="77"/>
      <c r="N149" s="29"/>
    </row>
    <row r="150" spans="1:14" s="30" customFormat="1" x14ac:dyDescent="0.3">
      <c r="A150" s="78">
        <f t="shared" si="18"/>
        <v>7</v>
      </c>
      <c r="B150" s="79"/>
      <c r="C150" s="41">
        <v>2</v>
      </c>
      <c r="D150" s="45">
        <f>(40.62+1.5*0.96+0.75*(2.7+3))*(10.764)</f>
        <v>498.74993999999992</v>
      </c>
      <c r="E150" s="35">
        <v>0</v>
      </c>
      <c r="F150" s="35">
        <f t="shared" si="17"/>
        <v>748.12490999999989</v>
      </c>
      <c r="G150" s="73"/>
      <c r="H150" s="74"/>
      <c r="I150" s="29"/>
      <c r="J150" s="30">
        <f>6.9*1.54</f>
        <v>10.626000000000001</v>
      </c>
      <c r="L150" s="77"/>
      <c r="M150" s="77"/>
      <c r="N150" s="29"/>
    </row>
    <row r="151" spans="1:14" s="30" customFormat="1" x14ac:dyDescent="0.3">
      <c r="A151" s="78">
        <f t="shared" si="18"/>
        <v>8</v>
      </c>
      <c r="B151" s="79"/>
      <c r="C151" s="41">
        <v>1</v>
      </c>
      <c r="D151" s="45">
        <f>(31.78+0.75*(2.7+2.7))*(10.764)</f>
        <v>385.67411999999996</v>
      </c>
      <c r="E151" s="35">
        <v>0</v>
      </c>
      <c r="F151" s="35">
        <f t="shared" si="17"/>
        <v>578.51117999999997</v>
      </c>
      <c r="G151" s="73"/>
      <c r="H151" s="74"/>
      <c r="I151" s="29"/>
      <c r="J151" s="30">
        <f>4.9*1.54</f>
        <v>7.5460000000000012</v>
      </c>
      <c r="L151" s="77"/>
      <c r="M151" s="77"/>
      <c r="N151" s="29"/>
    </row>
    <row r="152" spans="1:14" s="30" customFormat="1" x14ac:dyDescent="0.3">
      <c r="A152" s="78">
        <f t="shared" si="18"/>
        <v>9</v>
      </c>
      <c r="B152" s="79"/>
      <c r="C152" s="41">
        <v>1</v>
      </c>
      <c r="D152" s="45">
        <f>(31.71+0.75*2.7+1.15*2.7+0.5*0.7*2.25)*(10.764)</f>
        <v>405.02240999999992</v>
      </c>
      <c r="E152" s="45">
        <f>(7.55*2.85+4.95*6.9)*(10.764)</f>
        <v>599.25878999999998</v>
      </c>
      <c r="F152" s="35">
        <f t="shared" si="17"/>
        <v>757.34831249999979</v>
      </c>
      <c r="G152" s="73"/>
      <c r="H152" s="74"/>
      <c r="I152" s="29"/>
      <c r="J152" s="30">
        <f>4.5*1.54</f>
        <v>6.93</v>
      </c>
      <c r="L152" s="77"/>
      <c r="M152" s="77"/>
      <c r="N152" s="29"/>
    </row>
    <row r="153" spans="1:14" s="30" customFormat="1" x14ac:dyDescent="0.3">
      <c r="A153" s="78">
        <f t="shared" si="18"/>
        <v>10</v>
      </c>
      <c r="B153" s="79"/>
      <c r="C153" s="41">
        <v>1</v>
      </c>
      <c r="D153" s="45">
        <f>(31.71+0.75*2.7+1.15*2.7+0.5*0.7*2.25)*(10.764)</f>
        <v>405.02240999999992</v>
      </c>
      <c r="E153" s="45">
        <f>(7.55*2.85+4.95*6.9)*(10.764)</f>
        <v>599.25878999999998</v>
      </c>
      <c r="F153" s="35">
        <f t="shared" si="17"/>
        <v>757.34831249999979</v>
      </c>
      <c r="G153" s="73"/>
      <c r="H153" s="74"/>
      <c r="I153" s="29"/>
      <c r="K153" s="30">
        <f>2.7+2.25</f>
        <v>4.95</v>
      </c>
      <c r="L153" s="77"/>
      <c r="M153" s="77"/>
      <c r="N153" s="29"/>
    </row>
    <row r="154" spans="1:14" s="30" customFormat="1" x14ac:dyDescent="0.3">
      <c r="A154" s="78">
        <f t="shared" si="18"/>
        <v>11</v>
      </c>
      <c r="B154" s="79"/>
      <c r="C154" s="41">
        <v>1</v>
      </c>
      <c r="D154" s="45">
        <f>(31.71+0.75*2.7+0.9*2.7+0.5*0.7*2.25)*(10.764)</f>
        <v>397.75671</v>
      </c>
      <c r="E154" s="45">
        <f>(2.79*8.3+7.55*5.38)*(10.764)</f>
        <v>686.48486400000002</v>
      </c>
      <c r="F154" s="35">
        <f t="shared" si="17"/>
        <v>768.25628099999994</v>
      </c>
      <c r="G154" s="73"/>
      <c r="H154" s="74"/>
      <c r="I154" s="29"/>
      <c r="L154" s="77"/>
      <c r="M154" s="77"/>
      <c r="N154" s="29"/>
    </row>
    <row r="155" spans="1:14" s="30" customFormat="1" x14ac:dyDescent="0.3">
      <c r="A155" s="78">
        <f t="shared" si="18"/>
        <v>12</v>
      </c>
      <c r="B155" s="79"/>
      <c r="C155" s="41">
        <v>1</v>
      </c>
      <c r="D155" s="45">
        <f>(31.71+0.75*2.7+0.9*2.7+0.5*0.7*2.25)*(10.764)</f>
        <v>397.75671</v>
      </c>
      <c r="E155" s="45">
        <f>(2.79*8.3+7.55*5.38)*(10.764)</f>
        <v>686.48486400000002</v>
      </c>
      <c r="F155" s="35">
        <f t="shared" si="17"/>
        <v>768.25628099999994</v>
      </c>
      <c r="G155" s="73"/>
      <c r="H155" s="74"/>
      <c r="I155" s="29"/>
      <c r="L155" s="77"/>
      <c r="M155" s="77"/>
      <c r="N155" s="29"/>
    </row>
    <row r="156" spans="1:14" s="30" customFormat="1" x14ac:dyDescent="0.3">
      <c r="A156" s="78">
        <f t="shared" si="18"/>
        <v>13</v>
      </c>
      <c r="B156" s="79"/>
      <c r="C156" s="41">
        <v>1</v>
      </c>
      <c r="D156" s="45">
        <f>(31.71+0.75*2.7+1.15*2.7+0.5*0.7*2.25)*(10.764)</f>
        <v>405.02240999999992</v>
      </c>
      <c r="E156" s="45">
        <f>(7.55*2.85+4.95*6.9)*(10.764)</f>
        <v>599.25878999999998</v>
      </c>
      <c r="F156" s="35">
        <f t="shared" si="17"/>
        <v>757.34831249999979</v>
      </c>
      <c r="G156" s="73"/>
      <c r="H156" s="74"/>
      <c r="I156" s="29"/>
      <c r="L156" s="77"/>
      <c r="M156" s="77"/>
      <c r="N156" s="29"/>
    </row>
    <row r="157" spans="1:14" s="30" customFormat="1" x14ac:dyDescent="0.3">
      <c r="A157" s="78">
        <f t="shared" si="18"/>
        <v>14</v>
      </c>
      <c r="B157" s="79"/>
      <c r="C157" s="41">
        <v>1</v>
      </c>
      <c r="D157" s="45">
        <f>(31.71+0.75*2.7+1.15*2.7+0.5*0.7*2.25)*(10.764)</f>
        <v>405.02240999999992</v>
      </c>
      <c r="E157" s="45">
        <f>(7.55*2.85+4.95*6.9)*(10.764)</f>
        <v>599.25878999999998</v>
      </c>
      <c r="F157" s="35">
        <f t="shared" si="17"/>
        <v>757.34831249999979</v>
      </c>
      <c r="G157" s="75"/>
      <c r="H157" s="76"/>
      <c r="I157" s="29"/>
      <c r="L157" s="77"/>
      <c r="M157" s="77"/>
      <c r="N157" s="29"/>
    </row>
    <row r="158" spans="1:14" s="30" customFormat="1" x14ac:dyDescent="0.3">
      <c r="A158" s="104" t="s">
        <v>205</v>
      </c>
      <c r="B158" s="104"/>
      <c r="C158" s="104"/>
      <c r="D158" s="104"/>
      <c r="E158" s="104"/>
      <c r="F158" s="104"/>
      <c r="G158" s="104"/>
      <c r="H158" s="104"/>
    </row>
    <row r="159" spans="1:14" s="30" customFormat="1" ht="15.75" customHeight="1" x14ac:dyDescent="0.3">
      <c r="A159" s="92">
        <v>1</v>
      </c>
      <c r="B159" s="92"/>
      <c r="C159" s="41">
        <v>1</v>
      </c>
      <c r="D159" s="45">
        <f>(31.78+0.75*(2.7+2.7))*(10.764)</f>
        <v>385.67411999999996</v>
      </c>
      <c r="E159" s="35">
        <v>0</v>
      </c>
      <c r="F159" s="35">
        <f t="shared" ref="F159:F172" si="19">D159*(($F$137)+1)+(IF(E159&lt;101,E159,IF(E159&lt;201,E159/2,IF(E159&lt;=301,E159/3,E159/4))))</f>
        <v>578.51117999999997</v>
      </c>
      <c r="G159" s="92" t="str">
        <f>A158</f>
        <v>3rd to 7th, 9th to 11th Floor</v>
      </c>
      <c r="H159" s="92"/>
      <c r="I159" s="29"/>
      <c r="J159" s="30">
        <f>2200000/F159</f>
        <v>3802.8651408258006</v>
      </c>
      <c r="K159" s="30">
        <f>3800*F159</f>
        <v>2198342.4839999997</v>
      </c>
      <c r="L159" s="77"/>
      <c r="M159" s="77"/>
      <c r="N159" s="29"/>
    </row>
    <row r="160" spans="1:14" s="30" customFormat="1" ht="15.75" customHeight="1" x14ac:dyDescent="0.3">
      <c r="A160" s="92">
        <f t="shared" ref="A160:A172" si="20">A159+1</f>
        <v>2</v>
      </c>
      <c r="B160" s="92"/>
      <c r="C160" s="41">
        <v>2</v>
      </c>
      <c r="D160" s="45">
        <f>(40.62+1.5*0.96+0.75*(2.7+3))*(10.764)</f>
        <v>498.74993999999992</v>
      </c>
      <c r="E160" s="35">
        <v>0</v>
      </c>
      <c r="F160" s="35">
        <f t="shared" si="19"/>
        <v>748.12490999999989</v>
      </c>
      <c r="G160" s="92"/>
      <c r="H160" s="92"/>
      <c r="I160" s="29"/>
      <c r="J160" s="30">
        <f>2750000/F160</f>
        <v>3675.8567496435862</v>
      </c>
      <c r="K160" s="30">
        <f t="shared" ref="K160:K172" si="21">3700*F160</f>
        <v>2768062.1669999994</v>
      </c>
      <c r="L160" s="77"/>
      <c r="M160" s="77"/>
      <c r="N160" s="29"/>
    </row>
    <row r="161" spans="1:14" s="30" customFormat="1" ht="15.75" customHeight="1" x14ac:dyDescent="0.3">
      <c r="A161" s="92">
        <f t="shared" si="20"/>
        <v>3</v>
      </c>
      <c r="B161" s="92"/>
      <c r="C161" s="41">
        <v>0</v>
      </c>
      <c r="D161" s="45">
        <f>(21.04+2.55*0.75)*(10.764)</f>
        <v>247.06071</v>
      </c>
      <c r="E161" s="35">
        <v>0</v>
      </c>
      <c r="F161" s="35">
        <f t="shared" si="19"/>
        <v>370.59106500000001</v>
      </c>
      <c r="G161" s="92"/>
      <c r="H161" s="92"/>
      <c r="I161" s="29"/>
      <c r="J161" s="67">
        <f>1450000/F161</f>
        <v>3912.6685366793718</v>
      </c>
      <c r="K161" s="30">
        <f t="shared" si="21"/>
        <v>1371186.9405</v>
      </c>
      <c r="L161" s="77"/>
      <c r="M161" s="77"/>
      <c r="N161" s="29"/>
    </row>
    <row r="162" spans="1:14" s="30" customFormat="1" ht="15.75" customHeight="1" x14ac:dyDescent="0.3">
      <c r="A162" s="92">
        <f t="shared" si="20"/>
        <v>4</v>
      </c>
      <c r="B162" s="92"/>
      <c r="C162" s="41">
        <v>0</v>
      </c>
      <c r="D162" s="45">
        <f>(22.87+0.75*2.55)*(10.764)</f>
        <v>266.75882999999999</v>
      </c>
      <c r="E162" s="35">
        <v>0</v>
      </c>
      <c r="F162" s="35">
        <f t="shared" si="19"/>
        <v>400.13824499999998</v>
      </c>
      <c r="G162" s="92"/>
      <c r="H162" s="92"/>
      <c r="I162" s="29"/>
      <c r="K162" s="30">
        <f t="shared" si="21"/>
        <v>1480511.5064999999</v>
      </c>
      <c r="L162" s="77"/>
      <c r="M162" s="77"/>
      <c r="N162" s="29"/>
    </row>
    <row r="163" spans="1:14" s="30" customFormat="1" ht="15.75" customHeight="1" x14ac:dyDescent="0.3">
      <c r="A163" s="92">
        <f t="shared" si="20"/>
        <v>5</v>
      </c>
      <c r="B163" s="92"/>
      <c r="C163" s="41">
        <v>0</v>
      </c>
      <c r="D163" s="45">
        <f>(22.87+0.75*2.55)*(10.764)</f>
        <v>266.75882999999999</v>
      </c>
      <c r="E163" s="35">
        <v>0</v>
      </c>
      <c r="F163" s="35">
        <f t="shared" si="19"/>
        <v>400.13824499999998</v>
      </c>
      <c r="G163" s="92"/>
      <c r="H163" s="92"/>
      <c r="I163" s="29"/>
      <c r="J163" s="30">
        <f>1698000/F163</f>
        <v>4243.5333818190766</v>
      </c>
      <c r="K163" s="30">
        <f t="shared" si="21"/>
        <v>1480511.5064999999</v>
      </c>
      <c r="L163" s="77"/>
      <c r="M163" s="77"/>
      <c r="N163" s="29"/>
    </row>
    <row r="164" spans="1:14" s="30" customFormat="1" ht="15.75" customHeight="1" x14ac:dyDescent="0.3">
      <c r="A164" s="92">
        <f t="shared" si="20"/>
        <v>6</v>
      </c>
      <c r="B164" s="92"/>
      <c r="C164" s="41">
        <v>0</v>
      </c>
      <c r="D164" s="45">
        <f>(21.04+2.55*0.75)*(10.764)</f>
        <v>247.06071</v>
      </c>
      <c r="E164" s="35">
        <v>0</v>
      </c>
      <c r="F164" s="35">
        <f t="shared" si="19"/>
        <v>370.59106500000001</v>
      </c>
      <c r="G164" s="92"/>
      <c r="H164" s="92"/>
      <c r="I164" s="29"/>
      <c r="K164" s="30">
        <f t="shared" si="21"/>
        <v>1371186.9405</v>
      </c>
      <c r="L164" s="77"/>
      <c r="M164" s="77"/>
      <c r="N164" s="29"/>
    </row>
    <row r="165" spans="1:14" s="30" customFormat="1" ht="15.75" customHeight="1" x14ac:dyDescent="0.3">
      <c r="A165" s="92">
        <f t="shared" si="20"/>
        <v>7</v>
      </c>
      <c r="B165" s="92"/>
      <c r="C165" s="41">
        <v>2</v>
      </c>
      <c r="D165" s="45">
        <f>(40.62+1.5*0.96+0.75*(2.7+3))*(10.764)</f>
        <v>498.74993999999992</v>
      </c>
      <c r="E165" s="35">
        <v>0</v>
      </c>
      <c r="F165" s="35">
        <f t="shared" si="19"/>
        <v>748.12490999999989</v>
      </c>
      <c r="G165" s="92"/>
      <c r="H165" s="92"/>
      <c r="I165" s="29"/>
      <c r="J165" s="30">
        <f>3096000/F165</f>
        <v>4138.3463625078339</v>
      </c>
      <c r="K165" s="30">
        <f t="shared" si="21"/>
        <v>2768062.1669999994</v>
      </c>
      <c r="L165" s="77"/>
      <c r="M165" s="77"/>
      <c r="N165" s="29"/>
    </row>
    <row r="166" spans="1:14" s="30" customFormat="1" ht="15.75" customHeight="1" x14ac:dyDescent="0.3">
      <c r="A166" s="92">
        <f t="shared" si="20"/>
        <v>8</v>
      </c>
      <c r="B166" s="92"/>
      <c r="C166" s="41">
        <v>1</v>
      </c>
      <c r="D166" s="45">
        <f>(31.78+0.75*(2.7+2.7))*(10.764)</f>
        <v>385.67411999999996</v>
      </c>
      <c r="E166" s="35">
        <v>0</v>
      </c>
      <c r="F166" s="35">
        <f t="shared" si="19"/>
        <v>578.51117999999997</v>
      </c>
      <c r="G166" s="92"/>
      <c r="H166" s="92"/>
      <c r="I166" s="29"/>
      <c r="K166" s="30">
        <f t="shared" si="21"/>
        <v>2140491.3659999999</v>
      </c>
      <c r="L166" s="77"/>
      <c r="M166" s="77"/>
      <c r="N166" s="29"/>
    </row>
    <row r="167" spans="1:14" s="30" customFormat="1" ht="15.75" customHeight="1" x14ac:dyDescent="0.3">
      <c r="A167" s="92">
        <f t="shared" si="20"/>
        <v>9</v>
      </c>
      <c r="B167" s="92"/>
      <c r="C167" s="41">
        <v>1</v>
      </c>
      <c r="D167" s="45">
        <f>(31.71+0.75*2.7+1.15*2.7+0.5*0.7*2.25)*(10.764)</f>
        <v>405.02240999999992</v>
      </c>
      <c r="E167" s="35">
        <v>0</v>
      </c>
      <c r="F167" s="35">
        <f t="shared" si="19"/>
        <v>607.53361499999983</v>
      </c>
      <c r="G167" s="92"/>
      <c r="H167" s="92"/>
      <c r="I167" s="29"/>
      <c r="K167" s="30">
        <f t="shared" si="21"/>
        <v>2247874.3754999992</v>
      </c>
      <c r="L167" s="77"/>
      <c r="M167" s="77"/>
      <c r="N167" s="29"/>
    </row>
    <row r="168" spans="1:14" s="30" customFormat="1" ht="15.75" customHeight="1" x14ac:dyDescent="0.3">
      <c r="A168" s="92">
        <f t="shared" si="20"/>
        <v>10</v>
      </c>
      <c r="B168" s="92"/>
      <c r="C168" s="41">
        <v>1</v>
      </c>
      <c r="D168" s="45">
        <f>(31.71+0.75*2.7+1.15*2.7+0.5*0.7*2.25)*(10.764)</f>
        <v>405.02240999999992</v>
      </c>
      <c r="E168" s="35">
        <v>0</v>
      </c>
      <c r="F168" s="35">
        <f t="shared" si="19"/>
        <v>607.53361499999983</v>
      </c>
      <c r="G168" s="92"/>
      <c r="H168" s="92"/>
      <c r="I168" s="29"/>
      <c r="K168" s="30">
        <f t="shared" si="21"/>
        <v>2247874.3754999992</v>
      </c>
      <c r="L168" s="77"/>
      <c r="M168" s="77"/>
      <c r="N168" s="29"/>
    </row>
    <row r="169" spans="1:14" s="30" customFormat="1" ht="15.75" customHeight="1" x14ac:dyDescent="0.3">
      <c r="A169" s="92">
        <f t="shared" si="20"/>
        <v>11</v>
      </c>
      <c r="B169" s="92"/>
      <c r="C169" s="41">
        <v>1</v>
      </c>
      <c r="D169" s="45">
        <f>(31.71+0.75*2.7+0.9*2.7)*(10.764)</f>
        <v>389.28005999999999</v>
      </c>
      <c r="E169" s="35">
        <v>0</v>
      </c>
      <c r="F169" s="35">
        <f t="shared" si="19"/>
        <v>583.92008999999996</v>
      </c>
      <c r="G169" s="92"/>
      <c r="H169" s="92"/>
      <c r="I169" s="29"/>
      <c r="K169" s="30">
        <f t="shared" si="21"/>
        <v>2160504.3329999996</v>
      </c>
      <c r="L169" s="77"/>
      <c r="M169" s="77"/>
      <c r="N169" s="29"/>
    </row>
    <row r="170" spans="1:14" s="30" customFormat="1" ht="15.75" customHeight="1" x14ac:dyDescent="0.3">
      <c r="A170" s="92">
        <f t="shared" si="20"/>
        <v>12</v>
      </c>
      <c r="B170" s="92"/>
      <c r="C170" s="41">
        <v>1</v>
      </c>
      <c r="D170" s="45">
        <f>(31.71+0.75*2.7+0.9*2.7)*(10.764)</f>
        <v>389.28005999999999</v>
      </c>
      <c r="E170" s="35">
        <v>0</v>
      </c>
      <c r="F170" s="35">
        <f t="shared" si="19"/>
        <v>583.92008999999996</v>
      </c>
      <c r="G170" s="92"/>
      <c r="H170" s="92"/>
      <c r="I170" s="29"/>
      <c r="K170" s="30">
        <f t="shared" si="21"/>
        <v>2160504.3329999996</v>
      </c>
      <c r="L170" s="77"/>
      <c r="M170" s="77"/>
      <c r="N170" s="29"/>
    </row>
    <row r="171" spans="1:14" s="30" customFormat="1" ht="15.75" customHeight="1" x14ac:dyDescent="0.3">
      <c r="A171" s="92">
        <f t="shared" si="20"/>
        <v>13</v>
      </c>
      <c r="B171" s="92"/>
      <c r="C171" s="41">
        <v>1</v>
      </c>
      <c r="D171" s="45">
        <f>(31.71+0.75*2.7+1.15*2.7+0.5*0.7*2.25)*(10.764)</f>
        <v>405.02240999999992</v>
      </c>
      <c r="E171" s="35">
        <v>0</v>
      </c>
      <c r="F171" s="35">
        <f t="shared" si="19"/>
        <v>607.53361499999983</v>
      </c>
      <c r="G171" s="92"/>
      <c r="H171" s="92"/>
      <c r="I171" s="29"/>
      <c r="K171" s="30">
        <f t="shared" si="21"/>
        <v>2247874.3754999992</v>
      </c>
      <c r="L171" s="77"/>
      <c r="M171" s="77"/>
      <c r="N171" s="29"/>
    </row>
    <row r="172" spans="1:14" s="30" customFormat="1" ht="15.75" customHeight="1" x14ac:dyDescent="0.3">
      <c r="A172" s="92">
        <f t="shared" si="20"/>
        <v>14</v>
      </c>
      <c r="B172" s="92"/>
      <c r="C172" s="41">
        <v>1</v>
      </c>
      <c r="D172" s="45">
        <f>(31.71+0.75*2.7+1.15*2.7+0.5*0.7*2.25)*(10.764)</f>
        <v>405.02240999999992</v>
      </c>
      <c r="E172" s="35">
        <v>0</v>
      </c>
      <c r="F172" s="35">
        <f t="shared" si="19"/>
        <v>607.53361499999983</v>
      </c>
      <c r="G172" s="92"/>
      <c r="H172" s="92"/>
      <c r="I172" s="29"/>
      <c r="K172" s="30">
        <f t="shared" si="21"/>
        <v>2247874.3754999992</v>
      </c>
      <c r="L172" s="77"/>
      <c r="M172" s="77"/>
      <c r="N172" s="29"/>
    </row>
    <row r="173" spans="1:14" s="30" customFormat="1" x14ac:dyDescent="0.3">
      <c r="A173" s="104" t="s">
        <v>207</v>
      </c>
      <c r="B173" s="104"/>
      <c r="C173" s="104"/>
      <c r="D173" s="104"/>
      <c r="E173" s="104"/>
      <c r="F173" s="104"/>
      <c r="G173" s="104"/>
      <c r="H173" s="104"/>
    </row>
    <row r="174" spans="1:14" s="30" customFormat="1" ht="15.75" customHeight="1" x14ac:dyDescent="0.3">
      <c r="A174" s="78">
        <v>1</v>
      </c>
      <c r="B174" s="79"/>
      <c r="C174" s="41">
        <v>1</v>
      </c>
      <c r="D174" s="45">
        <f>(31.78+0.75*(2.7+2.7))*(10.764)</f>
        <v>385.67411999999996</v>
      </c>
      <c r="E174" s="35">
        <v>0</v>
      </c>
      <c r="F174" s="35">
        <f t="shared" ref="F174:F181" si="22">D174*(($F$137)+1)+(IF(E174&lt;101,E174,IF(E174&lt;201,E174/2,IF(E174&lt;=301,E174/3,E174/4))))</f>
        <v>578.51117999999997</v>
      </c>
      <c r="G174" s="71" t="str">
        <f>A173</f>
        <v>8th Floor (Part Refuge Area)</v>
      </c>
      <c r="H174" s="72"/>
      <c r="I174" s="29"/>
      <c r="L174" s="77"/>
      <c r="M174" s="77"/>
      <c r="N174" s="29"/>
    </row>
    <row r="175" spans="1:14" s="30" customFormat="1" ht="15.75" customHeight="1" x14ac:dyDescent="0.3">
      <c r="A175" s="78">
        <f t="shared" ref="A175:A187" si="23">A174+1</f>
        <v>2</v>
      </c>
      <c r="B175" s="79"/>
      <c r="C175" s="41">
        <v>2</v>
      </c>
      <c r="D175" s="45">
        <f>(40.62+1.5*0.96+0.75*(2.7+3))*(10.764)</f>
        <v>498.74993999999992</v>
      </c>
      <c r="E175" s="35">
        <v>0</v>
      </c>
      <c r="F175" s="35">
        <f t="shared" si="22"/>
        <v>748.12490999999989</v>
      </c>
      <c r="G175" s="73"/>
      <c r="H175" s="74"/>
      <c r="I175" s="29">
        <f>2650000/F175</f>
        <v>3542.1892314747283</v>
      </c>
      <c r="K175" s="30">
        <f>6000/1.5</f>
        <v>4000</v>
      </c>
      <c r="L175" s="77"/>
      <c r="M175" s="77"/>
      <c r="N175" s="29"/>
    </row>
    <row r="176" spans="1:14" s="30" customFormat="1" ht="15.75" customHeight="1" x14ac:dyDescent="0.3">
      <c r="A176" s="78">
        <f t="shared" si="23"/>
        <v>3</v>
      </c>
      <c r="B176" s="79"/>
      <c r="C176" s="41">
        <v>0</v>
      </c>
      <c r="D176" s="45">
        <f>(21.04+2.55*0.75)*(10.764)</f>
        <v>247.06071</v>
      </c>
      <c r="E176" s="35">
        <v>0</v>
      </c>
      <c r="F176" s="35">
        <f t="shared" si="22"/>
        <v>370.59106500000001</v>
      </c>
      <c r="G176" s="73"/>
      <c r="H176" s="74"/>
      <c r="I176" s="29"/>
      <c r="L176" s="77">
        <f>14*12-10-10-1</f>
        <v>147</v>
      </c>
      <c r="M176" s="77"/>
      <c r="N176" s="29"/>
    </row>
    <row r="177" spans="1:14" s="30" customFormat="1" ht="15.75" customHeight="1" x14ac:dyDescent="0.3">
      <c r="A177" s="78">
        <f t="shared" si="23"/>
        <v>4</v>
      </c>
      <c r="B177" s="79"/>
      <c r="C177" s="41">
        <v>0</v>
      </c>
      <c r="D177" s="45">
        <f>(22.87+0.75*2.55)*(10.764)</f>
        <v>266.75882999999999</v>
      </c>
      <c r="E177" s="35">
        <v>0</v>
      </c>
      <c r="F177" s="35">
        <f t="shared" si="22"/>
        <v>400.13824499999998</v>
      </c>
      <c r="G177" s="73"/>
      <c r="H177" s="74"/>
      <c r="I177" s="29"/>
      <c r="L177" s="77"/>
      <c r="M177" s="77"/>
      <c r="N177" s="29"/>
    </row>
    <row r="178" spans="1:14" s="30" customFormat="1" ht="15.75" customHeight="1" x14ac:dyDescent="0.3">
      <c r="A178" s="78">
        <f t="shared" si="23"/>
        <v>5</v>
      </c>
      <c r="B178" s="79"/>
      <c r="C178" s="41">
        <v>0</v>
      </c>
      <c r="D178" s="45">
        <f>(22.87+0.75*2.55)*(10.764)</f>
        <v>266.75882999999999</v>
      </c>
      <c r="E178" s="35">
        <v>0</v>
      </c>
      <c r="F178" s="35">
        <f t="shared" si="22"/>
        <v>400.13824499999998</v>
      </c>
      <c r="G178" s="73"/>
      <c r="H178" s="74"/>
      <c r="I178" s="29"/>
      <c r="L178" s="77"/>
      <c r="M178" s="77"/>
      <c r="N178" s="29"/>
    </row>
    <row r="179" spans="1:14" s="30" customFormat="1" ht="15.75" customHeight="1" x14ac:dyDescent="0.3">
      <c r="A179" s="78">
        <f t="shared" si="23"/>
        <v>6</v>
      </c>
      <c r="B179" s="79"/>
      <c r="C179" s="41">
        <v>0</v>
      </c>
      <c r="D179" s="45">
        <f>(21.04+2.55*0.75)*(10.764)</f>
        <v>247.06071</v>
      </c>
      <c r="E179" s="35">
        <v>0</v>
      </c>
      <c r="F179" s="35">
        <f t="shared" si="22"/>
        <v>370.59106500000001</v>
      </c>
      <c r="G179" s="73"/>
      <c r="H179" s="74"/>
      <c r="I179" s="29"/>
      <c r="L179" s="77"/>
      <c r="M179" s="77"/>
      <c r="N179" s="29"/>
    </row>
    <row r="180" spans="1:14" s="30" customFormat="1" ht="15.75" customHeight="1" x14ac:dyDescent="0.3">
      <c r="A180" s="78">
        <f t="shared" si="23"/>
        <v>7</v>
      </c>
      <c r="B180" s="79"/>
      <c r="C180" s="41">
        <v>2</v>
      </c>
      <c r="D180" s="45">
        <f>(40.62+1.5*0.96+0.75*(2.7+3))*(10.764)</f>
        <v>498.74993999999992</v>
      </c>
      <c r="E180" s="35">
        <v>0</v>
      </c>
      <c r="F180" s="35">
        <f t="shared" si="22"/>
        <v>748.12490999999989</v>
      </c>
      <c r="G180" s="73"/>
      <c r="H180" s="74"/>
      <c r="I180" s="29"/>
      <c r="L180" s="77"/>
      <c r="M180" s="77"/>
      <c r="N180" s="29"/>
    </row>
    <row r="181" spans="1:14" s="30" customFormat="1" ht="15.75" customHeight="1" x14ac:dyDescent="0.3">
      <c r="A181" s="78">
        <f t="shared" si="23"/>
        <v>8</v>
      </c>
      <c r="B181" s="79"/>
      <c r="C181" s="41">
        <v>1</v>
      </c>
      <c r="D181" s="45">
        <f>(31.78+0.75*(2.7+2.7))*(10.764)</f>
        <v>385.67411999999996</v>
      </c>
      <c r="E181" s="35">
        <v>0</v>
      </c>
      <c r="F181" s="35">
        <f t="shared" si="22"/>
        <v>578.51117999999997</v>
      </c>
      <c r="G181" s="73"/>
      <c r="H181" s="74"/>
      <c r="I181" s="29">
        <f>2200000/F181</f>
        <v>3802.8651408258006</v>
      </c>
      <c r="L181" s="77"/>
      <c r="M181" s="77"/>
      <c r="N181" s="29"/>
    </row>
    <row r="182" spans="1:14" s="30" customFormat="1" ht="15.75" customHeight="1" x14ac:dyDescent="0.3">
      <c r="A182" s="78">
        <f t="shared" si="23"/>
        <v>9</v>
      </c>
      <c r="B182" s="79"/>
      <c r="C182" s="195" t="s">
        <v>206</v>
      </c>
      <c r="D182" s="196"/>
      <c r="E182" s="196"/>
      <c r="F182" s="197"/>
      <c r="G182" s="73"/>
      <c r="H182" s="74"/>
      <c r="I182" s="29"/>
      <c r="L182" s="77"/>
      <c r="M182" s="77"/>
      <c r="N182" s="29"/>
    </row>
    <row r="183" spans="1:14" s="30" customFormat="1" ht="15.75" customHeight="1" x14ac:dyDescent="0.3">
      <c r="A183" s="78">
        <f t="shared" si="23"/>
        <v>10</v>
      </c>
      <c r="B183" s="79"/>
      <c r="C183" s="41">
        <v>1</v>
      </c>
      <c r="D183" s="45">
        <f>(31.71+0.75*2.7+1.15*2.7+0.5*0.7*2.25)*(10.764)</f>
        <v>405.02240999999992</v>
      </c>
      <c r="E183" s="35">
        <v>0</v>
      </c>
      <c r="F183" s="35">
        <f>D183*(($F$137)+1)+(IF(E183&lt;101,E183,IF(E183&lt;201,E183/2,IF(E183&lt;=301,E183/3,E183/4))))</f>
        <v>607.53361499999983</v>
      </c>
      <c r="G183" s="73"/>
      <c r="H183" s="74"/>
      <c r="I183" s="29"/>
      <c r="L183" s="77"/>
      <c r="M183" s="77"/>
      <c r="N183" s="29"/>
    </row>
    <row r="184" spans="1:14" s="30" customFormat="1" ht="15.75" customHeight="1" x14ac:dyDescent="0.3">
      <c r="A184" s="78">
        <f t="shared" si="23"/>
        <v>11</v>
      </c>
      <c r="B184" s="79"/>
      <c r="C184" s="41">
        <v>1</v>
      </c>
      <c r="D184" s="45">
        <f>(31.71+0.75*2.7+0.9*2.7)*(10.764)</f>
        <v>389.28005999999999</v>
      </c>
      <c r="E184" s="35">
        <v>0</v>
      </c>
      <c r="F184" s="35">
        <f>D184*(($F$137)+1)+(IF(E184&lt;101,E184,IF(E184&lt;201,E184/2,IF(E184&lt;=301,E184/3,E184/4))))</f>
        <v>583.92008999999996</v>
      </c>
      <c r="G184" s="73"/>
      <c r="H184" s="74"/>
      <c r="I184" s="29"/>
      <c r="L184" s="77"/>
      <c r="M184" s="77"/>
      <c r="N184" s="29"/>
    </row>
    <row r="185" spans="1:14" s="30" customFormat="1" ht="15.75" customHeight="1" x14ac:dyDescent="0.3">
      <c r="A185" s="78">
        <f t="shared" si="23"/>
        <v>12</v>
      </c>
      <c r="B185" s="79"/>
      <c r="C185" s="41">
        <v>1</v>
      </c>
      <c r="D185" s="45">
        <f>(31.71+0.75*2.7+0.9*2.7)*(10.764)</f>
        <v>389.28005999999999</v>
      </c>
      <c r="E185" s="35">
        <v>0</v>
      </c>
      <c r="F185" s="35">
        <f>D185*(($F$137)+1)+(IF(E185&lt;101,E185,IF(E185&lt;201,E185/2,IF(E185&lt;=301,E185/3,E185/4))))</f>
        <v>583.92008999999996</v>
      </c>
      <c r="G185" s="73"/>
      <c r="H185" s="74"/>
      <c r="I185" s="29"/>
      <c r="L185" s="77"/>
      <c r="M185" s="77"/>
      <c r="N185" s="29"/>
    </row>
    <row r="186" spans="1:14" s="30" customFormat="1" ht="15.75" customHeight="1" x14ac:dyDescent="0.3">
      <c r="A186" s="78">
        <f t="shared" si="23"/>
        <v>13</v>
      </c>
      <c r="B186" s="79"/>
      <c r="C186" s="41">
        <v>1</v>
      </c>
      <c r="D186" s="45">
        <f>(31.71+0.75*2.7+1.15*2.7+0.5*0.7*2.25)*(10.764)</f>
        <v>405.02240999999992</v>
      </c>
      <c r="E186" s="35">
        <v>0</v>
      </c>
      <c r="F186" s="35">
        <f>D186*(($F$137)+1)+(IF(E186&lt;101,E186,IF(E186&lt;201,E186/2,IF(E186&lt;=301,E186/3,E186/4))))</f>
        <v>607.53361499999983</v>
      </c>
      <c r="G186" s="73"/>
      <c r="H186" s="74"/>
      <c r="I186" s="29"/>
      <c r="L186" s="77"/>
      <c r="M186" s="77"/>
      <c r="N186" s="29"/>
    </row>
    <row r="187" spans="1:14" s="30" customFormat="1" ht="15.75" customHeight="1" x14ac:dyDescent="0.3">
      <c r="A187" s="78">
        <f t="shared" si="23"/>
        <v>14</v>
      </c>
      <c r="B187" s="79"/>
      <c r="C187" s="41">
        <v>1</v>
      </c>
      <c r="D187" s="45">
        <f>(31.71+0.75*2.7+1.15*2.7+0.5*0.7*2.25)*(10.764)</f>
        <v>405.02240999999992</v>
      </c>
      <c r="E187" s="35">
        <v>0</v>
      </c>
      <c r="F187" s="35">
        <f>D187*(($F$137)+1)+(IF(E187&lt;101,E187,IF(E187&lt;201,E187/2,IF(E187&lt;=301,E187/3,E187/4))))</f>
        <v>607.53361499999983</v>
      </c>
      <c r="G187" s="75"/>
      <c r="H187" s="76"/>
      <c r="I187" s="29"/>
      <c r="L187" s="77"/>
      <c r="M187" s="77"/>
      <c r="N187" s="29"/>
    </row>
    <row r="188" spans="1:14" s="30" customFormat="1" x14ac:dyDescent="0.3">
      <c r="A188" s="80" t="s">
        <v>213</v>
      </c>
      <c r="B188" s="81"/>
      <c r="C188" s="81"/>
      <c r="D188" s="81"/>
      <c r="E188" s="81"/>
      <c r="F188" s="81"/>
      <c r="G188" s="81"/>
      <c r="H188" s="82"/>
    </row>
    <row r="189" spans="1:14" s="30" customFormat="1" ht="15.75" customHeight="1" x14ac:dyDescent="0.3">
      <c r="A189" s="78">
        <v>1</v>
      </c>
      <c r="B189" s="79"/>
      <c r="C189" s="41">
        <v>1</v>
      </c>
      <c r="D189" s="45">
        <f>(31.71+0.75*2.7+0.9*2.7)*(10.764)</f>
        <v>389.28005999999999</v>
      </c>
      <c r="E189" s="35">
        <v>0</v>
      </c>
      <c r="F189" s="35">
        <f>D189*(($F$137)+1)+(IF(E189&lt;101,E189,IF(E189&lt;201,E189/2,IF(E189&lt;=301,E189/3,E189/4))))</f>
        <v>583.92008999999996</v>
      </c>
      <c r="G189" s="71" t="str">
        <f>A188</f>
        <v>12th Floor (Part Terrace Area)</v>
      </c>
      <c r="H189" s="72"/>
      <c r="I189" s="29"/>
      <c r="L189" s="77"/>
      <c r="M189" s="77"/>
      <c r="N189" s="29"/>
    </row>
    <row r="190" spans="1:14" s="30" customFormat="1" ht="15.75" customHeight="1" x14ac:dyDescent="0.3">
      <c r="A190" s="78">
        <f t="shared" ref="A190:A192" si="24">A189+1</f>
        <v>2</v>
      </c>
      <c r="B190" s="79"/>
      <c r="C190" s="41">
        <v>1</v>
      </c>
      <c r="D190" s="45">
        <f>(31.71+0.75*2.7+0.9*2.7)*(10.764)</f>
        <v>389.28005999999999</v>
      </c>
      <c r="E190" s="35">
        <v>0</v>
      </c>
      <c r="F190" s="35">
        <f>D190*(($F$137)+1)+(IF(E190&lt;101,E190,IF(E190&lt;201,E190/2,IF(E190&lt;=301,E190/3,E190/4))))</f>
        <v>583.92008999999996</v>
      </c>
      <c r="G190" s="73"/>
      <c r="H190" s="74"/>
      <c r="I190" s="29"/>
      <c r="L190" s="77"/>
      <c r="M190" s="77"/>
      <c r="N190" s="29"/>
    </row>
    <row r="191" spans="1:14" s="30" customFormat="1" ht="15.75" customHeight="1" x14ac:dyDescent="0.3">
      <c r="A191" s="78">
        <f t="shared" si="24"/>
        <v>3</v>
      </c>
      <c r="B191" s="79"/>
      <c r="C191" s="41">
        <v>1</v>
      </c>
      <c r="D191" s="45">
        <f>(31.71+0.75*2.7+1.15*2.7)*(10.764)</f>
        <v>396.54575999999992</v>
      </c>
      <c r="E191" s="35">
        <v>0</v>
      </c>
      <c r="F191" s="35">
        <f>D191*(($F$137)+1)+(IF(E191&lt;101,E191,IF(E191&lt;201,E191/2,IF(E191&lt;=301,E191/3,E191/4))))</f>
        <v>594.81863999999985</v>
      </c>
      <c r="G191" s="73"/>
      <c r="H191" s="74"/>
      <c r="I191" s="29"/>
      <c r="L191" s="77"/>
      <c r="M191" s="77"/>
      <c r="N191" s="29"/>
    </row>
    <row r="192" spans="1:14" s="30" customFormat="1" ht="15.75" customHeight="1" x14ac:dyDescent="0.3">
      <c r="A192" s="78">
        <f t="shared" si="24"/>
        <v>4</v>
      </c>
      <c r="B192" s="79"/>
      <c r="C192" s="41">
        <v>1</v>
      </c>
      <c r="D192" s="45">
        <f>(31.71+0.75*2.7+1.15*2.7)*(10.764)</f>
        <v>396.54575999999992</v>
      </c>
      <c r="E192" s="35">
        <v>0</v>
      </c>
      <c r="F192" s="35">
        <f>D192*(($F$137)+1)+(IF(E192&lt;101,E192,IF(E192&lt;201,E192/2,IF(E192&lt;=301,E192/3,E192/4))))</f>
        <v>594.81863999999985</v>
      </c>
      <c r="G192" s="75"/>
      <c r="H192" s="76"/>
      <c r="I192" s="29"/>
      <c r="L192" s="77"/>
      <c r="M192" s="77"/>
      <c r="N192" s="29"/>
    </row>
    <row r="193" spans="1:14" s="30" customFormat="1" hidden="1" x14ac:dyDescent="0.3">
      <c r="A193" s="104" t="s">
        <v>126</v>
      </c>
      <c r="B193" s="104"/>
      <c r="C193" s="104"/>
      <c r="D193" s="104"/>
      <c r="E193" s="104"/>
      <c r="F193" s="104"/>
      <c r="G193" s="104"/>
      <c r="H193" s="104"/>
      <c r="I193" s="29"/>
      <c r="L193" s="77"/>
      <c r="M193" s="77"/>
    </row>
    <row r="194" spans="1:14" s="30" customFormat="1" hidden="1" x14ac:dyDescent="0.3">
      <c r="A194" s="92">
        <f>LEFT(A193,SUM(LEN(A193)-LEN(SUBSTITUTE(A193,{"0","1","2","3","4","5","6","7","8","9"},""))))*100+1</f>
        <v>201</v>
      </c>
      <c r="B194" s="92"/>
      <c r="C194" s="41"/>
      <c r="D194" s="35"/>
      <c r="E194" s="35">
        <v>0</v>
      </c>
      <c r="F194" s="35">
        <f t="shared" ref="F194:F195" si="25">D194*(($F$137)+1)+(IF(E194&lt;101,E194,IF(E194&lt;201,E194/2,IF(E194&lt;=301,E194/3,E194/4))))</f>
        <v>0</v>
      </c>
      <c r="G194" s="92" t="str">
        <f>A193</f>
        <v>2nd Floor</v>
      </c>
      <c r="H194" s="92"/>
      <c r="I194" s="29"/>
      <c r="N194" s="29"/>
    </row>
    <row r="195" spans="1:14" s="30" customFormat="1" hidden="1" x14ac:dyDescent="0.3">
      <c r="A195" s="92">
        <f>A194+1</f>
        <v>202</v>
      </c>
      <c r="B195" s="92"/>
      <c r="C195" s="41"/>
      <c r="D195" s="35"/>
      <c r="E195" s="35">
        <v>0</v>
      </c>
      <c r="F195" s="35">
        <f t="shared" si="25"/>
        <v>0</v>
      </c>
      <c r="G195" s="92" t="str">
        <f>G194</f>
        <v>2nd Floor</v>
      </c>
      <c r="H195" s="92"/>
      <c r="I195" s="29"/>
      <c r="N195" s="29"/>
    </row>
    <row r="196" spans="1:14" s="30" customFormat="1" hidden="1" x14ac:dyDescent="0.3">
      <c r="A196" s="92">
        <f>A195+1</f>
        <v>203</v>
      </c>
      <c r="B196" s="92"/>
      <c r="C196" s="41"/>
      <c r="D196" s="35"/>
      <c r="E196" s="35">
        <v>0</v>
      </c>
      <c r="F196" s="35">
        <f>D196*(($F$137)+1)+(IF(E196&lt;101,E196,IF(E196&lt;201,E196/2,IF(E196&lt;=301,E196/3,E196/4))))</f>
        <v>0</v>
      </c>
      <c r="G196" s="92" t="str">
        <f>G195</f>
        <v>2nd Floor</v>
      </c>
      <c r="H196" s="92"/>
      <c r="I196" s="29"/>
      <c r="N196" s="29"/>
    </row>
    <row r="197" spans="1:14" s="30" customFormat="1" hidden="1" x14ac:dyDescent="0.3">
      <c r="A197" s="92">
        <f>A196+1</f>
        <v>204</v>
      </c>
      <c r="B197" s="92"/>
      <c r="C197" s="41"/>
      <c r="D197" s="35"/>
      <c r="E197" s="35">
        <v>0</v>
      </c>
      <c r="F197" s="35">
        <f>D197*(($F$137)+1)+(IF(E197&lt;101,E197,IF(E197&lt;201,E197/2,IF(E197&lt;=301,E197/3,E197/4))))</f>
        <v>0</v>
      </c>
      <c r="G197" s="92" t="str">
        <f>G196</f>
        <v>2nd Floor</v>
      </c>
      <c r="H197" s="92"/>
      <c r="I197" s="29"/>
      <c r="N197" s="29"/>
    </row>
    <row r="198" spans="1:14" s="30" customFormat="1" hidden="1" x14ac:dyDescent="0.3">
      <c r="A198" s="92">
        <f>A197+1</f>
        <v>205</v>
      </c>
      <c r="B198" s="92"/>
      <c r="C198" s="41"/>
      <c r="D198" s="35"/>
      <c r="E198" s="35">
        <v>0</v>
      </c>
      <c r="F198" s="35">
        <f>D198*(($F$137)+1)+(IF(E198&lt;101,E198,IF(E198&lt;201,E198/2,IF(E198&lt;=301,E198/3,E198/4))))</f>
        <v>0</v>
      </c>
      <c r="G198" s="92" t="str">
        <f>G197</f>
        <v>2nd Floor</v>
      </c>
      <c r="H198" s="92"/>
      <c r="I198" s="29"/>
      <c r="N198" s="29"/>
    </row>
    <row r="199" spans="1:14" s="30" customFormat="1" ht="15.75" hidden="1" customHeight="1" x14ac:dyDescent="0.3">
      <c r="A199" s="80" t="s">
        <v>161</v>
      </c>
      <c r="B199" s="81"/>
      <c r="C199" s="81"/>
      <c r="D199" s="81"/>
      <c r="E199" s="81"/>
      <c r="F199" s="81"/>
      <c r="G199" s="81"/>
      <c r="H199" s="82"/>
      <c r="I199" s="29"/>
    </row>
    <row r="200" spans="1:14" s="30" customFormat="1" hidden="1" x14ac:dyDescent="0.3">
      <c r="A200" s="78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10^ROW(INDIRECT("1:"&amp;LEN((LEFT(A199,SUM(LEN(A199)-LEN(SUBSTITUTE(A199,{"0","1","2"},""))))))))/10))*100+1&amp;""&amp;" ,..,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301 ,.., 1501</v>
      </c>
      <c r="B200" s="79"/>
      <c r="C200" s="41"/>
      <c r="D200" s="35"/>
      <c r="E200" s="35">
        <v>0</v>
      </c>
      <c r="F200" s="35">
        <f>D200*(($F$137)+1)+(IF(E200&lt;101,E200,IF(E200&lt;201,E200/2,IF(E200&lt;=301,E200/3,E200/4))))</f>
        <v>0</v>
      </c>
      <c r="G200" s="78" t="str">
        <f>A199</f>
        <v>3rd, 5th, 7th, 9th, 11th, 13th, 15th Floor</v>
      </c>
      <c r="H200" s="79"/>
      <c r="I200" s="29"/>
    </row>
    <row r="201" spans="1:14" s="30" customFormat="1" hidden="1" x14ac:dyDescent="0.3">
      <c r="A201" s="78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,..,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302 ,.., 1502</v>
      </c>
      <c r="B201" s="79"/>
      <c r="C201" s="41"/>
      <c r="D201" s="35"/>
      <c r="E201" s="35">
        <v>0</v>
      </c>
      <c r="F201" s="35">
        <f>D201*(($F$137)+1)+(IF(E201&lt;101,E201,IF(E201&lt;201,E201/2,IF(E201&lt;=301,E201/3,E201/4))))</f>
        <v>0</v>
      </c>
      <c r="G201" s="78" t="str">
        <f>G200</f>
        <v>3rd, 5th, 7th, 9th, 11th, 13th, 15th Floor</v>
      </c>
      <c r="H201" s="79"/>
      <c r="I201" s="29"/>
    </row>
    <row r="202" spans="1:14" s="30" customFormat="1" ht="15.75" hidden="1" customHeight="1" x14ac:dyDescent="0.3">
      <c r="A202" s="78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303 ,.., 1503</v>
      </c>
      <c r="B202" s="79"/>
      <c r="C202" s="41"/>
      <c r="D202" s="35"/>
      <c r="E202" s="35">
        <v>0</v>
      </c>
      <c r="F202" s="35">
        <f>D202*(($F$137)+1)+(IF(E202&lt;101,E202,IF(E202&lt;201,E202/2,IF(E202&lt;=301,E202/3,E202/4))))</f>
        <v>0</v>
      </c>
      <c r="G202" s="78" t="str">
        <f>G201</f>
        <v>3rd, 5th, 7th, 9th, 11th, 13th, 15th Floor</v>
      </c>
      <c r="H202" s="79"/>
      <c r="I202" s="29"/>
    </row>
    <row r="203" spans="1:14" s="30" customFormat="1" ht="15.75" hidden="1" customHeight="1" x14ac:dyDescent="0.3">
      <c r="A203" s="78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,..,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304 ,.., 1504</v>
      </c>
      <c r="B203" s="79"/>
      <c r="C203" s="41"/>
      <c r="D203" s="35"/>
      <c r="E203" s="35">
        <v>0</v>
      </c>
      <c r="F203" s="35">
        <f>D203*(($F$137)+1)+(IF(E203&lt;101,E203,IF(E203&lt;201,E203/2,IF(E203&lt;=301,E203/3,E203/4))))</f>
        <v>0</v>
      </c>
      <c r="G203" s="78" t="str">
        <f>G202</f>
        <v>3rd, 5th, 7th, 9th, 11th, 13th, 15th Floor</v>
      </c>
      <c r="H203" s="79"/>
      <c r="I203" s="29"/>
    </row>
    <row r="204" spans="1:14" s="30" customFormat="1" ht="15.75" hidden="1" customHeight="1" x14ac:dyDescent="0.3">
      <c r="A204" s="78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305 ,.., 1505</v>
      </c>
      <c r="B204" s="79"/>
      <c r="C204" s="41"/>
      <c r="D204" s="35"/>
      <c r="E204" s="35">
        <v>0</v>
      </c>
      <c r="F204" s="35">
        <f>D204*(($F$137)+1)+(IF(E204&lt;101,E204,IF(E204&lt;201,E204/2,IF(E204&lt;=301,E204/3,E204/4))))</f>
        <v>0</v>
      </c>
      <c r="G204" s="78" t="str">
        <f>G203</f>
        <v>3rd, 5th, 7th, 9th, 11th, 13th, 15th Floor</v>
      </c>
      <c r="H204" s="79"/>
      <c r="I204" s="29"/>
    </row>
    <row r="205" spans="1:14" s="30" customFormat="1" hidden="1" x14ac:dyDescent="0.3">
      <c r="A205" s="80" t="s">
        <v>155</v>
      </c>
      <c r="B205" s="81"/>
      <c r="C205" s="81"/>
      <c r="D205" s="81"/>
      <c r="E205" s="81"/>
      <c r="F205" s="81"/>
      <c r="G205" s="81"/>
      <c r="H205" s="82"/>
      <c r="I205" s="29"/>
    </row>
    <row r="206" spans="1:14" s="30" customFormat="1" hidden="1" x14ac:dyDescent="0.3">
      <c r="A206" s="78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10^ROW(INDIRECT("1:"&amp;LEN((LEFT(A205,SUM(LEN(A205)-LEN(SUBSTITUTE(A205,{"0","1","2"},""))))))))/10))*100+1&amp;""&amp;" to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",LEN(A205))),LEN(A205)))))))/10))*100+1</f>
        <v>201 to 501</v>
      </c>
      <c r="B206" s="79"/>
      <c r="C206" s="41"/>
      <c r="D206" s="35"/>
      <c r="E206" s="35">
        <v>0</v>
      </c>
      <c r="F206" s="35">
        <f>D206*(($F$137)+1)+(IF(E206&lt;101,E206,IF(E206&lt;201,E206/2,IF(E206&lt;=301,E206/3,E206/4))))</f>
        <v>0</v>
      </c>
      <c r="G206" s="78" t="str">
        <f>A205</f>
        <v>2nd to 5th Floor</v>
      </c>
      <c r="H206" s="79"/>
      <c r="I206" s="29"/>
    </row>
    <row r="207" spans="1:14" s="30" customFormat="1" hidden="1" x14ac:dyDescent="0.3">
      <c r="A207" s="78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to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202 to 502</v>
      </c>
      <c r="B207" s="79"/>
      <c r="C207" s="41"/>
      <c r="D207" s="35"/>
      <c r="E207" s="35">
        <v>0</v>
      </c>
      <c r="F207" s="35">
        <f>D207*(($F$137)+1)+(IF(E207&lt;101,E207,IF(E207&lt;201,E207/2,IF(E207&lt;=301,E207/3,E207/4))))</f>
        <v>0</v>
      </c>
      <c r="G207" s="78" t="str">
        <f>G206</f>
        <v>2nd to 5th Floor</v>
      </c>
      <c r="H207" s="79"/>
      <c r="I207" s="29"/>
    </row>
    <row r="208" spans="1:14" s="30" customFormat="1" hidden="1" x14ac:dyDescent="0.3">
      <c r="A208" s="78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to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203 to 503</v>
      </c>
      <c r="B208" s="79"/>
      <c r="C208" s="41"/>
      <c r="D208" s="35"/>
      <c r="E208" s="35">
        <v>0</v>
      </c>
      <c r="F208" s="35">
        <f>D208*(($F$137)+1)+(IF(E208&lt;101,E208,IF(E208&lt;201,E208/2,IF(E208&lt;=301,E208/3,E208/4))))</f>
        <v>0</v>
      </c>
      <c r="G208" s="78" t="str">
        <f>G207</f>
        <v>2nd to 5th Floor</v>
      </c>
      <c r="H208" s="79"/>
      <c r="I208" s="29"/>
    </row>
    <row r="209" spans="1:9" s="30" customFormat="1" hidden="1" x14ac:dyDescent="0.3">
      <c r="A209" s="78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to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204 to 504</v>
      </c>
      <c r="B209" s="79"/>
      <c r="C209" s="41"/>
      <c r="D209" s="35"/>
      <c r="E209" s="35">
        <v>0</v>
      </c>
      <c r="F209" s="35">
        <f>D209*(($F$137)+1)+(IF(E209&lt;101,E209,IF(E209&lt;201,E209/2,IF(E209&lt;=301,E209/3,E209/4))))</f>
        <v>0</v>
      </c>
      <c r="G209" s="78" t="str">
        <f>G208</f>
        <v>2nd to 5th Floor</v>
      </c>
      <c r="H209" s="79"/>
      <c r="I209" s="29"/>
    </row>
    <row r="210" spans="1:9" s="30" customFormat="1" hidden="1" x14ac:dyDescent="0.3">
      <c r="A210" s="78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to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205 to 505</v>
      </c>
      <c r="B210" s="79"/>
      <c r="C210" s="41"/>
      <c r="D210" s="35"/>
      <c r="E210" s="35">
        <v>0</v>
      </c>
      <c r="F210" s="35">
        <f>D210*(($F$137)+1)+(IF(E210&lt;101,E210,IF(E210&lt;201,E210/2,IF(E210&lt;=301,E210/3,E210/4))))</f>
        <v>0</v>
      </c>
      <c r="G210" s="78" t="str">
        <f>G209</f>
        <v>2nd to 5th Floor</v>
      </c>
      <c r="H210" s="79"/>
      <c r="I210" s="29"/>
    </row>
    <row r="211" spans="1:9" s="30" customFormat="1" hidden="1" x14ac:dyDescent="0.3">
      <c r="A211" s="80" t="s">
        <v>156</v>
      </c>
      <c r="B211" s="81"/>
      <c r="C211" s="81"/>
      <c r="D211" s="81"/>
      <c r="E211" s="81"/>
      <c r="F211" s="81"/>
      <c r="G211" s="81"/>
      <c r="H211" s="82"/>
      <c r="I211" s="29"/>
    </row>
    <row r="212" spans="1:9" s="30" customFormat="1" hidden="1" x14ac:dyDescent="0.3">
      <c r="A212" s="78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10^ROW(INDIRECT("1:"&amp;LEN((LEFT(A211,SUM(LEN(A211)-LEN(SUBSTITUTE(A211,{"0","1","2"},""))))))))/10))*100+1&amp;""&amp;"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",LEN(A211))),LEN(A211)))))))/10))*100+1</f>
        <v>201 &amp; 501</v>
      </c>
      <c r="B212" s="79"/>
      <c r="C212" s="41"/>
      <c r="D212" s="35"/>
      <c r="E212" s="35">
        <v>0</v>
      </c>
      <c r="F212" s="35">
        <f>D212*(($F$137)+1)+(IF(E212&lt;101,E212,IF(E212&lt;201,E212/2,IF(E212&lt;=301,E212/3,E212/4))))</f>
        <v>0</v>
      </c>
      <c r="G212" s="78" t="str">
        <f>A211</f>
        <v>2nd &amp; 5th Floor</v>
      </c>
      <c r="H212" s="79"/>
      <c r="I212" s="29"/>
    </row>
    <row r="213" spans="1:9" s="30" customFormat="1" hidden="1" x14ac:dyDescent="0.3">
      <c r="A213" s="78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202 &amp; 502</v>
      </c>
      <c r="B213" s="79"/>
      <c r="C213" s="41"/>
      <c r="D213" s="35"/>
      <c r="E213" s="35">
        <v>0</v>
      </c>
      <c r="F213" s="35">
        <f>D213*(($F$137)+1)+(IF(E213&lt;101,E213,IF(E213&lt;201,E213/2,IF(E213&lt;=301,E213/3,E213/4))))</f>
        <v>0</v>
      </c>
      <c r="G213" s="78" t="str">
        <f t="shared" ref="G213:G216" si="26">G212</f>
        <v>2nd &amp; 5th Floor</v>
      </c>
      <c r="H213" s="79"/>
      <c r="I213" s="29"/>
    </row>
    <row r="214" spans="1:9" s="30" customFormat="1" hidden="1" x14ac:dyDescent="0.3">
      <c r="A214" s="78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203 &amp; 503</v>
      </c>
      <c r="B214" s="79"/>
      <c r="C214" s="41"/>
      <c r="D214" s="35"/>
      <c r="E214" s="35">
        <v>0</v>
      </c>
      <c r="F214" s="35">
        <f>D214*(($F$137)+1)+(IF(E214&lt;101,E214,IF(E214&lt;201,E214/2,IF(E214&lt;=301,E214/3,E214/4))))</f>
        <v>0</v>
      </c>
      <c r="G214" s="78" t="str">
        <f t="shared" si="26"/>
        <v>2nd &amp; 5th Floor</v>
      </c>
      <c r="H214" s="79"/>
      <c r="I214" s="29"/>
    </row>
    <row r="215" spans="1:9" s="30" customFormat="1" hidden="1" x14ac:dyDescent="0.3">
      <c r="A215" s="78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&amp;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204 &amp; 504</v>
      </c>
      <c r="B215" s="79"/>
      <c r="C215" s="41"/>
      <c r="D215" s="35"/>
      <c r="E215" s="35">
        <v>0</v>
      </c>
      <c r="F215" s="35">
        <f>D215*(($F$137)+1)+(IF(E215&lt;101,E215,IF(E215&lt;201,E215/2,IF(E215&lt;=301,E215/3,E215/4))))</f>
        <v>0</v>
      </c>
      <c r="G215" s="78" t="str">
        <f t="shared" si="26"/>
        <v>2nd &amp; 5th Floor</v>
      </c>
      <c r="H215" s="79"/>
      <c r="I215" s="29"/>
    </row>
    <row r="216" spans="1:9" s="30" customFormat="1" hidden="1" x14ac:dyDescent="0.3">
      <c r="A216" s="78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&amp;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205 &amp; 505</v>
      </c>
      <c r="B216" s="79"/>
      <c r="C216" s="41"/>
      <c r="D216" s="35"/>
      <c r="E216" s="35">
        <v>0</v>
      </c>
      <c r="F216" s="35">
        <f>D216*(($F$137)+1)+(IF(E216&lt;101,E216,IF(E216&lt;201,E216/2,IF(E216&lt;=301,E216/3,E216/4))))</f>
        <v>0</v>
      </c>
      <c r="G216" s="78" t="str">
        <f t="shared" si="26"/>
        <v>2nd &amp; 5th Floor</v>
      </c>
      <c r="H216" s="79"/>
      <c r="I216" s="29"/>
    </row>
    <row r="217" spans="1:9" s="28" customFormat="1" x14ac:dyDescent="0.3">
      <c r="A217" s="101" t="s">
        <v>72</v>
      </c>
      <c r="B217" s="101"/>
      <c r="C217" s="101"/>
      <c r="D217" s="101"/>
      <c r="E217" s="101"/>
      <c r="F217" s="101"/>
      <c r="G217" s="101"/>
      <c r="H217" s="101"/>
    </row>
    <row r="218" spans="1:9" s="28" customFormat="1" ht="39" customHeight="1" x14ac:dyDescent="0.3">
      <c r="A218" s="38" t="s">
        <v>165</v>
      </c>
      <c r="B218" s="188" t="s">
        <v>227</v>
      </c>
      <c r="C218" s="189"/>
      <c r="D218" s="189"/>
      <c r="E218" s="189"/>
      <c r="F218" s="189"/>
      <c r="G218" s="189"/>
      <c r="H218" s="190"/>
    </row>
    <row r="219" spans="1:9" s="28" customFormat="1" x14ac:dyDescent="0.3">
      <c r="A219" s="38" t="s">
        <v>165</v>
      </c>
      <c r="B219" s="188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219" s="189"/>
      <c r="D219" s="189"/>
      <c r="E219" s="189"/>
      <c r="F219" s="189"/>
      <c r="G219" s="189"/>
      <c r="H219" s="190"/>
    </row>
    <row r="220" spans="1:9" s="28" customFormat="1" x14ac:dyDescent="0.3">
      <c r="A220" s="38" t="s">
        <v>165</v>
      </c>
      <c r="B220" s="188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0" s="189"/>
      <c r="D220" s="189"/>
      <c r="E220" s="189"/>
      <c r="F220" s="189"/>
      <c r="G220" s="189"/>
      <c r="H220" s="190"/>
    </row>
    <row r="221" spans="1:9" s="28" customFormat="1" x14ac:dyDescent="0.3">
      <c r="A221" s="38" t="s">
        <v>165</v>
      </c>
      <c r="B221" s="83" t="s">
        <v>133</v>
      </c>
      <c r="C221" s="84"/>
      <c r="D221" s="84"/>
      <c r="E221" s="84"/>
      <c r="F221" s="84"/>
      <c r="G221" s="84"/>
      <c r="H221" s="85"/>
    </row>
    <row r="222" spans="1:9" s="28" customFormat="1" x14ac:dyDescent="0.3">
      <c r="A222" s="38" t="s">
        <v>165</v>
      </c>
      <c r="B222" s="83" t="s">
        <v>208</v>
      </c>
      <c r="C222" s="84"/>
      <c r="D222" s="84"/>
      <c r="E222" s="84"/>
      <c r="F222" s="84"/>
      <c r="G222" s="84"/>
      <c r="H222" s="85"/>
    </row>
    <row r="223" spans="1:9" s="28" customFormat="1" x14ac:dyDescent="0.3">
      <c r="A223" s="38" t="s">
        <v>165</v>
      </c>
      <c r="B223" s="83" t="s">
        <v>164</v>
      </c>
      <c r="C223" s="84"/>
      <c r="D223" s="84"/>
      <c r="E223" s="84"/>
      <c r="F223" s="84"/>
      <c r="G223" s="84"/>
      <c r="H223" s="85"/>
    </row>
    <row r="224" spans="1:9" s="28" customFormat="1" x14ac:dyDescent="0.3">
      <c r="A224" s="38" t="s">
        <v>165</v>
      </c>
      <c r="B224" s="83" t="s">
        <v>134</v>
      </c>
      <c r="C224" s="84"/>
      <c r="D224" s="84"/>
      <c r="E224" s="84"/>
      <c r="F224" s="84"/>
      <c r="G224" s="84"/>
      <c r="H224" s="85"/>
    </row>
    <row r="225" spans="1:8" s="28" customFormat="1" ht="34.5" customHeight="1" x14ac:dyDescent="0.3">
      <c r="A225" s="38" t="s">
        <v>165</v>
      </c>
      <c r="B225" s="83" t="s">
        <v>166</v>
      </c>
      <c r="C225" s="84"/>
      <c r="D225" s="84"/>
      <c r="E225" s="84"/>
      <c r="F225" s="84"/>
      <c r="G225" s="84"/>
      <c r="H225" s="85"/>
    </row>
    <row r="226" spans="1:8" s="28" customFormat="1" x14ac:dyDescent="0.3">
      <c r="A226" s="38" t="s">
        <v>165</v>
      </c>
      <c r="B226" s="83" t="s">
        <v>135</v>
      </c>
      <c r="C226" s="84"/>
      <c r="D226" s="84"/>
      <c r="E226" s="84"/>
      <c r="F226" s="84"/>
      <c r="G226" s="84"/>
      <c r="H226" s="85"/>
    </row>
    <row r="227" spans="1:8" x14ac:dyDescent="0.3">
      <c r="A227" s="136" t="s">
        <v>65</v>
      </c>
      <c r="B227" s="136"/>
      <c r="C227" s="136"/>
      <c r="D227" s="136"/>
      <c r="E227" s="136"/>
      <c r="F227" s="136"/>
      <c r="G227" s="136"/>
      <c r="H227" s="136"/>
    </row>
    <row r="228" spans="1:8" x14ac:dyDescent="0.3">
      <c r="A228" s="91" t="s">
        <v>66</v>
      </c>
      <c r="B228" s="91"/>
      <c r="C228" s="91"/>
      <c r="D228" s="91"/>
      <c r="E228" s="91"/>
      <c r="F228" s="91"/>
      <c r="G228" s="91"/>
      <c r="H228" s="91"/>
    </row>
    <row r="229" spans="1:8" ht="15.75" customHeight="1" x14ac:dyDescent="0.3">
      <c r="A229" s="194" t="s">
        <v>67</v>
      </c>
      <c r="B229" s="194"/>
      <c r="C229" s="194"/>
      <c r="D229" s="194"/>
      <c r="E229" s="194"/>
      <c r="F229" s="194"/>
      <c r="G229" s="194"/>
      <c r="H229" s="194"/>
    </row>
    <row r="230" spans="1:8" x14ac:dyDescent="0.3">
      <c r="A230" s="91" t="s">
        <v>68</v>
      </c>
      <c r="B230" s="91"/>
      <c r="C230" s="91"/>
      <c r="D230" s="91"/>
      <c r="E230" s="91"/>
      <c r="F230" s="91"/>
      <c r="G230" s="91"/>
      <c r="H230" s="91"/>
    </row>
    <row r="231" spans="1:8" x14ac:dyDescent="0.3">
      <c r="A231" s="91" t="s">
        <v>69</v>
      </c>
      <c r="B231" s="91"/>
      <c r="C231" s="91"/>
      <c r="D231" s="91"/>
      <c r="E231" s="91"/>
      <c r="F231" s="91"/>
      <c r="G231" s="91"/>
      <c r="H231" s="91"/>
    </row>
    <row r="232" spans="1:8" x14ac:dyDescent="0.3">
      <c r="A232" s="91" t="s">
        <v>136</v>
      </c>
      <c r="B232" s="91"/>
      <c r="C232" s="91"/>
      <c r="D232" s="91"/>
      <c r="E232" s="91"/>
      <c r="F232" s="91"/>
      <c r="G232" s="91"/>
      <c r="H232" s="91"/>
    </row>
    <row r="233" spans="1:8" x14ac:dyDescent="0.3">
      <c r="A233" s="137" t="s">
        <v>137</v>
      </c>
      <c r="B233" s="137"/>
      <c r="C233" s="137"/>
      <c r="D233" s="137"/>
      <c r="E233" s="137"/>
      <c r="F233" s="137"/>
      <c r="G233" s="137"/>
      <c r="H233" s="137"/>
    </row>
    <row r="234" spans="1:8" x14ac:dyDescent="0.3">
      <c r="A234" s="184" t="s">
        <v>82</v>
      </c>
      <c r="B234" s="184"/>
      <c r="C234" s="184" t="s">
        <v>223</v>
      </c>
      <c r="D234" s="184"/>
      <c r="E234" s="184" t="s">
        <v>112</v>
      </c>
      <c r="F234" s="184"/>
      <c r="G234" s="184" t="s">
        <v>228</v>
      </c>
      <c r="H234" s="184"/>
    </row>
    <row r="235" spans="1:8" x14ac:dyDescent="0.3">
      <c r="A235" s="183" t="s">
        <v>84</v>
      </c>
      <c r="B235" s="183"/>
      <c r="C235" s="183"/>
      <c r="D235" s="183"/>
      <c r="E235" s="183"/>
      <c r="F235" s="183"/>
      <c r="G235" s="183"/>
      <c r="H235" s="183"/>
    </row>
    <row r="236" spans="1:8" x14ac:dyDescent="0.3">
      <c r="A236" s="183"/>
      <c r="B236" s="183"/>
      <c r="C236" s="183"/>
      <c r="D236" s="183"/>
      <c r="E236" s="183"/>
      <c r="F236" s="183"/>
      <c r="G236" s="183"/>
      <c r="H236" s="183"/>
    </row>
    <row r="237" spans="1:8" x14ac:dyDescent="0.3">
      <c r="A237" s="183"/>
      <c r="B237" s="183"/>
      <c r="C237" s="183"/>
      <c r="D237" s="183"/>
      <c r="E237" s="183"/>
      <c r="F237" s="183"/>
      <c r="G237" s="183"/>
      <c r="H237" s="183"/>
    </row>
    <row r="238" spans="1:8" x14ac:dyDescent="0.3">
      <c r="A238" s="183"/>
      <c r="B238" s="183"/>
      <c r="C238" s="183"/>
      <c r="D238" s="183"/>
      <c r="E238" s="183"/>
      <c r="F238" s="183"/>
      <c r="G238" s="183"/>
      <c r="H238" s="183"/>
    </row>
    <row r="239" spans="1:8" x14ac:dyDescent="0.3">
      <c r="A239" s="31" t="s">
        <v>70</v>
      </c>
      <c r="B239" s="32"/>
      <c r="C239" s="32"/>
      <c r="D239" s="31" t="str">
        <f>E8</f>
        <v>Green Park Residency</v>
      </c>
      <c r="F239" s="32"/>
      <c r="G239" s="32"/>
      <c r="H239" s="32"/>
    </row>
    <row r="240" spans="1:8" x14ac:dyDescent="0.3">
      <c r="A240" s="32"/>
      <c r="B240" s="32"/>
      <c r="C240" s="32"/>
      <c r="D240" s="32"/>
      <c r="E240" s="32"/>
      <c r="F240" s="32"/>
      <c r="G240" s="32"/>
      <c r="H240" s="32"/>
    </row>
    <row r="241" spans="1:8" x14ac:dyDescent="0.3">
      <c r="A241" s="32"/>
      <c r="B241" s="32"/>
      <c r="C241" s="32"/>
      <c r="D241" s="32"/>
      <c r="E241" s="32"/>
      <c r="F241" s="32"/>
      <c r="G241" s="32"/>
      <c r="H241" s="32"/>
    </row>
    <row r="242" spans="1:8" ht="15" customHeight="1" x14ac:dyDescent="0.3"/>
    <row r="243" spans="1:8" x14ac:dyDescent="0.3">
      <c r="H243" s="33" t="s">
        <v>209</v>
      </c>
    </row>
    <row r="281" spans="1:1" x14ac:dyDescent="0.3">
      <c r="A281" s="34" t="s">
        <v>178</v>
      </c>
    </row>
    <row r="319" spans="1:1" x14ac:dyDescent="0.3">
      <c r="A319" s="34" t="s">
        <v>71</v>
      </c>
    </row>
  </sheetData>
  <mergeCells count="465">
    <mergeCell ref="A181:B181"/>
    <mergeCell ref="L181:M181"/>
    <mergeCell ref="A182:B182"/>
    <mergeCell ref="L182:M182"/>
    <mergeCell ref="A186:B186"/>
    <mergeCell ref="L186:M186"/>
    <mergeCell ref="A187:B187"/>
    <mergeCell ref="L187:M187"/>
    <mergeCell ref="C182:F182"/>
    <mergeCell ref="A183:B183"/>
    <mergeCell ref="L183:M183"/>
    <mergeCell ref="A184:B184"/>
    <mergeCell ref="L184:M184"/>
    <mergeCell ref="A185:B185"/>
    <mergeCell ref="L185:M18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L170:M170"/>
    <mergeCell ref="A171:B171"/>
    <mergeCell ref="L171:M171"/>
    <mergeCell ref="A172:B172"/>
    <mergeCell ref="L172:M172"/>
    <mergeCell ref="A173:H173"/>
    <mergeCell ref="A174:B174"/>
    <mergeCell ref="L174:M174"/>
    <mergeCell ref="A175:B175"/>
    <mergeCell ref="L175:M175"/>
    <mergeCell ref="A159:B159"/>
    <mergeCell ref="L159:M159"/>
    <mergeCell ref="A160:B160"/>
    <mergeCell ref="L160:M160"/>
    <mergeCell ref="G159:H172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70:B170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H15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L133:M133"/>
    <mergeCell ref="L132:M132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L142:M142"/>
    <mergeCell ref="A143:H143"/>
    <mergeCell ref="A144:B144"/>
    <mergeCell ref="L144:M144"/>
    <mergeCell ref="A139:B139"/>
    <mergeCell ref="L139:M139"/>
    <mergeCell ref="A140:B140"/>
    <mergeCell ref="L140:M140"/>
    <mergeCell ref="L134:M134"/>
    <mergeCell ref="L141:M141"/>
    <mergeCell ref="A142:B142"/>
    <mergeCell ref="A100:H100"/>
    <mergeCell ref="A60:C60"/>
    <mergeCell ref="D60:H60"/>
    <mergeCell ref="A16:B16"/>
    <mergeCell ref="C16:H16"/>
    <mergeCell ref="E41:H41"/>
    <mergeCell ref="A41:D41"/>
    <mergeCell ref="A232:H232"/>
    <mergeCell ref="A229:H229"/>
    <mergeCell ref="G209:H209"/>
    <mergeCell ref="A194:B194"/>
    <mergeCell ref="A98:B98"/>
    <mergeCell ref="D136:D137"/>
    <mergeCell ref="E136:E137"/>
    <mergeCell ref="G136:H137"/>
    <mergeCell ref="F80:H80"/>
    <mergeCell ref="G94:H94"/>
    <mergeCell ref="A48:B48"/>
    <mergeCell ref="C48:E48"/>
    <mergeCell ref="A123:H123"/>
    <mergeCell ref="A124:B124"/>
    <mergeCell ref="A125:B125"/>
    <mergeCell ref="A126:B126"/>
    <mergeCell ref="A129:B129"/>
    <mergeCell ref="G196:H196"/>
    <mergeCell ref="G215:H215"/>
    <mergeCell ref="B218:H218"/>
    <mergeCell ref="B219:H219"/>
    <mergeCell ref="G207:H207"/>
    <mergeCell ref="F89:H89"/>
    <mergeCell ref="F87:H87"/>
    <mergeCell ref="A201:B201"/>
    <mergeCell ref="A101:H101"/>
    <mergeCell ref="G93:H93"/>
    <mergeCell ref="A88:E88"/>
    <mergeCell ref="C94:D94"/>
    <mergeCell ref="E94:F94"/>
    <mergeCell ref="G195:H195"/>
    <mergeCell ref="B102:B103"/>
    <mergeCell ref="A102:A103"/>
    <mergeCell ref="C136:C137"/>
    <mergeCell ref="A188:H188"/>
    <mergeCell ref="A203:B203"/>
    <mergeCell ref="A200:B200"/>
    <mergeCell ref="F88:H88"/>
    <mergeCell ref="E93:F93"/>
    <mergeCell ref="E99:F99"/>
    <mergeCell ref="A93:B93"/>
    <mergeCell ref="B224:H224"/>
    <mergeCell ref="B220:H220"/>
    <mergeCell ref="A214:B214"/>
    <mergeCell ref="G214:H214"/>
    <mergeCell ref="G213:H213"/>
    <mergeCell ref="A211:H211"/>
    <mergeCell ref="A212:B212"/>
    <mergeCell ref="A213:B213"/>
    <mergeCell ref="A216:B216"/>
    <mergeCell ref="G216:H216"/>
    <mergeCell ref="A215:B215"/>
    <mergeCell ref="B221:H221"/>
    <mergeCell ref="B222:H222"/>
    <mergeCell ref="G212:H212"/>
    <mergeCell ref="A235:H238"/>
    <mergeCell ref="A234:B234"/>
    <mergeCell ref="E234:F234"/>
    <mergeCell ref="C234:D234"/>
    <mergeCell ref="G234:H234"/>
    <mergeCell ref="A92:H92"/>
    <mergeCell ref="A90:E90"/>
    <mergeCell ref="F90:H90"/>
    <mergeCell ref="A91:E91"/>
    <mergeCell ref="F91:H91"/>
    <mergeCell ref="A193:H193"/>
    <mergeCell ref="A99:B99"/>
    <mergeCell ref="A202:B202"/>
    <mergeCell ref="A94:B94"/>
    <mergeCell ref="A230:H230"/>
    <mergeCell ref="A97:H97"/>
    <mergeCell ref="A233:H233"/>
    <mergeCell ref="A231:H231"/>
    <mergeCell ref="A227:H227"/>
    <mergeCell ref="A228:H228"/>
    <mergeCell ref="E98:F98"/>
    <mergeCell ref="B226:H226"/>
    <mergeCell ref="G133:H133"/>
    <mergeCell ref="G131:H131"/>
    <mergeCell ref="A61:C61"/>
    <mergeCell ref="D61:H61"/>
    <mergeCell ref="A64:C64"/>
    <mergeCell ref="D64:H64"/>
    <mergeCell ref="A62:C62"/>
    <mergeCell ref="D62:H62"/>
    <mergeCell ref="A63:C63"/>
    <mergeCell ref="D63:H6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E37:F37"/>
    <mergeCell ref="C37:D37"/>
    <mergeCell ref="G37:H37"/>
    <mergeCell ref="A44:D44"/>
    <mergeCell ref="A45:D45"/>
    <mergeCell ref="A46:H46"/>
    <mergeCell ref="D56:H56"/>
    <mergeCell ref="A56:C56"/>
    <mergeCell ref="G49:H49"/>
    <mergeCell ref="A50:B51"/>
    <mergeCell ref="A38:B38"/>
    <mergeCell ref="C38:H38"/>
    <mergeCell ref="G48:H48"/>
    <mergeCell ref="A65:B65"/>
    <mergeCell ref="C65:H65"/>
    <mergeCell ref="A67:B67"/>
    <mergeCell ref="C67:H67"/>
    <mergeCell ref="A68:B68"/>
    <mergeCell ref="A69:B69"/>
    <mergeCell ref="G69:G78"/>
    <mergeCell ref="H69:H7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80:E80"/>
    <mergeCell ref="A130:H130"/>
    <mergeCell ref="E102:E103"/>
    <mergeCell ref="G102:H103"/>
    <mergeCell ref="F79:H79"/>
    <mergeCell ref="F83:H83"/>
    <mergeCell ref="F86:H86"/>
    <mergeCell ref="C93:D93"/>
    <mergeCell ref="A79:E79"/>
    <mergeCell ref="A84:E84"/>
    <mergeCell ref="F84:H84"/>
    <mergeCell ref="A85:E85"/>
    <mergeCell ref="A87:E87"/>
    <mergeCell ref="F82:H82"/>
    <mergeCell ref="A86:E86"/>
    <mergeCell ref="A82:E82"/>
    <mergeCell ref="C96:D96"/>
    <mergeCell ref="E96:F96"/>
    <mergeCell ref="G96:H96"/>
    <mergeCell ref="C98:D98"/>
    <mergeCell ref="G98:H98"/>
    <mergeCell ref="A95:B95"/>
    <mergeCell ref="A127:B127"/>
    <mergeCell ref="C99:D99"/>
    <mergeCell ref="A197:B197"/>
    <mergeCell ref="G198:H198"/>
    <mergeCell ref="G204:H204"/>
    <mergeCell ref="G203:H203"/>
    <mergeCell ref="G206:H206"/>
    <mergeCell ref="A204:B204"/>
    <mergeCell ref="L124:M124"/>
    <mergeCell ref="L125:M125"/>
    <mergeCell ref="L126:M126"/>
    <mergeCell ref="L127:M127"/>
    <mergeCell ref="A128:B128"/>
    <mergeCell ref="L128:M128"/>
    <mergeCell ref="L193:M193"/>
    <mergeCell ref="A135:H135"/>
    <mergeCell ref="A136:A137"/>
    <mergeCell ref="L192:M192"/>
    <mergeCell ref="L189:M189"/>
    <mergeCell ref="A190:B190"/>
    <mergeCell ref="L190:M190"/>
    <mergeCell ref="A191:B191"/>
    <mergeCell ref="L191:M191"/>
    <mergeCell ref="G132:H132"/>
    <mergeCell ref="G134:H134"/>
    <mergeCell ref="L129:M129"/>
    <mergeCell ref="A210:B210"/>
    <mergeCell ref="G208:H208"/>
    <mergeCell ref="C102:C103"/>
    <mergeCell ref="B136:B137"/>
    <mergeCell ref="A205:H205"/>
    <mergeCell ref="A199:H199"/>
    <mergeCell ref="A192:B192"/>
    <mergeCell ref="G202:H202"/>
    <mergeCell ref="G200:H200"/>
    <mergeCell ref="A189:B189"/>
    <mergeCell ref="A104:H104"/>
    <mergeCell ref="A105:B105"/>
    <mergeCell ref="A109:B109"/>
    <mergeCell ref="A113:B113"/>
    <mergeCell ref="A121:B121"/>
    <mergeCell ref="G124:H129"/>
    <mergeCell ref="G139:H142"/>
    <mergeCell ref="G144:H157"/>
    <mergeCell ref="A198:B198"/>
    <mergeCell ref="A195:B195"/>
    <mergeCell ref="A196:B196"/>
    <mergeCell ref="A206:B206"/>
    <mergeCell ref="A207:B207"/>
    <mergeCell ref="A208:B208"/>
    <mergeCell ref="B225:H225"/>
    <mergeCell ref="A47:B47"/>
    <mergeCell ref="C47:H47"/>
    <mergeCell ref="B223:H223"/>
    <mergeCell ref="F81:H81"/>
    <mergeCell ref="A81:E81"/>
    <mergeCell ref="G201:H201"/>
    <mergeCell ref="G197:H197"/>
    <mergeCell ref="G194:H194"/>
    <mergeCell ref="D102:D103"/>
    <mergeCell ref="A131:B131"/>
    <mergeCell ref="A132:B132"/>
    <mergeCell ref="A133:B133"/>
    <mergeCell ref="A134:B134"/>
    <mergeCell ref="A83:E83"/>
    <mergeCell ref="A89:E89"/>
    <mergeCell ref="C95:D95"/>
    <mergeCell ref="E95:F95"/>
    <mergeCell ref="G95:H95"/>
    <mergeCell ref="A96:B96"/>
    <mergeCell ref="A114:B114"/>
    <mergeCell ref="G210:H210"/>
    <mergeCell ref="A217:H217"/>
    <mergeCell ref="A209:B209"/>
    <mergeCell ref="L113:M113"/>
    <mergeCell ref="L109:M109"/>
    <mergeCell ref="A110:B110"/>
    <mergeCell ref="L110:M110"/>
    <mergeCell ref="A111:B111"/>
    <mergeCell ref="L111:M111"/>
    <mergeCell ref="A112:B112"/>
    <mergeCell ref="L112:M112"/>
    <mergeCell ref="L105:M105"/>
    <mergeCell ref="A106:B106"/>
    <mergeCell ref="L106:M106"/>
    <mergeCell ref="A107:B107"/>
    <mergeCell ref="L107:M107"/>
    <mergeCell ref="A108:B108"/>
    <mergeCell ref="L108:M108"/>
    <mergeCell ref="G99:H99"/>
    <mergeCell ref="F85:H85"/>
    <mergeCell ref="G189:H192"/>
    <mergeCell ref="G174:H187"/>
    <mergeCell ref="L121:M121"/>
    <mergeCell ref="A122:B122"/>
    <mergeCell ref="L122:M122"/>
    <mergeCell ref="L117:M117"/>
    <mergeCell ref="A118:B118"/>
    <mergeCell ref="L118:M118"/>
    <mergeCell ref="A119:B119"/>
    <mergeCell ref="L119:M119"/>
    <mergeCell ref="A120:B120"/>
    <mergeCell ref="L120:M120"/>
    <mergeCell ref="A117:B117"/>
    <mergeCell ref="G105:H122"/>
    <mergeCell ref="L114:M114"/>
    <mergeCell ref="A115:B115"/>
    <mergeCell ref="L115:M115"/>
    <mergeCell ref="A116:B116"/>
    <mergeCell ref="L116:M116"/>
    <mergeCell ref="A138:H138"/>
    <mergeCell ref="L131:M131"/>
    <mergeCell ref="A141:B141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38" max="16383" man="1"/>
    <brk id="280" max="7" man="1"/>
    <brk id="31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6" zoomScale="85" zoomScaleNormal="85" workbookViewId="0">
      <selection activeCell="B15" sqref="B15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8" t="s">
        <v>113</v>
      </c>
      <c r="C3" s="198"/>
      <c r="D3" s="198"/>
      <c r="E3" s="198"/>
      <c r="F3" s="198"/>
      <c r="G3" s="198"/>
      <c r="H3" s="198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K14" sqref="K1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2025-09-08T12:08:38Z</cp:lastPrinted>
  <dcterms:created xsi:type="dcterms:W3CDTF">2019-07-16T09:29:46Z</dcterms:created>
  <dcterms:modified xsi:type="dcterms:W3CDTF">2025-09-08T12:10:34Z</dcterms:modified>
</cp:coreProperties>
</file>