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626BAA42-CF52-46F8-91BC-8A5F59BC5686}" xr6:coauthVersionLast="47" xr6:coauthVersionMax="47" xr10:uidLastSave="{00000000-0000-0000-0000-000000000000}"/>
  <bookViews>
    <workbookView xWindow="-108" yWindow="-108" windowWidth="23256" windowHeight="12456" xr2:uid="{00000000-000D-0000-FFFF-FFFF00000000}"/>
  </bookViews>
  <sheets>
    <sheet name="Sheet1" sheetId="1" r:id="rId1"/>
    <sheet name="VALUATION" sheetId="17" r:id="rId2"/>
    <sheet name="Note" sheetId="16" r:id="rId3"/>
  </sheets>
  <definedNames>
    <definedName name="_xlnm.Print_Area" localSheetId="0">Sheet1!$A$1:$J$332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 l="1"/>
  <c r="C62" i="1" l="1"/>
  <c r="I112" i="1" l="1"/>
  <c r="I124" i="1"/>
  <c r="I119" i="1"/>
  <c r="N60" i="1" l="1"/>
  <c r="D183" i="1" l="1"/>
  <c r="G183" i="1" s="1"/>
  <c r="L183" i="1" s="1"/>
  <c r="D182" i="1"/>
  <c r="G182" i="1" s="1"/>
  <c r="L182" i="1" s="1"/>
  <c r="D181" i="1"/>
  <c r="G181" i="1" s="1"/>
  <c r="D180" i="1"/>
  <c r="G180" i="1" s="1"/>
  <c r="L180" i="1" s="1"/>
  <c r="L179" i="1"/>
  <c r="I178" i="1"/>
  <c r="D178" i="1"/>
  <c r="G178" i="1" s="1"/>
  <c r="D224" i="1"/>
  <c r="G224" i="1" s="1"/>
  <c r="M228" i="1"/>
  <c r="D228" i="1"/>
  <c r="G228" i="1" s="1"/>
  <c r="M227" i="1"/>
  <c r="M226" i="1"/>
  <c r="D226" i="1"/>
  <c r="G226" i="1" s="1"/>
  <c r="M225" i="1"/>
  <c r="D225" i="1"/>
  <c r="G225" i="1" s="1"/>
  <c r="M224" i="1"/>
  <c r="M223" i="1"/>
  <c r="I223" i="1"/>
  <c r="D223" i="1"/>
  <c r="G223" i="1" s="1"/>
  <c r="M221" i="1"/>
  <c r="D221" i="1"/>
  <c r="G221" i="1" s="1"/>
  <c r="M220" i="1"/>
  <c r="D220" i="1"/>
  <c r="G220" i="1" s="1"/>
  <c r="M219" i="1"/>
  <c r="D219" i="1"/>
  <c r="G219" i="1" s="1"/>
  <c r="M218" i="1"/>
  <c r="D218" i="1"/>
  <c r="G218" i="1" s="1"/>
  <c r="M217" i="1"/>
  <c r="D217" i="1"/>
  <c r="G217" i="1" s="1"/>
  <c r="M216" i="1"/>
  <c r="I216" i="1"/>
  <c r="D216" i="1"/>
  <c r="G216" i="1" s="1"/>
  <c r="D214" i="1"/>
  <c r="D188" i="1"/>
  <c r="D187" i="1"/>
  <c r="D186" i="1"/>
  <c r="D192" i="1"/>
  <c r="G192" i="1" s="1"/>
  <c r="D191" i="1"/>
  <c r="G191" i="1" s="1"/>
  <c r="D190" i="1"/>
  <c r="G190" i="1" s="1"/>
  <c r="D196" i="1"/>
  <c r="G196" i="1" s="1"/>
  <c r="D195" i="1"/>
  <c r="D194" i="1"/>
  <c r="D211" i="1"/>
  <c r="G211" i="1" s="1"/>
  <c r="D210" i="1"/>
  <c r="G210" i="1" s="1"/>
  <c r="D209" i="1"/>
  <c r="G209" i="1" s="1"/>
  <c r="D207" i="1"/>
  <c r="G207" i="1" s="1"/>
  <c r="D206" i="1"/>
  <c r="G206" i="1" s="1"/>
  <c r="D205" i="1"/>
  <c r="G205" i="1" s="1"/>
  <c r="D204" i="1"/>
  <c r="G204" i="1" s="1"/>
  <c r="D203" i="1"/>
  <c r="G203" i="1" s="1"/>
  <c r="D202" i="1"/>
  <c r="G202" i="1" s="1"/>
  <c r="D176" i="1"/>
  <c r="G176" i="1" s="1"/>
  <c r="L176" i="1" s="1"/>
  <c r="D175" i="1"/>
  <c r="G175" i="1" s="1"/>
  <c r="L175" i="1" s="1"/>
  <c r="D174" i="1"/>
  <c r="G174" i="1" s="1"/>
  <c r="D173" i="1"/>
  <c r="G173" i="1" s="1"/>
  <c r="L173" i="1" s="1"/>
  <c r="D172" i="1"/>
  <c r="G172" i="1" s="1"/>
  <c r="L172" i="1" s="1"/>
  <c r="D171" i="1"/>
  <c r="D169" i="1"/>
  <c r="G169" i="1" s="1"/>
  <c r="L169" i="1" s="1"/>
  <c r="D168" i="1"/>
  <c r="G168" i="1" s="1"/>
  <c r="L168" i="1" s="1"/>
  <c r="D167" i="1"/>
  <c r="G167" i="1" s="1"/>
  <c r="D164" i="1"/>
  <c r="G164" i="1" s="1"/>
  <c r="D143" i="1"/>
  <c r="D142" i="1"/>
  <c r="D141" i="1"/>
  <c r="D147" i="1"/>
  <c r="G147" i="1" s="1"/>
  <c r="L147" i="1" s="1"/>
  <c r="D146" i="1"/>
  <c r="G146" i="1" s="1"/>
  <c r="L146" i="1" s="1"/>
  <c r="D145" i="1"/>
  <c r="G145" i="1" s="1"/>
  <c r="D151" i="1"/>
  <c r="G151" i="1" s="1"/>
  <c r="L151" i="1" s="1"/>
  <c r="D150" i="1"/>
  <c r="G150" i="1" s="1"/>
  <c r="L150" i="1" s="1"/>
  <c r="D149" i="1"/>
  <c r="G149" i="1" s="1"/>
  <c r="D155" i="1"/>
  <c r="G155" i="1" s="1"/>
  <c r="L155" i="1" s="1"/>
  <c r="D154" i="1"/>
  <c r="G154" i="1" s="1"/>
  <c r="L154" i="1" s="1"/>
  <c r="D153" i="1"/>
  <c r="G153" i="1" s="1"/>
  <c r="D162" i="1"/>
  <c r="G162" i="1" s="1"/>
  <c r="L162" i="1" s="1"/>
  <c r="D161" i="1"/>
  <c r="D160" i="1"/>
  <c r="G160" i="1" s="1"/>
  <c r="D159" i="1"/>
  <c r="G159" i="1" s="1"/>
  <c r="L159" i="1" s="1"/>
  <c r="D158" i="1"/>
  <c r="G158" i="1" s="1"/>
  <c r="L158" i="1" s="1"/>
  <c r="D157" i="1"/>
  <c r="G157" i="1" s="1"/>
  <c r="M207" i="1"/>
  <c r="M206" i="1"/>
  <c r="M205" i="1"/>
  <c r="M204" i="1"/>
  <c r="M203" i="1"/>
  <c r="M202" i="1"/>
  <c r="N162" i="1"/>
  <c r="N161" i="1"/>
  <c r="N160" i="1"/>
  <c r="N159" i="1"/>
  <c r="N158" i="1"/>
  <c r="N157" i="1"/>
  <c r="I171" i="1"/>
  <c r="G171" i="1"/>
  <c r="G214" i="1"/>
  <c r="I209" i="1"/>
  <c r="L166" i="1"/>
  <c r="L165" i="1"/>
  <c r="I164" i="1"/>
  <c r="I202" i="1"/>
  <c r="I157" i="1"/>
  <c r="I153" i="1"/>
  <c r="G161" i="1"/>
  <c r="L161" i="1" s="1"/>
  <c r="I149" i="1"/>
  <c r="I145" i="1"/>
  <c r="I141" i="1"/>
  <c r="D200" i="1"/>
  <c r="G200" i="1" s="1"/>
  <c r="D199" i="1"/>
  <c r="G199" i="1" s="1"/>
  <c r="I198" i="1"/>
  <c r="D198" i="1"/>
  <c r="G198" i="1" s="1"/>
  <c r="G195" i="1"/>
  <c r="I194" i="1"/>
  <c r="G194" i="1"/>
  <c r="I190" i="1"/>
  <c r="I186" i="1"/>
  <c r="D134" i="1"/>
  <c r="G134" i="1" s="1"/>
  <c r="D133" i="1"/>
  <c r="G133" i="1" s="1"/>
  <c r="D136" i="1"/>
  <c r="G136" i="1" s="1"/>
  <c r="D135" i="1"/>
  <c r="G135" i="1" s="1"/>
  <c r="D132" i="1"/>
  <c r="G132" i="1" s="1"/>
  <c r="D128" i="1"/>
  <c r="D127" i="1"/>
  <c r="D126" i="1"/>
  <c r="D125" i="1"/>
  <c r="D124" i="1"/>
  <c r="D122" i="1"/>
  <c r="D121" i="1"/>
  <c r="D120" i="1"/>
  <c r="D119" i="1"/>
  <c r="F115" i="1"/>
  <c r="F114" i="1"/>
  <c r="F113" i="1"/>
  <c r="F112" i="1"/>
  <c r="F110" i="1"/>
  <c r="F109" i="1"/>
  <c r="F108" i="1"/>
  <c r="F107" i="1"/>
  <c r="D106" i="1"/>
  <c r="F106" i="1"/>
  <c r="D116" i="1"/>
  <c r="F116" i="1" s="1"/>
  <c r="D115" i="1"/>
  <c r="D114" i="1"/>
  <c r="D113" i="1"/>
  <c r="D112" i="1"/>
  <c r="D110" i="1"/>
  <c r="D109" i="1"/>
  <c r="D108" i="1"/>
  <c r="D107" i="1"/>
  <c r="H44" i="1"/>
  <c r="F3" i="1"/>
  <c r="E92" i="1" l="1"/>
  <c r="C92" i="1"/>
  <c r="E93" i="1"/>
  <c r="C93" i="1"/>
  <c r="C87" i="1"/>
  <c r="E87" i="1"/>
  <c r="E97" i="1"/>
  <c r="C97" i="1"/>
  <c r="C88" i="1"/>
  <c r="E88" i="1"/>
  <c r="E98" i="1"/>
  <c r="C98" i="1"/>
  <c r="G109" i="1"/>
  <c r="G107" i="1"/>
  <c r="G110" i="1"/>
  <c r="G108" i="1"/>
  <c r="L66" i="1"/>
  <c r="L65" i="1"/>
  <c r="L64" i="1"/>
  <c r="L63" i="1"/>
  <c r="I56" i="1"/>
  <c r="E94" i="1" l="1"/>
  <c r="C94" i="1"/>
  <c r="E89" i="1"/>
  <c r="C89" i="1"/>
  <c r="C99" i="1"/>
  <c r="E99" i="1"/>
  <c r="D68" i="1"/>
  <c r="D66" i="1"/>
  <c r="D64" i="1"/>
  <c r="D62" i="1"/>
  <c r="L60" i="1"/>
  <c r="C59" i="1" s="1"/>
  <c r="D59" i="1" s="1"/>
  <c r="L58" i="1"/>
  <c r="L61" i="1"/>
  <c r="L62" i="1" s="1"/>
  <c r="L67" i="1" s="1"/>
  <c r="L68" i="1" s="1"/>
  <c r="C60" i="1" s="1"/>
  <c r="D67" i="1"/>
  <c r="D65" i="1"/>
  <c r="D63" i="1"/>
  <c r="D61" i="1"/>
  <c r="L59" i="1"/>
  <c r="F9" i="17"/>
  <c r="G9" i="17" s="1"/>
  <c r="F8" i="17"/>
  <c r="G8" i="17" s="1"/>
  <c r="F7" i="17"/>
  <c r="G7" i="17" s="1"/>
  <c r="F6" i="17"/>
  <c r="G6" i="17" s="1"/>
  <c r="F5" i="17"/>
  <c r="G5" i="17"/>
  <c r="G84" i="1"/>
  <c r="D241" i="1"/>
  <c r="G143" i="1"/>
  <c r="L143" i="1" s="1"/>
  <c r="G188" i="1"/>
  <c r="G187" i="1"/>
  <c r="G186" i="1"/>
  <c r="G142" i="1"/>
  <c r="L142" i="1" s="1"/>
  <c r="G141" i="1"/>
  <c r="H97" i="1" s="1"/>
  <c r="G128" i="1"/>
  <c r="G127" i="1"/>
  <c r="G126" i="1"/>
  <c r="G125" i="1"/>
  <c r="G124" i="1"/>
  <c r="G122" i="1"/>
  <c r="G121" i="1"/>
  <c r="G120" i="1"/>
  <c r="G119" i="1"/>
  <c r="G116" i="1"/>
  <c r="G115" i="1"/>
  <c r="G114" i="1"/>
  <c r="G113" i="1"/>
  <c r="G112" i="1"/>
  <c r="M109" i="1"/>
  <c r="G106" i="1"/>
  <c r="H87" i="1" s="1"/>
  <c r="H45" i="1"/>
  <c r="F39" i="1"/>
  <c r="D51" i="1"/>
  <c r="G10" i="17" l="1"/>
  <c r="H88" i="1"/>
  <c r="L119" i="1"/>
  <c r="H92" i="1"/>
  <c r="H93" i="1"/>
  <c r="H89" i="1"/>
  <c r="H98" i="1"/>
  <c r="H99" i="1" s="1"/>
  <c r="F59" i="1"/>
  <c r="K55" i="1" s="1"/>
  <c r="C57" i="1" s="1"/>
  <c r="D60" i="1"/>
  <c r="H59" i="1"/>
  <c r="H94" i="1" l="1"/>
</calcChain>
</file>

<file path=xl/sharedStrings.xml><?xml version="1.0" encoding="utf-8"?>
<sst xmlns="http://schemas.openxmlformats.org/spreadsheetml/2006/main" count="471" uniqueCount="222">
  <si>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</si>
  <si>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</si>
  <si>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</si>
  <si>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</si>
  <si>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</si>
  <si>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</si>
  <si>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</si>
  <si>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</si>
  <si>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</si>
  <si>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</si>
  <si>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</si>
  <si>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</si>
  <si>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</si>
  <si>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</si>
  <si>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</si>
  <si>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</si>
  <si>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</si>
  <si>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</si>
  <si>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</si>
  <si>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</si>
  <si>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</si>
  <si>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</si>
  <si>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</si>
  <si>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</si>
  <si>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</si>
  <si>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</si>
  <si>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</si>
  <si>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</si>
  <si>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</si>
  <si>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</si>
  <si>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</si>
  <si>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</si>
  <si>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</si>
  <si>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</si>
  <si>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</si>
  <si>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</si>
  <si>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</si>
  <si>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</si>
  <si>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</si>
  <si>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</si>
  <si>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</si>
  <si>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</si>
  <si>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</si>
  <si>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</si>
  <si>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</si>
  <si>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</si>
  <si>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</si>
  <si>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</si>
  <si>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</si>
  <si>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</si>
  <si>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</si>
  <si>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</si>
  <si>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</si>
  <si>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</si>
  <si>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</si>
  <si>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</si>
  <si>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</si>
  <si>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</si>
  <si>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</si>
  <si>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</si>
  <si>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</si>
  <si>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</si>
  <si>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</si>
  <si>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</si>
  <si>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</si>
  <si>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</si>
  <si>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</si>
  <si>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</si>
  <si>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</si>
  <si>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</si>
  <si>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</si>
  <si>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</si>
  <si>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</si>
  <si>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</si>
  <si>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</si>
  <si>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Flat</t>
  </si>
  <si>
    <t xml:space="preserve">Recommended rate of Parking </t>
  </si>
  <si>
    <t>Approved area of the building in Sq.Mt</t>
  </si>
  <si>
    <t xml:space="preserve">O. Certificate No.: </t>
  </si>
  <si>
    <t xml:space="preserve">Date of approval: </t>
  </si>
  <si>
    <t>Contect Details ( Name &amp; Contect No.)</t>
  </si>
  <si>
    <t>Name / no of the Building</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</si>
  <si>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</si>
  <si>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</si>
  <si>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</si>
  <si>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</si>
  <si>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</si>
  <si>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Axis Sanpada</t>
  </si>
  <si>
    <t>M/s. Ekdant Constructions &amp; Developers Pvt Ltd.</t>
  </si>
  <si>
    <t>Glorio Grand Central, Bldg No.38 &amp; 39, Kalpvruksha, S.No.212, H.No.4 &amp; 5, Mahada Colony, Pokhran Road No.1, Near Sai Baba Mandir, Vartak Nagar, Village-Majiwade, Thane(west).</t>
  </si>
  <si>
    <t>Majiwade</t>
  </si>
  <si>
    <t>Pokhran Road No.1</t>
  </si>
  <si>
    <t>Thane.</t>
  </si>
  <si>
    <t>Thane</t>
  </si>
  <si>
    <t>Sai Baba Mandir</t>
  </si>
  <si>
    <t>Middle Class</t>
  </si>
  <si>
    <t>Developed</t>
  </si>
  <si>
    <t>Bldg</t>
  </si>
  <si>
    <t>Open</t>
  </si>
  <si>
    <t>Type of Structure : RCC</t>
  </si>
  <si>
    <t xml:space="preserve">Approved usage of the Property: Commercial &amp; Residential
(Restrictive Covenants in regard to Land Use, if any)                                                                                                                                                </t>
  </si>
  <si>
    <t>Shop/Office/Flat No.</t>
  </si>
  <si>
    <t>A Wing</t>
  </si>
  <si>
    <t>Shop</t>
  </si>
  <si>
    <t xml:space="preserve">Upper Ground </t>
  </si>
  <si>
    <t>B Wing</t>
  </si>
  <si>
    <t>2BHK</t>
  </si>
  <si>
    <t>Office</t>
  </si>
  <si>
    <t>Refuge Area</t>
  </si>
  <si>
    <t xml:space="preserve">Approved no of units </t>
  </si>
  <si>
    <t xml:space="preserve">PHOTOGRAPHS OF PROPERTY  : </t>
  </si>
  <si>
    <t>Google map :</t>
  </si>
  <si>
    <t>Glorio Grand Central (A &amp; B Wing)</t>
  </si>
  <si>
    <t>Recommended rate of the flat Per Sq. Ft. ( on Saleable area)</t>
  </si>
  <si>
    <t>Pratiksha</t>
  </si>
  <si>
    <t>S No.</t>
  </si>
  <si>
    <t>Saleable area</t>
  </si>
  <si>
    <t>Recommended rate of the Shop Per Sq. Ft. ( on Saleable area)</t>
  </si>
  <si>
    <t>Market Research Data</t>
  </si>
  <si>
    <t>Source</t>
  </si>
  <si>
    <t>Distance from proposed property</t>
  </si>
  <si>
    <t>Net Carpet</t>
  </si>
  <si>
    <t>Saleable Area</t>
  </si>
  <si>
    <t>Rate on Saleable</t>
  </si>
  <si>
    <t>Market Value</t>
  </si>
  <si>
    <t>Average</t>
  </si>
  <si>
    <t xml:space="preserve">Valuation Adopted </t>
  </si>
  <si>
    <t>housing</t>
  </si>
  <si>
    <t>P51700003017</t>
  </si>
  <si>
    <t>RERA No.</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</si>
  <si>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</si>
  <si>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</si>
  <si>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</si>
  <si>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</si>
  <si>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</si>
  <si>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</si>
  <si>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</si>
  <si>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</si>
  <si>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</si>
  <si>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</si>
  <si>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</si>
  <si>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</si>
  <si>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</si>
  <si>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</si>
  <si>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</si>
  <si>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</si>
  <si>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</si>
  <si>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</si>
  <si>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</si>
  <si>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</si>
  <si>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</si>
  <si>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</si>
  <si>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</si>
  <si>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</si>
  <si>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</si>
  <si>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</si>
  <si>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</si>
  <si>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</si>
  <si>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</si>
  <si>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</si>
  <si>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</si>
  <si>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</si>
  <si>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</si>
  <si>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Glorio Grand Central</t>
  </si>
  <si>
    <t>A &amp; B Wing</t>
  </si>
  <si>
    <t>Approved Layout, Approved Building Plan, Four Boundaries Details</t>
  </si>
  <si>
    <t>2 Wings</t>
  </si>
  <si>
    <t>Recommended rate of the Office Per Sq. Ft. ( on Saleable area)</t>
  </si>
  <si>
    <t>VP/S04/0065/14/TMC/TD-DP/TPS/4178/22</t>
  </si>
  <si>
    <t>Commencement of Construction No.</t>
  </si>
  <si>
    <t xml:space="preserve">VP/S04/0065/14/TMC/TD-DP/TPS/4178/22
Approved upto - L.Gr.+U Gr.+ Mezzanine/ 1st(Comm) + 2nd to 3rd Floor(Comm)+4th (Resi) + Fitness Centre + 5th to 28th +29th (Part) Floor                                                                                                                 </t>
  </si>
  <si>
    <t xml:space="preserve">VP/S04/0065/14/TMC/TD-DP/TPS/4207/22 
Approved upto - 29th (Part) +30th to 34th Floor                                                                                                                 </t>
  </si>
  <si>
    <t>4.7 Km from Thane Railway Station</t>
  </si>
  <si>
    <t>Lower Ground Floor For Rehab Commercial</t>
  </si>
  <si>
    <t>2A</t>
  </si>
  <si>
    <t>2B</t>
  </si>
  <si>
    <t>Upper Ground Floor + Mezzanine Floor For Commercial</t>
  </si>
  <si>
    <t>1st Commercial Floor/ 2nd Residential Floor</t>
  </si>
  <si>
    <t>2nd Commercial Floor/ 3rd Residential Floor</t>
  </si>
  <si>
    <t>A Wing for Nursing Home</t>
  </si>
  <si>
    <t>Office
(Duplex with 3rd Commercial Floor</t>
  </si>
  <si>
    <t xml:space="preserve">Details of Commercial in Building   </t>
  </si>
  <si>
    <t>Mezzanine / 1st Residential Floor</t>
  </si>
  <si>
    <t>3rd Commercial Floor/ 4th Residential Floor for Residential &amp; Amenties</t>
  </si>
  <si>
    <t>5th, 6th, 8th to 11th, 13th to 16th, 18th to 21st, 23rd to 26th, 28th &amp; 29th Residential Floor for Residential</t>
  </si>
  <si>
    <t>7th, 12th, 17th, 22nd &amp; 27th Residential Floor (Part Refuge Area)</t>
  </si>
  <si>
    <t>30th, 31st, 33rd to 37th Residential Floor</t>
  </si>
  <si>
    <t>32nd Residential Floor (Part Refuge Floor)</t>
  </si>
  <si>
    <t>A &amp; B Wing = L Gr.+U Gr.to 3rd Floor(Comm) + 4th (Fitness) + 5th to 37th Floor</t>
  </si>
  <si>
    <t>Residential Area Details :</t>
  </si>
  <si>
    <t>Building &amp; Wing</t>
  </si>
  <si>
    <t>No. of Units</t>
  </si>
  <si>
    <t>Total Carpet Area</t>
  </si>
  <si>
    <t>Total Saleable Area</t>
  </si>
  <si>
    <t>Total</t>
  </si>
  <si>
    <t>Wing A</t>
  </si>
  <si>
    <t>Wing B</t>
  </si>
  <si>
    <t>Shop Area Details :</t>
  </si>
  <si>
    <t>Office Area Details :</t>
  </si>
  <si>
    <t>Flats - 398 Shops -10 Office -14</t>
  </si>
  <si>
    <t>7800 to 11700</t>
  </si>
  <si>
    <t xml:space="preserve">Sanket </t>
  </si>
  <si>
    <t>Cost Sheet</t>
  </si>
  <si>
    <t>Floor Rise Rate Per Sq.ft from 1st Floor</t>
  </si>
  <si>
    <t>30/-</t>
  </si>
  <si>
    <t>7,00,000/-</t>
  </si>
  <si>
    <t>Development Charges</t>
  </si>
  <si>
    <t>5,00,000/-</t>
  </si>
  <si>
    <t>Advance Maintenance Charges</t>
  </si>
  <si>
    <t>50,000/-</t>
  </si>
  <si>
    <t>Infrastructure Charges</t>
  </si>
  <si>
    <t>3,00,000/-</t>
  </si>
  <si>
    <t>MSEB Charges</t>
  </si>
  <si>
    <t>Water Connection Charges</t>
  </si>
  <si>
    <t>20,000/-</t>
  </si>
  <si>
    <t>Location Link</t>
  </si>
  <si>
    <t>https://goo.gl/maps/u9iRgU6nFVjYg7sdA</t>
  </si>
  <si>
    <t xml:space="preserve">Office No. 1031, Wing J, Akshar Business Park, Plot No. 03 Sector 25, Near APMC Market, Vashi, Navi Mumbai, Maharashtra 400703 TEL: 022-46090378/79/80                                                                                                     E mail : vsjcapf@gmail.com. Web site : www.vsjadon.com
</t>
  </si>
  <si>
    <t xml:space="preserve">VP/S04/0065/14/TMC/TDD/4439/23 
Approved upto - 35th to 37th Floors                                                                         </t>
  </si>
  <si>
    <t>Mr.Vijay 9222289764</t>
  </si>
  <si>
    <t>Remarks:  
1.Construction work is in process at the time of Visit. Internal visit was not allowed.
2. We considered saleable area as per our calculation.
3. We adopted carpet area as per builder saleable area chart.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We have updated Revised approved Plans &amp; CC (on 20/12/2022).
9. We have updated latest CC from Rera (On 09/09/2023).
8. On site, we meet Ms. Smita - 9222289764.</t>
  </si>
  <si>
    <t>19.212073,72.960777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</si>
</sst>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FF0000"/>
      <name val="Calibri"/>
      <family val="2"/>
    </font>
    <font>
      <sz val="11"/>
      <name val="Calibri"/>
      <family val="2"/>
    </font>
    <font>
      <sz val="12"/>
      <color theme="1"/>
      <name val="Times New Roman"/>
      <family val="1"/>
    </font>
    <font>
      <b/>
      <sz val="12"/>
      <color theme="1"/>
      <name val="Times New Roman"/>
      <family val="1"/>
    </font>
    <font>
      <b/>
      <sz val="11"/>
      <color indexed="8"/>
      <name val="Calibri"/>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2" fillId="0" borderId="0"/>
    <xf numFmtId="0" fontId="12" fillId="0" borderId="0"/>
    <xf numFmtId="0" fontId="12" fillId="0" borderId="0"/>
    <xf numFmtId="0" fontId="22" fillId="0" borderId="0" applyNumberFormat="0" applyFill="0" applyBorder="0" applyAlignment="0" applyProtection="0"/>
  </cellStyleXfs>
  <cellXfs count="245">
    <xf numFmtId="0" fontId="0" fillId="0" borderId="0" xfId="0"/>
    <xf numFmtId="0" fontId="2" fillId="0" borderId="0" xfId="2"/>
    <xf numFmtId="0" fontId="4" fillId="0" borderId="1" xfId="0" applyFont="1" applyBorder="1" applyAlignment="1">
      <alignment vertical="top"/>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1" fontId="11" fillId="0" borderId="2" xfId="0" applyNumberFormat="1" applyFont="1" applyBorder="1" applyAlignment="1">
      <alignment horizontal="center" vertical="top" wrapText="1"/>
    </xf>
    <xf numFmtId="0" fontId="4" fillId="2" borderId="1" xfId="0" applyFont="1" applyFill="1" applyBorder="1" applyAlignment="1">
      <alignment horizontal="left" vertical="top" wrapText="1"/>
    </xf>
    <xf numFmtId="0" fontId="4" fillId="0" borderId="4" xfId="0" applyFont="1" applyBorder="1" applyAlignment="1">
      <alignment vertical="top"/>
    </xf>
    <xf numFmtId="0" fontId="16" fillId="0" borderId="0" xfId="0" applyFont="1"/>
    <xf numFmtId="0" fontId="3" fillId="0" borderId="0" xfId="0" applyFont="1" applyAlignment="1">
      <alignment horizontal="center" vertical="top" wrapText="1"/>
    </xf>
    <xf numFmtId="14" fontId="1" fillId="0" borderId="0" xfId="3" applyNumberFormat="1"/>
    <xf numFmtId="0" fontId="1" fillId="0" borderId="0" xfId="3"/>
    <xf numFmtId="0" fontId="12" fillId="0" borderId="0" xfId="5"/>
    <xf numFmtId="0" fontId="13" fillId="0" borderId="2" xfId="5" applyFont="1" applyBorder="1" applyAlignment="1">
      <alignment horizontal="center" vertical="top" wrapText="1"/>
    </xf>
    <xf numFmtId="0" fontId="12" fillId="0" borderId="2" xfId="5" applyBorder="1" applyAlignment="1">
      <alignment horizontal="center" vertical="center"/>
    </xf>
    <xf numFmtId="1" fontId="12" fillId="0" borderId="2" xfId="5" applyNumberFormat="1" applyBorder="1" applyAlignment="1">
      <alignment horizontal="center" vertical="center"/>
    </xf>
    <xf numFmtId="165" fontId="12" fillId="0" borderId="2" xfId="1" applyNumberFormat="1" applyFont="1" applyBorder="1" applyAlignment="1">
      <alignment horizontal="right" vertical="center"/>
    </xf>
    <xf numFmtId="0" fontId="13" fillId="0" borderId="2" xfId="5" applyFont="1" applyBorder="1" applyAlignment="1">
      <alignment horizontal="center" vertical="center"/>
    </xf>
    <xf numFmtId="1" fontId="14" fillId="0" borderId="2" xfId="5"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0" fontId="12" fillId="0" borderId="2" xfId="5" applyBorder="1" applyAlignment="1">
      <alignment horizontal="left" vertical="center"/>
    </xf>
    <xf numFmtId="0" fontId="9" fillId="0" borderId="18" xfId="6" applyFont="1" applyBorder="1" applyProtection="1">
      <protection hidden="1"/>
    </xf>
    <xf numFmtId="0" fontId="9" fillId="0" borderId="19" xfId="6" applyFont="1" applyBorder="1" applyProtection="1">
      <protection hidden="1"/>
    </xf>
    <xf numFmtId="0" fontId="9" fillId="0" borderId="20" xfId="6" applyFont="1" applyBorder="1" applyAlignment="1" applyProtection="1">
      <alignment horizontal="center" vertical="top"/>
      <protection locked="0"/>
    </xf>
    <xf numFmtId="0" fontId="9" fillId="0" borderId="2" xfId="6" applyFont="1" applyBorder="1" applyAlignment="1" applyProtection="1">
      <alignment horizontal="center" vertical="top"/>
      <protection locked="0"/>
    </xf>
    <xf numFmtId="0" fontId="9" fillId="0" borderId="0" xfId="6" applyFont="1" applyProtection="1">
      <protection hidden="1"/>
    </xf>
    <xf numFmtId="0" fontId="9" fillId="0" borderId="22" xfId="6" applyFont="1" applyBorder="1" applyProtection="1">
      <protection hidden="1"/>
    </xf>
    <xf numFmtId="0" fontId="9" fillId="0" borderId="2" xfId="6" applyFont="1" applyBorder="1" applyAlignment="1" applyProtection="1">
      <alignment horizontal="center" vertical="top" wrapText="1"/>
      <protection locked="0"/>
    </xf>
    <xf numFmtId="0" fontId="9" fillId="0" borderId="0" xfId="4" applyFont="1" applyProtection="1">
      <protection hidden="1"/>
    </xf>
    <xf numFmtId="0" fontId="9" fillId="0" borderId="22" xfId="6" applyFont="1" applyBorder="1"/>
    <xf numFmtId="0" fontId="9" fillId="0" borderId="2" xfId="6" applyFont="1" applyBorder="1" applyAlignment="1" applyProtection="1">
      <alignment horizontal="center" wrapText="1"/>
      <protection locked="0"/>
    </xf>
    <xf numFmtId="0" fontId="9" fillId="0" borderId="22" xfId="4" applyFont="1" applyBorder="1" applyProtection="1">
      <protection hidden="1"/>
    </xf>
    <xf numFmtId="1" fontId="9" fillId="0" borderId="2" xfId="6" applyNumberFormat="1" applyFont="1" applyBorder="1" applyAlignment="1" applyProtection="1">
      <alignment horizontal="center" wrapText="1"/>
      <protection locked="0"/>
    </xf>
    <xf numFmtId="1" fontId="18" fillId="0" borderId="22" xfId="4" applyNumberFormat="1" applyFont="1" applyBorder="1"/>
    <xf numFmtId="1" fontId="18" fillId="0" borderId="22" xfId="4" applyNumberFormat="1" applyFont="1" applyBorder="1" applyAlignment="1">
      <alignment horizontal="right"/>
    </xf>
    <xf numFmtId="0" fontId="9" fillId="0" borderId="27" xfId="6" applyFont="1" applyBorder="1" applyAlignment="1" applyProtection="1">
      <alignment horizontal="center" wrapText="1"/>
      <protection locked="0"/>
    </xf>
    <xf numFmtId="0" fontId="9" fillId="0" borderId="31" xfId="4" applyFont="1" applyBorder="1" applyProtection="1">
      <protection hidden="1"/>
    </xf>
    <xf numFmtId="1" fontId="18" fillId="0" borderId="32" xfId="4" applyNumberFormat="1" applyFont="1" applyBorder="1"/>
    <xf numFmtId="1" fontId="4" fillId="0" borderId="2" xfId="0" applyNumberFormat="1" applyFont="1" applyBorder="1" applyAlignment="1">
      <alignment horizontal="center" vertical="center" wrapText="1"/>
    </xf>
    <xf numFmtId="0" fontId="21" fillId="0" borderId="0" xfId="2" applyFont="1"/>
    <xf numFmtId="0" fontId="0" fillId="3" borderId="0" xfId="0" applyFill="1"/>
    <xf numFmtId="14" fontId="0" fillId="3" borderId="0" xfId="0" applyNumberFormat="1" applyFill="1"/>
    <xf numFmtId="14" fontId="0" fillId="0" borderId="0" xfId="0" applyNumberFormat="1"/>
    <xf numFmtId="14" fontId="4" fillId="2" borderId="1" xfId="0" applyNumberFormat="1" applyFont="1" applyFill="1" applyBorder="1" applyAlignment="1">
      <alignment horizontal="left" vertical="top"/>
    </xf>
    <xf numFmtId="14" fontId="4" fillId="2" borderId="4" xfId="0" applyNumberFormat="1" applyFont="1" applyFill="1" applyBorder="1" applyAlignment="1">
      <alignment horizontal="left" vertical="top"/>
    </xf>
    <xf numFmtId="14" fontId="4" fillId="2" borderId="5" xfId="0" applyNumberFormat="1" applyFont="1" applyFill="1" applyBorder="1" applyAlignment="1">
      <alignment horizontal="left" vertical="top"/>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1" fontId="6" fillId="0" borderId="1" xfId="0" applyNumberFormat="1" applyFont="1" applyBorder="1" applyAlignment="1" applyProtection="1">
      <alignment horizontal="center" vertical="center" wrapText="1"/>
      <protection locked="0"/>
    </xf>
    <xf numFmtId="1" fontId="6" fillId="0" borderId="4" xfId="0" applyNumberFormat="1"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top" wrapText="1"/>
      <protection locked="0"/>
    </xf>
    <xf numFmtId="0" fontId="20" fillId="0" borderId="2" xfId="0" applyFont="1" applyBorder="1" applyAlignment="1" applyProtection="1">
      <alignment horizontal="center" vertical="center"/>
      <protection locked="0"/>
    </xf>
    <xf numFmtId="0" fontId="20" fillId="0" borderId="1" xfId="0" applyFont="1" applyBorder="1" applyAlignment="1" applyProtection="1">
      <alignment horizontal="center" vertical="top" wrapText="1"/>
      <protection locked="0"/>
    </xf>
    <xf numFmtId="0" fontId="20" fillId="0" borderId="4" xfId="0" applyFont="1" applyBorder="1" applyAlignment="1" applyProtection="1">
      <alignment horizontal="center" vertical="top" wrapText="1"/>
      <protection locked="0"/>
    </xf>
    <xf numFmtId="0" fontId="20" fillId="0" borderId="5"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6" fillId="0" borderId="4" xfId="0" applyNumberFormat="1" applyFont="1" applyBorder="1" applyAlignment="1" applyProtection="1">
      <alignment horizontal="center" vertical="top" wrapText="1"/>
      <protection locked="0"/>
    </xf>
    <xf numFmtId="1" fontId="6" fillId="0" borderId="5" xfId="0" applyNumberFormat="1" applyFont="1" applyBorder="1" applyAlignment="1" applyProtection="1">
      <alignment horizontal="center" vertical="top" wrapText="1"/>
      <protection locked="0"/>
    </xf>
    <xf numFmtId="1" fontId="20" fillId="0" borderId="2" xfId="0" applyNumberFormat="1" applyFont="1" applyBorder="1" applyAlignment="1" applyProtection="1">
      <alignment horizontal="center" vertical="center"/>
      <protection locked="0"/>
    </xf>
    <xf numFmtId="1" fontId="20" fillId="0" borderId="1" xfId="0" applyNumberFormat="1"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top" wrapText="1"/>
      <protection locked="0"/>
    </xf>
    <xf numFmtId="0" fontId="19" fillId="0" borderId="2" xfId="0" applyFont="1" applyBorder="1" applyAlignment="1" applyProtection="1">
      <alignment horizontal="center" vertical="center"/>
      <protection locked="0"/>
    </xf>
    <xf numFmtId="1" fontId="19" fillId="0" borderId="1" xfId="0" applyNumberFormat="1" applyFont="1" applyBorder="1" applyAlignment="1" applyProtection="1">
      <alignment horizontal="center" vertical="top" wrapText="1"/>
      <protection locked="0"/>
    </xf>
    <xf numFmtId="1" fontId="19" fillId="0" borderId="4" xfId="0" applyNumberFormat="1" applyFont="1" applyBorder="1" applyAlignment="1" applyProtection="1">
      <alignment horizontal="center" vertical="top" wrapText="1"/>
      <protection locked="0"/>
    </xf>
    <xf numFmtId="1" fontId="19" fillId="0" borderId="5" xfId="0" applyNumberFormat="1" applyFont="1" applyBorder="1" applyAlignment="1" applyProtection="1">
      <alignment horizontal="center" vertical="top" wrapText="1"/>
      <protection locked="0"/>
    </xf>
    <xf numFmtId="1" fontId="19" fillId="0" borderId="2" xfId="0" applyNumberFormat="1" applyFont="1" applyBorder="1" applyAlignment="1" applyProtection="1">
      <alignment horizontal="center" vertical="center"/>
      <protection locked="0"/>
    </xf>
    <xf numFmtId="0" fontId="19" fillId="0" borderId="4" xfId="0" applyFont="1" applyBorder="1" applyAlignment="1" applyProtection="1">
      <alignment horizontal="center" vertical="top" wrapText="1"/>
      <protection locked="0"/>
    </xf>
    <xf numFmtId="0" fontId="19" fillId="0" borderId="5" xfId="0" applyFont="1" applyBorder="1" applyAlignment="1" applyProtection="1">
      <alignment horizontal="center" vertical="top" wrapText="1"/>
      <protection locked="0"/>
    </xf>
    <xf numFmtId="0" fontId="9" fillId="0" borderId="20" xfId="6" applyFont="1" applyBorder="1" applyAlignment="1" applyProtection="1">
      <alignment horizontal="center" vertical="top" wrapText="1"/>
      <protection locked="0"/>
    </xf>
    <xf numFmtId="0" fontId="9" fillId="0" borderId="2" xfId="6" applyFont="1" applyBorder="1" applyAlignment="1" applyProtection="1">
      <alignment horizontal="center" vertical="top" wrapText="1"/>
      <protection locked="0"/>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1"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3" fontId="4" fillId="2" borderId="1" xfId="0" applyNumberFormat="1"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8" fillId="0" borderId="13" xfId="6" applyFont="1" applyBorder="1" applyAlignment="1" applyProtection="1">
      <alignment horizontal="center" vertical="top" wrapText="1"/>
      <protection locked="0"/>
    </xf>
    <xf numFmtId="0" fontId="8" fillId="0" borderId="14" xfId="6" applyFont="1" applyBorder="1" applyAlignment="1" applyProtection="1">
      <alignment horizontal="center" vertical="top" wrapText="1"/>
      <protection locked="0"/>
    </xf>
    <xf numFmtId="9" fontId="9" fillId="2" borderId="1" xfId="6" applyNumberFormat="1" applyFont="1" applyFill="1" applyBorder="1" applyAlignment="1" applyProtection="1">
      <alignment horizontal="center" vertical="center" wrapText="1"/>
      <protection hidden="1"/>
    </xf>
    <xf numFmtId="9" fontId="9" fillId="2" borderId="5" xfId="6" applyNumberFormat="1" applyFont="1" applyFill="1" applyBorder="1" applyAlignment="1" applyProtection="1">
      <alignment horizontal="center" vertical="center" wrapText="1"/>
      <protection hidden="1"/>
    </xf>
    <xf numFmtId="0" fontId="9" fillId="0" borderId="20" xfId="6" applyFont="1" applyBorder="1" applyAlignment="1" applyProtection="1">
      <alignment horizontal="center" vertical="top"/>
      <protection locked="0"/>
    </xf>
    <xf numFmtId="0" fontId="9" fillId="0" borderId="2" xfId="6" applyFont="1" applyBorder="1" applyAlignment="1" applyProtection="1">
      <alignment horizontal="center" vertical="top"/>
      <protection locked="0"/>
    </xf>
    <xf numFmtId="14" fontId="4" fillId="0" borderId="1" xfId="0" applyNumberFormat="1"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15" fillId="0" borderId="1" xfId="0" applyFont="1" applyBorder="1" applyAlignment="1">
      <alignment horizontal="center" vertical="top" wrapText="1"/>
    </xf>
    <xf numFmtId="0" fontId="15" fillId="0" borderId="5" xfId="0" applyFont="1" applyBorder="1" applyAlignment="1">
      <alignment horizontal="center" vertical="top" wrapText="1"/>
    </xf>
    <xf numFmtId="0" fontId="9" fillId="0" borderId="1"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8" fillId="0" borderId="15" xfId="6" applyFont="1" applyBorder="1" applyAlignment="1" applyProtection="1">
      <alignment horizontal="left" vertical="top" wrapText="1"/>
      <protection locked="0"/>
    </xf>
    <xf numFmtId="0" fontId="8" fillId="0" borderId="16" xfId="6" applyFont="1" applyBorder="1" applyAlignment="1" applyProtection="1">
      <alignment horizontal="left" vertical="top" wrapText="1"/>
      <protection locked="0"/>
    </xf>
    <xf numFmtId="0" fontId="8" fillId="0" borderId="17" xfId="6" applyFont="1" applyBorder="1" applyAlignment="1" applyProtection="1">
      <alignment horizontal="left" vertical="top" wrapText="1"/>
      <protection locked="0"/>
    </xf>
    <xf numFmtId="0" fontId="9" fillId="0" borderId="1" xfId="6" applyFont="1" applyBorder="1" applyAlignment="1" applyProtection="1">
      <alignment horizontal="center" vertical="top"/>
      <protection locked="0"/>
    </xf>
    <xf numFmtId="0" fontId="9" fillId="0" borderId="5" xfId="6" applyFont="1" applyBorder="1" applyAlignment="1" applyProtection="1">
      <alignment horizontal="center" vertical="top"/>
      <protection locked="0"/>
    </xf>
    <xf numFmtId="0" fontId="9" fillId="0" borderId="21" xfId="6" applyFont="1" applyBorder="1" applyAlignment="1" applyProtection="1">
      <alignment horizontal="center" vertical="top"/>
      <protection locked="0"/>
    </xf>
    <xf numFmtId="0" fontId="8" fillId="0" borderId="20" xfId="6" applyFont="1" applyBorder="1" applyAlignment="1" applyProtection="1">
      <alignment horizontal="left" vertical="top"/>
      <protection locked="0"/>
    </xf>
    <xf numFmtId="0" fontId="8" fillId="0" borderId="2" xfId="6" applyFont="1" applyBorder="1" applyAlignment="1" applyProtection="1">
      <alignment horizontal="left" vertical="top"/>
      <protection locked="0"/>
    </xf>
    <xf numFmtId="0" fontId="8" fillId="0" borderId="1" xfId="6" applyFont="1" applyBorder="1" applyAlignment="1" applyProtection="1">
      <alignment horizontal="left" vertical="top" wrapText="1"/>
      <protection locked="0"/>
    </xf>
    <xf numFmtId="0" fontId="8" fillId="0" borderId="4" xfId="6" applyFont="1" applyBorder="1" applyAlignment="1" applyProtection="1">
      <alignment horizontal="left" vertical="top" wrapText="1"/>
      <protection locked="0"/>
    </xf>
    <xf numFmtId="0" fontId="8" fillId="0" borderId="21" xfId="6" applyFont="1" applyBorder="1" applyAlignment="1" applyProtection="1">
      <alignment horizontal="left" vertical="top" wrapText="1"/>
      <protection locked="0"/>
    </xf>
    <xf numFmtId="0" fontId="9" fillId="0" borderId="24" xfId="6" applyFont="1" applyBorder="1" applyAlignment="1" applyProtection="1">
      <alignment horizontal="center" vertical="top" wrapText="1"/>
      <protection locked="0"/>
    </xf>
    <xf numFmtId="9" fontId="9" fillId="2" borderId="2" xfId="6" applyNumberFormat="1" applyFont="1" applyFill="1" applyBorder="1" applyAlignment="1" applyProtection="1">
      <alignment horizontal="center" vertical="center" wrapText="1"/>
      <protection hidden="1"/>
    </xf>
    <xf numFmtId="9" fontId="9" fillId="2" borderId="27" xfId="6" applyNumberFormat="1" applyFont="1" applyFill="1" applyBorder="1" applyAlignment="1" applyProtection="1">
      <alignment horizontal="center" vertical="center" wrapText="1"/>
      <protection hidden="1"/>
    </xf>
    <xf numFmtId="9" fontId="9" fillId="2" borderId="6" xfId="6" applyNumberFormat="1" applyFont="1" applyFill="1" applyBorder="1" applyAlignment="1" applyProtection="1">
      <alignment horizontal="center" vertical="center" wrapText="1"/>
      <protection hidden="1"/>
    </xf>
    <xf numFmtId="9" fontId="9" fillId="2" borderId="12" xfId="6" applyNumberFormat="1" applyFont="1" applyFill="1" applyBorder="1" applyAlignment="1" applyProtection="1">
      <alignment horizontal="center" vertical="center" wrapText="1"/>
      <protection hidden="1"/>
    </xf>
    <xf numFmtId="9" fontId="9" fillId="2" borderId="25" xfId="6" applyNumberFormat="1" applyFont="1" applyFill="1" applyBorder="1" applyAlignment="1" applyProtection="1">
      <alignment horizontal="center" vertical="center" wrapText="1"/>
      <protection hidden="1"/>
    </xf>
    <xf numFmtId="9" fontId="9" fillId="2" borderId="8" xfId="6" applyNumberFormat="1" applyFont="1" applyFill="1" applyBorder="1" applyAlignment="1" applyProtection="1">
      <alignment horizontal="center" vertical="center" wrapText="1"/>
      <protection hidden="1"/>
    </xf>
    <xf numFmtId="9" fontId="9" fillId="2" borderId="0" xfId="6" applyNumberFormat="1" applyFont="1" applyFill="1" applyAlignment="1" applyProtection="1">
      <alignment horizontal="center" vertical="center" wrapText="1"/>
      <protection hidden="1"/>
    </xf>
    <xf numFmtId="9" fontId="9" fillId="2" borderId="22" xfId="6" applyNumberFormat="1" applyFont="1" applyFill="1" applyBorder="1" applyAlignment="1" applyProtection="1">
      <alignment horizontal="center" vertical="center" wrapText="1"/>
      <protection hidden="1"/>
    </xf>
    <xf numFmtId="9" fontId="9" fillId="2" borderId="30" xfId="6" applyNumberFormat="1" applyFont="1" applyFill="1" applyBorder="1" applyAlignment="1" applyProtection="1">
      <alignment horizontal="center" vertical="center" wrapText="1"/>
      <protection hidden="1"/>
    </xf>
    <xf numFmtId="9" fontId="9" fillId="2" borderId="31" xfId="6" applyNumberFormat="1" applyFont="1" applyFill="1" applyBorder="1" applyAlignment="1" applyProtection="1">
      <alignment horizontal="center" vertical="center" wrapText="1"/>
      <protection hidden="1"/>
    </xf>
    <xf numFmtId="9" fontId="9" fillId="2" borderId="32" xfId="6" applyNumberFormat="1" applyFont="1" applyFill="1" applyBorder="1" applyAlignment="1" applyProtection="1">
      <alignment horizontal="center" vertical="center" wrapText="1"/>
      <protection hidden="1"/>
    </xf>
    <xf numFmtId="0" fontId="5" fillId="0" borderId="1" xfId="0" applyFont="1" applyBorder="1" applyAlignment="1">
      <alignment horizontal="center" vertical="top"/>
    </xf>
    <xf numFmtId="0" fontId="5" fillId="0" borderId="5" xfId="0" applyFont="1" applyBorder="1" applyAlignment="1">
      <alignment horizontal="center"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5" fillId="0" borderId="1" xfId="0" applyFont="1" applyBorder="1" applyAlignment="1">
      <alignment horizontal="left" vertical="top"/>
    </xf>
    <xf numFmtId="14" fontId="4" fillId="0" borderId="4" xfId="0" applyNumberFormat="1" applyFont="1" applyBorder="1" applyAlignment="1">
      <alignment horizontal="left" vertical="top"/>
    </xf>
    <xf numFmtId="14" fontId="4" fillId="0" borderId="5" xfId="0" applyNumberFormat="1" applyFont="1" applyBorder="1" applyAlignment="1">
      <alignment horizontal="left" vertical="top"/>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2" borderId="2" xfId="0" applyFont="1" applyFill="1" applyBorder="1" applyAlignment="1">
      <alignment horizontal="left" vertical="top"/>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4" fillId="0" borderId="7" xfId="0" applyFont="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5" fillId="0" borderId="4" xfId="0" applyFont="1" applyBorder="1" applyAlignment="1">
      <alignment vertical="top"/>
    </xf>
    <xf numFmtId="0" fontId="5" fillId="0" borderId="5" xfId="0" applyFont="1" applyBorder="1" applyAlignment="1">
      <alignment vertical="top"/>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top" wrapText="1"/>
    </xf>
    <xf numFmtId="0" fontId="5" fillId="0" borderId="11" xfId="0" applyFont="1" applyBorder="1" applyAlignment="1">
      <alignment horizontal="left" vertical="top" wrapText="1"/>
    </xf>
    <xf numFmtId="0" fontId="4" fillId="0" borderId="2"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20" xfId="6" applyFont="1" applyBorder="1" applyAlignment="1" applyProtection="1">
      <alignment horizontal="left" vertical="top"/>
      <protection locked="0"/>
    </xf>
    <xf numFmtId="0" fontId="9" fillId="0" borderId="2" xfId="6" applyFont="1" applyBorder="1" applyAlignment="1" applyProtection="1">
      <alignment horizontal="left" vertical="top"/>
      <protection locked="0"/>
    </xf>
    <xf numFmtId="0" fontId="22" fillId="0" borderId="1" xfId="7" applyFill="1" applyBorder="1" applyAlignment="1">
      <alignment horizontal="left" vertical="top"/>
    </xf>
    <xf numFmtId="0" fontId="3" fillId="0" borderId="6" xfId="0"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4" fillId="2" borderId="1" xfId="0" applyFont="1" applyFill="1" applyBorder="1" applyAlignment="1">
      <alignment horizontal="left" vertical="top"/>
    </xf>
    <xf numFmtId="0" fontId="6" fillId="0" borderId="1"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15" fillId="0" borderId="1" xfId="0" applyFont="1" applyBorder="1" applyAlignment="1">
      <alignment horizontal="left" vertical="top"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0" fontId="5" fillId="0" borderId="1" xfId="0" applyFont="1" applyBorder="1" applyAlignment="1">
      <alignment vertical="top"/>
    </xf>
    <xf numFmtId="0" fontId="3" fillId="0" borderId="6" xfId="2" applyFont="1" applyBorder="1" applyAlignment="1">
      <alignment horizontal="left" vertical="top" wrapText="1"/>
    </xf>
    <xf numFmtId="0" fontId="3" fillId="0" borderId="12" xfId="2" applyFont="1" applyBorder="1" applyAlignment="1">
      <alignment horizontal="left" vertical="top" wrapText="1"/>
    </xf>
    <xf numFmtId="0" fontId="3" fillId="0" borderId="7" xfId="2" applyFont="1" applyBorder="1" applyAlignment="1">
      <alignment horizontal="left"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14" fontId="4" fillId="0" borderId="2" xfId="0" applyNumberFormat="1" applyFont="1" applyBorder="1" applyAlignment="1">
      <alignment horizontal="center" vertical="top"/>
    </xf>
    <xf numFmtId="0" fontId="4" fillId="0" borderId="2" xfId="0" applyFont="1" applyBorder="1" applyAlignment="1">
      <alignment horizontal="center" vertical="top"/>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0" fontId="0" fillId="0" borderId="5" xfId="0" applyBorder="1" applyAlignment="1">
      <alignment horizontal="left"/>
    </xf>
    <xf numFmtId="0" fontId="9" fillId="0" borderId="23" xfId="6" applyFont="1" applyBorder="1" applyAlignment="1" applyProtection="1">
      <alignment horizontal="center" vertical="top" wrapText="1"/>
      <protection locked="0"/>
    </xf>
    <xf numFmtId="0" fontId="9" fillId="0" borderId="5" xfId="6" applyFont="1" applyBorder="1" applyAlignment="1" applyProtection="1">
      <alignment horizontal="center" vertical="top" wrapText="1"/>
      <protection locked="0"/>
    </xf>
    <xf numFmtId="3" fontId="3" fillId="2" borderId="1" xfId="0" applyNumberFormat="1"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8" fillId="0" borderId="6" xfId="0" applyFont="1" applyBorder="1" applyAlignment="1">
      <alignment vertical="top" wrapText="1"/>
    </xf>
    <xf numFmtId="0" fontId="8" fillId="0" borderId="12"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0" xfId="0" applyFont="1" applyAlignment="1">
      <alignment vertical="top" wrapText="1"/>
    </xf>
    <xf numFmtId="0" fontId="8" fillId="0" borderId="9" xfId="0" applyFont="1" applyBorder="1" applyAlignment="1">
      <alignment vertical="top" wrapText="1"/>
    </xf>
    <xf numFmtId="0" fontId="7" fillId="0" borderId="1" xfId="0" applyFont="1" applyBorder="1" applyAlignment="1">
      <alignment horizontal="left" vertical="top"/>
    </xf>
    <xf numFmtId="0" fontId="9" fillId="0" borderId="26" xfId="6" applyFont="1" applyBorder="1" applyAlignment="1" applyProtection="1">
      <alignment horizontal="center" vertical="top" wrapText="1"/>
      <protection locked="0"/>
    </xf>
    <xf numFmtId="0" fontId="9" fillId="0" borderId="27" xfId="6" applyFont="1" applyBorder="1" applyAlignment="1" applyProtection="1">
      <alignment horizontal="center" vertical="top" wrapText="1"/>
      <protection locked="0"/>
    </xf>
    <xf numFmtId="9" fontId="9" fillId="2" borderId="28" xfId="6" applyNumberFormat="1" applyFont="1" applyFill="1" applyBorder="1" applyAlignment="1" applyProtection="1">
      <alignment horizontal="center" vertical="center" wrapText="1"/>
      <protection hidden="1"/>
    </xf>
    <xf numFmtId="9" fontId="9" fillId="2" borderId="29" xfId="6" applyNumberFormat="1" applyFont="1" applyFill="1" applyBorder="1" applyAlignment="1" applyProtection="1">
      <alignment horizontal="center" vertical="center" wrapText="1"/>
      <protection hidden="1"/>
    </xf>
    <xf numFmtId="1" fontId="10" fillId="0" borderId="12"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1" fontId="10" fillId="0" borderId="4" xfId="0" applyNumberFormat="1" applyFont="1" applyBorder="1" applyAlignment="1">
      <alignment horizontal="center" vertical="center" wrapText="1"/>
    </xf>
    <xf numFmtId="0" fontId="13" fillId="0" borderId="2" xfId="5" applyFont="1" applyBorder="1" applyAlignment="1">
      <alignment horizontal="left"/>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7" builtinId="8"/>
    <cellStyle name="Normal" xfId="0" builtinId="0"/>
    <cellStyle name="Normal 2" xfId="4" xr:uid="{00000000-0005-0000-0000-000005000000}"/>
    <cellStyle name="Normal 3" xfId="6" xr:uid="{00000000-0005-0000-0000-000006000000}"/>
    <cellStyle name="Normal 4"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264068</xdr:colOff>
      <xdr:row>283</xdr:row>
      <xdr:rowOff>159319</xdr:rowOff>
    </xdr:from>
    <xdr:to>
      <xdr:col>9</xdr:col>
      <xdr:colOff>80608</xdr:colOff>
      <xdr:row>301</xdr:row>
      <xdr:rowOff>159319</xdr:rowOff>
    </xdr:to>
    <xdr:pic>
      <xdr:nvPicPr>
        <xdr:cNvPr id="8" name="Picture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64068" y="62046971"/>
          <a:ext cx="5697192" cy="3429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264068</xdr:colOff>
      <xdr:row>302</xdr:row>
      <xdr:rowOff>121219</xdr:rowOff>
    </xdr:from>
    <xdr:to>
      <xdr:col>9</xdr:col>
      <xdr:colOff>80608</xdr:colOff>
      <xdr:row>321</xdr:row>
      <xdr:rowOff>6919</xdr:rowOff>
    </xdr:to>
    <xdr:pic>
      <xdr:nvPicPr>
        <xdr:cNvPr id="9" name="Picture 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64068" y="65628371"/>
          <a:ext cx="5697192" cy="35052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1135380</xdr:colOff>
      <xdr:row>241</xdr:row>
      <xdr:rowOff>104775</xdr:rowOff>
    </xdr:from>
    <xdr:to>
      <xdr:col>18</xdr:col>
      <xdr:colOff>391679</xdr:colOff>
      <xdr:row>276</xdr:row>
      <xdr:rowOff>21906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650480" y="54145815"/>
          <a:ext cx="6053339" cy="6310311"/>
          <a:chOff x="238125" y="53882925"/>
          <a:chExt cx="5881889" cy="6567486"/>
        </a:xfrm>
      </xdr:grpSpPr>
      <xdr:pic>
        <xdr:nvPicPr>
          <xdr:cNvPr id="18" name="Picture 17" descr="https://vsjcllp.vsjadon.com/upload/insp-236376-1525.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029075" y="57654824"/>
            <a:ext cx="2090939" cy="2790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36376-843.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71475" y="53882925"/>
            <a:ext cx="2768889" cy="3695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36376-851.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228975" y="53882925"/>
            <a:ext cx="2768889" cy="3695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6376-849.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38125" y="57659586"/>
            <a:ext cx="3717654" cy="2790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297180</xdr:colOff>
      <xdr:row>242</xdr:row>
      <xdr:rowOff>30480</xdr:rowOff>
    </xdr:from>
    <xdr:to>
      <xdr:col>9</xdr:col>
      <xdr:colOff>142348</xdr:colOff>
      <xdr:row>273</xdr:row>
      <xdr:rowOff>177560</xdr:rowOff>
    </xdr:to>
    <xdr:grpSp>
      <xdr:nvGrpSpPr>
        <xdr:cNvPr id="4" name="Group 3">
          <a:extLst>
            <a:ext uri="{FF2B5EF4-FFF2-40B4-BE49-F238E27FC236}">
              <a16:creationId xmlns:a16="http://schemas.microsoft.com/office/drawing/2014/main" id="{2CB85F69-C546-BA41-0B99-6B67BF3E4904}"/>
            </a:ext>
          </a:extLst>
        </xdr:cNvPr>
        <xdr:cNvGrpSpPr/>
      </xdr:nvGrpSpPr>
      <xdr:grpSpPr>
        <a:xfrm>
          <a:off x="297180" y="54254400"/>
          <a:ext cx="5903068" cy="5808740"/>
          <a:chOff x="477467" y="129997"/>
          <a:chExt cx="5903068" cy="5808740"/>
        </a:xfrm>
      </xdr:grpSpPr>
      <xdr:grpSp>
        <xdr:nvGrpSpPr>
          <xdr:cNvPr id="5" name="Group 4">
            <a:extLst>
              <a:ext uri="{FF2B5EF4-FFF2-40B4-BE49-F238E27FC236}">
                <a16:creationId xmlns:a16="http://schemas.microsoft.com/office/drawing/2014/main" id="{F3307AE4-FB03-B9A3-98B2-2D480BBE9ECD}"/>
              </a:ext>
            </a:extLst>
          </xdr:cNvPr>
          <xdr:cNvGrpSpPr/>
        </xdr:nvGrpSpPr>
        <xdr:grpSpPr>
          <a:xfrm>
            <a:off x="1484281" y="4138737"/>
            <a:ext cx="3889440" cy="1800000"/>
            <a:chOff x="959689" y="4138737"/>
            <a:chExt cx="3889440" cy="1800000"/>
          </a:xfrm>
        </xdr:grpSpPr>
        <xdr:pic>
          <xdr:nvPicPr>
            <xdr:cNvPr id="14" name="Picture 13">
              <a:extLst>
                <a:ext uri="{FF2B5EF4-FFF2-40B4-BE49-F238E27FC236}">
                  <a16:creationId xmlns:a16="http://schemas.microsoft.com/office/drawing/2014/main" id="{74EFE7A7-12A3-E1B5-F2F2-CB4F359D0D92}"/>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3500535" y="4138737"/>
              <a:ext cx="1348594"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79D6D8FA-DE9F-4130-2A9F-5492CC2EBE3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959689" y="4138737"/>
              <a:ext cx="2397778"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593C8E31-CF0F-FAE4-1682-A2C8CBA54006}"/>
              </a:ext>
            </a:extLst>
          </xdr:cNvPr>
          <xdr:cNvGrpSpPr/>
        </xdr:nvGrpSpPr>
        <xdr:grpSpPr>
          <a:xfrm>
            <a:off x="477467" y="129997"/>
            <a:ext cx="5903068" cy="3844005"/>
            <a:chOff x="477467" y="129997"/>
            <a:chExt cx="5903068" cy="3844005"/>
          </a:xfrm>
        </xdr:grpSpPr>
        <xdr:pic>
          <xdr:nvPicPr>
            <xdr:cNvPr id="7" name="Picture 6">
              <a:extLst>
                <a:ext uri="{FF2B5EF4-FFF2-40B4-BE49-F238E27FC236}">
                  <a16:creationId xmlns:a16="http://schemas.microsoft.com/office/drawing/2014/main" id="{2343D010-E1BC-A226-4938-8B805169A4D9}"/>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477467" y="129997"/>
              <a:ext cx="2880000" cy="3844005"/>
            </a:xfrm>
            <a:prstGeom prst="rect">
              <a:avLst/>
            </a:prstGeom>
            <a:ln>
              <a:solidFill>
                <a:schemeClr val="tx1"/>
              </a:solidFill>
            </a:ln>
          </xdr:spPr>
        </xdr:pic>
        <xdr:pic>
          <xdr:nvPicPr>
            <xdr:cNvPr id="13" name="Picture 12">
              <a:extLst>
                <a:ext uri="{FF2B5EF4-FFF2-40B4-BE49-F238E27FC236}">
                  <a16:creationId xmlns:a16="http://schemas.microsoft.com/office/drawing/2014/main" id="{3F190483-3215-8670-70AF-9C864DD99E50}"/>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3500535" y="129997"/>
              <a:ext cx="2880000" cy="3844005"/>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47625</xdr:colOff>
      <xdr:row>1</xdr:row>
      <xdr:rowOff>19050</xdr:rowOff>
    </xdr:from>
    <xdr:to>
      <xdr:col>11</xdr:col>
      <xdr:colOff>304800</xdr:colOff>
      <xdr:row>20</xdr:row>
      <xdr:rowOff>142875</xdr:rowOff>
    </xdr:to>
    <xdr:pic>
      <xdr:nvPicPr>
        <xdr:cNvPr id="4195" name="Picture 1">
          <a:extLst>
            <a:ext uri="{FF2B5EF4-FFF2-40B4-BE49-F238E27FC236}">
              <a16:creationId xmlns:a16="http://schemas.microsoft.com/office/drawing/2014/main" id="{00000000-0008-0000-0200-000063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209550"/>
          <a:ext cx="2695575" cy="3743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xdr:row>
      <xdr:rowOff>19050</xdr:rowOff>
    </xdr:from>
    <xdr:to>
      <xdr:col>6</xdr:col>
      <xdr:colOff>495300</xdr:colOff>
      <xdr:row>20</xdr:row>
      <xdr:rowOff>142875</xdr:rowOff>
    </xdr:to>
    <xdr:pic>
      <xdr:nvPicPr>
        <xdr:cNvPr id="4196" name="Picture 2">
          <a:extLst>
            <a:ext uri="{FF2B5EF4-FFF2-40B4-BE49-F238E27FC236}">
              <a16:creationId xmlns:a16="http://schemas.microsoft.com/office/drawing/2014/main" id="{00000000-0008-0000-0200-0000641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3525" y="209550"/>
          <a:ext cx="2695575" cy="3743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9iRgU6nFVjYg7sd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2"/>
  <sheetViews>
    <sheetView tabSelected="1" view="pageBreakPreview" topLeftCell="A229" zoomScaleNormal="100" zoomScaleSheetLayoutView="100" workbookViewId="0">
      <selection activeCell="K231" sqref="K231"/>
    </sheetView>
  </sheetViews>
  <sheetFormatPr defaultRowHeight="14.4" x14ac:dyDescent="0.3"/>
  <cols>
    <col min="1" max="1" width="8.6640625" customWidth="1"/>
    <col min="2" max="2" width="9.88671875" customWidth="1"/>
    <col min="3" max="3" width="14.44140625" customWidth="1"/>
    <col min="4" max="4" width="7.33203125" customWidth="1"/>
    <col min="5" max="5" width="8.109375" customWidth="1"/>
    <col min="6" max="6" width="9" customWidth="1"/>
    <col min="7" max="8" width="9.88671875" customWidth="1"/>
    <col min="9" max="9" width="11.109375" customWidth="1"/>
    <col min="10" max="10" width="6.6640625" customWidth="1"/>
    <col min="11" max="11" width="33.44140625" customWidth="1"/>
    <col min="13" max="13" width="10.6640625" bestFit="1" customWidth="1"/>
    <col min="16" max="16" width="10.5546875" bestFit="1" customWidth="1"/>
  </cols>
  <sheetData>
    <row r="1" spans="1:13" ht="43.95" customHeight="1" x14ac:dyDescent="0.3">
      <c r="A1" s="217" t="s">
        <v>217</v>
      </c>
      <c r="B1" s="218"/>
      <c r="C1" s="218"/>
      <c r="D1" s="218"/>
      <c r="E1" s="218"/>
      <c r="F1" s="218"/>
      <c r="G1" s="218"/>
      <c r="H1" s="218"/>
      <c r="I1" s="218"/>
      <c r="J1" s="219"/>
    </row>
    <row r="2" spans="1:13" x14ac:dyDescent="0.3">
      <c r="A2" s="151" t="s">
        <v>40</v>
      </c>
      <c r="B2" s="152"/>
      <c r="C2" s="152"/>
      <c r="D2" s="152"/>
      <c r="E2" s="152"/>
      <c r="F2" s="152"/>
      <c r="G2" s="152"/>
      <c r="H2" s="152"/>
      <c r="I2" s="152"/>
      <c r="J2" s="153"/>
    </row>
    <row r="3" spans="1:13" x14ac:dyDescent="0.3">
      <c r="A3" s="154" t="s">
        <v>0</v>
      </c>
      <c r="B3" s="98"/>
      <c r="C3" s="98"/>
      <c r="D3" s="98"/>
      <c r="E3" s="99"/>
      <c r="F3" s="109" t="str">
        <f ca="1">TEXT(TODAY(),"DD/MM/YYYY")</f>
        <v>09/09/2025</v>
      </c>
      <c r="G3" s="155"/>
      <c r="H3" s="155"/>
      <c r="I3" s="155"/>
      <c r="J3" s="156"/>
    </row>
    <row r="4" spans="1:13" x14ac:dyDescent="0.3">
      <c r="A4" s="154" t="s">
        <v>1</v>
      </c>
      <c r="B4" s="98"/>
      <c r="C4" s="98"/>
      <c r="D4" s="98"/>
      <c r="E4" s="99"/>
      <c r="F4" s="97" t="s">
        <v>87</v>
      </c>
      <c r="G4" s="110"/>
      <c r="H4" s="110"/>
      <c r="I4" s="110"/>
      <c r="J4" s="111"/>
    </row>
    <row r="5" spans="1:13" x14ac:dyDescent="0.3">
      <c r="A5" s="154" t="s">
        <v>2</v>
      </c>
      <c r="B5" s="98"/>
      <c r="C5" s="98"/>
      <c r="D5" s="98"/>
      <c r="E5" s="99"/>
      <c r="F5" s="109">
        <v>45908</v>
      </c>
      <c r="G5" s="155"/>
      <c r="H5" s="155"/>
      <c r="I5" s="155"/>
      <c r="J5" s="156"/>
    </row>
    <row r="6" spans="1:13" ht="16.5" customHeight="1" x14ac:dyDescent="0.3">
      <c r="A6" s="154" t="s">
        <v>3</v>
      </c>
      <c r="B6" s="98"/>
      <c r="C6" s="98"/>
      <c r="D6" s="98"/>
      <c r="E6" s="99"/>
      <c r="F6" s="92" t="s">
        <v>88</v>
      </c>
      <c r="G6" s="157"/>
      <c r="H6" s="157"/>
      <c r="I6" s="157"/>
      <c r="J6" s="93"/>
      <c r="M6" s="46">
        <v>45638</v>
      </c>
    </row>
    <row r="7" spans="1:13" ht="15" customHeight="1" x14ac:dyDescent="0.3">
      <c r="A7" s="154" t="s">
        <v>4</v>
      </c>
      <c r="B7" s="98"/>
      <c r="C7" s="98"/>
      <c r="D7" s="98"/>
      <c r="E7" s="99"/>
      <c r="F7" s="92" t="s">
        <v>88</v>
      </c>
      <c r="G7" s="157"/>
      <c r="H7" s="157"/>
      <c r="I7" s="157"/>
      <c r="J7" s="93"/>
    </row>
    <row r="8" spans="1:13" x14ac:dyDescent="0.3">
      <c r="A8" s="154" t="s">
        <v>5</v>
      </c>
      <c r="B8" s="98"/>
      <c r="C8" s="98"/>
      <c r="D8" s="98"/>
      <c r="E8" s="99"/>
      <c r="F8" s="186" t="s">
        <v>163</v>
      </c>
      <c r="G8" s="187"/>
      <c r="H8" s="187"/>
      <c r="I8" s="187"/>
      <c r="J8" s="188"/>
    </row>
    <row r="9" spans="1:13" x14ac:dyDescent="0.3">
      <c r="A9" s="97" t="s">
        <v>80</v>
      </c>
      <c r="B9" s="98"/>
      <c r="C9" s="98"/>
      <c r="D9" s="98"/>
      <c r="E9" s="99"/>
      <c r="F9" s="97" t="s">
        <v>219</v>
      </c>
      <c r="G9" s="110"/>
      <c r="H9" s="110"/>
      <c r="I9" s="110"/>
      <c r="J9" s="111"/>
    </row>
    <row r="10" spans="1:13" x14ac:dyDescent="0.3">
      <c r="A10" s="97" t="s">
        <v>81</v>
      </c>
      <c r="B10" s="110"/>
      <c r="C10" s="110"/>
      <c r="D10" s="110"/>
      <c r="E10" s="111"/>
      <c r="F10" s="97" t="s">
        <v>164</v>
      </c>
      <c r="G10" s="110"/>
      <c r="H10" s="110"/>
      <c r="I10" s="110"/>
      <c r="J10" s="111"/>
    </row>
    <row r="11" spans="1:13" ht="32.25" customHeight="1" x14ac:dyDescent="0.3">
      <c r="A11" s="154" t="s">
        <v>6</v>
      </c>
      <c r="B11" s="98"/>
      <c r="C11" s="98"/>
      <c r="D11" s="98"/>
      <c r="E11" s="99"/>
      <c r="F11" s="92" t="s">
        <v>165</v>
      </c>
      <c r="G11" s="157"/>
      <c r="H11" s="157"/>
      <c r="I11" s="157"/>
      <c r="J11" s="93"/>
    </row>
    <row r="12" spans="1:13" x14ac:dyDescent="0.3">
      <c r="A12" s="97" t="s">
        <v>129</v>
      </c>
      <c r="B12" s="98"/>
      <c r="C12" s="98"/>
      <c r="D12" s="98"/>
      <c r="E12" s="99"/>
      <c r="F12" s="92" t="s">
        <v>128</v>
      </c>
      <c r="G12" s="157"/>
      <c r="H12" s="157"/>
      <c r="I12" s="157"/>
      <c r="J12" s="93"/>
    </row>
    <row r="13" spans="1:13" ht="31.5" customHeight="1" x14ac:dyDescent="0.3">
      <c r="A13" s="185" t="s">
        <v>59</v>
      </c>
      <c r="B13" s="185"/>
      <c r="C13" s="92" t="s">
        <v>89</v>
      </c>
      <c r="D13" s="157"/>
      <c r="E13" s="157"/>
      <c r="F13" s="157"/>
      <c r="G13" s="157"/>
      <c r="H13" s="157"/>
      <c r="I13" s="157"/>
      <c r="J13" s="93"/>
    </row>
    <row r="14" spans="1:13" x14ac:dyDescent="0.3">
      <c r="A14" s="185" t="s">
        <v>115</v>
      </c>
      <c r="B14" s="185"/>
      <c r="C14" s="161">
        <v>212</v>
      </c>
      <c r="D14" s="161"/>
      <c r="E14" s="161"/>
      <c r="F14" s="164" t="s">
        <v>60</v>
      </c>
      <c r="G14" s="164"/>
      <c r="H14" s="162" t="s">
        <v>90</v>
      </c>
      <c r="I14" s="162"/>
      <c r="J14" s="163"/>
    </row>
    <row r="15" spans="1:13" x14ac:dyDescent="0.3">
      <c r="A15" s="185" t="s">
        <v>7</v>
      </c>
      <c r="B15" s="185"/>
      <c r="C15" s="161" t="s">
        <v>91</v>
      </c>
      <c r="D15" s="161"/>
      <c r="E15" s="161"/>
      <c r="F15" s="164" t="s">
        <v>61</v>
      </c>
      <c r="G15" s="164"/>
      <c r="H15" s="162" t="s">
        <v>92</v>
      </c>
      <c r="I15" s="162"/>
      <c r="J15" s="163"/>
    </row>
    <row r="16" spans="1:13" x14ac:dyDescent="0.3">
      <c r="A16" s="185" t="s">
        <v>8</v>
      </c>
      <c r="B16" s="185"/>
      <c r="C16" s="161" t="s">
        <v>93</v>
      </c>
      <c r="D16" s="161"/>
      <c r="E16" s="161"/>
      <c r="F16" s="164" t="s">
        <v>62</v>
      </c>
      <c r="G16" s="164"/>
      <c r="H16" s="162">
        <v>400615</v>
      </c>
      <c r="I16" s="162"/>
      <c r="J16" s="163"/>
    </row>
    <row r="17" spans="1:10" ht="32.25" customHeight="1" x14ac:dyDescent="0.3">
      <c r="A17" s="185" t="s">
        <v>63</v>
      </c>
      <c r="B17" s="185"/>
      <c r="C17" s="161" t="s">
        <v>94</v>
      </c>
      <c r="D17" s="161"/>
      <c r="E17" s="161"/>
      <c r="F17" s="164" t="s">
        <v>49</v>
      </c>
      <c r="G17" s="164"/>
      <c r="H17" s="162" t="s">
        <v>172</v>
      </c>
      <c r="I17" s="162"/>
      <c r="J17" s="163"/>
    </row>
    <row r="18" spans="1:10" ht="15" customHeight="1" x14ac:dyDescent="0.3">
      <c r="A18" s="50" t="s">
        <v>82</v>
      </c>
      <c r="B18" s="165"/>
      <c r="C18" s="165"/>
      <c r="D18" s="165"/>
      <c r="E18" s="51"/>
      <c r="F18" s="172" t="s">
        <v>57</v>
      </c>
      <c r="G18" s="173"/>
      <c r="H18" s="173"/>
      <c r="I18" s="173"/>
      <c r="J18" s="174"/>
    </row>
    <row r="19" spans="1:10" ht="31.5" customHeight="1" x14ac:dyDescent="0.3">
      <c r="A19" s="54"/>
      <c r="B19" s="166"/>
      <c r="C19" s="166"/>
      <c r="D19" s="166"/>
      <c r="E19" s="55"/>
      <c r="F19" s="175"/>
      <c r="G19" s="176"/>
      <c r="H19" s="176"/>
      <c r="I19" s="176"/>
      <c r="J19" s="177"/>
    </row>
    <row r="20" spans="1:10" ht="15" customHeight="1" x14ac:dyDescent="0.3">
      <c r="A20" s="50" t="s">
        <v>83</v>
      </c>
      <c r="B20" s="180"/>
      <c r="C20" s="180"/>
      <c r="D20" s="180"/>
      <c r="E20" s="181"/>
      <c r="F20" s="50" t="s">
        <v>42</v>
      </c>
      <c r="G20" s="165"/>
      <c r="H20" s="165"/>
      <c r="I20" s="165"/>
      <c r="J20" s="51"/>
    </row>
    <row r="21" spans="1:10" x14ac:dyDescent="0.3">
      <c r="A21" s="182"/>
      <c r="B21" s="183"/>
      <c r="C21" s="183"/>
      <c r="D21" s="183"/>
      <c r="E21" s="184"/>
      <c r="F21" s="54"/>
      <c r="G21" s="166"/>
      <c r="H21" s="166"/>
      <c r="I21" s="166"/>
      <c r="J21" s="55"/>
    </row>
    <row r="22" spans="1:10" ht="18.75" customHeight="1" x14ac:dyDescent="0.3">
      <c r="A22" s="154" t="s">
        <v>9</v>
      </c>
      <c r="B22" s="98"/>
      <c r="C22" s="98"/>
      <c r="D22" s="98"/>
      <c r="E22" s="99"/>
      <c r="F22" s="158" t="s">
        <v>95</v>
      </c>
      <c r="G22" s="159"/>
      <c r="H22" s="159"/>
      <c r="I22" s="159"/>
      <c r="J22" s="160"/>
    </row>
    <row r="23" spans="1:10" x14ac:dyDescent="0.3">
      <c r="A23" s="154" t="s">
        <v>10</v>
      </c>
      <c r="B23" s="98"/>
      <c r="C23" s="98"/>
      <c r="D23" s="98"/>
      <c r="E23" s="99"/>
      <c r="F23" s="167" t="s">
        <v>50</v>
      </c>
      <c r="G23" s="168"/>
      <c r="H23" s="168"/>
      <c r="I23" s="168"/>
      <c r="J23" s="169"/>
    </row>
    <row r="24" spans="1:10" ht="16.5" customHeight="1" x14ac:dyDescent="0.3">
      <c r="A24" s="154" t="s">
        <v>11</v>
      </c>
      <c r="B24" s="98"/>
      <c r="C24" s="98"/>
      <c r="D24" s="98"/>
      <c r="E24" s="99"/>
      <c r="F24" s="158" t="s">
        <v>96</v>
      </c>
      <c r="G24" s="159"/>
      <c r="H24" s="159"/>
      <c r="I24" s="159"/>
      <c r="J24" s="160"/>
    </row>
    <row r="25" spans="1:10" x14ac:dyDescent="0.3">
      <c r="A25" s="154" t="s">
        <v>28</v>
      </c>
      <c r="B25" s="98"/>
      <c r="C25" s="98"/>
      <c r="D25" s="98"/>
      <c r="E25" s="99"/>
      <c r="F25" s="167" t="s">
        <v>64</v>
      </c>
      <c r="G25" s="178"/>
      <c r="H25" s="178"/>
      <c r="I25" s="178"/>
      <c r="J25" s="179"/>
    </row>
    <row r="26" spans="1:10" x14ac:dyDescent="0.3">
      <c r="A26" s="149" t="s">
        <v>12</v>
      </c>
      <c r="B26" s="150"/>
      <c r="C26" s="149" t="s">
        <v>13</v>
      </c>
      <c r="D26" s="150"/>
      <c r="E26" s="170" t="s">
        <v>14</v>
      </c>
      <c r="F26" s="150"/>
      <c r="G26" s="170" t="s">
        <v>48</v>
      </c>
      <c r="H26" s="171"/>
      <c r="I26" s="149" t="s">
        <v>15</v>
      </c>
      <c r="J26" s="150"/>
    </row>
    <row r="27" spans="1:10" x14ac:dyDescent="0.3">
      <c r="A27" s="170" t="s">
        <v>16</v>
      </c>
      <c r="B27" s="171"/>
      <c r="C27" s="170" t="s">
        <v>47</v>
      </c>
      <c r="D27" s="171"/>
      <c r="E27" s="170" t="s">
        <v>47</v>
      </c>
      <c r="F27" s="171"/>
      <c r="G27" s="170" t="s">
        <v>47</v>
      </c>
      <c r="H27" s="171"/>
      <c r="I27" s="170" t="s">
        <v>47</v>
      </c>
      <c r="J27" s="171"/>
    </row>
    <row r="28" spans="1:10" x14ac:dyDescent="0.3">
      <c r="A28" s="149" t="s">
        <v>17</v>
      </c>
      <c r="B28" s="150"/>
      <c r="C28" s="170" t="s">
        <v>7</v>
      </c>
      <c r="D28" s="171"/>
      <c r="E28" s="170" t="s">
        <v>97</v>
      </c>
      <c r="F28" s="171"/>
      <c r="G28" s="170" t="s">
        <v>98</v>
      </c>
      <c r="H28" s="171"/>
      <c r="I28" s="170" t="s">
        <v>7</v>
      </c>
      <c r="J28" s="171"/>
    </row>
    <row r="29" spans="1:10" x14ac:dyDescent="0.3">
      <c r="A29" s="97" t="s">
        <v>56</v>
      </c>
      <c r="B29" s="110"/>
      <c r="C29" s="110"/>
      <c r="D29" s="110"/>
      <c r="E29" s="110"/>
      <c r="F29" s="110"/>
      <c r="G29" s="110"/>
      <c r="H29" s="110"/>
      <c r="I29" s="110"/>
      <c r="J29" s="111"/>
    </row>
    <row r="30" spans="1:10" x14ac:dyDescent="0.3">
      <c r="A30" s="97" t="s">
        <v>99</v>
      </c>
      <c r="B30" s="110"/>
      <c r="C30" s="110"/>
      <c r="D30" s="110"/>
      <c r="E30" s="110"/>
      <c r="F30" s="110"/>
      <c r="G30" s="110"/>
      <c r="H30" s="110"/>
      <c r="I30" s="110"/>
      <c r="J30" s="111"/>
    </row>
    <row r="31" spans="1:10" x14ac:dyDescent="0.3">
      <c r="A31" s="97" t="s">
        <v>39</v>
      </c>
      <c r="B31" s="111"/>
      <c r="C31" s="186" t="s">
        <v>221</v>
      </c>
      <c r="D31" s="187"/>
      <c r="E31" s="187"/>
      <c r="F31" s="187"/>
      <c r="G31" s="187"/>
      <c r="H31" s="187"/>
      <c r="I31" s="187"/>
      <c r="J31" s="188"/>
    </row>
    <row r="32" spans="1:10" x14ac:dyDescent="0.3">
      <c r="A32" s="97" t="s">
        <v>215</v>
      </c>
      <c r="B32" s="111"/>
      <c r="C32" s="194" t="s">
        <v>216</v>
      </c>
      <c r="D32" s="110"/>
      <c r="E32" s="110"/>
      <c r="F32" s="110"/>
      <c r="G32" s="110"/>
      <c r="H32" s="110"/>
      <c r="I32" s="110"/>
      <c r="J32" s="111"/>
    </row>
    <row r="33" spans="1:10" x14ac:dyDescent="0.3">
      <c r="A33" s="186" t="s">
        <v>18</v>
      </c>
      <c r="B33" s="187"/>
      <c r="C33" s="187"/>
      <c r="D33" s="187"/>
      <c r="E33" s="187"/>
      <c r="F33" s="187"/>
      <c r="G33" s="187"/>
      <c r="H33" s="187"/>
      <c r="I33" s="187"/>
      <c r="J33" s="188"/>
    </row>
    <row r="34" spans="1:10" ht="15" customHeight="1" x14ac:dyDescent="0.3">
      <c r="A34" s="50" t="s">
        <v>100</v>
      </c>
      <c r="B34" s="165"/>
      <c r="C34" s="165"/>
      <c r="D34" s="165"/>
      <c r="E34" s="165"/>
      <c r="F34" s="165"/>
      <c r="G34" s="165"/>
      <c r="H34" s="165"/>
      <c r="I34" s="165"/>
      <c r="J34" s="51"/>
    </row>
    <row r="35" spans="1:10" x14ac:dyDescent="0.3">
      <c r="A35" s="54"/>
      <c r="B35" s="166"/>
      <c r="C35" s="166"/>
      <c r="D35" s="166"/>
      <c r="E35" s="166"/>
      <c r="F35" s="166"/>
      <c r="G35" s="166"/>
      <c r="H35" s="166"/>
      <c r="I35" s="166"/>
      <c r="J35" s="55"/>
    </row>
    <row r="36" spans="1:10" ht="16.5" customHeight="1" x14ac:dyDescent="0.3">
      <c r="A36" s="97" t="s">
        <v>65</v>
      </c>
      <c r="B36" s="98"/>
      <c r="C36" s="98"/>
      <c r="D36" s="98"/>
      <c r="E36" s="99"/>
      <c r="F36" s="92">
        <v>3324.62</v>
      </c>
      <c r="G36" s="157"/>
      <c r="H36" s="157"/>
      <c r="I36" s="157"/>
      <c r="J36" s="93"/>
    </row>
    <row r="37" spans="1:10" x14ac:dyDescent="0.3">
      <c r="A37" s="154" t="s">
        <v>19</v>
      </c>
      <c r="B37" s="98"/>
      <c r="C37" s="98"/>
      <c r="D37" s="98"/>
      <c r="E37" s="99"/>
      <c r="F37" s="97">
        <v>5.09</v>
      </c>
      <c r="G37" s="110"/>
      <c r="H37" s="110"/>
      <c r="I37" s="110"/>
      <c r="J37" s="111"/>
    </row>
    <row r="38" spans="1:10" x14ac:dyDescent="0.3">
      <c r="A38" s="154" t="s">
        <v>20</v>
      </c>
      <c r="B38" s="98"/>
      <c r="C38" s="98"/>
      <c r="D38" s="98"/>
      <c r="E38" s="99"/>
      <c r="F38" s="97">
        <v>0.27</v>
      </c>
      <c r="G38" s="110"/>
      <c r="H38" s="110"/>
      <c r="I38" s="110"/>
      <c r="J38" s="111"/>
    </row>
    <row r="39" spans="1:10" x14ac:dyDescent="0.3">
      <c r="A39" s="154" t="s">
        <v>21</v>
      </c>
      <c r="B39" s="98"/>
      <c r="C39" s="98"/>
      <c r="D39" s="98"/>
      <c r="E39" s="99"/>
      <c r="F39" s="97">
        <f>F37+F38</f>
        <v>5.3599999999999994</v>
      </c>
      <c r="G39" s="110"/>
      <c r="H39" s="110"/>
      <c r="I39" s="110"/>
      <c r="J39" s="111"/>
    </row>
    <row r="40" spans="1:10" x14ac:dyDescent="0.3">
      <c r="A40" s="97" t="s">
        <v>66</v>
      </c>
      <c r="B40" s="98"/>
      <c r="C40" s="98"/>
      <c r="D40" s="98"/>
      <c r="E40" s="99"/>
      <c r="F40" s="97">
        <v>17877.689999999999</v>
      </c>
      <c r="G40" s="110"/>
      <c r="H40" s="110"/>
      <c r="I40" s="110"/>
      <c r="J40" s="111"/>
    </row>
    <row r="41" spans="1:10" x14ac:dyDescent="0.3">
      <c r="A41" s="154" t="s">
        <v>22</v>
      </c>
      <c r="B41" s="98"/>
      <c r="C41" s="98"/>
      <c r="D41" s="98"/>
      <c r="E41" s="99"/>
      <c r="F41" s="97" t="s">
        <v>166</v>
      </c>
      <c r="G41" s="110"/>
      <c r="H41" s="110"/>
      <c r="I41" s="110"/>
      <c r="J41" s="111"/>
    </row>
    <row r="42" spans="1:10" x14ac:dyDescent="0.3">
      <c r="A42" s="186" t="s">
        <v>68</v>
      </c>
      <c r="B42" s="187"/>
      <c r="C42" s="187"/>
      <c r="D42" s="187"/>
      <c r="E42" s="187"/>
      <c r="F42" s="187"/>
      <c r="G42" s="187"/>
      <c r="H42" s="187"/>
      <c r="I42" s="187"/>
      <c r="J42" s="188"/>
    </row>
    <row r="43" spans="1:10" ht="16.5" customHeight="1" x14ac:dyDescent="0.3">
      <c r="A43" s="92" t="s">
        <v>67</v>
      </c>
      <c r="B43" s="93"/>
      <c r="C43" s="206" t="s">
        <v>168</v>
      </c>
      <c r="D43" s="101"/>
      <c r="E43" s="101"/>
      <c r="F43" s="102"/>
      <c r="G43" s="3" t="s">
        <v>58</v>
      </c>
      <c r="H43" s="47">
        <v>44790</v>
      </c>
      <c r="I43" s="48"/>
      <c r="J43" s="49"/>
    </row>
    <row r="44" spans="1:10" ht="31.5" customHeight="1" x14ac:dyDescent="0.3">
      <c r="A44" s="92" t="s">
        <v>69</v>
      </c>
      <c r="B44" s="93"/>
      <c r="C44" s="206" t="s">
        <v>168</v>
      </c>
      <c r="D44" s="101"/>
      <c r="E44" s="101"/>
      <c r="F44" s="102"/>
      <c r="G44" s="3" t="s">
        <v>58</v>
      </c>
      <c r="H44" s="47">
        <f>H43</f>
        <v>44790</v>
      </c>
      <c r="I44" s="48" t="s">
        <v>43</v>
      </c>
      <c r="J44" s="49"/>
    </row>
    <row r="45" spans="1:10" ht="74.25" customHeight="1" x14ac:dyDescent="0.3">
      <c r="A45" s="50" t="s">
        <v>169</v>
      </c>
      <c r="B45" s="51"/>
      <c r="C45" s="94" t="s">
        <v>170</v>
      </c>
      <c r="D45" s="95"/>
      <c r="E45" s="95"/>
      <c r="F45" s="96"/>
      <c r="G45" s="3" t="s">
        <v>58</v>
      </c>
      <c r="H45" s="47">
        <f>H43</f>
        <v>44790</v>
      </c>
      <c r="I45" s="48" t="s">
        <v>44</v>
      </c>
      <c r="J45" s="49"/>
    </row>
    <row r="46" spans="1:10" ht="33.75" customHeight="1" x14ac:dyDescent="0.3">
      <c r="A46" s="52"/>
      <c r="B46" s="53"/>
      <c r="C46" s="94" t="s">
        <v>171</v>
      </c>
      <c r="D46" s="95"/>
      <c r="E46" s="95"/>
      <c r="F46" s="96"/>
      <c r="G46" s="3" t="s">
        <v>58</v>
      </c>
      <c r="H46" s="47">
        <v>44831</v>
      </c>
      <c r="I46" s="48" t="s">
        <v>44</v>
      </c>
      <c r="J46" s="49"/>
    </row>
    <row r="47" spans="1:10" ht="31.5" customHeight="1" x14ac:dyDescent="0.3">
      <c r="A47" s="54"/>
      <c r="B47" s="55"/>
      <c r="C47" s="94" t="s">
        <v>218</v>
      </c>
      <c r="D47" s="95"/>
      <c r="E47" s="95"/>
      <c r="F47" s="96"/>
      <c r="G47" s="3" t="s">
        <v>58</v>
      </c>
      <c r="H47" s="47">
        <v>45117</v>
      </c>
      <c r="I47" s="48" t="s">
        <v>44</v>
      </c>
      <c r="J47" s="49"/>
    </row>
    <row r="48" spans="1:10" x14ac:dyDescent="0.3">
      <c r="A48" s="92" t="s">
        <v>78</v>
      </c>
      <c r="B48" s="93"/>
      <c r="C48" s="94" t="s">
        <v>47</v>
      </c>
      <c r="D48" s="95"/>
      <c r="E48" s="95"/>
      <c r="F48" s="96" t="s">
        <v>79</v>
      </c>
      <c r="G48" s="3" t="s">
        <v>58</v>
      </c>
      <c r="H48" s="206" t="s">
        <v>47</v>
      </c>
      <c r="I48" s="101" t="s">
        <v>51</v>
      </c>
      <c r="J48" s="102"/>
    </row>
    <row r="49" spans="1:14" x14ac:dyDescent="0.3">
      <c r="A49" s="185" t="s">
        <v>73</v>
      </c>
      <c r="B49" s="185"/>
      <c r="C49" s="185"/>
      <c r="D49" s="220">
        <v>42809</v>
      </c>
      <c r="E49" s="221"/>
      <c r="F49" s="97" t="s">
        <v>70</v>
      </c>
      <c r="G49" s="224"/>
      <c r="H49" s="109">
        <v>46386</v>
      </c>
      <c r="I49" s="110"/>
      <c r="J49" s="111"/>
    </row>
    <row r="50" spans="1:14" x14ac:dyDescent="0.3">
      <c r="A50" s="112" t="s">
        <v>23</v>
      </c>
      <c r="B50" s="113"/>
      <c r="C50" s="113"/>
      <c r="D50" s="113"/>
      <c r="E50" s="113"/>
      <c r="F50" s="113"/>
      <c r="G50" s="113"/>
      <c r="H50" s="113"/>
      <c r="I50" s="113"/>
      <c r="J50" s="114"/>
    </row>
    <row r="51" spans="1:14" x14ac:dyDescent="0.3">
      <c r="A51" s="97" t="s">
        <v>77</v>
      </c>
      <c r="B51" s="110"/>
      <c r="C51" s="111"/>
      <c r="D51" s="170">
        <f>F40</f>
        <v>17877.689999999999</v>
      </c>
      <c r="E51" s="171"/>
      <c r="F51" s="115" t="s">
        <v>109</v>
      </c>
      <c r="G51" s="116"/>
      <c r="H51" s="117" t="s">
        <v>199</v>
      </c>
      <c r="I51" s="118"/>
      <c r="J51" s="119"/>
    </row>
    <row r="52" spans="1:14" x14ac:dyDescent="0.3">
      <c r="A52" s="2" t="s">
        <v>71</v>
      </c>
      <c r="B52" s="10"/>
      <c r="C52" s="189" t="s">
        <v>188</v>
      </c>
      <c r="D52" s="190"/>
      <c r="E52" s="190"/>
      <c r="F52" s="190"/>
      <c r="G52" s="190"/>
      <c r="H52" s="190"/>
      <c r="I52" s="190"/>
      <c r="J52" s="191"/>
    </row>
    <row r="53" spans="1:14" x14ac:dyDescent="0.3">
      <c r="A53" s="97" t="s">
        <v>45</v>
      </c>
      <c r="B53" s="110"/>
      <c r="C53" s="110"/>
      <c r="D53" s="111"/>
      <c r="E53" s="123" t="s">
        <v>52</v>
      </c>
      <c r="F53" s="124"/>
      <c r="G53" s="124"/>
      <c r="H53" s="124"/>
      <c r="I53" s="124"/>
      <c r="J53" s="125"/>
    </row>
    <row r="54" spans="1:14" ht="15" thickBot="1" x14ac:dyDescent="0.35">
      <c r="A54" s="97" t="s">
        <v>53</v>
      </c>
      <c r="B54" s="110"/>
      <c r="C54" s="110"/>
      <c r="D54" s="110"/>
      <c r="E54" s="110"/>
      <c r="F54" s="110"/>
      <c r="G54" s="110"/>
      <c r="H54" s="110"/>
      <c r="I54" s="110"/>
      <c r="J54" s="111"/>
    </row>
    <row r="55" spans="1:14" x14ac:dyDescent="0.3">
      <c r="A55" s="103" t="s">
        <v>130</v>
      </c>
      <c r="B55" s="104"/>
      <c r="C55" s="126" t="str">
        <f>C52</f>
        <v>A &amp; B Wing = L Gr.+U Gr.to 3rd Floor(Comm) + 4th (Fitness) + 5th to 37th Floor</v>
      </c>
      <c r="D55" s="127"/>
      <c r="E55" s="127"/>
      <c r="F55" s="127"/>
      <c r="G55" s="127"/>
      <c r="H55" s="127"/>
      <c r="I55" s="127"/>
      <c r="J55" s="128"/>
      <c r="K55" s="25"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External Plaster upto 36 Floor, Flooring upto 25 Floor, Painting upto 18 Floor Completed</v>
      </c>
      <c r="L55" s="26"/>
    </row>
    <row r="56" spans="1:14" ht="15" customHeight="1" x14ac:dyDescent="0.3">
      <c r="A56" s="27" t="s">
        <v>131</v>
      </c>
      <c r="B56" s="28">
        <v>1</v>
      </c>
      <c r="C56" s="28" t="s">
        <v>132</v>
      </c>
      <c r="D56" s="28">
        <v>1</v>
      </c>
      <c r="E56" s="129" t="s">
        <v>133</v>
      </c>
      <c r="F56" s="130"/>
      <c r="G56" s="28">
        <v>0</v>
      </c>
      <c r="H56" s="28" t="s">
        <v>134</v>
      </c>
      <c r="I56" s="129">
        <f ca="1">--TRIM(RIGHT(SUBSTITUTE(LEFT(C55,_xlfn.AGGREGATE(16,6,FIND({0,1,2,3,4,5,6,7,8,9},C55,ROW(INDIRECT("1:"&amp;LEN(C55)))),1))," ",REPT(" ",LEN(C55))),LEN(C55)))</f>
        <v>37</v>
      </c>
      <c r="J56" s="131"/>
      <c r="K56" s="29"/>
      <c r="L56" s="30"/>
    </row>
    <row r="57" spans="1:14" ht="44.25" customHeight="1" x14ac:dyDescent="0.3">
      <c r="A57" s="132" t="s">
        <v>135</v>
      </c>
      <c r="B57" s="133"/>
      <c r="C57" s="134" t="str">
        <f ca="1">K55</f>
        <v>Excavation work Completed. Plinth work completed, RCC Slab, Brickwork, Internal Plaster, External Plaster upto 36 Floor, Flooring upto 25 Floor, Painting upto 18 Floor Completed</v>
      </c>
      <c r="D57" s="135"/>
      <c r="E57" s="135"/>
      <c r="F57" s="135"/>
      <c r="G57" s="135"/>
      <c r="H57" s="135"/>
      <c r="I57" s="135"/>
      <c r="J57" s="136"/>
      <c r="K57" s="29" t="s">
        <v>136</v>
      </c>
      <c r="L57" s="30"/>
    </row>
    <row r="58" spans="1:14" ht="15" customHeight="1" x14ac:dyDescent="0.3">
      <c r="A58" s="225" t="s">
        <v>33</v>
      </c>
      <c r="B58" s="226"/>
      <c r="C58" s="31" t="s">
        <v>137</v>
      </c>
      <c r="D58" s="78" t="s">
        <v>138</v>
      </c>
      <c r="E58" s="78"/>
      <c r="F58" s="78" t="s">
        <v>139</v>
      </c>
      <c r="G58" s="78"/>
      <c r="H58" s="78" t="s">
        <v>140</v>
      </c>
      <c r="I58" s="78"/>
      <c r="J58" s="137"/>
      <c r="K58" s="32" t="s">
        <v>141</v>
      </c>
      <c r="L58" s="33">
        <f ca="1">I56*25%</f>
        <v>9.25</v>
      </c>
    </row>
    <row r="59" spans="1:14" ht="15" customHeight="1" x14ac:dyDescent="0.3">
      <c r="A59" s="77" t="s">
        <v>142</v>
      </c>
      <c r="B59" s="78"/>
      <c r="C59" s="34">
        <f ca="1">L60</f>
        <v>37</v>
      </c>
      <c r="D59" s="105">
        <f ca="1">((100/I56)*C59)/100</f>
        <v>1</v>
      </c>
      <c r="E59" s="106"/>
      <c r="F59" s="138">
        <f ca="1">(((C60/I56*10)+(40/(D56+G56+I56)*C61)+(7.5/(I56)*C62)+(7.5/(I56)*C63)+(10/I56*C64)+(10/I56*C65)+(5/I56*C66)+(5/I56*C67)+(5/I56*C68))/100)</f>
        <v>0.83918918918918917</v>
      </c>
      <c r="G59" s="138"/>
      <c r="H59" s="140">
        <f ca="1">((((C59/I56)*20)+((C60/I56)*25)+(30/(I56+G56+D56)*C61)+(5/I56*C62)+(5/I56*C63)+(5/I56*C64)+(5/I56*C65)+(0/I56*C66)+(0/I56*C67)+(5/I56*C68))/100)</f>
        <v>0.93243243243243246</v>
      </c>
      <c r="I59" s="141"/>
      <c r="J59" s="142"/>
      <c r="K59" s="32" t="s">
        <v>143</v>
      </c>
      <c r="L59" s="35">
        <f ca="1">I56*50%</f>
        <v>18.5</v>
      </c>
    </row>
    <row r="60" spans="1:14" ht="15" customHeight="1" x14ac:dyDescent="0.3">
      <c r="A60" s="77" t="s">
        <v>34</v>
      </c>
      <c r="B60" s="78"/>
      <c r="C60" s="36">
        <f ca="1">L68</f>
        <v>37</v>
      </c>
      <c r="D60" s="105">
        <f ca="1">((100/I56)*C60)/100</f>
        <v>1</v>
      </c>
      <c r="E60" s="106"/>
      <c r="F60" s="138"/>
      <c r="G60" s="138"/>
      <c r="H60" s="143"/>
      <c r="I60" s="144"/>
      <c r="J60" s="145"/>
      <c r="K60" s="32" t="s">
        <v>144</v>
      </c>
      <c r="L60" s="35">
        <f ca="1">I56</f>
        <v>37</v>
      </c>
      <c r="N60">
        <f>27+4</f>
        <v>31</v>
      </c>
    </row>
    <row r="61" spans="1:14" ht="15" customHeight="1" x14ac:dyDescent="0.3">
      <c r="A61" s="192" t="s">
        <v>145</v>
      </c>
      <c r="B61" s="193"/>
      <c r="C61" s="36">
        <v>38</v>
      </c>
      <c r="D61" s="105">
        <f ca="1">((100/(D56+G56+I56))*C61)/100</f>
        <v>1</v>
      </c>
      <c r="E61" s="106"/>
      <c r="F61" s="138"/>
      <c r="G61" s="138"/>
      <c r="H61" s="143"/>
      <c r="I61" s="144"/>
      <c r="J61" s="145"/>
      <c r="K61" s="32" t="s">
        <v>146</v>
      </c>
      <c r="L61" s="37">
        <f ca="1">(IF(B56&gt;1,(I56/(B56+2)),I56/4))</f>
        <v>9.25</v>
      </c>
    </row>
    <row r="62" spans="1:14" ht="15" customHeight="1" x14ac:dyDescent="0.3">
      <c r="A62" s="77" t="s">
        <v>147</v>
      </c>
      <c r="B62" s="78" t="s">
        <v>148</v>
      </c>
      <c r="C62" s="36">
        <f>C61-1</f>
        <v>37</v>
      </c>
      <c r="D62" s="105">
        <f ca="1">((100/I56)*C62)/100</f>
        <v>1</v>
      </c>
      <c r="E62" s="106"/>
      <c r="F62" s="138"/>
      <c r="G62" s="138"/>
      <c r="H62" s="143"/>
      <c r="I62" s="144"/>
      <c r="J62" s="145"/>
      <c r="K62" s="32" t="s">
        <v>149</v>
      </c>
      <c r="L62" s="37">
        <f ca="1">(IF(B56&gt;1,(I56/(B56+2)+L61),I56/4+L61))</f>
        <v>18.5</v>
      </c>
    </row>
    <row r="63" spans="1:14" ht="15" customHeight="1" x14ac:dyDescent="0.3">
      <c r="A63" s="77" t="s">
        <v>150</v>
      </c>
      <c r="B63" s="78" t="s">
        <v>148</v>
      </c>
      <c r="C63" s="34">
        <v>37</v>
      </c>
      <c r="D63" s="105">
        <f ca="1">((100/I56)*C63)/100</f>
        <v>1</v>
      </c>
      <c r="E63" s="106"/>
      <c r="F63" s="138"/>
      <c r="G63" s="138"/>
      <c r="H63" s="143"/>
      <c r="I63" s="144"/>
      <c r="J63" s="145"/>
      <c r="K63" s="32" t="s">
        <v>151</v>
      </c>
      <c r="L63" s="37">
        <f>(IF(B56&gt;1,(I56/(B56+2)+L62),0))</f>
        <v>0</v>
      </c>
    </row>
    <row r="64" spans="1:14" ht="15" customHeight="1" x14ac:dyDescent="0.3">
      <c r="A64" s="107" t="s">
        <v>152</v>
      </c>
      <c r="B64" s="108" t="s">
        <v>153</v>
      </c>
      <c r="C64" s="34">
        <v>36</v>
      </c>
      <c r="D64" s="105">
        <f ca="1">((100/(I56))*C64)/100</f>
        <v>0.97297297297297292</v>
      </c>
      <c r="E64" s="106"/>
      <c r="F64" s="138"/>
      <c r="G64" s="138"/>
      <c r="H64" s="143"/>
      <c r="I64" s="144"/>
      <c r="J64" s="145"/>
      <c r="K64" s="32" t="s">
        <v>154</v>
      </c>
      <c r="L64" s="37">
        <f>(IF(B56&gt;2,(I56/(B56+2)+L63),0))</f>
        <v>0</v>
      </c>
    </row>
    <row r="65" spans="1:16" ht="15" customHeight="1" x14ac:dyDescent="0.3">
      <c r="A65" s="77" t="s">
        <v>155</v>
      </c>
      <c r="B65" s="78" t="s">
        <v>155</v>
      </c>
      <c r="C65" s="34">
        <v>25</v>
      </c>
      <c r="D65" s="105">
        <f ca="1">((100/I56)*C65)/100</f>
        <v>0.67567567567567566</v>
      </c>
      <c r="E65" s="106"/>
      <c r="F65" s="138"/>
      <c r="G65" s="138"/>
      <c r="H65" s="143"/>
      <c r="I65" s="144"/>
      <c r="J65" s="145"/>
      <c r="K65" s="32" t="s">
        <v>156</v>
      </c>
      <c r="L65" s="38">
        <f>(IF(B56&gt;3,(I56/(B56+2)+L64),0))</f>
        <v>0</v>
      </c>
    </row>
    <row r="66" spans="1:16" ht="15" customHeight="1" x14ac:dyDescent="0.3">
      <c r="A66" s="77" t="s">
        <v>157</v>
      </c>
      <c r="B66" s="78"/>
      <c r="C66" s="34">
        <v>18</v>
      </c>
      <c r="D66" s="105">
        <f ca="1">((100/I56)*C66)/100</f>
        <v>0.48648648648648646</v>
      </c>
      <c r="E66" s="106"/>
      <c r="F66" s="138"/>
      <c r="G66" s="138"/>
      <c r="H66" s="143"/>
      <c r="I66" s="144"/>
      <c r="J66" s="145"/>
      <c r="K66" s="32" t="s">
        <v>158</v>
      </c>
      <c r="L66" s="37">
        <f>(IF(B56&gt;4,(I56/(B56+2)+L65),0))</f>
        <v>0</v>
      </c>
    </row>
    <row r="67" spans="1:16" ht="15" customHeight="1" x14ac:dyDescent="0.3">
      <c r="A67" s="77" t="s">
        <v>159</v>
      </c>
      <c r="B67" s="78" t="s">
        <v>159</v>
      </c>
      <c r="C67" s="34">
        <v>0</v>
      </c>
      <c r="D67" s="105">
        <f ca="1">((100/(I56))*C67)/100</f>
        <v>0</v>
      </c>
      <c r="E67" s="106"/>
      <c r="F67" s="138"/>
      <c r="G67" s="138"/>
      <c r="H67" s="143"/>
      <c r="I67" s="144"/>
      <c r="J67" s="145"/>
      <c r="K67" s="32" t="s">
        <v>160</v>
      </c>
      <c r="L67" s="37">
        <f ca="1">(IF(B56=1,(I56/(B56+3)+L62),IF(B56=0,(I56/4+L62),IF(B56&gt;1,0))))</f>
        <v>27.75</v>
      </c>
    </row>
    <row r="68" spans="1:16" ht="15" customHeight="1" thickBot="1" x14ac:dyDescent="0.35">
      <c r="A68" s="237" t="s">
        <v>161</v>
      </c>
      <c r="B68" s="238"/>
      <c r="C68" s="39">
        <v>0</v>
      </c>
      <c r="D68" s="239">
        <f ca="1">((100/(I56))*C68)/100</f>
        <v>0</v>
      </c>
      <c r="E68" s="240"/>
      <c r="F68" s="139"/>
      <c r="G68" s="139"/>
      <c r="H68" s="146"/>
      <c r="I68" s="147"/>
      <c r="J68" s="148"/>
      <c r="K68" s="40" t="s">
        <v>162</v>
      </c>
      <c r="L68" s="41">
        <f ca="1">(IF(B56&gt;1.5,(I56/(B56+2)+L62+MAX(0,L63-L62)+MAX(0,L64-L63)+MAX(0,L65-L64)+MAX(0,L66-L65)+MAX(0,L67-L66)),IF(B56=1,(I56/(B56+3)+L67),IF(B56=0,I56/4+L67))))</f>
        <v>37</v>
      </c>
    </row>
    <row r="69" spans="1:16" x14ac:dyDescent="0.3">
      <c r="A69" s="97" t="s">
        <v>54</v>
      </c>
      <c r="B69" s="110"/>
      <c r="C69" s="110"/>
      <c r="D69" s="110"/>
      <c r="E69" s="110"/>
      <c r="F69" s="110"/>
      <c r="G69" s="110"/>
      <c r="H69" s="110"/>
      <c r="I69" s="110"/>
      <c r="J69" s="111"/>
    </row>
    <row r="70" spans="1:16" x14ac:dyDescent="0.3">
      <c r="A70" s="97" t="s">
        <v>46</v>
      </c>
      <c r="B70" s="110"/>
      <c r="C70" s="110"/>
      <c r="D70" s="110"/>
      <c r="E70" s="110"/>
      <c r="F70" s="110"/>
      <c r="G70" s="110"/>
      <c r="H70" s="110"/>
      <c r="I70" s="110"/>
      <c r="J70" s="111"/>
    </row>
    <row r="71" spans="1:16" ht="15" hidden="1" customHeight="1" x14ac:dyDescent="0.3">
      <c r="A71" s="230" t="s">
        <v>72</v>
      </c>
      <c r="B71" s="231"/>
      <c r="C71" s="231"/>
      <c r="D71" s="231"/>
      <c r="E71" s="231"/>
      <c r="F71" s="231"/>
      <c r="G71" s="231"/>
      <c r="H71" s="231"/>
      <c r="I71" s="231"/>
      <c r="J71" s="232"/>
    </row>
    <row r="72" spans="1:16" hidden="1" x14ac:dyDescent="0.3">
      <c r="A72" s="233"/>
      <c r="B72" s="234"/>
      <c r="C72" s="234"/>
      <c r="D72" s="234"/>
      <c r="E72" s="234"/>
      <c r="F72" s="234"/>
      <c r="G72" s="234"/>
      <c r="H72" s="234"/>
      <c r="I72" s="234"/>
      <c r="J72" s="235"/>
    </row>
    <row r="73" spans="1:16" x14ac:dyDescent="0.3">
      <c r="A73" s="236" t="s">
        <v>24</v>
      </c>
      <c r="B73" s="204"/>
      <c r="C73" s="204"/>
      <c r="D73" s="204"/>
      <c r="E73" s="204"/>
      <c r="F73" s="204"/>
      <c r="G73" s="204"/>
      <c r="H73" s="204"/>
      <c r="I73" s="204"/>
      <c r="J73" s="205"/>
    </row>
    <row r="74" spans="1:16" x14ac:dyDescent="0.3">
      <c r="A74" s="97" t="s">
        <v>113</v>
      </c>
      <c r="B74" s="98"/>
      <c r="C74" s="98"/>
      <c r="D74" s="98"/>
      <c r="E74" s="98"/>
      <c r="F74" s="99"/>
      <c r="G74" s="227">
        <v>11700</v>
      </c>
      <c r="H74" s="228"/>
      <c r="I74" s="228"/>
      <c r="J74" s="229"/>
      <c r="L74" s="44" t="s">
        <v>200</v>
      </c>
      <c r="M74" s="44"/>
      <c r="N74" s="44" t="s">
        <v>201</v>
      </c>
      <c r="O74" s="44" t="s">
        <v>202</v>
      </c>
      <c r="P74" s="45">
        <v>44917</v>
      </c>
    </row>
    <row r="75" spans="1:16" x14ac:dyDescent="0.3">
      <c r="A75" s="97" t="s">
        <v>117</v>
      </c>
      <c r="B75" s="98"/>
      <c r="C75" s="98"/>
      <c r="D75" s="98"/>
      <c r="E75" s="98"/>
      <c r="F75" s="99"/>
      <c r="G75" s="100">
        <v>30000</v>
      </c>
      <c r="H75" s="101"/>
      <c r="I75" s="101"/>
      <c r="J75" s="102"/>
    </row>
    <row r="76" spans="1:16" x14ac:dyDescent="0.3">
      <c r="A76" s="97" t="s">
        <v>167</v>
      </c>
      <c r="B76" s="98"/>
      <c r="C76" s="98"/>
      <c r="D76" s="98"/>
      <c r="E76" s="98"/>
      <c r="F76" s="99"/>
      <c r="G76" s="100">
        <v>12000</v>
      </c>
      <c r="H76" s="101"/>
      <c r="I76" s="101"/>
      <c r="J76" s="102"/>
    </row>
    <row r="77" spans="1:16" x14ac:dyDescent="0.3">
      <c r="A77" s="92" t="s">
        <v>203</v>
      </c>
      <c r="B77" s="157"/>
      <c r="C77" s="157"/>
      <c r="D77" s="157"/>
      <c r="E77" s="157"/>
      <c r="F77" s="93"/>
      <c r="G77" s="9" t="s">
        <v>204</v>
      </c>
      <c r="H77" s="6"/>
      <c r="I77" s="6"/>
      <c r="J77" s="7"/>
    </row>
    <row r="78" spans="1:16" x14ac:dyDescent="0.3">
      <c r="A78" s="92" t="s">
        <v>206</v>
      </c>
      <c r="B78" s="157"/>
      <c r="C78" s="157"/>
      <c r="D78" s="157"/>
      <c r="E78" s="157"/>
      <c r="F78" s="93"/>
      <c r="G78" s="9" t="s">
        <v>207</v>
      </c>
      <c r="H78" s="6"/>
      <c r="I78" s="6"/>
      <c r="J78" s="7"/>
      <c r="M78" t="s">
        <v>208</v>
      </c>
    </row>
    <row r="79" spans="1:16" x14ac:dyDescent="0.3">
      <c r="A79" s="92" t="s">
        <v>208</v>
      </c>
      <c r="B79" s="157"/>
      <c r="C79" s="157"/>
      <c r="D79" s="157"/>
      <c r="E79" s="157"/>
      <c r="F79" s="93"/>
      <c r="G79" s="9" t="s">
        <v>209</v>
      </c>
      <c r="H79" s="6"/>
      <c r="I79" s="6"/>
      <c r="J79" s="7"/>
    </row>
    <row r="80" spans="1:16" x14ac:dyDescent="0.3">
      <c r="A80" s="92" t="s">
        <v>210</v>
      </c>
      <c r="B80" s="157"/>
      <c r="C80" s="157"/>
      <c r="D80" s="157"/>
      <c r="E80" s="157"/>
      <c r="F80" s="93"/>
      <c r="G80" s="9" t="s">
        <v>211</v>
      </c>
      <c r="H80" s="6"/>
      <c r="I80" s="6"/>
      <c r="J80" s="7"/>
    </row>
    <row r="81" spans="1:10" x14ac:dyDescent="0.3">
      <c r="A81" s="92" t="s">
        <v>212</v>
      </c>
      <c r="B81" s="157"/>
      <c r="C81" s="157"/>
      <c r="D81" s="157"/>
      <c r="E81" s="157"/>
      <c r="F81" s="93"/>
      <c r="G81" s="9" t="s">
        <v>209</v>
      </c>
      <c r="H81" s="6"/>
      <c r="I81" s="6"/>
      <c r="J81" s="7"/>
    </row>
    <row r="82" spans="1:10" x14ac:dyDescent="0.3">
      <c r="A82" s="92" t="s">
        <v>213</v>
      </c>
      <c r="B82" s="157"/>
      <c r="C82" s="157"/>
      <c r="D82" s="157"/>
      <c r="E82" s="157"/>
      <c r="F82" s="93"/>
      <c r="G82" s="9" t="s">
        <v>214</v>
      </c>
      <c r="H82" s="6"/>
      <c r="I82" s="6"/>
      <c r="J82" s="7"/>
    </row>
    <row r="83" spans="1:10" x14ac:dyDescent="0.3">
      <c r="A83" s="97" t="s">
        <v>76</v>
      </c>
      <c r="B83" s="98"/>
      <c r="C83" s="98"/>
      <c r="D83" s="98"/>
      <c r="E83" s="98"/>
      <c r="F83" s="99"/>
      <c r="G83" s="94" t="s">
        <v>205</v>
      </c>
      <c r="H83" s="95"/>
      <c r="I83" s="95"/>
      <c r="J83" s="96"/>
    </row>
    <row r="84" spans="1:10" s="1" customFormat="1" ht="14.4" customHeight="1" x14ac:dyDescent="0.3">
      <c r="A84" s="186" t="s">
        <v>84</v>
      </c>
      <c r="B84" s="204"/>
      <c r="C84" s="204"/>
      <c r="D84" s="204"/>
      <c r="E84" s="204"/>
      <c r="F84" s="205"/>
      <c r="G84" s="206">
        <f>G74*0.8</f>
        <v>9360</v>
      </c>
      <c r="H84" s="101"/>
      <c r="I84" s="101"/>
      <c r="J84" s="102"/>
    </row>
    <row r="85" spans="1:10" s="1" customFormat="1" ht="14.4" customHeight="1" x14ac:dyDescent="0.3">
      <c r="A85" s="56" t="s">
        <v>197</v>
      </c>
      <c r="B85" s="57"/>
      <c r="C85" s="57"/>
      <c r="D85" s="57"/>
      <c r="E85" s="57"/>
      <c r="F85" s="57"/>
      <c r="G85" s="57"/>
      <c r="H85" s="57"/>
      <c r="I85" s="57"/>
      <c r="J85" s="58"/>
    </row>
    <row r="86" spans="1:10" s="1" customFormat="1" ht="14.4" customHeight="1" x14ac:dyDescent="0.3">
      <c r="A86" s="59" t="s">
        <v>190</v>
      </c>
      <c r="B86" s="59"/>
      <c r="C86" s="60" t="s">
        <v>191</v>
      </c>
      <c r="D86" s="60"/>
      <c r="E86" s="61" t="s">
        <v>192</v>
      </c>
      <c r="F86" s="62"/>
      <c r="G86" s="63"/>
      <c r="H86" s="64" t="s">
        <v>193</v>
      </c>
      <c r="I86" s="65"/>
      <c r="J86" s="66"/>
    </row>
    <row r="87" spans="1:10" s="1" customFormat="1" ht="14.4" customHeight="1" x14ac:dyDescent="0.3">
      <c r="A87" s="69" t="s">
        <v>195</v>
      </c>
      <c r="B87" s="69"/>
      <c r="C87" s="74">
        <f>COUNT(D106:E110)</f>
        <v>5</v>
      </c>
      <c r="D87" s="70"/>
      <c r="E87" s="71">
        <f>SUM(D106:E110)</f>
        <v>1912.3182467999995</v>
      </c>
      <c r="F87" s="75"/>
      <c r="G87" s="76"/>
      <c r="H87" s="71">
        <f>SUM(G106:H110)</f>
        <v>3864.3195941999998</v>
      </c>
      <c r="I87" s="75"/>
      <c r="J87" s="76"/>
    </row>
    <row r="88" spans="1:10" s="1" customFormat="1" ht="14.4" customHeight="1" x14ac:dyDescent="0.3">
      <c r="A88" s="69" t="s">
        <v>196</v>
      </c>
      <c r="B88" s="69"/>
      <c r="C88" s="74">
        <f>COUNT(D112:E116)</f>
        <v>5</v>
      </c>
      <c r="D88" s="70"/>
      <c r="E88" s="71">
        <f>SUM(D112:E116)</f>
        <v>3467.2609296000001</v>
      </c>
      <c r="F88" s="75"/>
      <c r="G88" s="76"/>
      <c r="H88" s="71">
        <f>SUM(G112:H116)</f>
        <v>7036.8570370799989</v>
      </c>
      <c r="I88" s="75"/>
      <c r="J88" s="76"/>
    </row>
    <row r="89" spans="1:10" s="43" customFormat="1" ht="14.4" customHeight="1" x14ac:dyDescent="0.3">
      <c r="A89" s="59" t="s">
        <v>194</v>
      </c>
      <c r="B89" s="59"/>
      <c r="C89" s="67">
        <f>SUM(C87:C88)</f>
        <v>10</v>
      </c>
      <c r="D89" s="60"/>
      <c r="E89" s="68">
        <f>SUM(E87:E88)</f>
        <v>5379.5791763999996</v>
      </c>
      <c r="F89" s="62"/>
      <c r="G89" s="63"/>
      <c r="H89" s="64">
        <f>SUM(H87:H88)</f>
        <v>10901.176631279999</v>
      </c>
      <c r="I89" s="65"/>
      <c r="J89" s="66"/>
    </row>
    <row r="90" spans="1:10" s="1" customFormat="1" ht="14.4" customHeight="1" x14ac:dyDescent="0.3">
      <c r="A90" s="56" t="s">
        <v>198</v>
      </c>
      <c r="B90" s="57"/>
      <c r="C90" s="57"/>
      <c r="D90" s="57"/>
      <c r="E90" s="57"/>
      <c r="F90" s="57"/>
      <c r="G90" s="57"/>
      <c r="H90" s="57"/>
      <c r="I90" s="57"/>
      <c r="J90" s="58"/>
    </row>
    <row r="91" spans="1:10" s="1" customFormat="1" ht="14.4" customHeight="1" x14ac:dyDescent="0.3">
      <c r="A91" s="59" t="s">
        <v>190</v>
      </c>
      <c r="B91" s="59"/>
      <c r="C91" s="60" t="s">
        <v>191</v>
      </c>
      <c r="D91" s="60"/>
      <c r="E91" s="61" t="s">
        <v>192</v>
      </c>
      <c r="F91" s="62"/>
      <c r="G91" s="63"/>
      <c r="H91" s="64" t="s">
        <v>193</v>
      </c>
      <c r="I91" s="65"/>
      <c r="J91" s="66"/>
    </row>
    <row r="92" spans="1:10" s="1" customFormat="1" ht="14.4" customHeight="1" x14ac:dyDescent="0.3">
      <c r="A92" s="69" t="s">
        <v>195</v>
      </c>
      <c r="B92" s="69"/>
      <c r="C92" s="74">
        <f>COUNT(D119:E122)</f>
        <v>4</v>
      </c>
      <c r="D92" s="70"/>
      <c r="E92" s="71">
        <f>SUM(D119:E122)</f>
        <v>2266.8833304</v>
      </c>
      <c r="F92" s="75"/>
      <c r="G92" s="76"/>
      <c r="H92" s="71">
        <f>SUM(G119:H122)</f>
        <v>3400.3249956</v>
      </c>
      <c r="I92" s="75"/>
      <c r="J92" s="76"/>
    </row>
    <row r="93" spans="1:10" s="1" customFormat="1" ht="14.4" customHeight="1" x14ac:dyDescent="0.3">
      <c r="A93" s="69" t="s">
        <v>196</v>
      </c>
      <c r="B93" s="69"/>
      <c r="C93" s="74">
        <f>COUNT(D124:E128,D132:E136)</f>
        <v>10</v>
      </c>
      <c r="D93" s="70"/>
      <c r="E93" s="71">
        <f>SUM(D124:E128,D132:E136)</f>
        <v>7507.2839868000001</v>
      </c>
      <c r="F93" s="75"/>
      <c r="G93" s="76"/>
      <c r="H93" s="71">
        <f>SUM(G124:H128,G132:H136)</f>
        <v>11260.9259802</v>
      </c>
      <c r="I93" s="75"/>
      <c r="J93" s="76"/>
    </row>
    <row r="94" spans="1:10" s="43" customFormat="1" ht="14.4" customHeight="1" x14ac:dyDescent="0.3">
      <c r="A94" s="59" t="s">
        <v>194</v>
      </c>
      <c r="B94" s="59"/>
      <c r="C94" s="67">
        <f>SUM(C92:C93)</f>
        <v>14</v>
      </c>
      <c r="D94" s="60"/>
      <c r="E94" s="68">
        <f>SUM(E92:E93)</f>
        <v>9774.167317200001</v>
      </c>
      <c r="F94" s="62"/>
      <c r="G94" s="63"/>
      <c r="H94" s="64">
        <f>SUM(H92:H93)</f>
        <v>14661.2509758</v>
      </c>
      <c r="I94" s="65"/>
      <c r="J94" s="66"/>
    </row>
    <row r="95" spans="1:10" s="1" customFormat="1" ht="14.4" customHeight="1" x14ac:dyDescent="0.3">
      <c r="A95" s="56" t="s">
        <v>189</v>
      </c>
      <c r="B95" s="57"/>
      <c r="C95" s="57"/>
      <c r="D95" s="57"/>
      <c r="E95" s="57"/>
      <c r="F95" s="57"/>
      <c r="G95" s="57"/>
      <c r="H95" s="57"/>
      <c r="I95" s="57"/>
      <c r="J95" s="58"/>
    </row>
    <row r="96" spans="1:10" s="1" customFormat="1" ht="14.4" customHeight="1" x14ac:dyDescent="0.3">
      <c r="A96" s="59" t="s">
        <v>190</v>
      </c>
      <c r="B96" s="59"/>
      <c r="C96" s="60" t="s">
        <v>191</v>
      </c>
      <c r="D96" s="60"/>
      <c r="E96" s="61" t="s">
        <v>192</v>
      </c>
      <c r="F96" s="62"/>
      <c r="G96" s="63"/>
      <c r="H96" s="64" t="s">
        <v>193</v>
      </c>
      <c r="I96" s="65"/>
      <c r="J96" s="66"/>
    </row>
    <row r="97" spans="1:13" s="1" customFormat="1" ht="14.4" customHeight="1" x14ac:dyDescent="0.3">
      <c r="A97" s="69" t="s">
        <v>195</v>
      </c>
      <c r="B97" s="69"/>
      <c r="C97" s="70">
        <f>COUNT(D141:E143,D145:E147,D149:E151,D153:E155)+COUNT(D157:E162)*20+COUNT(D164,D167:E169)*5+COUNT(D171:E176)*7+COUNT(D178,D180:E183)</f>
        <v>199</v>
      </c>
      <c r="D97" s="70"/>
      <c r="E97" s="71">
        <f>SUM(D141:E143,D145:E147,D149:E151,D153:E155)+SUM(D157:E162)*20+SUM(D164,D167:E169)*5+SUM(D171:E176)*7+SUM(D178,D180:E183)</f>
        <v>115854.00839999998</v>
      </c>
      <c r="F97" s="72"/>
      <c r="G97" s="73"/>
      <c r="H97" s="71">
        <f>SUM(G141:H143,G145:H147,G149:H151,G153:H155)+SUM(G157:H162)*20+SUM(G164,G167:H169)*5+SUM(G171:H176)*7+SUM(G178,G180:H183)</f>
        <v>167988.31217999998</v>
      </c>
      <c r="I97" s="72"/>
      <c r="J97" s="73"/>
    </row>
    <row r="98" spans="1:13" s="1" customFormat="1" ht="14.4" customHeight="1" x14ac:dyDescent="0.3">
      <c r="A98" s="69" t="s">
        <v>196</v>
      </c>
      <c r="B98" s="69"/>
      <c r="C98" s="70">
        <f>COUNT(D186:E188,D190:E192,D194:E196,D198:E200)+COUNT(D202:E207)*20+COUNT(D209:E211,D214)*5+COUNT(D216:E221)*7+COUNT(D223:E226,D228)</f>
        <v>199</v>
      </c>
      <c r="D98" s="70"/>
      <c r="E98" s="71">
        <f>SUM(D186:E188,D190:E192,D194:E196,D198:E200)+SUM(D202:E207)*20+SUM(D209:E211,D214)*5+SUM(D216:E221)*7+SUM(D223:E226,D228)</f>
        <v>115616.58147</v>
      </c>
      <c r="F98" s="72"/>
      <c r="G98" s="73"/>
      <c r="H98" s="71">
        <f>SUM(G186:H188,G190:H192,G194:H196,G198:H200)+SUM(G202:H207)*20+SUM(G209:H211,G214)*5+SUM(G216:H221)*7+SUM(G223:H226,G228)</f>
        <v>167644.04313149999</v>
      </c>
      <c r="I98" s="72"/>
      <c r="J98" s="73"/>
    </row>
    <row r="99" spans="1:13" s="43" customFormat="1" ht="14.4" customHeight="1" x14ac:dyDescent="0.3">
      <c r="A99" s="59" t="s">
        <v>194</v>
      </c>
      <c r="B99" s="59"/>
      <c r="C99" s="60">
        <f>SUM(C97:C98)</f>
        <v>398</v>
      </c>
      <c r="D99" s="60"/>
      <c r="E99" s="68">
        <f>SUM(E97:E98)</f>
        <v>231470.58986999997</v>
      </c>
      <c r="F99" s="62"/>
      <c r="G99" s="63"/>
      <c r="H99" s="64">
        <f>SUM(H97:H98)</f>
        <v>335632.35531149997</v>
      </c>
      <c r="I99" s="65"/>
      <c r="J99" s="66"/>
    </row>
    <row r="100" spans="1:13" s="1" customFormat="1" ht="15.6" x14ac:dyDescent="0.3">
      <c r="A100" s="207" t="s">
        <v>85</v>
      </c>
      <c r="B100" s="208"/>
      <c r="C100" s="208"/>
      <c r="D100" s="208"/>
      <c r="E100" s="208"/>
      <c r="F100" s="208"/>
      <c r="G100" s="208"/>
      <c r="H100" s="208"/>
      <c r="I100" s="208"/>
      <c r="J100" s="209"/>
    </row>
    <row r="101" spans="1:13" x14ac:dyDescent="0.3">
      <c r="A101" s="151" t="s">
        <v>181</v>
      </c>
      <c r="B101" s="152"/>
      <c r="C101" s="152"/>
      <c r="D101" s="152"/>
      <c r="E101" s="152"/>
      <c r="F101" s="152"/>
      <c r="G101" s="152"/>
      <c r="H101" s="152"/>
      <c r="I101" s="152"/>
      <c r="J101" s="153"/>
    </row>
    <row r="102" spans="1:13" ht="39.6" x14ac:dyDescent="0.3">
      <c r="A102" s="211" t="s">
        <v>101</v>
      </c>
      <c r="B102" s="212"/>
      <c r="C102" s="4" t="s">
        <v>29</v>
      </c>
      <c r="D102" s="222" t="s">
        <v>74</v>
      </c>
      <c r="E102" s="223"/>
      <c r="F102" s="8" t="s">
        <v>30</v>
      </c>
      <c r="G102" s="4" t="s">
        <v>116</v>
      </c>
      <c r="H102" s="4" t="s">
        <v>31</v>
      </c>
      <c r="I102" s="211" t="s">
        <v>86</v>
      </c>
      <c r="J102" s="212"/>
    </row>
    <row r="103" spans="1:13" ht="16.2" customHeight="1" x14ac:dyDescent="0.3">
      <c r="A103" s="89" t="s">
        <v>173</v>
      </c>
      <c r="B103" s="90"/>
      <c r="C103" s="90"/>
      <c r="D103" s="90"/>
      <c r="E103" s="90"/>
      <c r="F103" s="90"/>
      <c r="G103" s="90"/>
      <c r="H103" s="90"/>
      <c r="I103" s="90"/>
      <c r="J103" s="91"/>
    </row>
    <row r="104" spans="1:13" ht="16.2" customHeight="1" x14ac:dyDescent="0.3">
      <c r="A104" s="120" t="s">
        <v>176</v>
      </c>
      <c r="B104" s="121"/>
      <c r="C104" s="121"/>
      <c r="D104" s="121"/>
      <c r="E104" s="121"/>
      <c r="F104" s="121"/>
      <c r="G104" s="121"/>
      <c r="H104" s="121"/>
      <c r="I104" s="121"/>
      <c r="J104" s="122"/>
    </row>
    <row r="105" spans="1:13" ht="16.2" customHeight="1" x14ac:dyDescent="0.3">
      <c r="A105" s="120" t="s">
        <v>102</v>
      </c>
      <c r="B105" s="121"/>
      <c r="C105" s="121"/>
      <c r="D105" s="121"/>
      <c r="E105" s="121"/>
      <c r="F105" s="121"/>
      <c r="G105" s="121"/>
      <c r="H105" s="121"/>
      <c r="I105" s="121"/>
      <c r="J105" s="122"/>
    </row>
    <row r="106" spans="1:13" ht="16.2" customHeight="1" x14ac:dyDescent="0.3">
      <c r="A106" s="79">
        <v>1</v>
      </c>
      <c r="B106" s="80"/>
      <c r="C106" s="5" t="s">
        <v>103</v>
      </c>
      <c r="D106" s="79">
        <f>(2.8*4.51+1.2*4.51)*10.764</f>
        <v>194.18255999999997</v>
      </c>
      <c r="E106" s="80"/>
      <c r="F106" s="5">
        <f>7.31*10.764</f>
        <v>78.684839999999994</v>
      </c>
      <c r="G106" s="5">
        <f>D106*1.5+F106</f>
        <v>369.95867999999996</v>
      </c>
      <c r="H106" s="5" t="s">
        <v>47</v>
      </c>
      <c r="I106" s="83" t="s">
        <v>104</v>
      </c>
      <c r="J106" s="84"/>
    </row>
    <row r="107" spans="1:13" ht="16.2" customHeight="1" x14ac:dyDescent="0.3">
      <c r="A107" s="79" t="s">
        <v>174</v>
      </c>
      <c r="B107" s="80"/>
      <c r="C107" s="5" t="s">
        <v>103</v>
      </c>
      <c r="D107" s="79">
        <f>(3.12*6.11+1.26*1.61)*10.764</f>
        <v>227.03213520000003</v>
      </c>
      <c r="E107" s="80"/>
      <c r="F107" s="5">
        <f>(1.4*3.12+1.26*1.61)*10.764</f>
        <v>68.853002399999994</v>
      </c>
      <c r="G107" s="5">
        <f>D107*1.5+F107</f>
        <v>409.40120519999999</v>
      </c>
      <c r="H107" s="5" t="s">
        <v>47</v>
      </c>
      <c r="I107" s="85"/>
      <c r="J107" s="86"/>
    </row>
    <row r="108" spans="1:13" ht="16.2" customHeight="1" x14ac:dyDescent="0.3">
      <c r="A108" s="79" t="s">
        <v>175</v>
      </c>
      <c r="B108" s="80"/>
      <c r="C108" s="5" t="s">
        <v>103</v>
      </c>
      <c r="D108" s="79">
        <f>(3*6.11+1.5*1.76+1.5*1.01+1.35*1.5+2.81*1.65)*10.764</f>
        <v>313.73292600000002</v>
      </c>
      <c r="E108" s="80"/>
      <c r="F108" s="5">
        <f>(3*5.16+1.26*1.61)*10.764</f>
        <v>188.4625704</v>
      </c>
      <c r="G108" s="5">
        <f>D108*1.5+F108</f>
        <v>659.06195939999998</v>
      </c>
      <c r="H108" s="5" t="s">
        <v>47</v>
      </c>
      <c r="I108" s="85"/>
      <c r="J108" s="86"/>
    </row>
    <row r="109" spans="1:13" ht="16.2" customHeight="1" x14ac:dyDescent="0.3">
      <c r="A109" s="79">
        <v>3</v>
      </c>
      <c r="B109" s="80"/>
      <c r="C109" s="5" t="s">
        <v>103</v>
      </c>
      <c r="D109" s="79">
        <f>(5.85*7.12+4.35*2.4+1.35*1.5)*10.764</f>
        <v>582.51538799999992</v>
      </c>
      <c r="E109" s="80"/>
      <c r="F109" s="5">
        <f>(5.16*5.81)*10.764</f>
        <v>322.70041439999994</v>
      </c>
      <c r="G109" s="5">
        <f>D109*1.5+F109</f>
        <v>1196.4734963999999</v>
      </c>
      <c r="H109" s="5" t="s">
        <v>47</v>
      </c>
      <c r="I109" s="85"/>
      <c r="J109" s="86"/>
      <c r="M109">
        <f>16100000/G109</f>
        <v>13456.211147545149</v>
      </c>
    </row>
    <row r="110" spans="1:13" ht="16.2" customHeight="1" x14ac:dyDescent="0.3">
      <c r="A110" s="79">
        <v>4</v>
      </c>
      <c r="B110" s="80"/>
      <c r="C110" s="5" t="s">
        <v>103</v>
      </c>
      <c r="D110" s="79">
        <f>(6.07*7.12+4.18*2.4+0.85*0.78+0.9*1.5)*10.764</f>
        <v>594.8552375999999</v>
      </c>
      <c r="E110" s="80"/>
      <c r="F110" s="5">
        <f>(5.16*6.07)*10.764</f>
        <v>337.1413968</v>
      </c>
      <c r="G110" s="5">
        <f>D110*1.5+F110</f>
        <v>1229.4242531999998</v>
      </c>
      <c r="H110" s="5" t="s">
        <v>47</v>
      </c>
      <c r="I110" s="87"/>
      <c r="J110" s="88"/>
    </row>
    <row r="111" spans="1:13" ht="16.2" customHeight="1" x14ac:dyDescent="0.3">
      <c r="A111" s="120" t="s">
        <v>105</v>
      </c>
      <c r="B111" s="121"/>
      <c r="C111" s="121"/>
      <c r="D111" s="121"/>
      <c r="E111" s="121"/>
      <c r="F111" s="121"/>
      <c r="G111" s="121"/>
      <c r="H111" s="121"/>
      <c r="I111" s="121"/>
      <c r="J111" s="122"/>
    </row>
    <row r="112" spans="1:13" ht="16.2" customHeight="1" x14ac:dyDescent="0.3">
      <c r="A112" s="79">
        <v>5</v>
      </c>
      <c r="B112" s="80"/>
      <c r="C112" s="5" t="s">
        <v>103</v>
      </c>
      <c r="D112" s="79">
        <f>(6.15*7.12+4.35*2.4+1.65*1.5)*10.764</f>
        <v>610.35109199999999</v>
      </c>
      <c r="E112" s="80"/>
      <c r="F112" s="5">
        <f>(5.16*6.15)*10.764</f>
        <v>341.58477599999998</v>
      </c>
      <c r="G112" s="5">
        <f>D112*1.5+F112</f>
        <v>1257.111414</v>
      </c>
      <c r="H112" s="5" t="s">
        <v>47</v>
      </c>
      <c r="I112" s="85" t="str">
        <f>A104</f>
        <v>Upper Ground Floor + Mezzanine Floor For Commercial</v>
      </c>
      <c r="J112" s="86"/>
    </row>
    <row r="113" spans="1:12" ht="16.2" customHeight="1" x14ac:dyDescent="0.3">
      <c r="A113" s="79">
        <v>6</v>
      </c>
      <c r="B113" s="80"/>
      <c r="C113" s="5" t="s">
        <v>103</v>
      </c>
      <c r="D113" s="79">
        <f>(6.07*3.94+6.28*3.31+2.74*2.28+1.82*2.28+1.43*1.38)*10.764</f>
        <v>614.33161919999998</v>
      </c>
      <c r="E113" s="80"/>
      <c r="F113" s="5">
        <f>(5.16*6.28)*10.764</f>
        <v>348.8052672</v>
      </c>
      <c r="G113" s="5">
        <f>D113*1.5+F113</f>
        <v>1270.302696</v>
      </c>
      <c r="H113" s="5" t="s">
        <v>47</v>
      </c>
      <c r="I113" s="85"/>
      <c r="J113" s="86"/>
    </row>
    <row r="114" spans="1:12" ht="16.2" customHeight="1" x14ac:dyDescent="0.3">
      <c r="A114" s="79">
        <v>7</v>
      </c>
      <c r="B114" s="80"/>
      <c r="C114" s="5" t="s">
        <v>103</v>
      </c>
      <c r="D114" s="79">
        <f>(5.59*4.84+6.39*3.1+1.77*1.35+1.39*1.17)*10.764</f>
        <v>547.67662559999985</v>
      </c>
      <c r="E114" s="80"/>
      <c r="F114" s="5">
        <f>(6.39*4.92+1.39*1.17+1.77*1.32)*10.764</f>
        <v>381.06174599999986</v>
      </c>
      <c r="G114" s="5">
        <f>D114*1.5+F114</f>
        <v>1202.5766843999995</v>
      </c>
      <c r="H114" s="5" t="s">
        <v>47</v>
      </c>
      <c r="I114" s="85"/>
      <c r="J114" s="86"/>
    </row>
    <row r="115" spans="1:12" ht="16.2" customHeight="1" x14ac:dyDescent="0.3">
      <c r="A115" s="79">
        <v>8</v>
      </c>
      <c r="B115" s="80"/>
      <c r="C115" s="5" t="s">
        <v>103</v>
      </c>
      <c r="D115" s="79">
        <f>(7.14*4.94+6.7*2.77+5.2*1.65+1.35*1.5)*10.764</f>
        <v>693.58479840000007</v>
      </c>
      <c r="E115" s="80"/>
      <c r="F115" s="5">
        <f>(6.7*2.77+5.2*1.65+1.35*1.5)*10.764</f>
        <v>313.92129599999998</v>
      </c>
      <c r="G115" s="5">
        <f>D115*1.5+F115</f>
        <v>1354.2984936</v>
      </c>
      <c r="H115" s="5" t="s">
        <v>47</v>
      </c>
      <c r="I115" s="85"/>
      <c r="J115" s="86"/>
    </row>
    <row r="116" spans="1:12" ht="16.2" customHeight="1" x14ac:dyDescent="0.3">
      <c r="A116" s="79">
        <v>9</v>
      </c>
      <c r="B116" s="80"/>
      <c r="C116" s="5" t="s">
        <v>103</v>
      </c>
      <c r="D116" s="79">
        <f>(6.4*7.86+3.04*1.5+2*1.35+1.58*1.5+4.21*7.86)*10.764</f>
        <v>1001.3167944</v>
      </c>
      <c r="E116" s="80"/>
      <c r="F116" s="5">
        <f>0.45*D116</f>
        <v>450.59255748000004</v>
      </c>
      <c r="G116" s="5">
        <f>D116*1.5+F116</f>
        <v>1952.5677490800001</v>
      </c>
      <c r="H116" s="5" t="s">
        <v>47</v>
      </c>
      <c r="I116" s="87"/>
      <c r="J116" s="88"/>
    </row>
    <row r="117" spans="1:12" ht="16.2" customHeight="1" x14ac:dyDescent="0.3">
      <c r="A117" s="89" t="s">
        <v>177</v>
      </c>
      <c r="B117" s="90"/>
      <c r="C117" s="90"/>
      <c r="D117" s="90"/>
      <c r="E117" s="90"/>
      <c r="F117" s="90"/>
      <c r="G117" s="90"/>
      <c r="H117" s="90"/>
      <c r="I117" s="90"/>
      <c r="J117" s="91"/>
    </row>
    <row r="118" spans="1:12" ht="16.2" customHeight="1" x14ac:dyDescent="0.3">
      <c r="A118" s="120" t="s">
        <v>102</v>
      </c>
      <c r="B118" s="121"/>
      <c r="C118" s="121"/>
      <c r="D118" s="121"/>
      <c r="E118" s="121"/>
      <c r="F118" s="121"/>
      <c r="G118" s="121"/>
      <c r="H118" s="121"/>
      <c r="I118" s="121"/>
      <c r="J118" s="122"/>
    </row>
    <row r="119" spans="1:12" ht="16.2" customHeight="1" x14ac:dyDescent="0.3">
      <c r="A119" s="79">
        <v>1</v>
      </c>
      <c r="B119" s="80"/>
      <c r="C119" s="5" t="s">
        <v>107</v>
      </c>
      <c r="D119" s="79">
        <f>(6.5*5.56+3.55*1.43+3.55*3.05+2.06*2.62+1.35*1.58+1.2*1.4)*10.764</f>
        <v>659.34020879999991</v>
      </c>
      <c r="E119" s="80"/>
      <c r="F119" s="5">
        <v>0</v>
      </c>
      <c r="G119" s="5">
        <f>D119*1.5+F119</f>
        <v>989.01031319999993</v>
      </c>
      <c r="H119" s="5" t="s">
        <v>47</v>
      </c>
      <c r="I119" s="85" t="str">
        <f>A117</f>
        <v>1st Commercial Floor/ 2nd Residential Floor</v>
      </c>
      <c r="J119" s="86"/>
      <c r="L119">
        <f>29000000/G119</f>
        <v>29322.242258696806</v>
      </c>
    </row>
    <row r="120" spans="1:12" ht="16.2" customHeight="1" x14ac:dyDescent="0.3">
      <c r="A120" s="79">
        <v>2</v>
      </c>
      <c r="B120" s="80"/>
      <c r="C120" s="5" t="s">
        <v>107</v>
      </c>
      <c r="D120" s="79">
        <f>(6.05*4.37+4.41*3.6+2.91*2.4+1.35*1.5)*10.764</f>
        <v>552.44615399999998</v>
      </c>
      <c r="E120" s="80"/>
      <c r="F120" s="5">
        <v>0</v>
      </c>
      <c r="G120" s="5">
        <f>D120*1.5+F120</f>
        <v>828.66923099999997</v>
      </c>
      <c r="H120" s="5" t="s">
        <v>47</v>
      </c>
      <c r="I120" s="85"/>
      <c r="J120" s="86"/>
    </row>
    <row r="121" spans="1:12" ht="16.2" customHeight="1" x14ac:dyDescent="0.3">
      <c r="A121" s="79">
        <v>3</v>
      </c>
      <c r="B121" s="80"/>
      <c r="C121" s="5" t="s">
        <v>107</v>
      </c>
      <c r="D121" s="79">
        <f>(5.85*6.17+4.35*2.4+1.35*1.5)*10.764</f>
        <v>522.69445799999994</v>
      </c>
      <c r="E121" s="80"/>
      <c r="F121" s="5">
        <v>0</v>
      </c>
      <c r="G121" s="5">
        <f>D121*1.5+F121</f>
        <v>784.04168699999991</v>
      </c>
      <c r="H121" s="5" t="s">
        <v>47</v>
      </c>
      <c r="I121" s="85"/>
      <c r="J121" s="86"/>
    </row>
    <row r="122" spans="1:12" ht="16.2" customHeight="1" x14ac:dyDescent="0.3">
      <c r="A122" s="79">
        <v>4</v>
      </c>
      <c r="B122" s="80"/>
      <c r="C122" s="5" t="s">
        <v>107</v>
      </c>
      <c r="D122" s="79">
        <f>(6.07*6.17+4.175*2.4+0.89*1.5+0.85*0.77)*10.764</f>
        <v>532.40250960000003</v>
      </c>
      <c r="E122" s="80"/>
      <c r="F122" s="5">
        <v>0</v>
      </c>
      <c r="G122" s="5">
        <f>D122*1.5+F122</f>
        <v>798.60376440000005</v>
      </c>
      <c r="H122" s="5" t="s">
        <v>47</v>
      </c>
      <c r="I122" s="87"/>
      <c r="J122" s="88"/>
    </row>
    <row r="123" spans="1:12" ht="16.2" customHeight="1" x14ac:dyDescent="0.3">
      <c r="A123" s="120" t="s">
        <v>105</v>
      </c>
      <c r="B123" s="121"/>
      <c r="C123" s="121"/>
      <c r="D123" s="121"/>
      <c r="E123" s="121"/>
      <c r="F123" s="121"/>
      <c r="G123" s="121"/>
      <c r="H123" s="121"/>
      <c r="I123" s="121"/>
      <c r="J123" s="122"/>
    </row>
    <row r="124" spans="1:12" ht="16.2" customHeight="1" x14ac:dyDescent="0.3">
      <c r="A124" s="79">
        <v>5</v>
      </c>
      <c r="B124" s="80"/>
      <c r="C124" s="5" t="s">
        <v>107</v>
      </c>
      <c r="D124" s="79">
        <f>(6.15*8.17+4.35*2.4+1.65*1.5)*10.764</f>
        <v>679.85962199999994</v>
      </c>
      <c r="E124" s="80"/>
      <c r="F124" s="5">
        <v>0</v>
      </c>
      <c r="G124" s="5">
        <f>D124*1.5+F124</f>
        <v>1019.7894329999999</v>
      </c>
      <c r="H124" s="5" t="s">
        <v>47</v>
      </c>
      <c r="I124" s="85" t="str">
        <f>A117</f>
        <v>1st Commercial Floor/ 2nd Residential Floor</v>
      </c>
      <c r="J124" s="86"/>
    </row>
    <row r="125" spans="1:12" ht="16.2" customHeight="1" x14ac:dyDescent="0.3">
      <c r="A125" s="79">
        <v>6</v>
      </c>
      <c r="B125" s="80"/>
      <c r="C125" s="5" t="s">
        <v>107</v>
      </c>
      <c r="D125" s="79">
        <f>(6.065*7.25+4.31*0.92+2.73*2.4+1.425*1.5)*10.764</f>
        <v>609.52172580000013</v>
      </c>
      <c r="E125" s="80"/>
      <c r="F125" s="5">
        <v>0</v>
      </c>
      <c r="G125" s="5">
        <f>D125*1.5+F125</f>
        <v>914.28258870000013</v>
      </c>
      <c r="H125" s="5" t="s">
        <v>47</v>
      </c>
      <c r="I125" s="85"/>
      <c r="J125" s="86"/>
    </row>
    <row r="126" spans="1:12" ht="16.2" customHeight="1" x14ac:dyDescent="0.3">
      <c r="A126" s="79">
        <v>7</v>
      </c>
      <c r="B126" s="80"/>
      <c r="C126" s="5" t="s">
        <v>107</v>
      </c>
      <c r="D126" s="79">
        <f>(5.59*5.59+6.42*1.66+1.35*2.06)*10.764</f>
        <v>481.00333319999993</v>
      </c>
      <c r="E126" s="80"/>
      <c r="F126" s="5">
        <v>0</v>
      </c>
      <c r="G126" s="5">
        <f>D126*1.5+F126</f>
        <v>721.50499979999995</v>
      </c>
      <c r="H126" s="5" t="s">
        <v>47</v>
      </c>
      <c r="I126" s="85"/>
      <c r="J126" s="86"/>
    </row>
    <row r="127" spans="1:12" ht="16.2" customHeight="1" x14ac:dyDescent="0.3">
      <c r="A127" s="79">
        <v>8</v>
      </c>
      <c r="B127" s="80"/>
      <c r="C127" s="5" t="s">
        <v>107</v>
      </c>
      <c r="D127" s="79">
        <f>(7.13*5.74+3.66*2.965+1.35*2.06)*10.764</f>
        <v>587.27415239999993</v>
      </c>
      <c r="E127" s="80"/>
      <c r="F127" s="5">
        <v>0</v>
      </c>
      <c r="G127" s="5">
        <f>D127*1.5+F127</f>
        <v>880.91122859999996</v>
      </c>
      <c r="H127" s="5" t="s">
        <v>47</v>
      </c>
      <c r="I127" s="85"/>
      <c r="J127" s="86"/>
    </row>
    <row r="128" spans="1:12" ht="16.2" customHeight="1" x14ac:dyDescent="0.3">
      <c r="A128" s="79">
        <v>9</v>
      </c>
      <c r="B128" s="80"/>
      <c r="C128" s="5" t="s">
        <v>107</v>
      </c>
      <c r="D128" s="79">
        <f>(6.91*8.91+3.03*1.5+2*1.35+1.58*1.5+4.78*6.91)*10.764</f>
        <v>1121.7476556000001</v>
      </c>
      <c r="E128" s="80"/>
      <c r="F128" s="5">
        <v>0</v>
      </c>
      <c r="G128" s="5">
        <f>D128*1.5+F128</f>
        <v>1682.6214834000002</v>
      </c>
      <c r="H128" s="5" t="s">
        <v>47</v>
      </c>
      <c r="I128" s="87"/>
      <c r="J128" s="88"/>
    </row>
    <row r="129" spans="1:12" ht="16.2" customHeight="1" x14ac:dyDescent="0.3">
      <c r="A129" s="89" t="s">
        <v>178</v>
      </c>
      <c r="B129" s="90"/>
      <c r="C129" s="90"/>
      <c r="D129" s="90"/>
      <c r="E129" s="90"/>
      <c r="F129" s="90"/>
      <c r="G129" s="90"/>
      <c r="H129" s="90"/>
      <c r="I129" s="90"/>
      <c r="J129" s="91"/>
    </row>
    <row r="130" spans="1:12" ht="16.2" customHeight="1" x14ac:dyDescent="0.3">
      <c r="A130" s="120" t="s">
        <v>179</v>
      </c>
      <c r="B130" s="121"/>
      <c r="C130" s="121"/>
      <c r="D130" s="121"/>
      <c r="E130" s="121"/>
      <c r="F130" s="121"/>
      <c r="G130" s="121"/>
      <c r="H130" s="121"/>
      <c r="I130" s="121"/>
      <c r="J130" s="122"/>
    </row>
    <row r="131" spans="1:12" ht="16.2" customHeight="1" x14ac:dyDescent="0.3">
      <c r="A131" s="120" t="s">
        <v>105</v>
      </c>
      <c r="B131" s="121"/>
      <c r="C131" s="121"/>
      <c r="D131" s="121"/>
      <c r="E131" s="121"/>
      <c r="F131" s="121"/>
      <c r="G131" s="121"/>
      <c r="H131" s="121"/>
      <c r="I131" s="121"/>
      <c r="J131" s="122"/>
    </row>
    <row r="132" spans="1:12" ht="16.2" customHeight="1" x14ac:dyDescent="0.3">
      <c r="A132" s="79">
        <v>14</v>
      </c>
      <c r="B132" s="80"/>
      <c r="C132" s="5" t="s">
        <v>107</v>
      </c>
      <c r="D132" s="79">
        <f>(6.15*8.17+4.35*2.4+1.65*1.5)*10.764</f>
        <v>679.85962199999994</v>
      </c>
      <c r="E132" s="80"/>
      <c r="F132" s="5">
        <v>0</v>
      </c>
      <c r="G132" s="5">
        <f>D132*1.5+F132</f>
        <v>1019.7894329999999</v>
      </c>
      <c r="H132" s="5" t="s">
        <v>47</v>
      </c>
      <c r="I132" s="85"/>
      <c r="J132" s="86"/>
    </row>
    <row r="133" spans="1:12" ht="65.25" customHeight="1" x14ac:dyDescent="0.3">
      <c r="A133" s="79">
        <v>15</v>
      </c>
      <c r="B133" s="80"/>
      <c r="C133" s="42" t="s">
        <v>180</v>
      </c>
      <c r="D133" s="79">
        <f>(6.065*7.25+4.31*0.92+2.73*2.4+1.425*1.5+6.07*4.37)*10.764</f>
        <v>895.04651340000009</v>
      </c>
      <c r="E133" s="80"/>
      <c r="F133" s="5">
        <v>0</v>
      </c>
      <c r="G133" s="5">
        <f>D133*1.5+F133</f>
        <v>1342.5697701000001</v>
      </c>
      <c r="H133" s="5" t="s">
        <v>47</v>
      </c>
      <c r="I133" s="85"/>
      <c r="J133" s="86"/>
    </row>
    <row r="134" spans="1:12" ht="66.75" customHeight="1" x14ac:dyDescent="0.3">
      <c r="A134" s="79">
        <v>16</v>
      </c>
      <c r="B134" s="80"/>
      <c r="C134" s="42" t="s">
        <v>180</v>
      </c>
      <c r="D134" s="79">
        <f>(5.59*5.59+6.42*1.66+1.35*2.06+5.59*4.37)*10.764</f>
        <v>743.9495543999999</v>
      </c>
      <c r="E134" s="80"/>
      <c r="F134" s="5">
        <v>0</v>
      </c>
      <c r="G134" s="5">
        <f>D134*1.5+F134</f>
        <v>1115.9243315999997</v>
      </c>
      <c r="H134" s="5" t="s">
        <v>47</v>
      </c>
      <c r="I134" s="85"/>
      <c r="J134" s="86"/>
    </row>
    <row r="135" spans="1:12" ht="16.2" customHeight="1" x14ac:dyDescent="0.3">
      <c r="A135" s="79">
        <v>17</v>
      </c>
      <c r="B135" s="80"/>
      <c r="C135" s="5" t="s">
        <v>107</v>
      </c>
      <c r="D135" s="79">
        <f>(7.13*5.74+3.66*2.965+1.35*2.06)*10.764</f>
        <v>587.27415239999993</v>
      </c>
      <c r="E135" s="80"/>
      <c r="F135" s="5">
        <v>0</v>
      </c>
      <c r="G135" s="5">
        <f>D135*1.5+F135</f>
        <v>880.91122859999996</v>
      </c>
      <c r="H135" s="5" t="s">
        <v>47</v>
      </c>
      <c r="I135" s="85"/>
      <c r="J135" s="86"/>
    </row>
    <row r="136" spans="1:12" ht="16.2" customHeight="1" x14ac:dyDescent="0.3">
      <c r="A136" s="79">
        <v>18</v>
      </c>
      <c r="B136" s="80"/>
      <c r="C136" s="5" t="s">
        <v>107</v>
      </c>
      <c r="D136" s="79">
        <f>(6.91*8.91+3.03*1.5+2*1.35+1.58*1.5+4.78*6.91)*10.764</f>
        <v>1121.7476556000001</v>
      </c>
      <c r="E136" s="80"/>
      <c r="F136" s="5">
        <v>0</v>
      </c>
      <c r="G136" s="5">
        <f>D136*1.5+F136</f>
        <v>1682.6214834000002</v>
      </c>
      <c r="H136" s="5" t="s">
        <v>47</v>
      </c>
      <c r="I136" s="87"/>
      <c r="J136" s="88"/>
    </row>
    <row r="137" spans="1:12" x14ac:dyDescent="0.3">
      <c r="A137" s="151" t="s">
        <v>41</v>
      </c>
      <c r="B137" s="152"/>
      <c r="C137" s="152"/>
      <c r="D137" s="152"/>
      <c r="E137" s="152"/>
      <c r="F137" s="152"/>
      <c r="G137" s="152"/>
      <c r="H137" s="152"/>
      <c r="I137" s="152"/>
      <c r="J137" s="153"/>
    </row>
    <row r="138" spans="1:12" ht="39.6" x14ac:dyDescent="0.3">
      <c r="A138" s="211" t="s">
        <v>101</v>
      </c>
      <c r="B138" s="212"/>
      <c r="C138" s="4" t="s">
        <v>29</v>
      </c>
      <c r="D138" s="222" t="s">
        <v>74</v>
      </c>
      <c r="E138" s="223"/>
      <c r="F138" s="8" t="s">
        <v>30</v>
      </c>
      <c r="G138" s="4" t="s">
        <v>116</v>
      </c>
      <c r="H138" s="4" t="s">
        <v>31</v>
      </c>
      <c r="I138" s="211" t="s">
        <v>86</v>
      </c>
      <c r="J138" s="212"/>
    </row>
    <row r="139" spans="1:12" ht="16.2" customHeight="1" x14ac:dyDescent="0.3">
      <c r="A139" s="120" t="s">
        <v>102</v>
      </c>
      <c r="B139" s="121"/>
      <c r="C139" s="121"/>
      <c r="D139" s="121"/>
      <c r="E139" s="121"/>
      <c r="F139" s="121"/>
      <c r="G139" s="121"/>
      <c r="H139" s="121"/>
      <c r="I139" s="121"/>
      <c r="J139" s="122"/>
    </row>
    <row r="140" spans="1:12" ht="16.2" customHeight="1" x14ac:dyDescent="0.3">
      <c r="A140" s="120" t="s">
        <v>182</v>
      </c>
      <c r="B140" s="121"/>
      <c r="C140" s="121"/>
      <c r="D140" s="121"/>
      <c r="E140" s="121"/>
      <c r="F140" s="121"/>
      <c r="G140" s="121"/>
      <c r="H140" s="121"/>
      <c r="I140" s="121"/>
      <c r="J140" s="122"/>
    </row>
    <row r="141" spans="1:12" ht="16.2" customHeight="1" x14ac:dyDescent="0.3">
      <c r="A141" s="79">
        <v>4</v>
      </c>
      <c r="B141" s="80"/>
      <c r="C141" s="5" t="s">
        <v>106</v>
      </c>
      <c r="D141" s="79">
        <f>(52.72+0.75*(2.9+2.6+2.9))*10.764</f>
        <v>635.29127999999992</v>
      </c>
      <c r="E141" s="80"/>
      <c r="F141" s="5">
        <v>0</v>
      </c>
      <c r="G141" s="5">
        <f>D141*1.45+F141</f>
        <v>921.17235599999981</v>
      </c>
      <c r="H141" s="5" t="s">
        <v>47</v>
      </c>
      <c r="I141" s="83" t="str">
        <f>A140</f>
        <v>Mezzanine / 1st Residential Floor</v>
      </c>
      <c r="J141" s="84"/>
    </row>
    <row r="142" spans="1:12" ht="16.2" customHeight="1" x14ac:dyDescent="0.3">
      <c r="A142" s="79">
        <v>5</v>
      </c>
      <c r="B142" s="80"/>
      <c r="C142" s="5" t="s">
        <v>106</v>
      </c>
      <c r="D142" s="79">
        <f>(46.76+0.75*(2.9+2.67+2.67))*10.764</f>
        <v>569.84615999999994</v>
      </c>
      <c r="E142" s="80"/>
      <c r="F142" s="5">
        <v>0</v>
      </c>
      <c r="G142" s="5">
        <f>D142*1.45+F142</f>
        <v>826.27693199999987</v>
      </c>
      <c r="H142" s="5" t="s">
        <v>47</v>
      </c>
      <c r="I142" s="85"/>
      <c r="J142" s="86"/>
      <c r="L142">
        <f>7500000/G142</f>
        <v>9076.8599600696598</v>
      </c>
    </row>
    <row r="143" spans="1:12" ht="16.2" customHeight="1" x14ac:dyDescent="0.3">
      <c r="A143" s="79">
        <v>6</v>
      </c>
      <c r="B143" s="80"/>
      <c r="C143" s="5" t="s">
        <v>106</v>
      </c>
      <c r="D143" s="79">
        <f>(46.41+0.75*(2.9+2.75+2.9))*10.764</f>
        <v>568.58138999999994</v>
      </c>
      <c r="E143" s="80"/>
      <c r="F143" s="5">
        <v>0</v>
      </c>
      <c r="G143" s="5">
        <f>D143*1.45+F143</f>
        <v>824.44301549999989</v>
      </c>
      <c r="H143" s="5" t="s">
        <v>47</v>
      </c>
      <c r="I143" s="85"/>
      <c r="J143" s="86"/>
      <c r="L143">
        <f>7500000/G143</f>
        <v>9097.050807630987</v>
      </c>
    </row>
    <row r="144" spans="1:12" ht="16.2" customHeight="1" x14ac:dyDescent="0.3">
      <c r="A144" s="89" t="s">
        <v>177</v>
      </c>
      <c r="B144" s="90"/>
      <c r="C144" s="90"/>
      <c r="D144" s="90"/>
      <c r="E144" s="90"/>
      <c r="F144" s="90"/>
      <c r="G144" s="90"/>
      <c r="H144" s="90"/>
      <c r="I144" s="90"/>
      <c r="J144" s="91"/>
    </row>
    <row r="145" spans="1:15" ht="16.2" customHeight="1" x14ac:dyDescent="0.3">
      <c r="A145" s="79">
        <v>4</v>
      </c>
      <c r="B145" s="80"/>
      <c r="C145" s="5" t="s">
        <v>106</v>
      </c>
      <c r="D145" s="79">
        <f>(52.72+0.75*(2.9+2.6+2.9))*10.764</f>
        <v>635.29127999999992</v>
      </c>
      <c r="E145" s="80"/>
      <c r="F145" s="5">
        <v>0</v>
      </c>
      <c r="G145" s="5">
        <f>D145*1.45+F145</f>
        <v>921.17235599999981</v>
      </c>
      <c r="H145" s="5" t="s">
        <v>47</v>
      </c>
      <c r="I145" s="83" t="str">
        <f>A144</f>
        <v>1st Commercial Floor/ 2nd Residential Floor</v>
      </c>
      <c r="J145" s="84"/>
    </row>
    <row r="146" spans="1:15" ht="16.2" customHeight="1" x14ac:dyDescent="0.3">
      <c r="A146" s="79">
        <v>5</v>
      </c>
      <c r="B146" s="80"/>
      <c r="C146" s="5" t="s">
        <v>106</v>
      </c>
      <c r="D146" s="79">
        <f>(46.76+0.75*(2.9+2.67+2.67))*10.764</f>
        <v>569.84615999999994</v>
      </c>
      <c r="E146" s="80"/>
      <c r="F146" s="5">
        <v>0</v>
      </c>
      <c r="G146" s="5">
        <f>D146*1.45+F146</f>
        <v>826.27693199999987</v>
      </c>
      <c r="H146" s="5" t="s">
        <v>47</v>
      </c>
      <c r="I146" s="85"/>
      <c r="J146" s="86"/>
      <c r="L146">
        <f>7500000/G146</f>
        <v>9076.8599600696598</v>
      </c>
    </row>
    <row r="147" spans="1:15" ht="16.2" customHeight="1" x14ac:dyDescent="0.3">
      <c r="A147" s="79">
        <v>6</v>
      </c>
      <c r="B147" s="80"/>
      <c r="C147" s="5" t="s">
        <v>106</v>
      </c>
      <c r="D147" s="79">
        <f>(46.41+0.75*(2.9+2.75+2.9))*10.764</f>
        <v>568.58138999999994</v>
      </c>
      <c r="E147" s="80"/>
      <c r="F147" s="5">
        <v>0</v>
      </c>
      <c r="G147" s="5">
        <f>D147*1.45+F147</f>
        <v>824.44301549999989</v>
      </c>
      <c r="H147" s="5" t="s">
        <v>47</v>
      </c>
      <c r="I147" s="85"/>
      <c r="J147" s="86"/>
      <c r="L147">
        <f>7500000/G147</f>
        <v>9097.050807630987</v>
      </c>
    </row>
    <row r="148" spans="1:15" ht="16.2" customHeight="1" x14ac:dyDescent="0.3">
      <c r="A148" s="89" t="s">
        <v>178</v>
      </c>
      <c r="B148" s="90"/>
      <c r="C148" s="90"/>
      <c r="D148" s="90"/>
      <c r="E148" s="90"/>
      <c r="F148" s="90"/>
      <c r="G148" s="90"/>
      <c r="H148" s="90"/>
      <c r="I148" s="90"/>
      <c r="J148" s="91"/>
    </row>
    <row r="149" spans="1:15" ht="16.2" customHeight="1" x14ac:dyDescent="0.3">
      <c r="A149" s="79">
        <v>4</v>
      </c>
      <c r="B149" s="80"/>
      <c r="C149" s="5" t="s">
        <v>106</v>
      </c>
      <c r="D149" s="79">
        <f>(52.72+0.75*(2.9+2.6+2.9))*10.764</f>
        <v>635.29127999999992</v>
      </c>
      <c r="E149" s="80"/>
      <c r="F149" s="5">
        <v>0</v>
      </c>
      <c r="G149" s="5">
        <f>D149*1.45+F149</f>
        <v>921.17235599999981</v>
      </c>
      <c r="H149" s="5" t="s">
        <v>47</v>
      </c>
      <c r="I149" s="83" t="str">
        <f>A148</f>
        <v>2nd Commercial Floor/ 3rd Residential Floor</v>
      </c>
      <c r="J149" s="84"/>
    </row>
    <row r="150" spans="1:15" ht="16.2" customHeight="1" x14ac:dyDescent="0.3">
      <c r="A150" s="79">
        <v>5</v>
      </c>
      <c r="B150" s="80"/>
      <c r="C150" s="5" t="s">
        <v>106</v>
      </c>
      <c r="D150" s="79">
        <f>(46.76+0.75*(2.9+2.67+2.67))*10.764</f>
        <v>569.84615999999994</v>
      </c>
      <c r="E150" s="80"/>
      <c r="F150" s="5">
        <v>0</v>
      </c>
      <c r="G150" s="5">
        <f>D150*1.45+F150</f>
        <v>826.27693199999987</v>
      </c>
      <c r="H150" s="5" t="s">
        <v>47</v>
      </c>
      <c r="I150" s="85"/>
      <c r="J150" s="86"/>
      <c r="L150">
        <f>7500000/G150</f>
        <v>9076.8599600696598</v>
      </c>
    </row>
    <row r="151" spans="1:15" ht="16.2" customHeight="1" x14ac:dyDescent="0.3">
      <c r="A151" s="79">
        <v>6</v>
      </c>
      <c r="B151" s="80"/>
      <c r="C151" s="5" t="s">
        <v>106</v>
      </c>
      <c r="D151" s="79">
        <f>(46.41+0.75*(2.9+2.75+2.9))*10.764</f>
        <v>568.58138999999994</v>
      </c>
      <c r="E151" s="80"/>
      <c r="F151" s="5">
        <v>0</v>
      </c>
      <c r="G151" s="5">
        <f>D151*1.45+F151</f>
        <v>824.44301549999989</v>
      </c>
      <c r="H151" s="5" t="s">
        <v>47</v>
      </c>
      <c r="I151" s="85"/>
      <c r="J151" s="86"/>
      <c r="L151">
        <f>7500000/G151</f>
        <v>9097.050807630987</v>
      </c>
    </row>
    <row r="152" spans="1:15" ht="16.2" customHeight="1" x14ac:dyDescent="0.3">
      <c r="A152" s="89" t="s">
        <v>183</v>
      </c>
      <c r="B152" s="90"/>
      <c r="C152" s="90"/>
      <c r="D152" s="90"/>
      <c r="E152" s="90"/>
      <c r="F152" s="90"/>
      <c r="G152" s="90"/>
      <c r="H152" s="90"/>
      <c r="I152" s="90"/>
      <c r="J152" s="91"/>
    </row>
    <row r="153" spans="1:15" ht="16.2" customHeight="1" x14ac:dyDescent="0.3">
      <c r="A153" s="79">
        <v>4</v>
      </c>
      <c r="B153" s="80"/>
      <c r="C153" s="5" t="s">
        <v>106</v>
      </c>
      <c r="D153" s="79">
        <f>(52.72+0.75*(2.9+2.6+2.9))*10.764</f>
        <v>635.29127999999992</v>
      </c>
      <c r="E153" s="80"/>
      <c r="F153" s="5">
        <v>0</v>
      </c>
      <c r="G153" s="5">
        <f>D153*1.45+F153</f>
        <v>921.17235599999981</v>
      </c>
      <c r="H153" s="5" t="s">
        <v>47</v>
      </c>
      <c r="I153" s="83" t="str">
        <f>A152</f>
        <v>3rd Commercial Floor/ 4th Residential Floor for Residential &amp; Amenties</v>
      </c>
      <c r="J153" s="84"/>
    </row>
    <row r="154" spans="1:15" ht="16.2" customHeight="1" x14ac:dyDescent="0.3">
      <c r="A154" s="79">
        <v>5</v>
      </c>
      <c r="B154" s="80"/>
      <c r="C154" s="5" t="s">
        <v>106</v>
      </c>
      <c r="D154" s="79">
        <f>(46.76+0.75*(2.9+2.67+2.67))*10.764</f>
        <v>569.84615999999994</v>
      </c>
      <c r="E154" s="80"/>
      <c r="F154" s="5">
        <v>0</v>
      </c>
      <c r="G154" s="5">
        <f>D154*1.45+F154</f>
        <v>826.27693199999987</v>
      </c>
      <c r="H154" s="5" t="s">
        <v>47</v>
      </c>
      <c r="I154" s="85"/>
      <c r="J154" s="86"/>
      <c r="L154">
        <f>7500000/G154</f>
        <v>9076.8599600696598</v>
      </c>
    </row>
    <row r="155" spans="1:15" ht="16.2" customHeight="1" x14ac:dyDescent="0.3">
      <c r="A155" s="79">
        <v>6</v>
      </c>
      <c r="B155" s="80"/>
      <c r="C155" s="5" t="s">
        <v>106</v>
      </c>
      <c r="D155" s="79">
        <f>(46.41+0.75*(2.9+2.75+2.9))*10.764</f>
        <v>568.58138999999994</v>
      </c>
      <c r="E155" s="80"/>
      <c r="F155" s="5">
        <v>0</v>
      </c>
      <c r="G155" s="5">
        <f>D155*1.45+F155</f>
        <v>824.44301549999989</v>
      </c>
      <c r="H155" s="5" t="s">
        <v>47</v>
      </c>
      <c r="I155" s="85"/>
      <c r="J155" s="86"/>
      <c r="L155">
        <f>7500000/G155</f>
        <v>9097.050807630987</v>
      </c>
    </row>
    <row r="156" spans="1:15" ht="31.5" customHeight="1" x14ac:dyDescent="0.3">
      <c r="A156" s="89" t="s">
        <v>184</v>
      </c>
      <c r="B156" s="90"/>
      <c r="C156" s="90"/>
      <c r="D156" s="90"/>
      <c r="E156" s="90"/>
      <c r="F156" s="90"/>
      <c r="G156" s="90"/>
      <c r="H156" s="90"/>
      <c r="I156" s="90"/>
      <c r="J156" s="91"/>
    </row>
    <row r="157" spans="1:15" ht="16.2" customHeight="1" x14ac:dyDescent="0.3">
      <c r="A157" s="79">
        <v>1</v>
      </c>
      <c r="B157" s="80"/>
      <c r="C157" s="5" t="s">
        <v>106</v>
      </c>
      <c r="D157" s="81">
        <f>(47+0.75*(2.9+2.75+2.9))*10.764</f>
        <v>574.93214999999998</v>
      </c>
      <c r="E157" s="82"/>
      <c r="F157" s="5">
        <v>0</v>
      </c>
      <c r="G157" s="5">
        <f t="shared" ref="G157:G162" si="0">D157*1.45+F157</f>
        <v>833.65161749999993</v>
      </c>
      <c r="H157" s="5" t="s">
        <v>47</v>
      </c>
      <c r="I157" s="83" t="str">
        <f>A156</f>
        <v>5th, 6th, 8th to 11th, 13th to 16th, 18th to 21st, 23rd to 26th, 28th &amp; 29th Residential Floor for Residential</v>
      </c>
      <c r="J157" s="84"/>
      <c r="N157" s="81">
        <f>(2.9*3.9+1.95*1.8+2.9*0.6+2.15*2.25+2.75*0.65+2.9*3.3+1.35*2.25+2.3*1.2+2.75*0.9+2.9*0.6+0.9*0.6+0.75*(2.9+2.75+2.9))*10.764</f>
        <v>535.18607999999995</v>
      </c>
      <c r="O157" s="82"/>
    </row>
    <row r="158" spans="1:15" ht="16.2" customHeight="1" x14ac:dyDescent="0.3">
      <c r="A158" s="79">
        <v>2</v>
      </c>
      <c r="B158" s="80"/>
      <c r="C158" s="5" t="s">
        <v>106</v>
      </c>
      <c r="D158" s="81">
        <f>(46.58+0.75*(2.9+2.75+3.17))*10.764</f>
        <v>572.59097999999994</v>
      </c>
      <c r="E158" s="82"/>
      <c r="F158" s="5">
        <v>0</v>
      </c>
      <c r="G158" s="5">
        <f t="shared" si="0"/>
        <v>830.25692099999992</v>
      </c>
      <c r="H158" s="5" t="s">
        <v>47</v>
      </c>
      <c r="I158" s="85"/>
      <c r="J158" s="86"/>
      <c r="L158">
        <f>7500000/G158</f>
        <v>9033.348365186348</v>
      </c>
      <c r="N158" s="81">
        <f>(2.9*3.9+3.17*2.9+1.35*2.1+2.55*1.95+2.2*1.25+2.65*2.75+0.6*2.75+3.35*0.9+1.2*0.75+1.7*0.6+0.75*(2.9+2.75+3.17))*10.764</f>
        <v>554.86267199999998</v>
      </c>
      <c r="O158" s="82"/>
    </row>
    <row r="159" spans="1:15" ht="16.2" customHeight="1" x14ac:dyDescent="0.3">
      <c r="A159" s="79">
        <v>3</v>
      </c>
      <c r="B159" s="80"/>
      <c r="C159" s="5" t="s">
        <v>106</v>
      </c>
      <c r="D159" s="81">
        <f>(46.41+0.75*(2.9+2.07+3.02))*10.764</f>
        <v>564.06050999999991</v>
      </c>
      <c r="E159" s="82"/>
      <c r="F159" s="5">
        <v>0</v>
      </c>
      <c r="G159" s="5">
        <f t="shared" si="0"/>
        <v>817.88773949999984</v>
      </c>
      <c r="H159" s="5" t="s">
        <v>47</v>
      </c>
      <c r="I159" s="85"/>
      <c r="J159" s="86"/>
      <c r="L159">
        <f>7500000/G159</f>
        <v>9169.9626217468212</v>
      </c>
      <c r="N159" s="81">
        <f>(2.9*4.5+2.07*2.75+0.6*2.75+2.4*1.37+0.6*2.4+2.1*1.25+2.65*3.05+0.6*3.02+1.48*1+1.2*2.35+1.97+0.75*(2.9+2.07+3.02))*10.764</f>
        <v>537.15050999999994</v>
      </c>
      <c r="O159" s="82"/>
    </row>
    <row r="160" spans="1:15" ht="16.2" customHeight="1" x14ac:dyDescent="0.3">
      <c r="A160" s="79">
        <v>4</v>
      </c>
      <c r="B160" s="80"/>
      <c r="C160" s="5" t="s">
        <v>106</v>
      </c>
      <c r="D160" s="79">
        <f>(52.72+0.75*(2.9+2.6+2.9))*10.764</f>
        <v>635.29127999999992</v>
      </c>
      <c r="E160" s="80"/>
      <c r="F160" s="5">
        <v>0</v>
      </c>
      <c r="G160" s="5">
        <f t="shared" si="0"/>
        <v>921.17235599999981</v>
      </c>
      <c r="H160" s="5" t="s">
        <v>47</v>
      </c>
      <c r="I160" s="85"/>
      <c r="J160" s="86"/>
      <c r="N160" s="79">
        <f>(4.05*2.9+2.43*0.6+1.78*0.6+1.43*1.05+2.5*1.35+2.2*1.2+2.75*2.6+2.95*2.9+2.9*0.6+1.53*0.9+1.85*0.9+1.2*2.35+0.75*(2.9+2.6+2.9))*10.764</f>
        <v>553.21039800000005</v>
      </c>
      <c r="O160" s="80"/>
    </row>
    <row r="161" spans="1:15" ht="16.2" customHeight="1" x14ac:dyDescent="0.3">
      <c r="A161" s="79">
        <v>5</v>
      </c>
      <c r="B161" s="80"/>
      <c r="C161" s="5" t="s">
        <v>106</v>
      </c>
      <c r="D161" s="79">
        <f>(46.76+0.75*(2.9+2.67+2.67))*10.764</f>
        <v>569.84615999999994</v>
      </c>
      <c r="E161" s="80"/>
      <c r="F161" s="5">
        <v>0</v>
      </c>
      <c r="G161" s="5">
        <f t="shared" si="0"/>
        <v>826.27693199999987</v>
      </c>
      <c r="H161" s="5" t="s">
        <v>47</v>
      </c>
      <c r="I161" s="85"/>
      <c r="J161" s="86"/>
      <c r="L161">
        <f>7500000/G161</f>
        <v>9076.8599600696598</v>
      </c>
      <c r="N161" s="79">
        <f>(2.9*3.6+2.9*0.6+2.67*2.75+2.4*2.2+3.55*2.67+2.1*1.25+3.76*1+1.35*2.1+0.75*(2.9+2.67+2.67))*10.764</f>
        <v>534.76628399999993</v>
      </c>
      <c r="O161" s="80"/>
    </row>
    <row r="162" spans="1:15" ht="16.2" customHeight="1" x14ac:dyDescent="0.3">
      <c r="A162" s="79">
        <v>6</v>
      </c>
      <c r="B162" s="80"/>
      <c r="C162" s="5" t="s">
        <v>106</v>
      </c>
      <c r="D162" s="79">
        <f>(46.41+0.75*(2.9+2.75+2.9))*10.764</f>
        <v>568.58138999999994</v>
      </c>
      <c r="E162" s="80"/>
      <c r="F162" s="5">
        <v>0</v>
      </c>
      <c r="G162" s="5">
        <f t="shared" si="0"/>
        <v>824.44301549999989</v>
      </c>
      <c r="H162" s="5" t="s">
        <v>47</v>
      </c>
      <c r="I162" s="87"/>
      <c r="J162" s="88"/>
      <c r="L162">
        <f>7500000/G162</f>
        <v>9097.050807630987</v>
      </c>
      <c r="N162" s="79">
        <f>(2.9*4.45+1.95*2.55+2.75*2.75+2.9*3.8+2.1*1.2+2.2*1.2+2.23*0.9+0.9*0.9+0.75*(2.9+2.75+2.9))*10.764</f>
        <v>547.34401800000001</v>
      </c>
      <c r="O162" s="80"/>
    </row>
    <row r="163" spans="1:15" ht="16.2" customHeight="1" x14ac:dyDescent="0.3">
      <c r="A163" s="89" t="s">
        <v>185</v>
      </c>
      <c r="B163" s="90"/>
      <c r="C163" s="90"/>
      <c r="D163" s="90"/>
      <c r="E163" s="90"/>
      <c r="F163" s="90"/>
      <c r="G163" s="90"/>
      <c r="H163" s="90"/>
      <c r="I163" s="90"/>
      <c r="J163" s="91"/>
    </row>
    <row r="164" spans="1:15" ht="16.2" customHeight="1" x14ac:dyDescent="0.3">
      <c r="A164" s="79">
        <v>1</v>
      </c>
      <c r="B164" s="80"/>
      <c r="C164" s="5" t="s">
        <v>106</v>
      </c>
      <c r="D164" s="81">
        <f>(47+0.75*(2.9+2.75+2.9))*10.764</f>
        <v>574.93214999999998</v>
      </c>
      <c r="E164" s="82"/>
      <c r="F164" s="5">
        <v>0</v>
      </c>
      <c r="G164" s="5">
        <f>D164*1.45+F164</f>
        <v>833.65161749999993</v>
      </c>
      <c r="H164" s="5" t="s">
        <v>47</v>
      </c>
      <c r="I164" s="83" t="str">
        <f>A163</f>
        <v>7th, 12th, 17th, 22nd &amp; 27th Residential Floor (Part Refuge Area)</v>
      </c>
      <c r="J164" s="84"/>
    </row>
    <row r="165" spans="1:15" ht="16.2" customHeight="1" x14ac:dyDescent="0.3">
      <c r="A165" s="79">
        <v>2</v>
      </c>
      <c r="B165" s="80"/>
      <c r="C165" s="83" t="s">
        <v>108</v>
      </c>
      <c r="D165" s="241"/>
      <c r="E165" s="241"/>
      <c r="F165" s="241"/>
      <c r="G165" s="241"/>
      <c r="H165" s="84"/>
      <c r="I165" s="85"/>
      <c r="J165" s="86"/>
      <c r="L165" t="e">
        <f>7500000/G165</f>
        <v>#DIV/0!</v>
      </c>
    </row>
    <row r="166" spans="1:15" ht="16.2" customHeight="1" x14ac:dyDescent="0.3">
      <c r="A166" s="79">
        <v>3</v>
      </c>
      <c r="B166" s="80"/>
      <c r="C166" s="87"/>
      <c r="D166" s="242"/>
      <c r="E166" s="242"/>
      <c r="F166" s="242"/>
      <c r="G166" s="242"/>
      <c r="H166" s="88"/>
      <c r="I166" s="85"/>
      <c r="J166" s="86"/>
      <c r="L166" t="e">
        <f>7500000/G166</f>
        <v>#DIV/0!</v>
      </c>
    </row>
    <row r="167" spans="1:15" ht="16.2" customHeight="1" x14ac:dyDescent="0.3">
      <c r="A167" s="79">
        <v>4</v>
      </c>
      <c r="B167" s="80"/>
      <c r="C167" s="5" t="s">
        <v>106</v>
      </c>
      <c r="D167" s="79">
        <f>(52.72+0.75*(2.9+2.6+2.9))*10.764</f>
        <v>635.29127999999992</v>
      </c>
      <c r="E167" s="80"/>
      <c r="F167" s="5">
        <v>0</v>
      </c>
      <c r="G167" s="5">
        <f>D167*1.45+F167</f>
        <v>921.17235599999981</v>
      </c>
      <c r="H167" s="5" t="s">
        <v>47</v>
      </c>
      <c r="I167" s="85"/>
      <c r="J167" s="86"/>
    </row>
    <row r="168" spans="1:15" ht="16.2" customHeight="1" x14ac:dyDescent="0.3">
      <c r="A168" s="79">
        <v>5</v>
      </c>
      <c r="B168" s="80"/>
      <c r="C168" s="5" t="s">
        <v>106</v>
      </c>
      <c r="D168" s="79">
        <f>(46.76+0.75*(2.9+2.67+2.67))*10.764</f>
        <v>569.84615999999994</v>
      </c>
      <c r="E168" s="80"/>
      <c r="F168" s="5">
        <v>0</v>
      </c>
      <c r="G168" s="5">
        <f>D168*1.45+F168</f>
        <v>826.27693199999987</v>
      </c>
      <c r="H168" s="5" t="s">
        <v>47</v>
      </c>
      <c r="I168" s="85"/>
      <c r="J168" s="86"/>
      <c r="L168">
        <f>7500000/G168</f>
        <v>9076.8599600696598</v>
      </c>
    </row>
    <row r="169" spans="1:15" ht="16.2" customHeight="1" x14ac:dyDescent="0.3">
      <c r="A169" s="79">
        <v>6</v>
      </c>
      <c r="B169" s="80"/>
      <c r="C169" s="5" t="s">
        <v>106</v>
      </c>
      <c r="D169" s="79">
        <f>(46.41+0.75*(2.9+2.75+2.9))*10.764</f>
        <v>568.58138999999994</v>
      </c>
      <c r="E169" s="80"/>
      <c r="F169" s="5">
        <v>0</v>
      </c>
      <c r="G169" s="5">
        <f>D169*1.45+F169</f>
        <v>824.44301549999989</v>
      </c>
      <c r="H169" s="5" t="s">
        <v>47</v>
      </c>
      <c r="I169" s="87"/>
      <c r="J169" s="88"/>
      <c r="L169">
        <f>7500000/G169</f>
        <v>9097.050807630987</v>
      </c>
    </row>
    <row r="170" spans="1:15" ht="16.2" customHeight="1" x14ac:dyDescent="0.3">
      <c r="A170" s="89" t="s">
        <v>186</v>
      </c>
      <c r="B170" s="90"/>
      <c r="C170" s="90"/>
      <c r="D170" s="90"/>
      <c r="E170" s="90"/>
      <c r="F170" s="90"/>
      <c r="G170" s="90"/>
      <c r="H170" s="90"/>
      <c r="I170" s="90"/>
      <c r="J170" s="91"/>
    </row>
    <row r="171" spans="1:15" ht="16.2" customHeight="1" x14ac:dyDescent="0.3">
      <c r="A171" s="79">
        <v>1</v>
      </c>
      <c r="B171" s="80"/>
      <c r="C171" s="5" t="s">
        <v>106</v>
      </c>
      <c r="D171" s="81">
        <f>(47+0.75*(2.9+2.75+2.9))*10.764</f>
        <v>574.93214999999998</v>
      </c>
      <c r="E171" s="82"/>
      <c r="F171" s="5">
        <v>0</v>
      </c>
      <c r="G171" s="5">
        <f t="shared" ref="G171:G176" si="1">D171*1.45+F171</f>
        <v>833.65161749999993</v>
      </c>
      <c r="H171" s="5" t="s">
        <v>47</v>
      </c>
      <c r="I171" s="83" t="str">
        <f>A170</f>
        <v>30th, 31st, 33rd to 37th Residential Floor</v>
      </c>
      <c r="J171" s="84"/>
    </row>
    <row r="172" spans="1:15" ht="16.2" customHeight="1" x14ac:dyDescent="0.3">
      <c r="A172" s="79">
        <v>2</v>
      </c>
      <c r="B172" s="80"/>
      <c r="C172" s="5" t="s">
        <v>106</v>
      </c>
      <c r="D172" s="81">
        <f>(46.58+0.75*(2.9+2.75+3.17))*10.764</f>
        <v>572.59097999999994</v>
      </c>
      <c r="E172" s="82"/>
      <c r="F172" s="5">
        <v>0</v>
      </c>
      <c r="G172" s="5">
        <f t="shared" si="1"/>
        <v>830.25692099999992</v>
      </c>
      <c r="H172" s="5" t="s">
        <v>47</v>
      </c>
      <c r="I172" s="85"/>
      <c r="J172" s="86"/>
      <c r="L172">
        <f>7500000/G172</f>
        <v>9033.348365186348</v>
      </c>
    </row>
    <row r="173" spans="1:15" ht="16.2" customHeight="1" x14ac:dyDescent="0.3">
      <c r="A173" s="79">
        <v>3</v>
      </c>
      <c r="B173" s="80"/>
      <c r="C173" s="5" t="s">
        <v>106</v>
      </c>
      <c r="D173" s="81">
        <f>(46.41+0.75*(2.9+2.07+3.02))*10.764</f>
        <v>564.06050999999991</v>
      </c>
      <c r="E173" s="82"/>
      <c r="F173" s="5">
        <v>0</v>
      </c>
      <c r="G173" s="5">
        <f t="shared" si="1"/>
        <v>817.88773949999984</v>
      </c>
      <c r="H173" s="5" t="s">
        <v>47</v>
      </c>
      <c r="I173" s="85"/>
      <c r="J173" s="86"/>
      <c r="L173">
        <f>7500000/G173</f>
        <v>9169.9626217468212</v>
      </c>
    </row>
    <row r="174" spans="1:15" ht="16.2" customHeight="1" x14ac:dyDescent="0.3">
      <c r="A174" s="79">
        <v>4</v>
      </c>
      <c r="B174" s="80"/>
      <c r="C174" s="5" t="s">
        <v>106</v>
      </c>
      <c r="D174" s="79">
        <f>(52.72+0.75*(2.9+2.6+2.9))*10.764</f>
        <v>635.29127999999992</v>
      </c>
      <c r="E174" s="80"/>
      <c r="F174" s="5">
        <v>0</v>
      </c>
      <c r="G174" s="5">
        <f t="shared" si="1"/>
        <v>921.17235599999981</v>
      </c>
      <c r="H174" s="5" t="s">
        <v>47</v>
      </c>
      <c r="I174" s="85"/>
      <c r="J174" s="86"/>
    </row>
    <row r="175" spans="1:15" ht="16.2" customHeight="1" x14ac:dyDescent="0.3">
      <c r="A175" s="79">
        <v>5</v>
      </c>
      <c r="B175" s="80"/>
      <c r="C175" s="5" t="s">
        <v>106</v>
      </c>
      <c r="D175" s="79">
        <f>(46.76+0.75*(2.9+2.67+2.67))*10.764</f>
        <v>569.84615999999994</v>
      </c>
      <c r="E175" s="80"/>
      <c r="F175" s="5">
        <v>0</v>
      </c>
      <c r="G175" s="5">
        <f t="shared" si="1"/>
        <v>826.27693199999987</v>
      </c>
      <c r="H175" s="5" t="s">
        <v>47</v>
      </c>
      <c r="I175" s="85"/>
      <c r="J175" s="86"/>
      <c r="L175">
        <f>7500000/G175</f>
        <v>9076.8599600696598</v>
      </c>
    </row>
    <row r="176" spans="1:15" ht="16.2" customHeight="1" x14ac:dyDescent="0.3">
      <c r="A176" s="79">
        <v>6</v>
      </c>
      <c r="B176" s="80"/>
      <c r="C176" s="5" t="s">
        <v>106</v>
      </c>
      <c r="D176" s="79">
        <f>(46.41+0.75*(2.9+2.75+2.9))*10.764</f>
        <v>568.58138999999994</v>
      </c>
      <c r="E176" s="80"/>
      <c r="F176" s="5">
        <v>0</v>
      </c>
      <c r="G176" s="5">
        <f t="shared" si="1"/>
        <v>824.44301549999989</v>
      </c>
      <c r="H176" s="5" t="s">
        <v>47</v>
      </c>
      <c r="I176" s="87"/>
      <c r="J176" s="88"/>
      <c r="L176">
        <f>7500000/G176</f>
        <v>9097.050807630987</v>
      </c>
    </row>
    <row r="177" spans="1:12" ht="16.2" customHeight="1" x14ac:dyDescent="0.3">
      <c r="A177" s="89" t="s">
        <v>187</v>
      </c>
      <c r="B177" s="90"/>
      <c r="C177" s="90"/>
      <c r="D177" s="90"/>
      <c r="E177" s="90"/>
      <c r="F177" s="90"/>
      <c r="G177" s="90"/>
      <c r="H177" s="90"/>
      <c r="I177" s="90"/>
      <c r="J177" s="91"/>
    </row>
    <row r="178" spans="1:12" ht="16.2" customHeight="1" x14ac:dyDescent="0.3">
      <c r="A178" s="79">
        <v>1</v>
      </c>
      <c r="B178" s="80"/>
      <c r="C178" s="5" t="s">
        <v>106</v>
      </c>
      <c r="D178" s="81">
        <f>(47+0.75*(2.9+2.75+2.9))*10.764</f>
        <v>574.93214999999998</v>
      </c>
      <c r="E178" s="82"/>
      <c r="F178" s="5">
        <v>0</v>
      </c>
      <c r="G178" s="5">
        <f>D178*1.45+F178</f>
        <v>833.65161749999993</v>
      </c>
      <c r="H178" s="5" t="s">
        <v>47</v>
      </c>
      <c r="I178" s="83" t="str">
        <f>A177</f>
        <v>32nd Residential Floor (Part Refuge Floor)</v>
      </c>
      <c r="J178" s="84"/>
    </row>
    <row r="179" spans="1:12" ht="16.2" customHeight="1" x14ac:dyDescent="0.3">
      <c r="A179" s="79">
        <v>2</v>
      </c>
      <c r="B179" s="80"/>
      <c r="C179" s="79" t="s">
        <v>108</v>
      </c>
      <c r="D179" s="243"/>
      <c r="E179" s="243"/>
      <c r="F179" s="243"/>
      <c r="G179" s="243"/>
      <c r="H179" s="80"/>
      <c r="I179" s="85"/>
      <c r="J179" s="86"/>
      <c r="L179" t="e">
        <f>7500000/G179</f>
        <v>#DIV/0!</v>
      </c>
    </row>
    <row r="180" spans="1:12" ht="16.2" customHeight="1" x14ac:dyDescent="0.3">
      <c r="A180" s="79">
        <v>3</v>
      </c>
      <c r="B180" s="80"/>
      <c r="C180" s="5" t="s">
        <v>106</v>
      </c>
      <c r="D180" s="81">
        <f>(46.41+0.75*(2.9+2.07+3.02))*10.764</f>
        <v>564.06050999999991</v>
      </c>
      <c r="E180" s="82"/>
      <c r="F180" s="5">
        <v>0</v>
      </c>
      <c r="G180" s="5">
        <f>D180*1.45+F180</f>
        <v>817.88773949999984</v>
      </c>
      <c r="H180" s="5" t="s">
        <v>47</v>
      </c>
      <c r="I180" s="85"/>
      <c r="J180" s="86"/>
      <c r="L180">
        <f>7500000/G180</f>
        <v>9169.9626217468212</v>
      </c>
    </row>
    <row r="181" spans="1:12" ht="16.2" customHeight="1" x14ac:dyDescent="0.3">
      <c r="A181" s="79">
        <v>4</v>
      </c>
      <c r="B181" s="80"/>
      <c r="C181" s="5" t="s">
        <v>106</v>
      </c>
      <c r="D181" s="79">
        <f>(52.72+0.75*(2.9+2.6+2.9))*10.764</f>
        <v>635.29127999999992</v>
      </c>
      <c r="E181" s="80"/>
      <c r="F181" s="5">
        <v>0</v>
      </c>
      <c r="G181" s="5">
        <f>D181*1.45+F181</f>
        <v>921.17235599999981</v>
      </c>
      <c r="H181" s="5" t="s">
        <v>47</v>
      </c>
      <c r="I181" s="85"/>
      <c r="J181" s="86"/>
    </row>
    <row r="182" spans="1:12" ht="16.2" customHeight="1" x14ac:dyDescent="0.3">
      <c r="A182" s="79">
        <v>5</v>
      </c>
      <c r="B182" s="80"/>
      <c r="C182" s="5" t="s">
        <v>106</v>
      </c>
      <c r="D182" s="79">
        <f>(46.76+0.75*(2.9+2.67+2.67))*10.764</f>
        <v>569.84615999999994</v>
      </c>
      <c r="E182" s="80"/>
      <c r="F182" s="5">
        <v>0</v>
      </c>
      <c r="G182" s="5">
        <f>D182*1.45+F182</f>
        <v>826.27693199999987</v>
      </c>
      <c r="H182" s="5" t="s">
        <v>47</v>
      </c>
      <c r="I182" s="85"/>
      <c r="J182" s="86"/>
      <c r="L182">
        <f>7500000/G182</f>
        <v>9076.8599600696598</v>
      </c>
    </row>
    <row r="183" spans="1:12" ht="16.2" customHeight="1" x14ac:dyDescent="0.3">
      <c r="A183" s="79">
        <v>6</v>
      </c>
      <c r="B183" s="80"/>
      <c r="C183" s="5" t="s">
        <v>106</v>
      </c>
      <c r="D183" s="79">
        <f>(46.41+0.75*(2.9+2.75+2.9))*10.764</f>
        <v>568.58138999999994</v>
      </c>
      <c r="E183" s="80"/>
      <c r="F183" s="5">
        <v>0</v>
      </c>
      <c r="G183" s="5">
        <f>D183*1.45+F183</f>
        <v>824.44301549999989</v>
      </c>
      <c r="H183" s="5" t="s">
        <v>47</v>
      </c>
      <c r="I183" s="87"/>
      <c r="J183" s="88"/>
      <c r="L183">
        <f>7500000/G183</f>
        <v>9097.050807630987</v>
      </c>
    </row>
    <row r="184" spans="1:12" ht="16.2" customHeight="1" x14ac:dyDescent="0.3">
      <c r="A184" s="120" t="s">
        <v>105</v>
      </c>
      <c r="B184" s="121"/>
      <c r="C184" s="121"/>
      <c r="D184" s="121"/>
      <c r="E184" s="121"/>
      <c r="F184" s="121"/>
      <c r="G184" s="121"/>
      <c r="H184" s="121"/>
      <c r="I184" s="121"/>
      <c r="J184" s="122"/>
    </row>
    <row r="185" spans="1:12" ht="16.2" customHeight="1" x14ac:dyDescent="0.3">
      <c r="A185" s="120" t="s">
        <v>182</v>
      </c>
      <c r="B185" s="121"/>
      <c r="C185" s="121"/>
      <c r="D185" s="121"/>
      <c r="E185" s="121"/>
      <c r="F185" s="121"/>
      <c r="G185" s="121"/>
      <c r="H185" s="121"/>
      <c r="I185" s="121"/>
      <c r="J185" s="122"/>
    </row>
    <row r="186" spans="1:12" ht="16.2" customHeight="1" x14ac:dyDescent="0.3">
      <c r="A186" s="79">
        <v>1</v>
      </c>
      <c r="B186" s="80"/>
      <c r="C186" s="5" t="s">
        <v>106</v>
      </c>
      <c r="D186" s="79">
        <f>(46.41+0.75*(2.9+2.75+2.9))*10.764</f>
        <v>568.58138999999994</v>
      </c>
      <c r="E186" s="80"/>
      <c r="F186" s="5">
        <v>0</v>
      </c>
      <c r="G186" s="5">
        <f>D186*1.45+F186</f>
        <v>824.44301549999989</v>
      </c>
      <c r="H186" s="5" t="s">
        <v>47</v>
      </c>
      <c r="I186" s="83" t="str">
        <f>A185</f>
        <v>Mezzanine / 1st Residential Floor</v>
      </c>
      <c r="J186" s="84"/>
    </row>
    <row r="187" spans="1:12" ht="16.2" customHeight="1" x14ac:dyDescent="0.3">
      <c r="A187" s="79">
        <v>2</v>
      </c>
      <c r="B187" s="80"/>
      <c r="C187" s="5" t="s">
        <v>106</v>
      </c>
      <c r="D187" s="79">
        <f>(46.64+0.75*(2.9+2.67+2.67))*10.764</f>
        <v>568.55448000000001</v>
      </c>
      <c r="E187" s="80"/>
      <c r="F187" s="5">
        <v>0</v>
      </c>
      <c r="G187" s="5">
        <f>D187*1.45+F187</f>
        <v>824.40399600000001</v>
      </c>
      <c r="H187" s="5" t="s">
        <v>47</v>
      </c>
      <c r="I187" s="85"/>
      <c r="J187" s="86"/>
    </row>
    <row r="188" spans="1:12" ht="16.2" customHeight="1" x14ac:dyDescent="0.3">
      <c r="A188" s="79">
        <v>3</v>
      </c>
      <c r="B188" s="80"/>
      <c r="C188" s="5" t="s">
        <v>106</v>
      </c>
      <c r="D188" s="79">
        <f>(52.68+0.75*(2.9+2.6+2.9))*10.764</f>
        <v>634.86072000000001</v>
      </c>
      <c r="E188" s="80"/>
      <c r="F188" s="5">
        <v>0</v>
      </c>
      <c r="G188" s="5">
        <f>D188*1.45+F188</f>
        <v>920.548044</v>
      </c>
      <c r="H188" s="5" t="s">
        <v>47</v>
      </c>
      <c r="I188" s="85"/>
      <c r="J188" s="86"/>
    </row>
    <row r="189" spans="1:12" ht="16.2" customHeight="1" x14ac:dyDescent="0.3">
      <c r="A189" s="89" t="s">
        <v>177</v>
      </c>
      <c r="B189" s="90"/>
      <c r="C189" s="90"/>
      <c r="D189" s="90"/>
      <c r="E189" s="90"/>
      <c r="F189" s="90"/>
      <c r="G189" s="90"/>
      <c r="H189" s="90"/>
      <c r="I189" s="90"/>
      <c r="J189" s="91"/>
    </row>
    <row r="190" spans="1:12" ht="16.2" customHeight="1" x14ac:dyDescent="0.3">
      <c r="A190" s="79">
        <v>1</v>
      </c>
      <c r="B190" s="80"/>
      <c r="C190" s="5" t="s">
        <v>106</v>
      </c>
      <c r="D190" s="79">
        <f>(46.41+0.75*(2.9+2.75+2.9))*10.764</f>
        <v>568.58138999999994</v>
      </c>
      <c r="E190" s="80"/>
      <c r="F190" s="5">
        <v>0</v>
      </c>
      <c r="G190" s="5">
        <f>D190*1.45+F190</f>
        <v>824.44301549999989</v>
      </c>
      <c r="H190" s="5" t="s">
        <v>47</v>
      </c>
      <c r="I190" s="83" t="str">
        <f>A189</f>
        <v>1st Commercial Floor/ 2nd Residential Floor</v>
      </c>
      <c r="J190" s="84"/>
    </row>
    <row r="191" spans="1:12" ht="16.2" customHeight="1" x14ac:dyDescent="0.3">
      <c r="A191" s="79">
        <v>2</v>
      </c>
      <c r="B191" s="80"/>
      <c r="C191" s="5" t="s">
        <v>106</v>
      </c>
      <c r="D191" s="79">
        <f>(46.64+0.75*(2.9+2.67+2.67))*10.764</f>
        <v>568.55448000000001</v>
      </c>
      <c r="E191" s="80"/>
      <c r="F191" s="5">
        <v>0</v>
      </c>
      <c r="G191" s="5">
        <f>D191*1.45+F191</f>
        <v>824.40399600000001</v>
      </c>
      <c r="H191" s="5" t="s">
        <v>47</v>
      </c>
      <c r="I191" s="85"/>
      <c r="J191" s="86"/>
    </row>
    <row r="192" spans="1:12" ht="16.2" customHeight="1" x14ac:dyDescent="0.3">
      <c r="A192" s="79">
        <v>3</v>
      </c>
      <c r="B192" s="80"/>
      <c r="C192" s="5" t="s">
        <v>106</v>
      </c>
      <c r="D192" s="79">
        <f>(52.68+0.75*(2.9+2.6+2.9))*10.764</f>
        <v>634.86072000000001</v>
      </c>
      <c r="E192" s="80"/>
      <c r="F192" s="5">
        <v>0</v>
      </c>
      <c r="G192" s="5">
        <f>D192*1.45+F192</f>
        <v>920.548044</v>
      </c>
      <c r="H192" s="5" t="s">
        <v>47</v>
      </c>
      <c r="I192" s="85"/>
      <c r="J192" s="86"/>
    </row>
    <row r="193" spans="1:14" ht="16.2" customHeight="1" x14ac:dyDescent="0.3">
      <c r="A193" s="89" t="s">
        <v>178</v>
      </c>
      <c r="B193" s="90"/>
      <c r="C193" s="90"/>
      <c r="D193" s="90"/>
      <c r="E193" s="90"/>
      <c r="F193" s="90"/>
      <c r="G193" s="90"/>
      <c r="H193" s="90"/>
      <c r="I193" s="90"/>
      <c r="J193" s="91"/>
    </row>
    <row r="194" spans="1:14" ht="16.2" customHeight="1" x14ac:dyDescent="0.3">
      <c r="A194" s="79">
        <v>1</v>
      </c>
      <c r="B194" s="80"/>
      <c r="C194" s="5" t="s">
        <v>106</v>
      </c>
      <c r="D194" s="79">
        <f>(46.41+0.75*(2.9+2.75+2.9))*10.764</f>
        <v>568.58138999999994</v>
      </c>
      <c r="E194" s="80"/>
      <c r="F194" s="5">
        <v>0</v>
      </c>
      <c r="G194" s="5">
        <f>D194*1.45+F194</f>
        <v>824.44301549999989</v>
      </c>
      <c r="H194" s="5" t="s">
        <v>47</v>
      </c>
      <c r="I194" s="83" t="str">
        <f>A193</f>
        <v>2nd Commercial Floor/ 3rd Residential Floor</v>
      </c>
      <c r="J194" s="84"/>
    </row>
    <row r="195" spans="1:14" ht="16.2" customHeight="1" x14ac:dyDescent="0.3">
      <c r="A195" s="79">
        <v>2</v>
      </c>
      <c r="B195" s="80"/>
      <c r="C195" s="5" t="s">
        <v>106</v>
      </c>
      <c r="D195" s="79">
        <f>(46.64+0.75*(2.9+2.67+2.67))*10.764</f>
        <v>568.55448000000001</v>
      </c>
      <c r="E195" s="80"/>
      <c r="F195" s="5">
        <v>0</v>
      </c>
      <c r="G195" s="5">
        <f>D195*1.45+F195</f>
        <v>824.40399600000001</v>
      </c>
      <c r="H195" s="5" t="s">
        <v>47</v>
      </c>
      <c r="I195" s="85"/>
      <c r="J195" s="86"/>
    </row>
    <row r="196" spans="1:14" ht="16.2" customHeight="1" x14ac:dyDescent="0.3">
      <c r="A196" s="79">
        <v>3</v>
      </c>
      <c r="B196" s="80"/>
      <c r="C196" s="5" t="s">
        <v>106</v>
      </c>
      <c r="D196" s="79">
        <f>(52.68+0.75*(2.9+2.6+2.9))*10.764</f>
        <v>634.86072000000001</v>
      </c>
      <c r="E196" s="80"/>
      <c r="F196" s="5">
        <v>0</v>
      </c>
      <c r="G196" s="5">
        <f>D196*1.45+F196</f>
        <v>920.548044</v>
      </c>
      <c r="H196" s="5" t="s">
        <v>47</v>
      </c>
      <c r="I196" s="85"/>
      <c r="J196" s="86"/>
    </row>
    <row r="197" spans="1:14" ht="16.2" customHeight="1" x14ac:dyDescent="0.3">
      <c r="A197" s="89" t="s">
        <v>183</v>
      </c>
      <c r="B197" s="90"/>
      <c r="C197" s="90"/>
      <c r="D197" s="90"/>
      <c r="E197" s="90"/>
      <c r="F197" s="90"/>
      <c r="G197" s="90"/>
      <c r="H197" s="90"/>
      <c r="I197" s="90"/>
      <c r="J197" s="91"/>
    </row>
    <row r="198" spans="1:14" ht="16.2" customHeight="1" x14ac:dyDescent="0.3">
      <c r="A198" s="79">
        <v>1</v>
      </c>
      <c r="B198" s="80"/>
      <c r="C198" s="5" t="s">
        <v>106</v>
      </c>
      <c r="D198" s="79">
        <f>(2.9*4.45+1.95*2.55+2.75*2.75+2.9*3.8+2.1*1.2+2.2*1.2+2.23*0.9+0.9*0.9+0.75*(2.9+2.75+2.9))*10.764</f>
        <v>547.34401800000001</v>
      </c>
      <c r="E198" s="80"/>
      <c r="F198" s="5">
        <v>0</v>
      </c>
      <c r="G198" s="5">
        <f>D198*1.45+F198</f>
        <v>793.64882609999995</v>
      </c>
      <c r="H198" s="5" t="s">
        <v>47</v>
      </c>
      <c r="I198" s="83" t="str">
        <f>A197</f>
        <v>3rd Commercial Floor/ 4th Residential Floor for Residential &amp; Amenties</v>
      </c>
      <c r="J198" s="84"/>
    </row>
    <row r="199" spans="1:14" ht="16.2" customHeight="1" x14ac:dyDescent="0.3">
      <c r="A199" s="79">
        <v>2</v>
      </c>
      <c r="B199" s="80"/>
      <c r="C199" s="5" t="s">
        <v>106</v>
      </c>
      <c r="D199" s="79">
        <f>(2.9*3.6+2.9*0.6+2.67*2.75+2.4*2.2+3.55*2.67+2.1*1.25+3.76*1+1.35*2.1+0.75*(2.9+2.67+2.67))*10.764</f>
        <v>534.76628399999993</v>
      </c>
      <c r="E199" s="80"/>
      <c r="F199" s="5">
        <v>0</v>
      </c>
      <c r="G199" s="5">
        <f>D199*1.45+F199</f>
        <v>775.41111179999984</v>
      </c>
      <c r="H199" s="5" t="s">
        <v>47</v>
      </c>
      <c r="I199" s="85"/>
      <c r="J199" s="86"/>
    </row>
    <row r="200" spans="1:14" ht="16.2" customHeight="1" x14ac:dyDescent="0.3">
      <c r="A200" s="79">
        <v>3</v>
      </c>
      <c r="B200" s="80"/>
      <c r="C200" s="5" t="s">
        <v>106</v>
      </c>
      <c r="D200" s="79">
        <f>(4.05*2.9+2.43*0.6+1.78*0.6+1.43*1.05+2.5*1.35+2.2*1.2+2.75*2.6+2.95*2.9+2.9*0.6+1.53*0.9+1.85*0.9+1.2*2.35+0.75*(2.9+2.6+2.9))*10.764</f>
        <v>553.21039800000005</v>
      </c>
      <c r="E200" s="80"/>
      <c r="F200" s="5">
        <v>0</v>
      </c>
      <c r="G200" s="5">
        <f>D200*1.45+F200</f>
        <v>802.15507710000009</v>
      </c>
      <c r="H200" s="5" t="s">
        <v>47</v>
      </c>
      <c r="I200" s="85"/>
      <c r="J200" s="86"/>
    </row>
    <row r="201" spans="1:14" ht="16.2" customHeight="1" x14ac:dyDescent="0.3">
      <c r="A201" s="89" t="s">
        <v>184</v>
      </c>
      <c r="B201" s="90"/>
      <c r="C201" s="90"/>
      <c r="D201" s="90"/>
      <c r="E201" s="90"/>
      <c r="F201" s="90"/>
      <c r="G201" s="90"/>
      <c r="H201" s="90"/>
      <c r="I201" s="90"/>
      <c r="J201" s="91"/>
    </row>
    <row r="202" spans="1:14" ht="16.2" customHeight="1" x14ac:dyDescent="0.3">
      <c r="A202" s="79">
        <v>1</v>
      </c>
      <c r="B202" s="80"/>
      <c r="C202" s="5" t="s">
        <v>106</v>
      </c>
      <c r="D202" s="79">
        <f>(46.41+0.75*(2.9+2.75+2.9))*10.764</f>
        <v>568.58138999999994</v>
      </c>
      <c r="E202" s="80"/>
      <c r="F202" s="5">
        <v>0</v>
      </c>
      <c r="G202" s="5">
        <f t="shared" ref="G202:G207" si="2">D202*1.45+F202</f>
        <v>824.44301549999989</v>
      </c>
      <c r="H202" s="5" t="s">
        <v>47</v>
      </c>
      <c r="I202" s="83" t="str">
        <f>A201</f>
        <v>5th, 6th, 8th to 11th, 13th to 16th, 18th to 21st, 23rd to 26th, 28th &amp; 29th Residential Floor for Residential</v>
      </c>
      <c r="J202" s="84"/>
      <c r="M202" s="79">
        <f>(2.9*4.45+1.95*2.55+2.75*2.75+2.9*3.8+2.1*1.2+2.2*1.2+2.23*0.9+0.9*0.9+0.75*(2.9+2.75+2.9))*10.764</f>
        <v>547.34401800000001</v>
      </c>
      <c r="N202" s="80"/>
    </row>
    <row r="203" spans="1:14" ht="16.2" customHeight="1" x14ac:dyDescent="0.3">
      <c r="A203" s="79">
        <v>2</v>
      </c>
      <c r="B203" s="80"/>
      <c r="C203" s="5" t="s">
        <v>106</v>
      </c>
      <c r="D203" s="79">
        <f>(46.64+0.75*(2.9+2.67+2.67))*10.764</f>
        <v>568.55448000000001</v>
      </c>
      <c r="E203" s="80"/>
      <c r="F203" s="5">
        <v>0</v>
      </c>
      <c r="G203" s="5">
        <f t="shared" si="2"/>
        <v>824.40399600000001</v>
      </c>
      <c r="H203" s="5" t="s">
        <v>47</v>
      </c>
      <c r="I203" s="85"/>
      <c r="J203" s="86"/>
      <c r="M203" s="79">
        <f>(2.9*3.6+2.9*0.6+2.67*2.75+2.4*2.2+3.55*2.67+2.1*1.25+3.76*1+1.35*2.1+0.75*(2.9+2.67+2.67))*10.764</f>
        <v>534.76628399999993</v>
      </c>
      <c r="N203" s="80"/>
    </row>
    <row r="204" spans="1:14" ht="16.2" customHeight="1" x14ac:dyDescent="0.3">
      <c r="A204" s="79">
        <v>3</v>
      </c>
      <c r="B204" s="80"/>
      <c r="C204" s="5" t="s">
        <v>106</v>
      </c>
      <c r="D204" s="79">
        <f>(52.68+0.75*(2.9+2.6+2.9))*10.764</f>
        <v>634.86072000000001</v>
      </c>
      <c r="E204" s="80"/>
      <c r="F204" s="5">
        <v>0</v>
      </c>
      <c r="G204" s="5">
        <f t="shared" si="2"/>
        <v>920.548044</v>
      </c>
      <c r="H204" s="5" t="s">
        <v>47</v>
      </c>
      <c r="I204" s="85"/>
      <c r="J204" s="86"/>
      <c r="M204" s="79">
        <f>(4.05*2.9+2.43*0.6+1.78*0.6+1.43*1.05+2.5*1.35+2.2*1.2+2.75*2.6+2.95*2.9+2.9*0.6+1.53*0.9+1.85*0.9+1.2*2.35+0.75*(2.9+2.6+2.9))*10.764</f>
        <v>553.21039800000005</v>
      </c>
      <c r="N204" s="80"/>
    </row>
    <row r="205" spans="1:14" ht="16.2" customHeight="1" x14ac:dyDescent="0.3">
      <c r="A205" s="79">
        <v>4</v>
      </c>
      <c r="B205" s="80"/>
      <c r="C205" s="5" t="s">
        <v>106</v>
      </c>
      <c r="D205" s="81">
        <f>(46.18+0.75*(2.9+2.07+3.02))*10.764</f>
        <v>561.58479</v>
      </c>
      <c r="E205" s="82"/>
      <c r="F205" s="5">
        <v>0</v>
      </c>
      <c r="G205" s="5">
        <f t="shared" si="2"/>
        <v>814.29794549999997</v>
      </c>
      <c r="H205" s="5" t="s">
        <v>47</v>
      </c>
      <c r="I205" s="85"/>
      <c r="J205" s="86"/>
      <c r="M205" s="81">
        <f>(2.9*4.5+2.07*2.75+0.6*2.75+2.4*1.37+0.6*2.4+2.1*1.25+2.65*3.05+0.6*3.02+1.48*1+1.2*2.35+1.97+0.75*(2.9+2.07+3.02))*10.764</f>
        <v>537.15050999999994</v>
      </c>
      <c r="N205" s="82"/>
    </row>
    <row r="206" spans="1:14" ht="16.2" customHeight="1" x14ac:dyDescent="0.3">
      <c r="A206" s="79">
        <v>5</v>
      </c>
      <c r="B206" s="80"/>
      <c r="C206" s="5" t="s">
        <v>106</v>
      </c>
      <c r="D206" s="81">
        <f>(46.74+0.75*(2.9+2.75+3.17))*10.764</f>
        <v>574.31322</v>
      </c>
      <c r="E206" s="82"/>
      <c r="F206" s="5">
        <v>0</v>
      </c>
      <c r="G206" s="5">
        <f t="shared" si="2"/>
        <v>832.75416899999993</v>
      </c>
      <c r="H206" s="5" t="s">
        <v>47</v>
      </c>
      <c r="I206" s="85"/>
      <c r="J206" s="86"/>
      <c r="M206" s="81">
        <f>(2.9*3.9+3.17*2.9+1.35*2.1+2.55*1.95+2.2*1.25+2.65*2.75+0.6*2.75+3.35*0.9+1.2*0.75+1.7*0.6+0.75*(2.9+2.75+3.17))*10.764</f>
        <v>554.86267199999998</v>
      </c>
      <c r="N206" s="82"/>
    </row>
    <row r="207" spans="1:14" ht="16.2" customHeight="1" x14ac:dyDescent="0.3">
      <c r="A207" s="79">
        <v>6</v>
      </c>
      <c r="B207" s="80"/>
      <c r="C207" s="5" t="s">
        <v>106</v>
      </c>
      <c r="D207" s="81">
        <f>(46.96+0.75*(2.9+2.75+2.9))*10.764</f>
        <v>574.50158999999996</v>
      </c>
      <c r="E207" s="82"/>
      <c r="F207" s="5">
        <v>0</v>
      </c>
      <c r="G207" s="5">
        <f t="shared" si="2"/>
        <v>833.0273054999999</v>
      </c>
      <c r="H207" s="5" t="s">
        <v>47</v>
      </c>
      <c r="I207" s="87"/>
      <c r="J207" s="88"/>
      <c r="M207" s="81">
        <f>(2.9*3.9+1.95*1.8+2.9*0.6+2.15*2.25+2.75*0.65+2.9*3.3+1.35*2.25+2.3*1.2+2.75*0.9+2.9*0.6+0.9*0.6+0.75*(2.9+2.75+2.9))*10.764</f>
        <v>535.18607999999995</v>
      </c>
      <c r="N207" s="82"/>
    </row>
    <row r="208" spans="1:14" ht="16.2" customHeight="1" x14ac:dyDescent="0.3">
      <c r="A208" s="89" t="s">
        <v>185</v>
      </c>
      <c r="B208" s="90"/>
      <c r="C208" s="90"/>
      <c r="D208" s="90"/>
      <c r="E208" s="90"/>
      <c r="F208" s="90"/>
      <c r="G208" s="90"/>
      <c r="H208" s="90"/>
      <c r="I208" s="90"/>
      <c r="J208" s="91"/>
    </row>
    <row r="209" spans="1:14" ht="16.2" customHeight="1" x14ac:dyDescent="0.3">
      <c r="A209" s="79">
        <v>1</v>
      </c>
      <c r="B209" s="80"/>
      <c r="C209" s="5" t="s">
        <v>106</v>
      </c>
      <c r="D209" s="79">
        <f>(46.41+0.75*(2.9+2.75+2.9))*10.764</f>
        <v>568.58138999999994</v>
      </c>
      <c r="E209" s="80"/>
      <c r="F209" s="5">
        <v>0</v>
      </c>
      <c r="G209" s="5">
        <f>D209*1.45+F209</f>
        <v>824.44301549999989</v>
      </c>
      <c r="H209" s="5" t="s">
        <v>47</v>
      </c>
      <c r="I209" s="83" t="str">
        <f>A208</f>
        <v>7th, 12th, 17th, 22nd &amp; 27th Residential Floor (Part Refuge Area)</v>
      </c>
      <c r="J209" s="84"/>
    </row>
    <row r="210" spans="1:14" ht="16.2" customHeight="1" x14ac:dyDescent="0.3">
      <c r="A210" s="79">
        <v>2</v>
      </c>
      <c r="B210" s="80"/>
      <c r="C210" s="5" t="s">
        <v>106</v>
      </c>
      <c r="D210" s="79">
        <f>(46.64+0.75*(2.9+2.67+2.67))*10.764</f>
        <v>568.55448000000001</v>
      </c>
      <c r="E210" s="80"/>
      <c r="F210" s="5">
        <v>0</v>
      </c>
      <c r="G210" s="5">
        <f>D210*1.45+F210</f>
        <v>824.40399600000001</v>
      </c>
      <c r="H210" s="5" t="s">
        <v>47</v>
      </c>
      <c r="I210" s="85"/>
      <c r="J210" s="86"/>
    </row>
    <row r="211" spans="1:14" ht="16.2" customHeight="1" x14ac:dyDescent="0.3">
      <c r="A211" s="79">
        <v>3</v>
      </c>
      <c r="B211" s="80"/>
      <c r="C211" s="5" t="s">
        <v>106</v>
      </c>
      <c r="D211" s="79">
        <f>(52.68+0.75*(2.9+2.6+2.9))*10.764</f>
        <v>634.86072000000001</v>
      </c>
      <c r="E211" s="80"/>
      <c r="F211" s="5">
        <v>0</v>
      </c>
      <c r="G211" s="5">
        <f>D211*1.45+F211</f>
        <v>920.548044</v>
      </c>
      <c r="H211" s="5" t="s">
        <v>47</v>
      </c>
      <c r="I211" s="85"/>
      <c r="J211" s="86"/>
    </row>
    <row r="212" spans="1:14" ht="16.2" customHeight="1" x14ac:dyDescent="0.3">
      <c r="A212" s="79">
        <v>4</v>
      </c>
      <c r="B212" s="80"/>
      <c r="C212" s="83" t="s">
        <v>108</v>
      </c>
      <c r="D212" s="241"/>
      <c r="E212" s="241"/>
      <c r="F212" s="241"/>
      <c r="G212" s="241"/>
      <c r="H212" s="84"/>
      <c r="I212" s="85"/>
      <c r="J212" s="86"/>
    </row>
    <row r="213" spans="1:14" ht="16.2" customHeight="1" x14ac:dyDescent="0.3">
      <c r="A213" s="79">
        <v>5</v>
      </c>
      <c r="B213" s="80"/>
      <c r="C213" s="87"/>
      <c r="D213" s="242"/>
      <c r="E213" s="242"/>
      <c r="F213" s="242"/>
      <c r="G213" s="242"/>
      <c r="H213" s="88"/>
      <c r="I213" s="85"/>
      <c r="J213" s="86"/>
    </row>
    <row r="214" spans="1:14" ht="16.2" customHeight="1" x14ac:dyDescent="0.3">
      <c r="A214" s="79">
        <v>6</v>
      </c>
      <c r="B214" s="80"/>
      <c r="C214" s="5" t="s">
        <v>106</v>
      </c>
      <c r="D214" s="81">
        <f>(46.96+0.75*(2.9+2.75+2.9))*10.764</f>
        <v>574.50158999999996</v>
      </c>
      <c r="E214" s="82"/>
      <c r="F214" s="5">
        <v>0</v>
      </c>
      <c r="G214" s="5">
        <f>D214*1.45+F214</f>
        <v>833.0273054999999</v>
      </c>
      <c r="H214" s="5" t="s">
        <v>47</v>
      </c>
      <c r="I214" s="87"/>
      <c r="J214" s="88"/>
    </row>
    <row r="215" spans="1:14" ht="16.2" customHeight="1" x14ac:dyDescent="0.3">
      <c r="A215" s="89" t="s">
        <v>186</v>
      </c>
      <c r="B215" s="90"/>
      <c r="C215" s="90"/>
      <c r="D215" s="90"/>
      <c r="E215" s="90"/>
      <c r="F215" s="90"/>
      <c r="G215" s="90"/>
      <c r="H215" s="90"/>
      <c r="I215" s="90"/>
      <c r="J215" s="91"/>
    </row>
    <row r="216" spans="1:14" ht="16.2" customHeight="1" x14ac:dyDescent="0.3">
      <c r="A216" s="79">
        <v>1</v>
      </c>
      <c r="B216" s="80"/>
      <c r="C216" s="5" t="s">
        <v>106</v>
      </c>
      <c r="D216" s="79">
        <f>(46.41+0.75*(2.9+2.75+2.9))*10.764</f>
        <v>568.58138999999994</v>
      </c>
      <c r="E216" s="80"/>
      <c r="F216" s="5">
        <v>0</v>
      </c>
      <c r="G216" s="5">
        <f t="shared" ref="G216:G221" si="3">D216*1.45+F216</f>
        <v>824.44301549999989</v>
      </c>
      <c r="H216" s="5" t="s">
        <v>47</v>
      </c>
      <c r="I216" s="83" t="str">
        <f>A215</f>
        <v>30th, 31st, 33rd to 37th Residential Floor</v>
      </c>
      <c r="J216" s="84"/>
      <c r="M216" s="79">
        <f>(2.9*4.45+1.95*2.55+2.75*2.75+2.9*3.8+2.1*1.2+2.2*1.2+2.23*0.9+0.9*0.9+0.75*(2.9+2.75+2.9))*10.764</f>
        <v>547.34401800000001</v>
      </c>
      <c r="N216" s="80"/>
    </row>
    <row r="217" spans="1:14" ht="16.2" customHeight="1" x14ac:dyDescent="0.3">
      <c r="A217" s="79">
        <v>2</v>
      </c>
      <c r="B217" s="80"/>
      <c r="C217" s="5" t="s">
        <v>106</v>
      </c>
      <c r="D217" s="79">
        <f>(46.64+0.75*(2.9+2.67+2.67))*10.764</f>
        <v>568.55448000000001</v>
      </c>
      <c r="E217" s="80"/>
      <c r="F217" s="5">
        <v>0</v>
      </c>
      <c r="G217" s="5">
        <f t="shared" si="3"/>
        <v>824.40399600000001</v>
      </c>
      <c r="H217" s="5" t="s">
        <v>47</v>
      </c>
      <c r="I217" s="85"/>
      <c r="J217" s="86"/>
      <c r="M217" s="79">
        <f>(2.9*3.6+2.9*0.6+2.67*2.75+2.4*2.2+3.55*2.67+2.1*1.25+3.76*1+1.35*2.1+0.75*(2.9+2.67+2.67))*10.764</f>
        <v>534.76628399999993</v>
      </c>
      <c r="N217" s="80"/>
    </row>
    <row r="218" spans="1:14" ht="16.2" customHeight="1" x14ac:dyDescent="0.3">
      <c r="A218" s="79">
        <v>3</v>
      </c>
      <c r="B218" s="80"/>
      <c r="C218" s="5" t="s">
        <v>106</v>
      </c>
      <c r="D218" s="79">
        <f>(52.68+0.75*(2.9+2.6+2.9))*10.764</f>
        <v>634.86072000000001</v>
      </c>
      <c r="E218" s="80"/>
      <c r="F218" s="5">
        <v>0</v>
      </c>
      <c r="G218" s="5">
        <f t="shared" si="3"/>
        <v>920.548044</v>
      </c>
      <c r="H218" s="5" t="s">
        <v>47</v>
      </c>
      <c r="I218" s="85"/>
      <c r="J218" s="86"/>
      <c r="M218" s="79">
        <f>(4.05*2.9+2.43*0.6+1.78*0.6+1.43*1.05+2.5*1.35+2.2*1.2+2.75*2.6+2.95*2.9+2.9*0.6+1.53*0.9+1.85*0.9+1.2*2.35+0.75*(2.9+2.6+2.9))*10.764</f>
        <v>553.21039800000005</v>
      </c>
      <c r="N218" s="80"/>
    </row>
    <row r="219" spans="1:14" ht="16.2" customHeight="1" x14ac:dyDescent="0.3">
      <c r="A219" s="79">
        <v>4</v>
      </c>
      <c r="B219" s="80"/>
      <c r="C219" s="5" t="s">
        <v>106</v>
      </c>
      <c r="D219" s="81">
        <f>(46.18+0.75*(2.9+2.07+3.02))*10.764</f>
        <v>561.58479</v>
      </c>
      <c r="E219" s="82"/>
      <c r="F219" s="5">
        <v>0</v>
      </c>
      <c r="G219" s="5">
        <f t="shared" si="3"/>
        <v>814.29794549999997</v>
      </c>
      <c r="H219" s="5" t="s">
        <v>47</v>
      </c>
      <c r="I219" s="85"/>
      <c r="J219" s="86"/>
      <c r="M219" s="81">
        <f>(2.9*4.5+2.07*2.75+0.6*2.75+2.4*1.37+0.6*2.4+2.1*1.25+2.65*3.05+0.6*3.02+1.48*1+1.2*2.35+1.97+0.75*(2.9+2.07+3.02))*10.764</f>
        <v>537.15050999999994</v>
      </c>
      <c r="N219" s="82"/>
    </row>
    <row r="220" spans="1:14" ht="16.2" customHeight="1" x14ac:dyDescent="0.3">
      <c r="A220" s="79">
        <v>5</v>
      </c>
      <c r="B220" s="80"/>
      <c r="C220" s="5" t="s">
        <v>106</v>
      </c>
      <c r="D220" s="81">
        <f>(46.74+0.75*(2.9+2.75+3.17))*10.764</f>
        <v>574.31322</v>
      </c>
      <c r="E220" s="82"/>
      <c r="F220" s="5">
        <v>0</v>
      </c>
      <c r="G220" s="5">
        <f t="shared" si="3"/>
        <v>832.75416899999993</v>
      </c>
      <c r="H220" s="5" t="s">
        <v>47</v>
      </c>
      <c r="I220" s="85"/>
      <c r="J220" s="86"/>
      <c r="M220" s="81">
        <f>(2.9*3.9+3.17*2.9+1.35*2.1+2.55*1.95+2.2*1.25+2.65*2.75+0.6*2.75+3.35*0.9+1.2*0.75+1.7*0.6+0.75*(2.9+2.75+3.17))*10.764</f>
        <v>554.86267199999998</v>
      </c>
      <c r="N220" s="82"/>
    </row>
    <row r="221" spans="1:14" ht="16.2" customHeight="1" x14ac:dyDescent="0.3">
      <c r="A221" s="79">
        <v>6</v>
      </c>
      <c r="B221" s="80"/>
      <c r="C221" s="5" t="s">
        <v>106</v>
      </c>
      <c r="D221" s="81">
        <f>(46.96+0.75*(2.9+2.75+2.9))*10.764</f>
        <v>574.50158999999996</v>
      </c>
      <c r="E221" s="82"/>
      <c r="F221" s="5">
        <v>0</v>
      </c>
      <c r="G221" s="5">
        <f t="shared" si="3"/>
        <v>833.0273054999999</v>
      </c>
      <c r="H221" s="5" t="s">
        <v>47</v>
      </c>
      <c r="I221" s="87"/>
      <c r="J221" s="88"/>
      <c r="M221" s="81">
        <f>(2.9*3.9+1.95*1.8+2.9*0.6+2.15*2.25+2.75*0.65+2.9*3.3+1.35*2.25+2.3*1.2+2.75*0.9+2.9*0.6+0.9*0.6+0.75*(2.9+2.75+2.9))*10.764</f>
        <v>535.18607999999995</v>
      </c>
      <c r="N221" s="82"/>
    </row>
    <row r="222" spans="1:14" ht="16.2" customHeight="1" x14ac:dyDescent="0.3">
      <c r="A222" s="89" t="s">
        <v>187</v>
      </c>
      <c r="B222" s="90"/>
      <c r="C222" s="90"/>
      <c r="D222" s="90"/>
      <c r="E222" s="90"/>
      <c r="F222" s="90"/>
      <c r="G222" s="90"/>
      <c r="H222" s="90"/>
      <c r="I222" s="90"/>
      <c r="J222" s="91"/>
    </row>
    <row r="223" spans="1:14" ht="16.2" customHeight="1" x14ac:dyDescent="0.3">
      <c r="A223" s="79">
        <v>1</v>
      </c>
      <c r="B223" s="80"/>
      <c r="C223" s="5" t="s">
        <v>106</v>
      </c>
      <c r="D223" s="79">
        <f>(46.41+0.75*(2.9+2.75+2.9))*10.764</f>
        <v>568.58138999999994</v>
      </c>
      <c r="E223" s="80"/>
      <c r="F223" s="5">
        <v>0</v>
      </c>
      <c r="G223" s="5">
        <f>D223*1.45+F223</f>
        <v>824.44301549999989</v>
      </c>
      <c r="H223" s="5" t="s">
        <v>47</v>
      </c>
      <c r="I223" s="83" t="str">
        <f>A222</f>
        <v>32nd Residential Floor (Part Refuge Floor)</v>
      </c>
      <c r="J223" s="84"/>
      <c r="M223" s="79">
        <f>(2.9*4.45+1.95*2.55+2.75*2.75+2.9*3.8+2.1*1.2+2.2*1.2+2.23*0.9+0.9*0.9+0.75*(2.9+2.75+2.9))*10.764</f>
        <v>547.34401800000001</v>
      </c>
      <c r="N223" s="80"/>
    </row>
    <row r="224" spans="1:14" ht="16.2" customHeight="1" x14ac:dyDescent="0.3">
      <c r="A224" s="79">
        <v>2</v>
      </c>
      <c r="B224" s="80"/>
      <c r="C224" s="5" t="s">
        <v>106</v>
      </c>
      <c r="D224" s="79">
        <f>(46.64+0.75*(2.9+2.67+2.67))*10.764</f>
        <v>568.55448000000001</v>
      </c>
      <c r="E224" s="80"/>
      <c r="F224" s="5">
        <v>0</v>
      </c>
      <c r="G224" s="5">
        <f>D224*1.45+F224</f>
        <v>824.40399600000001</v>
      </c>
      <c r="H224" s="5" t="s">
        <v>47</v>
      </c>
      <c r="I224" s="85"/>
      <c r="J224" s="86"/>
      <c r="M224" s="79">
        <f>(2.9*3.6+2.9*0.6+2.67*2.75+2.4*2.2+3.55*2.67+2.1*1.25+3.76*1+1.35*2.1+0.75*(2.9+2.67+2.67))*10.764</f>
        <v>534.76628399999993</v>
      </c>
      <c r="N224" s="80"/>
    </row>
    <row r="225" spans="1:14" ht="16.2" customHeight="1" x14ac:dyDescent="0.3">
      <c r="A225" s="79">
        <v>3</v>
      </c>
      <c r="B225" s="80"/>
      <c r="C225" s="5" t="s">
        <v>106</v>
      </c>
      <c r="D225" s="79">
        <f>(52.68+0.75*(2.9+2.6+2.9))*10.764</f>
        <v>634.86072000000001</v>
      </c>
      <c r="E225" s="80"/>
      <c r="F225" s="5">
        <v>0</v>
      </c>
      <c r="G225" s="5">
        <f>D225*1.45+F225</f>
        <v>920.548044</v>
      </c>
      <c r="H225" s="5" t="s">
        <v>47</v>
      </c>
      <c r="I225" s="85"/>
      <c r="J225" s="86"/>
      <c r="M225" s="79">
        <f>(4.05*2.9+2.43*0.6+1.78*0.6+1.43*1.05+2.5*1.35+2.2*1.2+2.75*2.6+2.95*2.9+2.9*0.6+1.53*0.9+1.85*0.9+1.2*2.35+0.75*(2.9+2.6+2.9))*10.764</f>
        <v>553.21039800000005</v>
      </c>
      <c r="N225" s="80"/>
    </row>
    <row r="226" spans="1:14" ht="16.2" customHeight="1" x14ac:dyDescent="0.3">
      <c r="A226" s="79">
        <v>4</v>
      </c>
      <c r="B226" s="80"/>
      <c r="C226" s="5" t="s">
        <v>106</v>
      </c>
      <c r="D226" s="81">
        <f>(46.18+0.75*(2.9+2.07+3.02))*10.764</f>
        <v>561.58479</v>
      </c>
      <c r="E226" s="82"/>
      <c r="F226" s="5">
        <v>0</v>
      </c>
      <c r="G226" s="5">
        <f>D226*1.45+F226</f>
        <v>814.29794549999997</v>
      </c>
      <c r="H226" s="5" t="s">
        <v>47</v>
      </c>
      <c r="I226" s="85"/>
      <c r="J226" s="86"/>
      <c r="M226" s="81">
        <f>(2.9*4.5+2.07*2.75+0.6*2.75+2.4*1.37+0.6*2.4+2.1*1.25+2.65*3.05+0.6*3.02+1.48*1+1.2*2.35+1.97+0.75*(2.9+2.07+3.02))*10.764</f>
        <v>537.15050999999994</v>
      </c>
      <c r="N226" s="82"/>
    </row>
    <row r="227" spans="1:14" ht="16.2" customHeight="1" x14ac:dyDescent="0.3">
      <c r="A227" s="79">
        <v>5</v>
      </c>
      <c r="B227" s="80"/>
      <c r="C227" s="79" t="s">
        <v>108</v>
      </c>
      <c r="D227" s="243"/>
      <c r="E227" s="243"/>
      <c r="F227" s="243"/>
      <c r="G227" s="243"/>
      <c r="H227" s="80"/>
      <c r="I227" s="85"/>
      <c r="J227" s="86"/>
      <c r="M227" s="81">
        <f>(2.9*3.9+3.17*2.9+1.35*2.1+2.55*1.95+2.2*1.25+2.65*2.75+0.6*2.75+3.35*0.9+1.2*0.75+1.7*0.6+0.75*(2.9+2.75+3.17))*10.764</f>
        <v>554.86267199999998</v>
      </c>
      <c r="N227" s="82"/>
    </row>
    <row r="228" spans="1:14" ht="16.2" customHeight="1" x14ac:dyDescent="0.3">
      <c r="A228" s="79">
        <v>6</v>
      </c>
      <c r="B228" s="80"/>
      <c r="C228" s="5" t="s">
        <v>106</v>
      </c>
      <c r="D228" s="81">
        <f>(46.96+0.75*(2.9+2.75+2.9))*10.764</f>
        <v>574.50158999999996</v>
      </c>
      <c r="E228" s="82"/>
      <c r="F228" s="5">
        <v>0</v>
      </c>
      <c r="G228" s="5">
        <f>D228*1.45+F228</f>
        <v>833.0273054999999</v>
      </c>
      <c r="H228" s="5" t="s">
        <v>47</v>
      </c>
      <c r="I228" s="87"/>
      <c r="J228" s="88"/>
      <c r="M228" s="81">
        <f>(2.9*3.9+1.95*1.8+2.9*0.6+2.15*2.25+2.75*0.65+2.9*3.3+1.35*2.25+2.3*1.2+2.75*0.9+2.9*0.6+0.9*0.6+0.75*(2.9+2.75+2.9))*10.764</f>
        <v>535.18607999999995</v>
      </c>
      <c r="N228" s="82"/>
    </row>
    <row r="229" spans="1:14" ht="158.25" customHeight="1" x14ac:dyDescent="0.3">
      <c r="A229" s="214" t="s">
        <v>220</v>
      </c>
      <c r="B229" s="215"/>
      <c r="C229" s="215"/>
      <c r="D229" s="215"/>
      <c r="E229" s="215"/>
      <c r="F229" s="215"/>
      <c r="G229" s="215"/>
      <c r="H229" s="215"/>
      <c r="I229" s="215"/>
      <c r="J229" s="216"/>
    </row>
    <row r="230" spans="1:14" x14ac:dyDescent="0.3">
      <c r="A230" s="167" t="s">
        <v>25</v>
      </c>
      <c r="B230" s="178"/>
      <c r="C230" s="178"/>
      <c r="D230" s="178"/>
      <c r="E230" s="178"/>
      <c r="F230" s="178"/>
      <c r="G230" s="178"/>
      <c r="H230" s="178"/>
      <c r="I230" s="178"/>
      <c r="J230" s="179"/>
    </row>
    <row r="231" spans="1:14" x14ac:dyDescent="0.3">
      <c r="A231" s="154" t="s">
        <v>32</v>
      </c>
      <c r="B231" s="98"/>
      <c r="C231" s="98"/>
      <c r="D231" s="98"/>
      <c r="E231" s="98"/>
      <c r="F231" s="98"/>
      <c r="G231" s="98"/>
      <c r="H231" s="98"/>
      <c r="I231" s="98"/>
      <c r="J231" s="99"/>
    </row>
    <row r="232" spans="1:14" x14ac:dyDescent="0.3">
      <c r="A232" s="213" t="s">
        <v>27</v>
      </c>
      <c r="B232" s="178"/>
      <c r="C232" s="178"/>
      <c r="D232" s="178"/>
      <c r="E232" s="178"/>
      <c r="F232" s="178"/>
      <c r="G232" s="178"/>
      <c r="H232" s="178"/>
      <c r="I232" s="178"/>
      <c r="J232" s="179"/>
    </row>
    <row r="233" spans="1:14" x14ac:dyDescent="0.3">
      <c r="A233" s="97" t="s">
        <v>35</v>
      </c>
      <c r="B233" s="110"/>
      <c r="C233" s="110"/>
      <c r="D233" s="110"/>
      <c r="E233" s="110"/>
      <c r="F233" s="110"/>
      <c r="G233" s="110"/>
      <c r="H233" s="110"/>
      <c r="I233" s="110"/>
      <c r="J233" s="111"/>
    </row>
    <row r="234" spans="1:14" ht="16.5" customHeight="1" x14ac:dyDescent="0.3">
      <c r="A234" s="210" t="s">
        <v>55</v>
      </c>
      <c r="B234" s="162"/>
      <c r="C234" s="162"/>
      <c r="D234" s="162"/>
      <c r="E234" s="162"/>
      <c r="F234" s="162"/>
      <c r="G234" s="162"/>
      <c r="H234" s="162"/>
      <c r="I234" s="162"/>
      <c r="J234" s="163"/>
    </row>
    <row r="235" spans="1:14" x14ac:dyDescent="0.3">
      <c r="A235" s="97" t="s">
        <v>36</v>
      </c>
      <c r="B235" s="110"/>
      <c r="C235" s="110"/>
      <c r="D235" s="110"/>
      <c r="E235" s="110"/>
      <c r="F235" s="110"/>
      <c r="G235" s="110"/>
      <c r="H235" s="110"/>
      <c r="I235" s="110"/>
      <c r="J235" s="111"/>
    </row>
    <row r="236" spans="1:14" x14ac:dyDescent="0.3">
      <c r="A236" s="97" t="s">
        <v>37</v>
      </c>
      <c r="B236" s="110"/>
      <c r="C236" s="110"/>
      <c r="D236" s="110"/>
      <c r="E236" s="110"/>
      <c r="F236" s="110"/>
      <c r="G236" s="110"/>
      <c r="H236" s="110"/>
      <c r="I236" s="110"/>
      <c r="J236" s="111"/>
    </row>
    <row r="237" spans="1:14" ht="30.75" customHeight="1" x14ac:dyDescent="0.3">
      <c r="A237" s="92" t="s">
        <v>38</v>
      </c>
      <c r="B237" s="157"/>
      <c r="C237" s="157"/>
      <c r="D237" s="157"/>
      <c r="E237" s="157"/>
      <c r="F237" s="157"/>
      <c r="G237" s="157"/>
      <c r="H237" s="157"/>
      <c r="I237" s="157"/>
      <c r="J237" s="93"/>
    </row>
    <row r="238" spans="1:14" ht="15" customHeight="1" x14ac:dyDescent="0.3">
      <c r="A238" s="195" t="s">
        <v>26</v>
      </c>
      <c r="B238" s="196"/>
      <c r="C238" s="196"/>
      <c r="D238" s="196"/>
      <c r="E238" s="196"/>
      <c r="F238" s="196"/>
      <c r="G238" s="196"/>
      <c r="H238" s="196"/>
      <c r="I238" s="196"/>
      <c r="J238" s="197"/>
    </row>
    <row r="239" spans="1:14" x14ac:dyDescent="0.3">
      <c r="A239" s="198"/>
      <c r="B239" s="199"/>
      <c r="C239" s="199"/>
      <c r="D239" s="199"/>
      <c r="E239" s="199"/>
      <c r="F239" s="199"/>
      <c r="G239" s="199"/>
      <c r="H239" s="199"/>
      <c r="I239" s="199"/>
      <c r="J239" s="200"/>
    </row>
    <row r="240" spans="1:14" ht="16.5" customHeight="1" x14ac:dyDescent="0.3">
      <c r="A240" s="201"/>
      <c r="B240" s="202"/>
      <c r="C240" s="202"/>
      <c r="D240" s="202"/>
      <c r="E240" s="202"/>
      <c r="F240" s="202"/>
      <c r="G240" s="202"/>
      <c r="H240" s="202"/>
      <c r="I240" s="202"/>
      <c r="J240" s="203"/>
    </row>
    <row r="241" spans="1:10" x14ac:dyDescent="0.3">
      <c r="A241" s="11" t="s">
        <v>110</v>
      </c>
      <c r="B241" s="11"/>
      <c r="C241" s="11"/>
      <c r="D241" s="11" t="str">
        <f>F8</f>
        <v>Glorio Grand Central</v>
      </c>
      <c r="E241" s="11"/>
      <c r="F241" s="11"/>
      <c r="G241" s="11"/>
      <c r="H241" s="12"/>
      <c r="I241" s="12"/>
      <c r="J241" s="12"/>
    </row>
    <row r="242" spans="1:10" x14ac:dyDescent="0.3">
      <c r="A242" s="12"/>
      <c r="B242" s="12"/>
      <c r="C242" s="12"/>
      <c r="D242" s="12"/>
      <c r="E242" s="12"/>
      <c r="F242" s="12"/>
      <c r="G242" s="12"/>
      <c r="H242" s="12"/>
      <c r="I242" s="12"/>
      <c r="J242" s="12"/>
    </row>
    <row r="243" spans="1:10" x14ac:dyDescent="0.3">
      <c r="A243" s="12"/>
      <c r="B243" s="12"/>
      <c r="C243" s="12"/>
      <c r="D243" s="12"/>
      <c r="E243" s="12"/>
      <c r="F243" s="12"/>
      <c r="G243" s="12"/>
      <c r="H243" s="12"/>
      <c r="I243" s="12"/>
      <c r="J243" s="12"/>
    </row>
    <row r="244" spans="1:10" x14ac:dyDescent="0.3">
      <c r="A244" s="12"/>
      <c r="B244" s="12"/>
      <c r="C244" s="12"/>
      <c r="D244" s="12"/>
      <c r="E244" s="12"/>
      <c r="F244" s="12"/>
      <c r="G244" s="12"/>
      <c r="H244" s="12"/>
      <c r="I244" s="12"/>
      <c r="J244" s="12"/>
    </row>
    <row r="245" spans="1:10" x14ac:dyDescent="0.3">
      <c r="A245" s="12"/>
      <c r="B245" s="12"/>
      <c r="C245" s="12"/>
      <c r="D245" s="12"/>
      <c r="E245" s="12"/>
      <c r="F245" s="12"/>
      <c r="G245" s="12"/>
      <c r="H245" s="12"/>
      <c r="I245" s="12"/>
      <c r="J245" s="12"/>
    </row>
    <row r="246" spans="1:10" x14ac:dyDescent="0.3">
      <c r="A246" s="12"/>
      <c r="B246" s="12"/>
      <c r="C246" s="12"/>
      <c r="D246" s="12"/>
      <c r="E246" s="12"/>
      <c r="F246" s="12"/>
      <c r="G246" s="12"/>
      <c r="H246" s="12"/>
      <c r="I246" s="12"/>
      <c r="J246" s="12"/>
    </row>
    <row r="247" spans="1:10" x14ac:dyDescent="0.3">
      <c r="A247" s="12"/>
      <c r="B247" s="12"/>
      <c r="C247" s="12"/>
      <c r="D247" s="12"/>
      <c r="E247" s="12"/>
      <c r="F247" s="12"/>
      <c r="G247" s="12"/>
      <c r="H247" s="12"/>
      <c r="I247" s="12"/>
      <c r="J247" s="12"/>
    </row>
    <row r="248" spans="1:10" x14ac:dyDescent="0.3">
      <c r="A248" s="12"/>
      <c r="B248" s="12"/>
      <c r="C248" s="12"/>
      <c r="D248" s="12"/>
      <c r="E248" s="12"/>
      <c r="F248" s="12"/>
      <c r="G248" s="12"/>
      <c r="H248" s="12"/>
      <c r="I248" s="12"/>
      <c r="J248" s="12"/>
    </row>
    <row r="249" spans="1:10" x14ac:dyDescent="0.3">
      <c r="A249" s="12"/>
      <c r="B249" s="12"/>
      <c r="C249" s="12"/>
      <c r="D249" s="12"/>
      <c r="E249" s="12"/>
      <c r="F249" s="12"/>
      <c r="G249" s="12"/>
      <c r="H249" s="12"/>
      <c r="I249" s="12"/>
      <c r="J249" s="12"/>
    </row>
    <row r="250" spans="1:10" x14ac:dyDescent="0.3">
      <c r="A250" s="12"/>
      <c r="B250" s="12"/>
      <c r="C250" s="12"/>
      <c r="D250" s="12"/>
      <c r="E250" s="12"/>
      <c r="F250" s="12"/>
      <c r="G250" s="12"/>
      <c r="H250" s="12"/>
      <c r="I250" s="12"/>
      <c r="J250" s="12"/>
    </row>
    <row r="252" spans="1:10" s="11" customFormat="1" ht="13.8" x14ac:dyDescent="0.25"/>
    <row r="283" spans="1:1" x14ac:dyDescent="0.3">
      <c r="A283" s="11" t="s">
        <v>111</v>
      </c>
    </row>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sheetData>
  <mergeCells count="502">
    <mergeCell ref="A14:B14"/>
    <mergeCell ref="C14:E14"/>
    <mergeCell ref="F14:G14"/>
    <mergeCell ref="H14:J14"/>
    <mergeCell ref="A15:B15"/>
    <mergeCell ref="C15:E15"/>
    <mergeCell ref="F15:G15"/>
    <mergeCell ref="H15:J15"/>
    <mergeCell ref="A16:B16"/>
    <mergeCell ref="C16:E16"/>
    <mergeCell ref="F16:G16"/>
    <mergeCell ref="H16:J16"/>
    <mergeCell ref="A198:B198"/>
    <mergeCell ref="D198:E198"/>
    <mergeCell ref="I198:J200"/>
    <mergeCell ref="A199:B199"/>
    <mergeCell ref="D199:E199"/>
    <mergeCell ref="A200:B200"/>
    <mergeCell ref="D200:E200"/>
    <mergeCell ref="A193:J193"/>
    <mergeCell ref="A194:B194"/>
    <mergeCell ref="A197:J197"/>
    <mergeCell ref="A208:J208"/>
    <mergeCell ref="A209:B209"/>
    <mergeCell ref="D209:E209"/>
    <mergeCell ref="I209:J214"/>
    <mergeCell ref="A210:B210"/>
    <mergeCell ref="D210:E210"/>
    <mergeCell ref="A211:B211"/>
    <mergeCell ref="D211:E211"/>
    <mergeCell ref="A212:B212"/>
    <mergeCell ref="A213:B213"/>
    <mergeCell ref="A214:B214"/>
    <mergeCell ref="D214:E214"/>
    <mergeCell ref="C212:H213"/>
    <mergeCell ref="M221:N221"/>
    <mergeCell ref="A222:J222"/>
    <mergeCell ref="A223:B223"/>
    <mergeCell ref="D223:E223"/>
    <mergeCell ref="I223:J228"/>
    <mergeCell ref="M223:N223"/>
    <mergeCell ref="A224:B224"/>
    <mergeCell ref="D224:E224"/>
    <mergeCell ref="M224:N224"/>
    <mergeCell ref="A225:B225"/>
    <mergeCell ref="D225:E225"/>
    <mergeCell ref="M225:N225"/>
    <mergeCell ref="A226:B226"/>
    <mergeCell ref="D226:E226"/>
    <mergeCell ref="M226:N226"/>
    <mergeCell ref="A227:B227"/>
    <mergeCell ref="M227:N227"/>
    <mergeCell ref="A228:B228"/>
    <mergeCell ref="D228:E228"/>
    <mergeCell ref="M228:N228"/>
    <mergeCell ref="C227:H227"/>
    <mergeCell ref="D221:E221"/>
    <mergeCell ref="M202:N202"/>
    <mergeCell ref="M203:N203"/>
    <mergeCell ref="M204:N204"/>
    <mergeCell ref="M205:N205"/>
    <mergeCell ref="M206:N206"/>
    <mergeCell ref="M207:N207"/>
    <mergeCell ref="A215:J215"/>
    <mergeCell ref="A216:B216"/>
    <mergeCell ref="D216:E216"/>
    <mergeCell ref="I216:J221"/>
    <mergeCell ref="M216:N216"/>
    <mergeCell ref="A217:B217"/>
    <mergeCell ref="D217:E217"/>
    <mergeCell ref="M217:N217"/>
    <mergeCell ref="A218:B218"/>
    <mergeCell ref="D218:E218"/>
    <mergeCell ref="M218:N218"/>
    <mergeCell ref="A219:B219"/>
    <mergeCell ref="D219:E219"/>
    <mergeCell ref="M219:N219"/>
    <mergeCell ref="A220:B220"/>
    <mergeCell ref="D220:E220"/>
    <mergeCell ref="M220:N220"/>
    <mergeCell ref="A221:B221"/>
    <mergeCell ref="N157:O157"/>
    <mergeCell ref="N158:O158"/>
    <mergeCell ref="N159:O159"/>
    <mergeCell ref="N160:O160"/>
    <mergeCell ref="N161:O161"/>
    <mergeCell ref="N162:O162"/>
    <mergeCell ref="A158:B158"/>
    <mergeCell ref="D158:E158"/>
    <mergeCell ref="A159:B159"/>
    <mergeCell ref="D159:E159"/>
    <mergeCell ref="A160:B160"/>
    <mergeCell ref="D160:E160"/>
    <mergeCell ref="A161:B161"/>
    <mergeCell ref="D161:E161"/>
    <mergeCell ref="A162:B162"/>
    <mergeCell ref="D162:E162"/>
    <mergeCell ref="A157:B157"/>
    <mergeCell ref="A189:J189"/>
    <mergeCell ref="A190:B190"/>
    <mergeCell ref="D190:E190"/>
    <mergeCell ref="I190:J192"/>
    <mergeCell ref="A191:B191"/>
    <mergeCell ref="D191:E191"/>
    <mergeCell ref="A192:B192"/>
    <mergeCell ref="D192:E192"/>
    <mergeCell ref="I194:J196"/>
    <mergeCell ref="A195:B195"/>
    <mergeCell ref="D195:E195"/>
    <mergeCell ref="A196:B196"/>
    <mergeCell ref="D196:E196"/>
    <mergeCell ref="D194:E194"/>
    <mergeCell ref="I178:J183"/>
    <mergeCell ref="A181:B181"/>
    <mergeCell ref="D181:E181"/>
    <mergeCell ref="A182:B182"/>
    <mergeCell ref="D182:E182"/>
    <mergeCell ref="A183:B183"/>
    <mergeCell ref="D183:E183"/>
    <mergeCell ref="C179:H179"/>
    <mergeCell ref="D178:E178"/>
    <mergeCell ref="A179:B179"/>
    <mergeCell ref="A180:B180"/>
    <mergeCell ref="D180:E180"/>
    <mergeCell ref="A137:J137"/>
    <mergeCell ref="A138:B138"/>
    <mergeCell ref="D138:E138"/>
    <mergeCell ref="I138:J138"/>
    <mergeCell ref="A140:J140"/>
    <mergeCell ref="A185:J185"/>
    <mergeCell ref="A139:J139"/>
    <mergeCell ref="A144:J144"/>
    <mergeCell ref="I145:J147"/>
    <mergeCell ref="A164:B164"/>
    <mergeCell ref="D164:E164"/>
    <mergeCell ref="I164:J169"/>
    <mergeCell ref="A165:B165"/>
    <mergeCell ref="A166:B166"/>
    <mergeCell ref="A167:B167"/>
    <mergeCell ref="D167:E167"/>
    <mergeCell ref="A168:B168"/>
    <mergeCell ref="D168:E168"/>
    <mergeCell ref="A169:B169"/>
    <mergeCell ref="D169:E169"/>
    <mergeCell ref="C165:H166"/>
    <mergeCell ref="A170:J170"/>
    <mergeCell ref="A148:J148"/>
    <mergeCell ref="A149:B149"/>
    <mergeCell ref="A130:J130"/>
    <mergeCell ref="A131:J131"/>
    <mergeCell ref="A132:B132"/>
    <mergeCell ref="D132:E132"/>
    <mergeCell ref="I132:J136"/>
    <mergeCell ref="A133:B133"/>
    <mergeCell ref="D133:E133"/>
    <mergeCell ref="A134:B134"/>
    <mergeCell ref="D134:E134"/>
    <mergeCell ref="A135:B135"/>
    <mergeCell ref="D135:E135"/>
    <mergeCell ref="A136:B136"/>
    <mergeCell ref="D136:E136"/>
    <mergeCell ref="D108:E108"/>
    <mergeCell ref="A25:E25"/>
    <mergeCell ref="A30:J30"/>
    <mergeCell ref="F36:J36"/>
    <mergeCell ref="A26:B26"/>
    <mergeCell ref="C26:D26"/>
    <mergeCell ref="A28:B28"/>
    <mergeCell ref="A69:J69"/>
    <mergeCell ref="A70:J70"/>
    <mergeCell ref="A71:J72"/>
    <mergeCell ref="A73:J73"/>
    <mergeCell ref="A66:B66"/>
    <mergeCell ref="D66:E66"/>
    <mergeCell ref="A67:B67"/>
    <mergeCell ref="D67:E67"/>
    <mergeCell ref="A68:B68"/>
    <mergeCell ref="D68:E68"/>
    <mergeCell ref="A77:F77"/>
    <mergeCell ref="A79:F79"/>
    <mergeCell ref="A80:F80"/>
    <mergeCell ref="A81:F81"/>
    <mergeCell ref="A82:F82"/>
    <mergeCell ref="F38:J38"/>
    <mergeCell ref="A111:J111"/>
    <mergeCell ref="A31:B31"/>
    <mergeCell ref="F58:G58"/>
    <mergeCell ref="F20:J21"/>
    <mergeCell ref="G28:H28"/>
    <mergeCell ref="A78:F78"/>
    <mergeCell ref="A83:F83"/>
    <mergeCell ref="G83:J83"/>
    <mergeCell ref="D109:E109"/>
    <mergeCell ref="A110:B110"/>
    <mergeCell ref="D110:E110"/>
    <mergeCell ref="A102:B102"/>
    <mergeCell ref="D102:E102"/>
    <mergeCell ref="D65:E65"/>
    <mergeCell ref="F39:J39"/>
    <mergeCell ref="A40:E40"/>
    <mergeCell ref="F49:G49"/>
    <mergeCell ref="A54:J54"/>
    <mergeCell ref="A74:F74"/>
    <mergeCell ref="A58:B58"/>
    <mergeCell ref="D58:E58"/>
    <mergeCell ref="G74:J74"/>
    <mergeCell ref="A108:B108"/>
    <mergeCell ref="D120:E120"/>
    <mergeCell ref="A118:J118"/>
    <mergeCell ref="A119:B119"/>
    <mergeCell ref="A115:B115"/>
    <mergeCell ref="D115:E115"/>
    <mergeCell ref="A116:B116"/>
    <mergeCell ref="D116:E116"/>
    <mergeCell ref="D119:E119"/>
    <mergeCell ref="I112:J116"/>
    <mergeCell ref="A117:J117"/>
    <mergeCell ref="D112:E112"/>
    <mergeCell ref="A1:J1"/>
    <mergeCell ref="A13:B13"/>
    <mergeCell ref="C13:J13"/>
    <mergeCell ref="A43:B43"/>
    <mergeCell ref="F40:J40"/>
    <mergeCell ref="I28:J28"/>
    <mergeCell ref="A29:J29"/>
    <mergeCell ref="A51:C51"/>
    <mergeCell ref="A42:J42"/>
    <mergeCell ref="D49:E49"/>
    <mergeCell ref="C44:F44"/>
    <mergeCell ref="C45:F45"/>
    <mergeCell ref="A49:C49"/>
    <mergeCell ref="D51:E51"/>
    <mergeCell ref="H48:J48"/>
    <mergeCell ref="C43:F43"/>
    <mergeCell ref="A10:E10"/>
    <mergeCell ref="F10:J10"/>
    <mergeCell ref="A12:E12"/>
    <mergeCell ref="F12:J12"/>
    <mergeCell ref="C28:D28"/>
    <mergeCell ref="C46:F46"/>
    <mergeCell ref="C27:D27"/>
    <mergeCell ref="A238:J240"/>
    <mergeCell ref="A84:F84"/>
    <mergeCell ref="G84:J84"/>
    <mergeCell ref="A100:J100"/>
    <mergeCell ref="A101:J101"/>
    <mergeCell ref="A234:J234"/>
    <mergeCell ref="A235:J235"/>
    <mergeCell ref="A236:J236"/>
    <mergeCell ref="A237:J237"/>
    <mergeCell ref="A103:J103"/>
    <mergeCell ref="I102:J102"/>
    <mergeCell ref="A231:J231"/>
    <mergeCell ref="A232:J232"/>
    <mergeCell ref="A229:J229"/>
    <mergeCell ref="A233:J233"/>
    <mergeCell ref="A230:J230"/>
    <mergeCell ref="A105:J105"/>
    <mergeCell ref="I106:J110"/>
    <mergeCell ref="D125:E125"/>
    <mergeCell ref="D113:E113"/>
    <mergeCell ref="A107:B107"/>
    <mergeCell ref="D107:E107"/>
    <mergeCell ref="A109:B109"/>
    <mergeCell ref="D124:E124"/>
    <mergeCell ref="A37:E37"/>
    <mergeCell ref="F37:J37"/>
    <mergeCell ref="A38:E38"/>
    <mergeCell ref="A36:E36"/>
    <mergeCell ref="E28:F28"/>
    <mergeCell ref="F41:J41"/>
    <mergeCell ref="A34:J35"/>
    <mergeCell ref="A32:B32"/>
    <mergeCell ref="C32:J32"/>
    <mergeCell ref="C31:J31"/>
    <mergeCell ref="A7:E7"/>
    <mergeCell ref="F7:J7"/>
    <mergeCell ref="A104:J104"/>
    <mergeCell ref="F11:J11"/>
    <mergeCell ref="A8:E8"/>
    <mergeCell ref="F25:J25"/>
    <mergeCell ref="A20:E21"/>
    <mergeCell ref="A17:B17"/>
    <mergeCell ref="A11:E11"/>
    <mergeCell ref="A9:E9"/>
    <mergeCell ref="F8:J8"/>
    <mergeCell ref="E27:F27"/>
    <mergeCell ref="G27:H27"/>
    <mergeCell ref="A27:B27"/>
    <mergeCell ref="E26:F26"/>
    <mergeCell ref="C52:J52"/>
    <mergeCell ref="A61:B61"/>
    <mergeCell ref="I27:J27"/>
    <mergeCell ref="A41:E41"/>
    <mergeCell ref="A33:J33"/>
    <mergeCell ref="A39:E39"/>
    <mergeCell ref="I26:J26"/>
    <mergeCell ref="A2:J2"/>
    <mergeCell ref="A3:E3"/>
    <mergeCell ref="F3:J3"/>
    <mergeCell ref="A4:E4"/>
    <mergeCell ref="F4:J4"/>
    <mergeCell ref="F9:J9"/>
    <mergeCell ref="A6:E6"/>
    <mergeCell ref="F6:J6"/>
    <mergeCell ref="A5:E5"/>
    <mergeCell ref="A22:E22"/>
    <mergeCell ref="A23:E23"/>
    <mergeCell ref="F22:J22"/>
    <mergeCell ref="A24:E24"/>
    <mergeCell ref="C17:E17"/>
    <mergeCell ref="H17:J17"/>
    <mergeCell ref="F17:G17"/>
    <mergeCell ref="A18:E19"/>
    <mergeCell ref="F24:J24"/>
    <mergeCell ref="F23:J23"/>
    <mergeCell ref="G26:H26"/>
    <mergeCell ref="F5:J5"/>
    <mergeCell ref="F18:J19"/>
    <mergeCell ref="A106:B106"/>
    <mergeCell ref="D106:E106"/>
    <mergeCell ref="A114:B114"/>
    <mergeCell ref="D114:E114"/>
    <mergeCell ref="A123:J123"/>
    <mergeCell ref="I124:J128"/>
    <mergeCell ref="E53:J53"/>
    <mergeCell ref="A53:D53"/>
    <mergeCell ref="C55:J55"/>
    <mergeCell ref="E56:F56"/>
    <mergeCell ref="I56:J56"/>
    <mergeCell ref="A57:B57"/>
    <mergeCell ref="C57:J57"/>
    <mergeCell ref="H58:J58"/>
    <mergeCell ref="A59:B59"/>
    <mergeCell ref="D59:E59"/>
    <mergeCell ref="F59:G68"/>
    <mergeCell ref="H59:J68"/>
    <mergeCell ref="A60:B60"/>
    <mergeCell ref="D60:E60"/>
    <mergeCell ref="C88:D88"/>
    <mergeCell ref="E88:G88"/>
    <mergeCell ref="H88:J88"/>
    <mergeCell ref="A89:B89"/>
    <mergeCell ref="A143:B143"/>
    <mergeCell ref="D143:E143"/>
    <mergeCell ref="A112:B112"/>
    <mergeCell ref="A113:B113"/>
    <mergeCell ref="A129:J129"/>
    <mergeCell ref="A126:B126"/>
    <mergeCell ref="A127:B127"/>
    <mergeCell ref="D127:E127"/>
    <mergeCell ref="A128:B128"/>
    <mergeCell ref="D128:E128"/>
    <mergeCell ref="A124:B124"/>
    <mergeCell ref="I119:J122"/>
    <mergeCell ref="D121:E121"/>
    <mergeCell ref="A122:B122"/>
    <mergeCell ref="A125:B125"/>
    <mergeCell ref="D122:E122"/>
    <mergeCell ref="A121:B121"/>
    <mergeCell ref="A141:B141"/>
    <mergeCell ref="D141:E141"/>
    <mergeCell ref="I141:J143"/>
    <mergeCell ref="A142:B142"/>
    <mergeCell ref="D142:E142"/>
    <mergeCell ref="D126:E126"/>
    <mergeCell ref="A120:B120"/>
    <mergeCell ref="D188:E188"/>
    <mergeCell ref="A184:J184"/>
    <mergeCell ref="D149:E149"/>
    <mergeCell ref="I149:J151"/>
    <mergeCell ref="A150:B150"/>
    <mergeCell ref="D150:E150"/>
    <mergeCell ref="A151:B151"/>
    <mergeCell ref="D151:E151"/>
    <mergeCell ref="D157:E157"/>
    <mergeCell ref="I157:J162"/>
    <mergeCell ref="A163:J163"/>
    <mergeCell ref="A152:J152"/>
    <mergeCell ref="A153:B153"/>
    <mergeCell ref="D153:E153"/>
    <mergeCell ref="I153:J155"/>
    <mergeCell ref="A154:B154"/>
    <mergeCell ref="D154:E154"/>
    <mergeCell ref="A155:B155"/>
    <mergeCell ref="D155:E155"/>
    <mergeCell ref="A156:J156"/>
    <mergeCell ref="A171:B171"/>
    <mergeCell ref="D171:E171"/>
    <mergeCell ref="I171:J176"/>
    <mergeCell ref="A172:B172"/>
    <mergeCell ref="D147:E147"/>
    <mergeCell ref="A145:B145"/>
    <mergeCell ref="D145:E145"/>
    <mergeCell ref="A146:B146"/>
    <mergeCell ref="D146:E146"/>
    <mergeCell ref="A147:B147"/>
    <mergeCell ref="A175:B175"/>
    <mergeCell ref="D175:E175"/>
    <mergeCell ref="A176:B176"/>
    <mergeCell ref="D176:E176"/>
    <mergeCell ref="D172:E172"/>
    <mergeCell ref="A174:B174"/>
    <mergeCell ref="D174:E174"/>
    <mergeCell ref="H43:J43"/>
    <mergeCell ref="H44:J44"/>
    <mergeCell ref="H45:J45"/>
    <mergeCell ref="A48:B48"/>
    <mergeCell ref="C48:F48"/>
    <mergeCell ref="A75:F75"/>
    <mergeCell ref="G75:J75"/>
    <mergeCell ref="A55:B55"/>
    <mergeCell ref="A76:F76"/>
    <mergeCell ref="G76:J76"/>
    <mergeCell ref="A62:B62"/>
    <mergeCell ref="D62:E62"/>
    <mergeCell ref="A63:B63"/>
    <mergeCell ref="D63:E63"/>
    <mergeCell ref="A64:B64"/>
    <mergeCell ref="D64:E64"/>
    <mergeCell ref="D61:E61"/>
    <mergeCell ref="H49:J49"/>
    <mergeCell ref="A50:J50"/>
    <mergeCell ref="H46:J46"/>
    <mergeCell ref="F51:G51"/>
    <mergeCell ref="H51:J51"/>
    <mergeCell ref="A44:B44"/>
    <mergeCell ref="C47:F47"/>
    <mergeCell ref="A207:B207"/>
    <mergeCell ref="D207:E207"/>
    <mergeCell ref="A173:B173"/>
    <mergeCell ref="D173:E173"/>
    <mergeCell ref="A203:B203"/>
    <mergeCell ref="D203:E203"/>
    <mergeCell ref="I202:J207"/>
    <mergeCell ref="A177:J177"/>
    <mergeCell ref="A202:B202"/>
    <mergeCell ref="D202:E202"/>
    <mergeCell ref="A201:J201"/>
    <mergeCell ref="A204:B204"/>
    <mergeCell ref="D204:E204"/>
    <mergeCell ref="A205:B205"/>
    <mergeCell ref="D205:E205"/>
    <mergeCell ref="A206:B206"/>
    <mergeCell ref="D206:E206"/>
    <mergeCell ref="A186:B186"/>
    <mergeCell ref="D186:E186"/>
    <mergeCell ref="I186:J188"/>
    <mergeCell ref="A187:B187"/>
    <mergeCell ref="D187:E187"/>
    <mergeCell ref="A188:B188"/>
    <mergeCell ref="A178:B178"/>
    <mergeCell ref="A98:B98"/>
    <mergeCell ref="C98:D98"/>
    <mergeCell ref="E98:G98"/>
    <mergeCell ref="H98:J98"/>
    <mergeCell ref="A99:B99"/>
    <mergeCell ref="C99:D99"/>
    <mergeCell ref="E99:G99"/>
    <mergeCell ref="H99:J99"/>
    <mergeCell ref="A65:B65"/>
    <mergeCell ref="A96:B96"/>
    <mergeCell ref="C96:D96"/>
    <mergeCell ref="A95:J95"/>
    <mergeCell ref="E96:G96"/>
    <mergeCell ref="H96:J96"/>
    <mergeCell ref="A85:J85"/>
    <mergeCell ref="A86:B86"/>
    <mergeCell ref="C86:D86"/>
    <mergeCell ref="E86:G86"/>
    <mergeCell ref="H86:J86"/>
    <mergeCell ref="A87:B87"/>
    <mergeCell ref="C87:D87"/>
    <mergeCell ref="E87:G87"/>
    <mergeCell ref="H87:J87"/>
    <mergeCell ref="A88:B88"/>
    <mergeCell ref="A97:B97"/>
    <mergeCell ref="C97:D97"/>
    <mergeCell ref="E97:G97"/>
    <mergeCell ref="H97:J97"/>
    <mergeCell ref="A94:B94"/>
    <mergeCell ref="C94:D94"/>
    <mergeCell ref="E94:G94"/>
    <mergeCell ref="H94:J94"/>
    <mergeCell ref="A92:B92"/>
    <mergeCell ref="C92:D92"/>
    <mergeCell ref="E92:G92"/>
    <mergeCell ref="H92:J92"/>
    <mergeCell ref="A93:B93"/>
    <mergeCell ref="C93:D93"/>
    <mergeCell ref="E93:G93"/>
    <mergeCell ref="H93:J93"/>
    <mergeCell ref="H47:J47"/>
    <mergeCell ref="A45:B47"/>
    <mergeCell ref="A90:J90"/>
    <mergeCell ref="A91:B91"/>
    <mergeCell ref="C91:D91"/>
    <mergeCell ref="E91:G91"/>
    <mergeCell ref="H91:J91"/>
    <mergeCell ref="C89:D89"/>
    <mergeCell ref="E89:G89"/>
    <mergeCell ref="H89:J89"/>
  </mergeCells>
  <phoneticPr fontId="0" type="noConversion"/>
  <hyperlinks>
    <hyperlink ref="C32" r:id="rId1" xr:uid="{00000000-0004-0000-0000-000000000000}"/>
  </hyperlinks>
  <pageMargins left="0.39370078740157499" right="0.39370078740157499" top="0.78740157480314998" bottom="0.78740157480314998" header="0.196850393700787" footer="0.196850393700787"/>
  <pageSetup paperSize="9" fitToHeight="0" orientation="portrait" r:id="rId2"/>
  <headerFooter>
    <oddHeader>&amp;C&amp;G</oddHeader>
    <oddFooter>&amp;L&amp;"Times New Roman,Bold"Ref No: &amp;F&amp;C&amp;G&amp;R&amp;P</oddFooter>
  </headerFooter>
  <rowBreaks count="2" manualBreakCount="2">
    <brk id="240" max="16383" man="1"/>
    <brk id="28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workbookViewId="0">
      <selection activeCell="G12" sqref="G12"/>
    </sheetView>
  </sheetViews>
  <sheetFormatPr defaultColWidth="8.6640625" defaultRowHeight="14.4" x14ac:dyDescent="0.3"/>
  <cols>
    <col min="1" max="1" width="8.6640625" style="14"/>
    <col min="2" max="2" width="22.109375" style="14" customWidth="1"/>
    <col min="3" max="3" width="37" style="14" customWidth="1"/>
    <col min="4" max="5" width="11.44140625" style="14" customWidth="1"/>
    <col min="6" max="6" width="14" style="14" customWidth="1"/>
    <col min="7" max="7" width="20" style="14" customWidth="1"/>
    <col min="8" max="8" width="16.44140625" style="14" customWidth="1"/>
    <col min="9" max="16384" width="8.6640625" style="14"/>
  </cols>
  <sheetData>
    <row r="1" spans="1:9" ht="15" customHeight="1" x14ac:dyDescent="0.3"/>
    <row r="2" spans="1:9" ht="15" customHeight="1" x14ac:dyDescent="0.3">
      <c r="A2" s="15"/>
      <c r="B2" s="15"/>
      <c r="C2" s="15"/>
      <c r="D2" s="15"/>
      <c r="E2" s="15"/>
      <c r="F2" s="15"/>
      <c r="G2" s="15"/>
      <c r="H2" s="15"/>
    </row>
    <row r="3" spans="1:9" ht="15.75" customHeight="1" x14ac:dyDescent="0.3">
      <c r="A3" s="15"/>
      <c r="B3" s="244" t="s">
        <v>118</v>
      </c>
      <c r="C3" s="244"/>
      <c r="D3" s="244"/>
      <c r="E3" s="244"/>
      <c r="F3" s="244"/>
      <c r="G3" s="244"/>
      <c r="H3" s="244"/>
    </row>
    <row r="4" spans="1:9" x14ac:dyDescent="0.3">
      <c r="A4" s="15"/>
      <c r="B4" s="16" t="s">
        <v>119</v>
      </c>
      <c r="C4" s="16" t="s">
        <v>120</v>
      </c>
      <c r="D4" s="16" t="s">
        <v>75</v>
      </c>
      <c r="E4" s="16" t="s">
        <v>121</v>
      </c>
      <c r="F4" s="16" t="s">
        <v>122</v>
      </c>
      <c r="G4" s="16" t="s">
        <v>123</v>
      </c>
      <c r="H4" s="16" t="s">
        <v>124</v>
      </c>
    </row>
    <row r="5" spans="1:9" ht="15" customHeight="1" x14ac:dyDescent="0.3">
      <c r="A5" s="15"/>
      <c r="B5" s="17" t="s">
        <v>127</v>
      </c>
      <c r="C5" s="24" t="s">
        <v>112</v>
      </c>
      <c r="D5" s="17" t="s">
        <v>106</v>
      </c>
      <c r="E5" s="17">
        <v>456</v>
      </c>
      <c r="F5" s="18">
        <f>E5*1.6</f>
        <v>729.6</v>
      </c>
      <c r="G5" s="18">
        <f>H5/F5</f>
        <v>10000</v>
      </c>
      <c r="H5" s="19">
        <v>7296000</v>
      </c>
    </row>
    <row r="6" spans="1:9" x14ac:dyDescent="0.3">
      <c r="A6" s="15"/>
      <c r="B6" s="17" t="s">
        <v>127</v>
      </c>
      <c r="C6" s="24" t="s">
        <v>112</v>
      </c>
      <c r="D6" s="17" t="s">
        <v>106</v>
      </c>
      <c r="E6" s="17">
        <v>460</v>
      </c>
      <c r="F6" s="18">
        <f>E6*1.6</f>
        <v>736</v>
      </c>
      <c r="G6" s="18">
        <f>H6/F6</f>
        <v>10000</v>
      </c>
      <c r="H6" s="19">
        <v>7360000</v>
      </c>
    </row>
    <row r="7" spans="1:9" ht="15" customHeight="1" x14ac:dyDescent="0.3">
      <c r="A7" s="15"/>
      <c r="B7" s="17" t="s">
        <v>127</v>
      </c>
      <c r="C7" s="24" t="s">
        <v>112</v>
      </c>
      <c r="D7" s="17" t="s">
        <v>106</v>
      </c>
      <c r="E7" s="17">
        <v>490</v>
      </c>
      <c r="F7" s="18">
        <f>E7*1.6</f>
        <v>784</v>
      </c>
      <c r="G7" s="18">
        <f>H7/F7</f>
        <v>10000</v>
      </c>
      <c r="H7" s="19">
        <v>7840000</v>
      </c>
    </row>
    <row r="8" spans="1:9" x14ac:dyDescent="0.3">
      <c r="A8" s="15"/>
      <c r="B8" s="17" t="s">
        <v>127</v>
      </c>
      <c r="C8" s="24" t="s">
        <v>112</v>
      </c>
      <c r="D8" s="17" t="s">
        <v>106</v>
      </c>
      <c r="E8" s="17">
        <v>501</v>
      </c>
      <c r="F8" s="18">
        <f>E8*1.6</f>
        <v>801.6</v>
      </c>
      <c r="G8" s="18">
        <f>H8/F8</f>
        <v>10000</v>
      </c>
      <c r="H8" s="19">
        <v>8016000</v>
      </c>
    </row>
    <row r="9" spans="1:9" ht="15" customHeight="1" x14ac:dyDescent="0.3">
      <c r="A9" s="15"/>
      <c r="B9" s="17" t="s">
        <v>127</v>
      </c>
      <c r="C9" s="24" t="s">
        <v>112</v>
      </c>
      <c r="D9" s="17" t="s">
        <v>106</v>
      </c>
      <c r="E9" s="17">
        <v>503</v>
      </c>
      <c r="F9" s="18">
        <f>E9*1.6</f>
        <v>804.80000000000007</v>
      </c>
      <c r="G9" s="18">
        <f>H9/F9</f>
        <v>10000</v>
      </c>
      <c r="H9" s="19">
        <v>8048000</v>
      </c>
    </row>
    <row r="10" spans="1:9" ht="15" customHeight="1" x14ac:dyDescent="0.3">
      <c r="A10" s="15"/>
      <c r="B10" s="20" t="s">
        <v>125</v>
      </c>
      <c r="C10" s="17"/>
      <c r="D10" s="17"/>
      <c r="E10" s="17"/>
      <c r="F10" s="17"/>
      <c r="G10" s="21">
        <f>AVERAGE(G5:G9)</f>
        <v>10000</v>
      </c>
      <c r="H10" s="17"/>
    </row>
    <row r="11" spans="1:9" ht="15" customHeight="1" x14ac:dyDescent="0.3">
      <c r="B11" s="20" t="s">
        <v>126</v>
      </c>
      <c r="C11" s="17"/>
      <c r="D11" s="17"/>
      <c r="E11" s="17"/>
      <c r="F11" s="22"/>
      <c r="G11" s="20">
        <v>10000</v>
      </c>
      <c r="H11" s="20"/>
      <c r="I11" s="23"/>
    </row>
    <row r="12" spans="1:9" ht="15" customHeight="1" x14ac:dyDescent="0.3"/>
    <row r="13" spans="1:9" ht="15" customHeight="1" x14ac:dyDescent="0.3"/>
    <row r="14" spans="1:9" ht="15" customHeight="1" x14ac:dyDescent="0.3"/>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
  <sheetViews>
    <sheetView workbookViewId="0">
      <selection activeCell="P15" sqref="P15"/>
    </sheetView>
  </sheetViews>
  <sheetFormatPr defaultRowHeight="14.4" x14ac:dyDescent="0.3"/>
  <cols>
    <col min="1" max="1" width="10.33203125" bestFit="1" customWidth="1"/>
  </cols>
  <sheetData>
    <row r="2" spans="1:2" x14ac:dyDescent="0.3">
      <c r="A2" s="13">
        <v>44181</v>
      </c>
      <c r="B2" s="14" t="s">
        <v>114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VALUATION</vt:lpstr>
      <vt:lpstr>Note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2025-09-09T06:49:36Z</cp:lastPrinted>
  <dcterms:created xsi:type="dcterms:W3CDTF">2013-11-23T05:32:33Z</dcterms:created>
  <dcterms:modified xsi:type="dcterms:W3CDTF">2025-09-09T06:50:57Z</dcterms:modified>
</cp:coreProperties>
</file>