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99969898-5B56-47F8-904C-ACB1750B8AFF}"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0" i="1" l="1"/>
  <c r="J158" i="1" l="1"/>
  <c r="I158" i="1"/>
  <c r="E158" i="1"/>
  <c r="D158" i="1"/>
  <c r="E162" i="1"/>
  <c r="D162" i="1"/>
  <c r="E161" i="1"/>
  <c r="D161" i="1"/>
  <c r="F161" i="1" s="1"/>
  <c r="H161" i="1" s="1"/>
  <c r="E160" i="1"/>
  <c r="D160" i="1"/>
  <c r="E159" i="1"/>
  <c r="D159" i="1"/>
  <c r="E157" i="1"/>
  <c r="D157" i="1"/>
  <c r="A157" i="1"/>
  <c r="A158" i="1" s="1"/>
  <c r="A159" i="1" s="1"/>
  <c r="A160" i="1" s="1"/>
  <c r="A161" i="1" s="1"/>
  <c r="A162" i="1" s="1"/>
  <c r="E156" i="1"/>
  <c r="D156" i="1"/>
  <c r="E154" i="1"/>
  <c r="D154" i="1"/>
  <c r="E153" i="1"/>
  <c r="D153" i="1"/>
  <c r="E152" i="1"/>
  <c r="D152" i="1"/>
  <c r="F152" i="1" s="1"/>
  <c r="H152" i="1" s="1"/>
  <c r="E151" i="1"/>
  <c r="D151" i="1"/>
  <c r="E150" i="1"/>
  <c r="D150" i="1"/>
  <c r="E149" i="1"/>
  <c r="D149" i="1"/>
  <c r="A149" i="1"/>
  <c r="A150" i="1" s="1"/>
  <c r="A151" i="1" s="1"/>
  <c r="A152" i="1" s="1"/>
  <c r="A153" i="1" s="1"/>
  <c r="A154" i="1" s="1"/>
  <c r="E148" i="1"/>
  <c r="D148" i="1"/>
  <c r="F148" i="1" s="1"/>
  <c r="H148" i="1" s="1"/>
  <c r="D146" i="1"/>
  <c r="D145" i="1"/>
  <c r="D144" i="1"/>
  <c r="D143" i="1"/>
  <c r="D142" i="1"/>
  <c r="D141" i="1"/>
  <c r="D140" i="1"/>
  <c r="E145" i="1"/>
  <c r="E144" i="1"/>
  <c r="E142" i="1"/>
  <c r="E146" i="1"/>
  <c r="E143" i="1"/>
  <c r="E141" i="1"/>
  <c r="E140" i="1"/>
  <c r="F143" i="1"/>
  <c r="H143" i="1" s="1"/>
  <c r="A141" i="1"/>
  <c r="A142" i="1" s="1"/>
  <c r="A143" i="1" s="1"/>
  <c r="A144" i="1" s="1"/>
  <c r="A145" i="1" s="1"/>
  <c r="A146" i="1" s="1"/>
  <c r="D125" i="1"/>
  <c r="F151" i="1" l="1"/>
  <c r="H151" i="1" s="1"/>
  <c r="F142" i="1"/>
  <c r="H142" i="1" s="1"/>
  <c r="F159" i="1"/>
  <c r="H159" i="1" s="1"/>
  <c r="F149" i="1"/>
  <c r="H149" i="1" s="1"/>
  <c r="F162" i="1"/>
  <c r="H162" i="1" s="1"/>
  <c r="F150" i="1"/>
  <c r="H150" i="1" s="1"/>
  <c r="F154" i="1"/>
  <c r="H154" i="1" s="1"/>
  <c r="F158" i="1"/>
  <c r="H158" i="1" s="1"/>
  <c r="F156" i="1"/>
  <c r="H156" i="1" s="1"/>
  <c r="F160" i="1"/>
  <c r="H160" i="1" s="1"/>
  <c r="F153" i="1"/>
  <c r="H153" i="1" s="1"/>
  <c r="F157" i="1"/>
  <c r="H157" i="1" s="1"/>
  <c r="F144" i="1"/>
  <c r="H144" i="1" s="1"/>
  <c r="F145" i="1"/>
  <c r="H145" i="1" s="1"/>
  <c r="F146" i="1"/>
  <c r="H146" i="1" s="1"/>
  <c r="F140" i="1"/>
  <c r="H140" i="1" s="1"/>
  <c r="J140" i="1" s="1"/>
  <c r="K140" i="1" s="1"/>
  <c r="F141" i="1"/>
  <c r="H141" i="1" s="1"/>
  <c r="I43" i="1"/>
  <c r="M140" i="1" l="1"/>
  <c r="E138" i="1"/>
  <c r="D138" i="1"/>
  <c r="E137" i="1"/>
  <c r="D137" i="1"/>
  <c r="E136" i="1"/>
  <c r="D136" i="1"/>
  <c r="E135" i="1"/>
  <c r="D135" i="1"/>
  <c r="E134" i="1"/>
  <c r="D134" i="1"/>
  <c r="E133" i="1"/>
  <c r="D133" i="1"/>
  <c r="E132" i="1"/>
  <c r="D132" i="1"/>
  <c r="E130" i="1"/>
  <c r="D130" i="1"/>
  <c r="E129" i="1"/>
  <c r="D129" i="1"/>
  <c r="E128" i="1"/>
  <c r="D128" i="1"/>
  <c r="E127" i="1"/>
  <c r="D127" i="1"/>
  <c r="E126" i="1"/>
  <c r="D126" i="1"/>
  <c r="E125" i="1"/>
  <c r="I125" i="1"/>
  <c r="F129" i="1" l="1"/>
  <c r="H129" i="1" s="1"/>
  <c r="F137" i="1"/>
  <c r="H137" i="1" s="1"/>
  <c r="J137" i="1" s="1"/>
  <c r="K137" i="1" s="1"/>
  <c r="F138" i="1"/>
  <c r="H138" i="1" s="1"/>
  <c r="F130" i="1"/>
  <c r="H130" i="1" s="1"/>
  <c r="F117" i="1"/>
  <c r="H117" i="1" s="1"/>
  <c r="F118" i="1"/>
  <c r="H118" i="1" s="1"/>
  <c r="F119" i="1"/>
  <c r="H119" i="1" s="1"/>
  <c r="F116" i="1"/>
  <c r="H116" i="1" s="1"/>
  <c r="M137" i="1" l="1"/>
  <c r="J138" i="1"/>
  <c r="K138" i="1" s="1"/>
  <c r="M138" i="1"/>
  <c r="B165" i="1"/>
  <c r="G58" i="1" l="1"/>
  <c r="C58" i="1"/>
  <c r="G56" i="1"/>
  <c r="C56" i="1"/>
  <c r="C54" i="1"/>
  <c r="S33" i="1" l="1"/>
  <c r="F11" i="5" l="1"/>
  <c r="G11" i="5" s="1"/>
  <c r="F10" i="5"/>
  <c r="G10" i="5" s="1"/>
  <c r="F9" i="5"/>
  <c r="G9" i="5" s="1"/>
  <c r="F8" i="5"/>
  <c r="G8" i="5" s="1"/>
  <c r="F7" i="5"/>
  <c r="G7" i="5" s="1"/>
  <c r="F6" i="5"/>
  <c r="G6" i="5" s="1"/>
  <c r="F5" i="5"/>
  <c r="G5" i="5" s="1"/>
  <c r="G12" i="5" s="1"/>
  <c r="D185" i="1"/>
  <c r="B166" i="1"/>
  <c r="F136" i="1"/>
  <c r="H136" i="1" s="1"/>
  <c r="F135" i="1"/>
  <c r="H135" i="1" s="1"/>
  <c r="F134" i="1"/>
  <c r="H134" i="1" s="1"/>
  <c r="F133" i="1"/>
  <c r="H133" i="1" s="1"/>
  <c r="F132" i="1"/>
  <c r="H132" i="1" s="1"/>
  <c r="A133" i="1"/>
  <c r="A134" i="1" s="1"/>
  <c r="A135" i="1" s="1"/>
  <c r="A136" i="1" s="1"/>
  <c r="A137" i="1" s="1"/>
  <c r="A138" i="1" s="1"/>
  <c r="F128" i="1"/>
  <c r="H128" i="1" s="1"/>
  <c r="F127" i="1"/>
  <c r="H127" i="1" s="1"/>
  <c r="F126" i="1"/>
  <c r="H126" i="1" s="1"/>
  <c r="A126" i="1"/>
  <c r="A127" i="1" s="1"/>
  <c r="A128" i="1" s="1"/>
  <c r="A129" i="1" s="1"/>
  <c r="A130" i="1" s="1"/>
  <c r="F125" i="1"/>
  <c r="A117" i="1"/>
  <c r="A118" i="1" s="1"/>
  <c r="A119" i="1" s="1"/>
  <c r="F99" i="1"/>
  <c r="C73" i="1"/>
  <c r="D67" i="1"/>
  <c r="D62" i="1"/>
  <c r="G51" i="1"/>
  <c r="C51" i="1"/>
  <c r="E44" i="1"/>
  <c r="E45" i="1" s="1"/>
  <c r="E31" i="1"/>
  <c r="E28" i="1"/>
  <c r="E26" i="1"/>
  <c r="C16" i="1"/>
  <c r="I15" i="1"/>
  <c r="Z13" i="1"/>
  <c r="E8" i="1"/>
  <c r="E3" i="1"/>
  <c r="H74" i="1"/>
  <c r="E107" i="1" l="1"/>
  <c r="E109" i="1" s="1"/>
  <c r="E110" i="1" s="1"/>
  <c r="C107" i="1"/>
  <c r="C109" i="1" s="1"/>
  <c r="C110" i="1" s="1"/>
  <c r="M135" i="1"/>
  <c r="J135" i="1"/>
  <c r="K135" i="1" s="1"/>
  <c r="M136" i="1"/>
  <c r="J136" i="1"/>
  <c r="K136" i="1" s="1"/>
  <c r="H125" i="1"/>
  <c r="M134" i="1"/>
  <c r="J134" i="1"/>
  <c r="K134" i="1" s="1"/>
  <c r="J132" i="1"/>
  <c r="K132" i="1" s="1"/>
  <c r="M132" i="1"/>
  <c r="L133" i="1"/>
  <c r="M133" i="1"/>
  <c r="J133" i="1"/>
  <c r="K133" i="1" s="1"/>
  <c r="J73" i="1"/>
  <c r="J75" i="1" s="1"/>
  <c r="J76" i="1"/>
  <c r="J77" i="1"/>
  <c r="J78" i="1"/>
  <c r="C77" i="1" s="1"/>
  <c r="D81" i="1"/>
  <c r="D83" i="1"/>
  <c r="D82" i="1"/>
  <c r="D86" i="1"/>
  <c r="D80" i="1"/>
  <c r="D85" i="1"/>
  <c r="D79" i="1"/>
  <c r="D84" i="1"/>
  <c r="B74" i="1"/>
  <c r="J79" i="1" s="1"/>
  <c r="G107" i="1" l="1"/>
  <c r="G109" i="1" s="1"/>
  <c r="G110" i="1" s="1"/>
  <c r="D77" i="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<sst xmlns="http://schemas.openxmlformats.org/spreadsheetml/2006/main" count="547" uniqueCount="339">
  <si>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</si>
  <si>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</si>
  <si>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</si>
  <si>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</si>
  <si>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</si>
  <si>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</si>
  <si>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</si>
  <si>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</si>
  <si>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</si>
  <si>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</si>
  <si>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</si>
  <si>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</si>
  <si>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</si>
  <si>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</si>
  <si>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</si>
  <si>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</si>
  <si>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</si>
  <si>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</si>
  <si>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</si>
  <si>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</si>
  <si>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</si>
  <si>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</si>
  <si>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</si>
  <si>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</si>
  <si>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</si>
  <si>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</si>
  <si>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</si>
  <si>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</si>
  <si>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</si>
  <si>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</si>
  <si>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</si>
  <si>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</si>
  <si>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</si>
  <si>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</si>
  <si>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</si>
  <si>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</si>
  <si>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</si>
  <si>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</si>
  <si>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</si>
  <si>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</si>
  <si>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</si>
  <si>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</si>
  <si>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</si>
  <si>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</si>
  <si>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</si>
  <si>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</si>
  <si>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</si>
  <si>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</si>
  <si>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</si>
  <si>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</si>
  <si>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</si>
  <si>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</si>
  <si>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</si>
  <si>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</si>
  <si>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</si>
  <si>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</si>
  <si>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</si>
  <si>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</si>
  <si>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</si>
  <si>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</si>
  <si>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</si>
  <si>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</si>
  <si>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</si>
  <si>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</si>
  <si>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</si>
  <si>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</si>
  <si>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</si>
  <si>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</si>
  <si>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</si>
  <si>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</si>
  <si>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</si>
  <si>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</si>
  <si>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</si>
  <si>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</si>
  <si>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</si>
  <si>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</si>
  <si>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</si>
  <si>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</si>
  <si>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</si>
  <si>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</si>
  <si>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</si>
  <si>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</si>
  <si>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</si>
  <si>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</si>
  <si>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</si>
  <si>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</si>
  <si>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</si>
  <si>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</si>
  <si>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</si>
  <si>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</si>
  <si>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</si>
  <si>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</si>
  <si>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</si>
  <si>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</si>
  <si>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</si>
  <si>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</si>
  <si>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</si>
  <si>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</si>
  <si>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</si>
  <si>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</si>
  <si>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</si>
  <si>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</si>
  <si>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</si>
  <si>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</si>
  <si>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</si>
  <si>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</si>
  <si>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</si>
  <si>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</si>
  <si>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</si>
  <si>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</si>
  <si>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</si>
  <si>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</si>
  <si>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</si>
  <si>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</si>
  <si>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</si>
  <si>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</si>
  <si>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</si>
  <si>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</si>
  <si>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</si>
  <si>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</si>
  <si>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</si>
  <si>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</si>
  <si>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</si>
  <si>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</si>
  <si>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</si>
  <si>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</si>
  <si>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</si>
  <si>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</si>
  <si>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</si>
  <si>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</si>
  <si>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</si>
  <si>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</si>
  <si>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</si>
  <si>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</si>
  <si>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</si>
  <si>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</si>
  <si>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</si>
  <si>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</si>
  <si>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</si>
  <si>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</si>
  <si>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</si>
  <si>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</si>
  <si>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</si>
  <si>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</si>
  <si>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</si>
  <si>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</si>
  <si>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</si>
  <si>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</si>
  <si>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</si>
  <si>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</si>
  <si>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</si>
  <si>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</si>
  <si>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</si>
  <si>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</si>
  <si>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</si>
  <si>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</si>
  <si>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</si>
  <si>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</si>
  <si>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</si>
  <si>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</si>
  <si>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</si>
  <si>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</si>
  <si>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</si>
  <si>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</si>
  <si>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</si>
  <si>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</si>
  <si>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</si>
  <si>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</si>
  <si>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</si>
  <si>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</si>
  <si>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</si>
  <si>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</si>
  <si>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</si>
  <si>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</si>
  <si>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</si>
  <si>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</si>
  <si>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</si>
  <si>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</si>
  <si>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</si>
  <si>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</si>
  <si>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</si>
  <si>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</si>
  <si>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</si>
  <si>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</si>
  <si>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</si>
  <si>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</si>
  <si>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</si>
  <si>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</si>
  <si>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</si>
  <si>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</si>
  <si>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</si>
  <si>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</si>
  <si>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</si>
  <si>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</si>
  <si>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</si>
  <si>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</si>
  <si>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</si>
  <si>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</si>
  <si>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</si>
  <si>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</si>
  <si>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</si>
  <si>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</si>
  <si>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</si>
  <si>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</si>
  <si>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</si>
  <si>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</si>
  <si>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</si>
  <si>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</si>
  <si>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</si>
  <si>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</si>
  <si>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</si>
  <si>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</si>
  <si>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</si>
  <si>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</si>
  <si>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</si>
  <si>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</si>
  <si>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</si>
  <si>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</si>
  <si>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</si>
  <si>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</si>
  <si>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</si>
  <si>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</si>
  <si>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</si>
  <si>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</si>
  <si>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</si>
  <si>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</si>
  <si>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</si>
  <si>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</si>
  <si>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</si>
  <si>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</si>
  <si>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</si>
  <si>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</si>
  <si>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</si>
  <si>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</si>
  <si>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</si>
  <si>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</si>
  <si>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</si>
  <si>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</si>
  <si>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</si>
  <si>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</si>
  <si>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</si>
  <si>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</si>
  <si>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</si>
  <si>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</si>
  <si>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</si>
  <si>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</si>
  <si>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</si>
  <si>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</si>
  <si>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</si>
  <si>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</si>
  <si>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</si>
  <si>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</si>
  <si>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</si>
  <si>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</si>
  <si>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</si>
  <si>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</si>
  <si>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</si>
  <si>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</si>
  <si>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</si>
  <si>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</si>
  <si>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</si>
  <si>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</si>
  <si>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</si>
  <si>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</si>
  <si>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</si>
  <si>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</si>
  <si>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</si>
  <si>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</si>
  <si>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</si>
  <si>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</si>
  <si>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</si>
  <si>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</si>
  <si>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</si>
  <si>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</si>
  <si>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</si>
  <si>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</si>
  <si>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</si>
  <si>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</si>
  <si>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</si>
  <si>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</si>
  <si>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</si>
  <si>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</si>
  <si>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</si>
  <si>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</si>
  <si>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</si>
  <si>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</si>
  <si>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</si>
  <si>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</si>
  <si>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</si>
  <si>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</si>
  <si>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</si>
  <si>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</si>
  <si>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</si>
  <si>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</si>
  <si>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P52000052573</t>
  </si>
  <si>
    <t xml:space="preserve">Future Buildcon
</t>
  </si>
  <si>
    <t>Future Landmark</t>
  </si>
  <si>
    <t>Plot No</t>
  </si>
  <si>
    <t>4A, Sector 11</t>
  </si>
  <si>
    <t>Panvel West</t>
  </si>
  <si>
    <t>Khandacolony</t>
  </si>
  <si>
    <t>Internal Rd</t>
  </si>
  <si>
    <t>Bhagubai Changu Thakur College of Law</t>
  </si>
  <si>
    <t>2.1KM from Khandeshwar Railway Station</t>
  </si>
  <si>
    <t>Open Plot</t>
  </si>
  <si>
    <t>ST Govt Boys Hostel</t>
  </si>
  <si>
    <t>Bhagubai Changu Thakur College</t>
  </si>
  <si>
    <t>Plot No. 6</t>
  </si>
  <si>
    <t>20M Wide Rd/Hostel</t>
  </si>
  <si>
    <t>Hostel</t>
  </si>
  <si>
    <t>Plot No. 4</t>
  </si>
  <si>
    <t>https://maps.app.goo.gl/367c16pAFzQtUWe58</t>
  </si>
  <si>
    <t>As per RERA - 31/03/2026</t>
  </si>
  <si>
    <r>
      <t xml:space="preserve">Proposed Amenities :                                                                                                                                                                                                                         </t>
    </r>
    <r>
      <rPr>
        <b/>
        <sz val="12"/>
        <rFont val="Times New Roman"/>
        <family val="1"/>
      </rPr>
      <t xml:space="preserve">                                               </t>
    </r>
  </si>
  <si>
    <t>Fitness Center</t>
  </si>
  <si>
    <t xml:space="preserve">Details of Residential in Building   </t>
  </si>
  <si>
    <t>Ground Floor For Entrance Lobby &amp; parking</t>
  </si>
  <si>
    <t>1st Floor For Residential &amp; Fitness Center</t>
  </si>
  <si>
    <t>1BHK</t>
  </si>
  <si>
    <t>2BHK</t>
  </si>
  <si>
    <t>Chajja Area</t>
  </si>
  <si>
    <t>2nd Floor For Residential &amp; Drivers Room</t>
  </si>
  <si>
    <t>Flats</t>
  </si>
  <si>
    <t>We considered Gross carpet area = Net carpet + Chajja Area.</t>
  </si>
  <si>
    <t>Gr + 1st to 7th Floor</t>
  </si>
  <si>
    <t>19.002531,73.112019</t>
  </si>
  <si>
    <t>8500 to 9000</t>
  </si>
  <si>
    <t>Approved Plans, CC, Cost Sheet.</t>
  </si>
  <si>
    <t>Total Permissible Builtup area of the project (Sq.Mt)</t>
  </si>
  <si>
    <t>CARPC/RB/2024/APL/00076</t>
  </si>
  <si>
    <t>Gr/Stilt + 1st to 6th Floor</t>
  </si>
  <si>
    <t>4th &amp; 5th Floor</t>
  </si>
  <si>
    <t>6th Floor</t>
  </si>
  <si>
    <t>Flats - 41</t>
  </si>
  <si>
    <t>We have updated latest approved floor plans &amp; CC (On 28/03/2024).</t>
  </si>
  <si>
    <t>3rd Floor (Part Terrace Area)</t>
  </si>
  <si>
    <t>Mayur Ranvare</t>
  </si>
  <si>
    <t>Construction work increased as compared to last visit, But no active work found at the time of visit.</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</si>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</sst>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7" fillId="0" borderId="1" xfId="1" applyNumberFormat="1" applyFont="1" applyBorder="1" applyAlignment="1">
      <alignment horizontal="center" vertical="center"/>
    </xf>
    <xf numFmtId="9" fontId="13" fillId="0" borderId="15"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12"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20"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277342</xdr:colOff>
      <xdr:row>263</xdr:row>
      <xdr:rowOff>180975</xdr:rowOff>
    </xdr:from>
    <xdr:to>
      <xdr:col>7</xdr:col>
      <xdr:colOff>40819</xdr:colOff>
      <xdr:row>278</xdr:row>
      <xdr:rowOff>60600</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62202" y="49048035"/>
          <a:ext cx="4708857" cy="2851425"/>
        </a:xfrm>
        <a:prstGeom prst="rect">
          <a:avLst/>
        </a:prstGeom>
        <a:ln>
          <a:solidFill>
            <a:schemeClr val="tx1"/>
          </a:solidFill>
        </a:ln>
      </xdr:spPr>
    </xdr:pic>
    <xdr:clientData/>
  </xdr:twoCellAnchor>
  <xdr:twoCellAnchor editAs="oneCell">
    <xdr:from>
      <xdr:col>0</xdr:col>
      <xdr:colOff>192405</xdr:colOff>
      <xdr:row>278</xdr:row>
      <xdr:rowOff>167675</xdr:rowOff>
    </xdr:from>
    <xdr:to>
      <xdr:col>7</xdr:col>
      <xdr:colOff>571523</xdr:colOff>
      <xdr:row>297</xdr:row>
      <xdr:rowOff>147200</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2405" y="52006535"/>
          <a:ext cx="6109358" cy="3743805"/>
        </a:xfrm>
        <a:prstGeom prst="rect">
          <a:avLst/>
        </a:prstGeom>
        <a:ln>
          <a:solidFill>
            <a:schemeClr val="tx1"/>
          </a:solidFill>
        </a:ln>
      </xdr:spPr>
    </xdr:pic>
    <xdr:clientData/>
  </xdr:twoCellAnchor>
  <xdr:twoCellAnchor>
    <xdr:from>
      <xdr:col>3</xdr:col>
      <xdr:colOff>897256</xdr:colOff>
      <xdr:row>285</xdr:row>
      <xdr:rowOff>142875</xdr:rowOff>
    </xdr:from>
    <xdr:to>
      <xdr:col>4</xdr:col>
      <xdr:colOff>763906</xdr:colOff>
      <xdr:row>288</xdr:row>
      <xdr:rowOff>66675</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3373756" y="53368575"/>
          <a:ext cx="803910" cy="51816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295275</xdr:colOff>
      <xdr:row>229</xdr:row>
      <xdr:rowOff>0</xdr:rowOff>
    </xdr:from>
    <xdr:to>
      <xdr:col>7</xdr:col>
      <xdr:colOff>329626</xdr:colOff>
      <xdr:row>250</xdr:row>
      <xdr:rowOff>119475</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295275" y="41633775"/>
          <a:ext cx="5616001" cy="4320000"/>
        </a:xfrm>
        <a:prstGeom prst="rect">
          <a:avLst/>
        </a:prstGeom>
        <a:ln>
          <a:solidFill>
            <a:schemeClr val="tx1"/>
          </a:solidFill>
        </a:ln>
      </xdr:spPr>
    </xdr:pic>
    <xdr:clientData/>
  </xdr:twoCellAnchor>
  <xdr:twoCellAnchor>
    <xdr:from>
      <xdr:col>3</xdr:col>
      <xdr:colOff>361950</xdr:colOff>
      <xdr:row>236</xdr:row>
      <xdr:rowOff>57150</xdr:rowOff>
    </xdr:from>
    <xdr:to>
      <xdr:col>4</xdr:col>
      <xdr:colOff>123825</xdr:colOff>
      <xdr:row>238</xdr:row>
      <xdr:rowOff>28575</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2771775" y="43091100"/>
          <a:ext cx="676275" cy="3714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10</xdr:col>
      <xdr:colOff>171091</xdr:colOff>
      <xdr:row>36</xdr:row>
      <xdr:rowOff>36302</xdr:rowOff>
    </xdr:from>
    <xdr:to>
      <xdr:col>13</xdr:col>
      <xdr:colOff>403091</xdr:colOff>
      <xdr:row>45</xdr:row>
      <xdr:rowOff>36077</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410216" y="8456402"/>
          <a:ext cx="2651350" cy="1800000"/>
        </a:xfrm>
        <a:prstGeom prst="rect">
          <a:avLst/>
        </a:prstGeom>
        <a:ln>
          <a:solidFill>
            <a:schemeClr val="tx1"/>
          </a:solidFill>
        </a:ln>
      </xdr:spPr>
    </xdr:pic>
    <xdr:clientData/>
  </xdr:twoCellAnchor>
  <xdr:twoCellAnchor editAs="oneCell">
    <xdr:from>
      <xdr:col>8</xdr:col>
      <xdr:colOff>200025</xdr:colOff>
      <xdr:row>13</xdr:row>
      <xdr:rowOff>86082</xdr:rowOff>
    </xdr:from>
    <xdr:to>
      <xdr:col>13</xdr:col>
      <xdr:colOff>721923</xdr:colOff>
      <xdr:row>22</xdr:row>
      <xdr:rowOff>35582</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6515100" y="3067407"/>
          <a:ext cx="4865298" cy="2587925"/>
        </a:xfrm>
        <a:prstGeom prst="rect">
          <a:avLst/>
        </a:prstGeom>
        <a:ln>
          <a:solidFill>
            <a:schemeClr val="tx1"/>
          </a:solidFill>
        </a:ln>
      </xdr:spPr>
    </xdr:pic>
    <xdr:clientData/>
  </xdr:twoCellAnchor>
  <xdr:twoCellAnchor editAs="oneCell">
    <xdr:from>
      <xdr:col>9</xdr:col>
      <xdr:colOff>225425</xdr:colOff>
      <xdr:row>127</xdr:row>
      <xdr:rowOff>174625</xdr:rowOff>
    </xdr:from>
    <xdr:to>
      <xdr:col>14</xdr:col>
      <xdr:colOff>654248</xdr:colOff>
      <xdr:row>145</xdr:row>
      <xdr:rowOff>174175</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7702550" y="22072600"/>
          <a:ext cx="4448373" cy="3600000"/>
        </a:xfrm>
        <a:prstGeom prst="rect">
          <a:avLst/>
        </a:prstGeom>
        <a:ln>
          <a:solidFill>
            <a:schemeClr val="tx1"/>
          </a:solidFill>
        </a:ln>
      </xdr:spPr>
    </xdr:pic>
    <xdr:clientData/>
  </xdr:twoCellAnchor>
  <xdr:twoCellAnchor editAs="oneCell">
    <xdr:from>
      <xdr:col>8</xdr:col>
      <xdr:colOff>752475</xdr:colOff>
      <xdr:row>46</xdr:row>
      <xdr:rowOff>57150</xdr:rowOff>
    </xdr:from>
    <xdr:to>
      <xdr:col>15</xdr:col>
      <xdr:colOff>350137</xdr:colOff>
      <xdr:row>69</xdr:row>
      <xdr:rowOff>28125</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7067550" y="10477500"/>
          <a:ext cx="5588887" cy="3600000"/>
        </a:xfrm>
        <a:prstGeom prst="rect">
          <a:avLst/>
        </a:prstGeom>
        <a:ln>
          <a:solidFill>
            <a:schemeClr val="tx1"/>
          </a:solidFill>
        </a:ln>
      </xdr:spPr>
    </xdr:pic>
    <xdr:clientData/>
  </xdr:twoCellAnchor>
  <xdr:twoCellAnchor>
    <xdr:from>
      <xdr:col>8</xdr:col>
      <xdr:colOff>1059181</xdr:colOff>
      <xdr:row>185</xdr:row>
      <xdr:rowOff>144780</xdr:rowOff>
    </xdr:from>
    <xdr:to>
      <xdr:col>16</xdr:col>
      <xdr:colOff>76200</xdr:colOff>
      <xdr:row>224</xdr:row>
      <xdr:rowOff>45720</xdr:rowOff>
    </xdr:to>
    <xdr:grpSp>
      <xdr:nvGrpSpPr>
        <xdr:cNvPr id="2" name="Group 1">
          <a:extLst>
            <a:ext uri="{FF2B5EF4-FFF2-40B4-BE49-F238E27FC236}">
              <a16:creationId xmlns:a16="http://schemas.microsoft.com/office/drawing/2014/main" id="{5EC064ED-BFF8-57BD-1E86-8E8B098ECBFB}"/>
            </a:ext>
          </a:extLst>
        </xdr:cNvPr>
        <xdr:cNvGrpSpPr/>
      </xdr:nvGrpSpPr>
      <xdr:grpSpPr>
        <a:xfrm>
          <a:off x="7543801" y="34023300"/>
          <a:ext cx="5981699" cy="7620000"/>
          <a:chOff x="259248" y="626723"/>
          <a:chExt cx="6443931" cy="7302805"/>
        </a:xfrm>
      </xdr:grpSpPr>
      <xdr:pic>
        <xdr:nvPicPr>
          <xdr:cNvPr id="3" name="Picture 2">
            <a:extLst>
              <a:ext uri="{FF2B5EF4-FFF2-40B4-BE49-F238E27FC236}">
                <a16:creationId xmlns:a16="http://schemas.microsoft.com/office/drawing/2014/main" id="{C178E371-9638-8765-8B1C-B84D3C32813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32143" y="626723"/>
            <a:ext cx="2770634" cy="3697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906DCF69-1B39-0B8F-BADA-A0D1F9E09F2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919423" y="4458176"/>
            <a:ext cx="1517563" cy="20252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9187D782-8B9A-D972-9AF6-F74967667B0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60095" y="4458176"/>
            <a:ext cx="1517563" cy="20252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A323D4E6-F522-7EB9-7488-044FB2A58EE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452649" y="6617318"/>
            <a:ext cx="1747995" cy="13122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C92A58BF-2CE8-592F-A458-44526252789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2307959" y="6617318"/>
            <a:ext cx="983246" cy="13122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2643A9A6-8130-536E-E988-ECBEB3E7269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9248" y="4458176"/>
            <a:ext cx="1517563" cy="20252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2599E3BE-3DDE-98EF-C94C-0AA6C982ADE3}"/>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185616" y="4458176"/>
            <a:ext cx="1517563" cy="20252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8D5EE504-757A-AC9E-CF15-753D35B073A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flipH="1">
            <a:off x="3393506" y="6617318"/>
            <a:ext cx="983246" cy="13122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E17FAC15-5C7D-5AE1-544B-E5EAF030F8A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4461465" y="6617318"/>
            <a:ext cx="1747995" cy="13122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BF6442AB-DECA-D458-0085-50689551A2E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560095" y="626723"/>
            <a:ext cx="2770634" cy="3697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297180</xdr:colOff>
      <xdr:row>186</xdr:row>
      <xdr:rowOff>22860</xdr:rowOff>
    </xdr:from>
    <xdr:to>
      <xdr:col>7</xdr:col>
      <xdr:colOff>472440</xdr:colOff>
      <xdr:row>224</xdr:row>
      <xdr:rowOff>182880</xdr:rowOff>
    </xdr:to>
    <xdr:grpSp>
      <xdr:nvGrpSpPr>
        <xdr:cNvPr id="13" name="Group 12">
          <a:extLst>
            <a:ext uri="{FF2B5EF4-FFF2-40B4-BE49-F238E27FC236}">
              <a16:creationId xmlns:a16="http://schemas.microsoft.com/office/drawing/2014/main" id="{87F1B6B2-BAB4-794A-9AB2-0AB017860010}"/>
            </a:ext>
          </a:extLst>
        </xdr:cNvPr>
        <xdr:cNvGrpSpPr/>
      </xdr:nvGrpSpPr>
      <xdr:grpSpPr>
        <a:xfrm>
          <a:off x="297180" y="34099500"/>
          <a:ext cx="5905500" cy="7680960"/>
          <a:chOff x="405640" y="201372"/>
          <a:chExt cx="5903360" cy="8084258"/>
        </a:xfrm>
      </xdr:grpSpPr>
      <xdr:grpSp>
        <xdr:nvGrpSpPr>
          <xdr:cNvPr id="14" name="Group 13">
            <a:extLst>
              <a:ext uri="{FF2B5EF4-FFF2-40B4-BE49-F238E27FC236}">
                <a16:creationId xmlns:a16="http://schemas.microsoft.com/office/drawing/2014/main" id="{4B5B0328-FC67-96B2-B6B4-4DEA404D58C6}"/>
              </a:ext>
            </a:extLst>
          </xdr:cNvPr>
          <xdr:cNvGrpSpPr/>
        </xdr:nvGrpSpPr>
        <xdr:grpSpPr>
          <a:xfrm>
            <a:off x="751652" y="4177520"/>
            <a:ext cx="5211337" cy="2160000"/>
            <a:chOff x="1097663" y="4202234"/>
            <a:chExt cx="5211337" cy="2160000"/>
          </a:xfrm>
          <a:solidFill>
            <a:schemeClr val="tx1"/>
          </a:solidFill>
        </xdr:grpSpPr>
        <xdr:pic>
          <xdr:nvPicPr>
            <xdr:cNvPr id="40" name="Picture 39">
              <a:extLst>
                <a:ext uri="{FF2B5EF4-FFF2-40B4-BE49-F238E27FC236}">
                  <a16:creationId xmlns:a16="http://schemas.microsoft.com/office/drawing/2014/main" id="{67137F29-A282-0B56-ECE4-9610AF0435C7}"/>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1097663" y="4202234"/>
              <a:ext cx="1625063" cy="2160000"/>
            </a:xfrm>
            <a:prstGeom prst="rect">
              <a:avLst/>
            </a:prstGeom>
            <a:grpFill/>
            <a:ln>
              <a:solidFill>
                <a:schemeClr val="tx1"/>
              </a:solidFill>
            </a:ln>
          </xdr:spPr>
        </xdr:pic>
        <xdr:pic>
          <xdr:nvPicPr>
            <xdr:cNvPr id="41" name="Picture 40">
              <a:extLst>
                <a:ext uri="{FF2B5EF4-FFF2-40B4-BE49-F238E27FC236}">
                  <a16:creationId xmlns:a16="http://schemas.microsoft.com/office/drawing/2014/main" id="{603DDB1D-B469-7635-DF7E-F904A8168116}"/>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890800" y="4202234"/>
              <a:ext cx="1625063" cy="2160000"/>
            </a:xfrm>
            <a:prstGeom prst="rect">
              <a:avLst/>
            </a:prstGeom>
            <a:grpFill/>
            <a:ln>
              <a:solidFill>
                <a:schemeClr val="tx1"/>
              </a:solidFill>
            </a:ln>
          </xdr:spPr>
        </xdr:pic>
        <xdr:pic>
          <xdr:nvPicPr>
            <xdr:cNvPr id="42" name="Picture 41">
              <a:extLst>
                <a:ext uri="{FF2B5EF4-FFF2-40B4-BE49-F238E27FC236}">
                  <a16:creationId xmlns:a16="http://schemas.microsoft.com/office/drawing/2014/main" id="{7692DFF9-C69C-69DF-865B-2F79F645C85A}"/>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4683937" y="4202234"/>
              <a:ext cx="1625063" cy="2160000"/>
            </a:xfrm>
            <a:prstGeom prst="rect">
              <a:avLst/>
            </a:prstGeom>
            <a:grpFill/>
            <a:ln>
              <a:solidFill>
                <a:schemeClr val="tx1"/>
              </a:solidFill>
            </a:ln>
          </xdr:spPr>
        </xdr:pic>
      </xdr:grpSp>
      <xdr:grpSp>
        <xdr:nvGrpSpPr>
          <xdr:cNvPr id="15" name="Group 14">
            <a:extLst>
              <a:ext uri="{FF2B5EF4-FFF2-40B4-BE49-F238E27FC236}">
                <a16:creationId xmlns:a16="http://schemas.microsoft.com/office/drawing/2014/main" id="{274DF67C-BC7D-AF7D-EC5B-CE0F049F1FB6}"/>
              </a:ext>
            </a:extLst>
          </xdr:cNvPr>
          <xdr:cNvGrpSpPr/>
        </xdr:nvGrpSpPr>
        <xdr:grpSpPr>
          <a:xfrm>
            <a:off x="405640" y="201372"/>
            <a:ext cx="5903360" cy="3828038"/>
            <a:chOff x="405640" y="201372"/>
            <a:chExt cx="5903360" cy="3828038"/>
          </a:xfrm>
          <a:solidFill>
            <a:schemeClr val="tx1"/>
          </a:solidFill>
        </xdr:grpSpPr>
        <xdr:pic>
          <xdr:nvPicPr>
            <xdr:cNvPr id="38" name="Picture 37">
              <a:extLst>
                <a:ext uri="{FF2B5EF4-FFF2-40B4-BE49-F238E27FC236}">
                  <a16:creationId xmlns:a16="http://schemas.microsoft.com/office/drawing/2014/main" id="{632C3D9A-58B0-01F6-E058-C9CEB6483827}"/>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405640" y="201372"/>
              <a:ext cx="2880000" cy="3828038"/>
            </a:xfrm>
            <a:prstGeom prst="rect">
              <a:avLst/>
            </a:prstGeom>
            <a:grpFill/>
            <a:ln>
              <a:solidFill>
                <a:schemeClr val="tx1"/>
              </a:solidFill>
            </a:ln>
          </xdr:spPr>
        </xdr:pic>
        <xdr:pic>
          <xdr:nvPicPr>
            <xdr:cNvPr id="39" name="Picture 38">
              <a:extLst>
                <a:ext uri="{FF2B5EF4-FFF2-40B4-BE49-F238E27FC236}">
                  <a16:creationId xmlns:a16="http://schemas.microsoft.com/office/drawing/2014/main" id="{5042905D-7639-06C2-9E75-5DDBFCA6E29C}"/>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3429000" y="201372"/>
              <a:ext cx="2880000" cy="3828038"/>
            </a:xfrm>
            <a:prstGeom prst="rect">
              <a:avLst/>
            </a:prstGeom>
            <a:grpFill/>
            <a:ln>
              <a:solidFill>
                <a:schemeClr val="tx1"/>
              </a:solidFill>
            </a:ln>
          </xdr:spPr>
        </xdr:pic>
      </xdr:grpSp>
      <xdr:grpSp>
        <xdr:nvGrpSpPr>
          <xdr:cNvPr id="17" name="Group 16">
            <a:extLst>
              <a:ext uri="{FF2B5EF4-FFF2-40B4-BE49-F238E27FC236}">
                <a16:creationId xmlns:a16="http://schemas.microsoft.com/office/drawing/2014/main" id="{9CB4FC6D-83F5-47DF-DC7B-2204F8321E0A}"/>
              </a:ext>
            </a:extLst>
          </xdr:cNvPr>
          <xdr:cNvGrpSpPr/>
        </xdr:nvGrpSpPr>
        <xdr:grpSpPr>
          <a:xfrm>
            <a:off x="1156462" y="6484134"/>
            <a:ext cx="4401716" cy="1801496"/>
            <a:chOff x="1089907" y="6484134"/>
            <a:chExt cx="4401716" cy="1801496"/>
          </a:xfrm>
        </xdr:grpSpPr>
        <xdr:pic>
          <xdr:nvPicPr>
            <xdr:cNvPr id="35" name="Picture 34">
              <a:extLst>
                <a:ext uri="{FF2B5EF4-FFF2-40B4-BE49-F238E27FC236}">
                  <a16:creationId xmlns:a16="http://schemas.microsoft.com/office/drawing/2014/main" id="{3C9A4381-D476-9045-E725-A37E218E0FB0}"/>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2616468" y="6484134"/>
              <a:ext cx="1348594" cy="1800000"/>
            </a:xfrm>
            <a:prstGeom prst="rect">
              <a:avLst/>
            </a:prstGeom>
            <a:solidFill>
              <a:schemeClr val="tx1"/>
            </a:solidFill>
            <a:ln>
              <a:solidFill>
                <a:schemeClr val="tx1"/>
              </a:solidFill>
            </a:ln>
          </xdr:spPr>
        </xdr:pic>
        <xdr:pic>
          <xdr:nvPicPr>
            <xdr:cNvPr id="36" name="Picture 35">
              <a:extLst>
                <a:ext uri="{FF2B5EF4-FFF2-40B4-BE49-F238E27FC236}">
                  <a16:creationId xmlns:a16="http://schemas.microsoft.com/office/drawing/2014/main" id="{213E7F59-7972-023F-F324-71D9C7DEE4D2}"/>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4137404" y="6484134"/>
              <a:ext cx="1354219" cy="1800000"/>
            </a:xfrm>
            <a:prstGeom prst="rect">
              <a:avLst/>
            </a:prstGeom>
            <a:solidFill>
              <a:schemeClr val="tx1"/>
            </a:solidFill>
            <a:ln>
              <a:solidFill>
                <a:schemeClr val="tx1"/>
              </a:solidFill>
            </a:ln>
          </xdr:spPr>
        </xdr:pic>
        <xdr:pic>
          <xdr:nvPicPr>
            <xdr:cNvPr id="37" name="Picture 36">
              <a:extLst>
                <a:ext uri="{FF2B5EF4-FFF2-40B4-BE49-F238E27FC236}">
                  <a16:creationId xmlns:a16="http://schemas.microsoft.com/office/drawing/2014/main" id="{6E4F9914-37E1-B276-2FC6-5CBB9C937BDF}"/>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1089907" y="6485630"/>
              <a:ext cx="1354219" cy="1800000"/>
            </a:xfrm>
            <a:prstGeom prst="rect">
              <a:avLst/>
            </a:prstGeom>
            <a:solidFill>
              <a:schemeClr val="tx1"/>
            </a:solidFill>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367c16pAFzQtUWe5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63"/>
  <sheetViews>
    <sheetView tabSelected="1" view="pageBreakPreview" zoomScaleNormal="100" zoomScaleSheetLayoutView="100" zoomScalePageLayoutView="85" workbookViewId="0">
      <selection activeCell="I6" sqref="I6"/>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59" t="s">
        <v>162</v>
      </c>
      <c r="B1" s="159"/>
      <c r="C1" s="159"/>
      <c r="D1" s="159"/>
      <c r="E1" s="159"/>
      <c r="F1" s="159"/>
      <c r="G1" s="159"/>
      <c r="H1" s="159"/>
    </row>
    <row r="2" spans="1:26" ht="16.5" customHeight="1" x14ac:dyDescent="0.3">
      <c r="A2" s="160" t="s">
        <v>0</v>
      </c>
      <c r="B2" s="160"/>
      <c r="C2" s="160"/>
      <c r="D2" s="160"/>
      <c r="E2" s="160"/>
      <c r="F2" s="160"/>
      <c r="G2" s="160"/>
      <c r="H2" s="160"/>
    </row>
    <row r="3" spans="1:26" x14ac:dyDescent="0.3">
      <c r="A3" s="121" t="s">
        <v>1</v>
      </c>
      <c r="B3" s="121"/>
      <c r="C3" s="121"/>
      <c r="D3" s="121"/>
      <c r="E3" s="121" t="str">
        <f ca="1">TEXT(TODAY(),"DD/MM/YYYY")</f>
        <v>11/09/2025</v>
      </c>
      <c r="F3" s="121"/>
      <c r="G3" s="121"/>
      <c r="H3" s="121"/>
      <c r="K3" s="56" t="s">
        <v>232</v>
      </c>
      <c r="L3" s="53" t="s">
        <v>230</v>
      </c>
      <c r="M3" s="53" t="s">
        <v>235</v>
      </c>
      <c r="N3" s="53" t="s">
        <v>233</v>
      </c>
      <c r="O3" s="53" t="s">
        <v>234</v>
      </c>
      <c r="P3" s="53" t="s">
        <v>236</v>
      </c>
    </row>
    <row r="4" spans="1:26" ht="15" customHeight="1" x14ac:dyDescent="0.3">
      <c r="A4" s="121" t="s">
        <v>229</v>
      </c>
      <c r="B4" s="121"/>
      <c r="C4" s="121"/>
      <c r="D4" s="121"/>
      <c r="E4" s="121" t="s">
        <v>230</v>
      </c>
      <c r="F4" s="121"/>
      <c r="G4" s="121"/>
      <c r="H4" s="121"/>
      <c r="K4" s="52" t="s">
        <v>231</v>
      </c>
      <c r="L4" s="53" t="s">
        <v>168</v>
      </c>
      <c r="M4" s="53" t="s">
        <v>240</v>
      </c>
      <c r="N4" s="53" t="s">
        <v>242</v>
      </c>
      <c r="O4" s="53" t="s">
        <v>244</v>
      </c>
      <c r="P4" s="53"/>
    </row>
    <row r="5" spans="1:26" ht="15" customHeight="1" x14ac:dyDescent="0.3">
      <c r="A5" s="121" t="s">
        <v>2</v>
      </c>
      <c r="B5" s="121"/>
      <c r="C5" s="121"/>
      <c r="D5" s="121"/>
      <c r="E5" s="121" t="s">
        <v>238</v>
      </c>
      <c r="F5" s="121"/>
      <c r="G5" s="121"/>
      <c r="H5" s="121"/>
      <c r="K5" s="52"/>
      <c r="L5" s="53" t="s">
        <v>237</v>
      </c>
      <c r="M5" s="53" t="s">
        <v>241</v>
      </c>
      <c r="N5" s="53" t="s">
        <v>243</v>
      </c>
      <c r="O5" s="53" t="s">
        <v>245</v>
      </c>
      <c r="P5" s="53"/>
    </row>
    <row r="6" spans="1:26" x14ac:dyDescent="0.3">
      <c r="A6" s="121" t="s">
        <v>3</v>
      </c>
      <c r="B6" s="121"/>
      <c r="C6" s="121"/>
      <c r="D6" s="121"/>
      <c r="E6" s="161">
        <v>45910</v>
      </c>
      <c r="F6" s="121"/>
      <c r="G6" s="121"/>
      <c r="H6" s="121"/>
      <c r="K6" s="52"/>
      <c r="L6" s="53" t="s">
        <v>238</v>
      </c>
      <c r="M6" s="53"/>
      <c r="N6" s="53"/>
      <c r="O6" s="53" t="s">
        <v>246</v>
      </c>
      <c r="P6" s="53"/>
    </row>
    <row r="7" spans="1:26" ht="16.5" customHeight="1" x14ac:dyDescent="0.3">
      <c r="A7" s="121" t="s">
        <v>4</v>
      </c>
      <c r="B7" s="121"/>
      <c r="C7" s="121"/>
      <c r="D7" s="121"/>
      <c r="E7" s="106" t="s">
        <v>295</v>
      </c>
      <c r="F7" s="121"/>
      <c r="G7" s="121"/>
      <c r="H7" s="121"/>
      <c r="K7" s="52"/>
      <c r="L7" s="53" t="s">
        <v>239</v>
      </c>
      <c r="M7" s="53"/>
      <c r="N7" s="53"/>
      <c r="O7" s="53" t="s">
        <v>246</v>
      </c>
      <c r="P7" s="53"/>
    </row>
    <row r="8" spans="1:26" ht="15" customHeight="1" x14ac:dyDescent="0.3">
      <c r="A8" s="121" t="s">
        <v>5</v>
      </c>
      <c r="B8" s="121"/>
      <c r="C8" s="121"/>
      <c r="D8" s="121"/>
      <c r="E8" s="121" t="str">
        <f>E7</f>
        <v xml:space="preserve">Future Buildcon
</v>
      </c>
      <c r="F8" s="121"/>
      <c r="G8" s="121"/>
      <c r="H8" s="121"/>
      <c r="K8" s="52"/>
      <c r="L8" s="53"/>
      <c r="M8" s="53"/>
      <c r="N8" s="53"/>
      <c r="O8" s="53" t="s">
        <v>247</v>
      </c>
      <c r="P8" s="53"/>
    </row>
    <row r="9" spans="1:26" x14ac:dyDescent="0.3">
      <c r="A9" s="121" t="s">
        <v>6</v>
      </c>
      <c r="B9" s="121"/>
      <c r="C9" s="121"/>
      <c r="D9" s="121"/>
      <c r="E9" s="113" t="s">
        <v>296</v>
      </c>
      <c r="F9" s="113"/>
      <c r="G9" s="113"/>
      <c r="H9" s="113"/>
      <c r="K9" s="52"/>
      <c r="L9" s="53"/>
      <c r="M9" s="53"/>
      <c r="N9" s="53"/>
      <c r="O9" s="53" t="s">
        <v>248</v>
      </c>
      <c r="P9" s="53"/>
    </row>
    <row r="10" spans="1:26" x14ac:dyDescent="0.3">
      <c r="A10" s="121" t="s">
        <v>165</v>
      </c>
      <c r="B10" s="121"/>
      <c r="C10" s="121"/>
      <c r="D10" s="121"/>
      <c r="E10" s="121">
        <v>9819033354</v>
      </c>
      <c r="F10" s="121"/>
      <c r="G10" s="121"/>
      <c r="H10" s="121"/>
      <c r="K10" s="52"/>
      <c r="L10" s="53"/>
      <c r="M10" s="53"/>
      <c r="N10" s="53"/>
      <c r="O10" s="53"/>
      <c r="P10" s="53"/>
    </row>
    <row r="11" spans="1:26" x14ac:dyDescent="0.3">
      <c r="A11" s="121" t="s">
        <v>166</v>
      </c>
      <c r="B11" s="121"/>
      <c r="C11" s="121"/>
      <c r="D11" s="121"/>
      <c r="E11" s="121" t="s">
        <v>28</v>
      </c>
      <c r="F11" s="121"/>
      <c r="G11" s="121"/>
      <c r="H11" s="121"/>
    </row>
    <row r="12" spans="1:26" x14ac:dyDescent="0.3">
      <c r="A12" s="121" t="s">
        <v>7</v>
      </c>
      <c r="B12" s="121"/>
      <c r="C12" s="121"/>
      <c r="D12" s="121"/>
      <c r="E12" s="121" t="s">
        <v>119</v>
      </c>
      <c r="F12" s="121"/>
      <c r="G12" s="121"/>
      <c r="H12" s="121"/>
    </row>
    <row r="13" spans="1:26" x14ac:dyDescent="0.3">
      <c r="A13" s="121" t="s">
        <v>169</v>
      </c>
      <c r="B13" s="121"/>
      <c r="C13" s="121"/>
      <c r="D13" s="121"/>
      <c r="E13" s="121" t="s">
        <v>28</v>
      </c>
      <c r="F13" s="121"/>
      <c r="G13" s="121"/>
      <c r="H13" s="121"/>
      <c r="S13" s="53" t="s">
        <v>175</v>
      </c>
      <c r="T13" s="53" t="s">
        <v>185</v>
      </c>
      <c r="U13" s="53" t="s">
        <v>170</v>
      </c>
      <c r="V13" s="53" t="s">
        <v>190</v>
      </c>
      <c r="W13" s="53" t="s">
        <v>208</v>
      </c>
      <c r="X13"/>
      <c r="Y13" t="s">
        <v>190</v>
      </c>
      <c r="Z13" t="e">
        <f ca="1">OFFSET($S$13,1,MATCH($G20,$S$13:$W$13,0)-1,15,1)</f>
        <v>#VALUE!</v>
      </c>
    </row>
    <row r="14" spans="1:26" x14ac:dyDescent="0.3">
      <c r="A14" s="75" t="s">
        <v>275</v>
      </c>
      <c r="B14" s="75"/>
      <c r="C14" s="75"/>
      <c r="D14" s="75"/>
      <c r="E14" s="106" t="s">
        <v>327</v>
      </c>
      <c r="F14" s="106"/>
      <c r="G14" s="106"/>
      <c r="H14" s="106"/>
      <c r="S14" s="53" t="s">
        <v>176</v>
      </c>
      <c r="T14" s="53" t="s">
        <v>183</v>
      </c>
      <c r="U14" s="53" t="s">
        <v>205</v>
      </c>
      <c r="V14" s="53" t="s">
        <v>191</v>
      </c>
      <c r="W14" s="53" t="s">
        <v>209</v>
      </c>
      <c r="X14"/>
      <c r="Y14"/>
      <c r="Z14"/>
    </row>
    <row r="15" spans="1:26" x14ac:dyDescent="0.3">
      <c r="A15" s="75" t="s">
        <v>8</v>
      </c>
      <c r="B15" s="75"/>
      <c r="C15" s="75"/>
      <c r="D15" s="75"/>
      <c r="E15" s="106" t="s">
        <v>294</v>
      </c>
      <c r="F15" s="121"/>
      <c r="G15" s="121"/>
      <c r="H15" s="121"/>
      <c r="I15" s="187" t="e">
        <f ca="1">OFFSET($D$5,1,MATCH($J13,$D$5:$H$5,0)-1,15,1)</f>
        <v>#N/A</v>
      </c>
      <c r="J15" s="188"/>
      <c r="K15" s="188"/>
      <c r="L15" s="188"/>
      <c r="M15" s="188"/>
      <c r="N15" s="188"/>
      <c r="O15" s="188"/>
      <c r="P15" s="188"/>
      <c r="S15" s="53" t="s">
        <v>177</v>
      </c>
      <c r="T15" s="53" t="s">
        <v>184</v>
      </c>
      <c r="U15" s="53" t="s">
        <v>206</v>
      </c>
      <c r="V15" s="53" t="s">
        <v>192</v>
      </c>
      <c r="W15" s="53" t="s">
        <v>222</v>
      </c>
      <c r="X15"/>
      <c r="Y15"/>
      <c r="Z15"/>
    </row>
    <row r="16" spans="1:26" ht="50.25" customHeight="1" x14ac:dyDescent="0.3">
      <c r="A16" s="103" t="s">
        <v>9</v>
      </c>
      <c r="B16" s="103"/>
      <c r="C16" s="103" t="str">
        <f>CONCATENATE((IF(OR(E9="",E9="NA"),"",E9)),", ",(IF(OR(A17="",A17="NA"),"",A17)),".",(IF(OR(C17="",C17="NA"),"",C17)),", near ",(IF(OR(C22="",C22="NA"),"",C22)),", ",(IF(OR(C19="",C19="NA"),"",C19)),", ",(IF(OR(C18="",C18="NA"),"",C18)),", ",(IF(OR(G19="",G19="NA"),"",G19)),", ",(IF(OR(C20="",C20="NA"),"",C20)),", ",(IF(OR(C21="",C21="NA"),"",C21)),", ",(IF(OR(G20="",G20="NA"),"",G20))," - ",(IF(OR(G21="",G21="NA"),"",G21)),".")</f>
        <v>Future Landmark, Plot No.4A, Sector 11, near Bhagubai Changu Thakur College of Law, Internal Rd, Khandacolony, Panvel, Panvel West, Panvel, Raigad - 410206.</v>
      </c>
      <c r="D16" s="103"/>
      <c r="E16" s="103"/>
      <c r="F16" s="103"/>
      <c r="G16" s="103"/>
      <c r="H16" s="103"/>
      <c r="S16" s="53" t="s">
        <v>178</v>
      </c>
      <c r="T16" s="53" t="s">
        <v>186</v>
      </c>
      <c r="U16" s="53" t="s">
        <v>207</v>
      </c>
      <c r="V16" s="53" t="s">
        <v>193</v>
      </c>
      <c r="W16" s="53" t="s">
        <v>210</v>
      </c>
      <c r="X16"/>
      <c r="Y16"/>
      <c r="Z16"/>
    </row>
    <row r="17" spans="1:26" x14ac:dyDescent="0.3">
      <c r="A17" s="106" t="s">
        <v>297</v>
      </c>
      <c r="B17" s="106"/>
      <c r="C17" s="106" t="s">
        <v>298</v>
      </c>
      <c r="D17" s="106"/>
      <c r="E17" s="106"/>
      <c r="F17" s="106"/>
      <c r="G17" s="106"/>
      <c r="H17" s="106"/>
      <c r="S17" s="53" t="s">
        <v>179</v>
      </c>
      <c r="T17" s="53" t="s">
        <v>187</v>
      </c>
      <c r="U17" s="53" t="s">
        <v>170</v>
      </c>
      <c r="V17" s="53" t="s">
        <v>194</v>
      </c>
      <c r="W17" s="53" t="s">
        <v>211</v>
      </c>
      <c r="X17"/>
      <c r="Y17"/>
      <c r="Z17"/>
    </row>
    <row r="18" spans="1:26" ht="15.75" customHeight="1" x14ac:dyDescent="0.3">
      <c r="A18" s="106" t="s">
        <v>160</v>
      </c>
      <c r="B18" s="106"/>
      <c r="C18" s="106" t="s">
        <v>300</v>
      </c>
      <c r="D18" s="106"/>
      <c r="E18" s="106"/>
      <c r="F18" s="106"/>
      <c r="G18" s="106"/>
      <c r="H18" s="106"/>
      <c r="S18" s="53" t="s">
        <v>180</v>
      </c>
      <c r="T18" s="53" t="s">
        <v>185</v>
      </c>
      <c r="U18" s="53"/>
      <c r="V18" s="53" t="s">
        <v>195</v>
      </c>
      <c r="W18" s="53" t="s">
        <v>212</v>
      </c>
      <c r="X18"/>
      <c r="Y18"/>
      <c r="Z18"/>
    </row>
    <row r="19" spans="1:26" ht="15.75" customHeight="1" x14ac:dyDescent="0.3">
      <c r="A19" s="106" t="s">
        <v>10</v>
      </c>
      <c r="B19" s="106"/>
      <c r="C19" s="121" t="s">
        <v>301</v>
      </c>
      <c r="D19" s="121"/>
      <c r="E19" s="106" t="s">
        <v>70</v>
      </c>
      <c r="F19" s="106"/>
      <c r="G19" s="106" t="s">
        <v>192</v>
      </c>
      <c r="H19" s="106"/>
      <c r="S19" s="53" t="s">
        <v>181</v>
      </c>
      <c r="T19" s="53" t="s">
        <v>188</v>
      </c>
      <c r="U19" s="53"/>
      <c r="V19" s="53" t="s">
        <v>196</v>
      </c>
      <c r="W19" s="53" t="s">
        <v>213</v>
      </c>
      <c r="X19"/>
      <c r="Y19"/>
      <c r="Z19"/>
    </row>
    <row r="20" spans="1:26" x14ac:dyDescent="0.3">
      <c r="A20" s="121" t="s">
        <v>12</v>
      </c>
      <c r="B20" s="121"/>
      <c r="C20" s="106" t="s">
        <v>299</v>
      </c>
      <c r="D20" s="106"/>
      <c r="E20" s="106" t="s">
        <v>11</v>
      </c>
      <c r="F20" s="106"/>
      <c r="G20" s="158" t="s">
        <v>190</v>
      </c>
      <c r="H20" s="158"/>
      <c r="S20" s="53" t="s">
        <v>182</v>
      </c>
      <c r="T20" s="53" t="s">
        <v>189</v>
      </c>
      <c r="U20" s="53"/>
      <c r="V20" s="53" t="s">
        <v>197</v>
      </c>
      <c r="W20" s="53" t="s">
        <v>214</v>
      </c>
      <c r="X20"/>
      <c r="Y20"/>
      <c r="Z20"/>
    </row>
    <row r="21" spans="1:26" x14ac:dyDescent="0.3">
      <c r="A21" s="121" t="s">
        <v>71</v>
      </c>
      <c r="B21" s="121"/>
      <c r="C21" s="106" t="s">
        <v>192</v>
      </c>
      <c r="D21" s="106"/>
      <c r="E21" s="106" t="s">
        <v>13</v>
      </c>
      <c r="F21" s="106"/>
      <c r="G21" s="106">
        <v>410206</v>
      </c>
      <c r="H21" s="106"/>
      <c r="S21" s="53"/>
      <c r="T21" s="53"/>
      <c r="U21" s="53"/>
      <c r="V21" s="53" t="s">
        <v>198</v>
      </c>
      <c r="W21" s="53" t="s">
        <v>215</v>
      </c>
      <c r="X21"/>
      <c r="Y21"/>
      <c r="Z21"/>
    </row>
    <row r="22" spans="1:26" ht="47.25" customHeight="1" x14ac:dyDescent="0.3">
      <c r="A22" s="121" t="s">
        <v>120</v>
      </c>
      <c r="B22" s="121"/>
      <c r="C22" s="106" t="s">
        <v>302</v>
      </c>
      <c r="D22" s="106"/>
      <c r="E22" s="106" t="s">
        <v>14</v>
      </c>
      <c r="F22" s="106"/>
      <c r="G22" s="106" t="s">
        <v>303</v>
      </c>
      <c r="H22" s="106"/>
      <c r="S22" s="53"/>
      <c r="T22" s="53"/>
      <c r="U22" s="53"/>
      <c r="V22" s="53" t="s">
        <v>199</v>
      </c>
      <c r="W22" s="53" t="s">
        <v>216</v>
      </c>
      <c r="X22"/>
      <c r="Y22"/>
      <c r="Z22"/>
    </row>
    <row r="23" spans="1:26" ht="15" customHeight="1" x14ac:dyDescent="0.3">
      <c r="A23" s="103" t="s">
        <v>73</v>
      </c>
      <c r="B23" s="103"/>
      <c r="C23" s="103"/>
      <c r="D23" s="103"/>
      <c r="E23" s="121" t="s">
        <v>15</v>
      </c>
      <c r="F23" s="121"/>
      <c r="G23" s="121"/>
      <c r="H23" s="121"/>
      <c r="S23" s="53"/>
      <c r="T23" s="53"/>
      <c r="U23" s="53"/>
      <c r="V23" s="53" t="s">
        <v>200</v>
      </c>
      <c r="W23" s="53" t="s">
        <v>217</v>
      </c>
      <c r="X23"/>
      <c r="Y23"/>
      <c r="Z23"/>
    </row>
    <row r="24" spans="1:26" ht="18.75" customHeight="1" x14ac:dyDescent="0.3">
      <c r="A24" s="103"/>
      <c r="B24" s="103"/>
      <c r="C24" s="103"/>
      <c r="D24" s="103"/>
      <c r="E24" s="121"/>
      <c r="F24" s="121"/>
      <c r="G24" s="121"/>
      <c r="H24" s="121"/>
      <c r="S24" s="53"/>
      <c r="T24" s="53"/>
      <c r="U24" s="53"/>
      <c r="V24" s="53" t="s">
        <v>201</v>
      </c>
      <c r="W24" s="53" t="s">
        <v>218</v>
      </c>
      <c r="X24"/>
      <c r="Y24"/>
      <c r="Z24"/>
    </row>
    <row r="25" spans="1:26" ht="15" customHeight="1" x14ac:dyDescent="0.3">
      <c r="A25" s="103" t="s">
        <v>16</v>
      </c>
      <c r="B25" s="103"/>
      <c r="C25" s="103"/>
      <c r="D25" s="103"/>
      <c r="E25" s="106" t="s">
        <v>17</v>
      </c>
      <c r="F25" s="106"/>
      <c r="G25" s="106"/>
      <c r="H25" s="106"/>
      <c r="S25" s="53"/>
      <c r="T25" s="53"/>
      <c r="U25" s="53"/>
      <c r="V25" s="53" t="s">
        <v>202</v>
      </c>
      <c r="W25" s="53" t="s">
        <v>219</v>
      </c>
      <c r="X25"/>
      <c r="Y25"/>
      <c r="Z25"/>
    </row>
    <row r="26" spans="1:26" ht="15" customHeight="1" x14ac:dyDescent="0.3">
      <c r="A26" s="75" t="s">
        <v>18</v>
      </c>
      <c r="B26" s="75"/>
      <c r="C26" s="75"/>
      <c r="D26" s="75"/>
      <c r="E26" s="106" t="str">
        <f>IF(AND(G20="Mumbai"),"Upper Class","Middle Class")</f>
        <v>Middle Class</v>
      </c>
      <c r="F26" s="106"/>
      <c r="G26" s="106"/>
      <c r="H26" s="106"/>
      <c r="S26" s="53"/>
      <c r="T26" s="53"/>
      <c r="U26" s="53"/>
      <c r="V26" s="53" t="s">
        <v>203</v>
      </c>
      <c r="W26" s="53" t="s">
        <v>220</v>
      </c>
      <c r="X26"/>
      <c r="Y26"/>
      <c r="Z26"/>
    </row>
    <row r="27" spans="1:26" x14ac:dyDescent="0.3">
      <c r="A27" s="75" t="s">
        <v>19</v>
      </c>
      <c r="B27" s="75"/>
      <c r="C27" s="75"/>
      <c r="D27" s="75"/>
      <c r="E27" s="106" t="s">
        <v>20</v>
      </c>
      <c r="F27" s="106"/>
      <c r="G27" s="106"/>
      <c r="H27" s="106"/>
      <c r="S27" s="53"/>
      <c r="T27" s="53"/>
      <c r="U27" s="53"/>
      <c r="V27" s="53" t="s">
        <v>204</v>
      </c>
      <c r="W27" s="53" t="s">
        <v>221</v>
      </c>
      <c r="X27"/>
      <c r="Y27"/>
      <c r="Z27"/>
    </row>
    <row r="28" spans="1:26" ht="15.75" customHeight="1" x14ac:dyDescent="0.3">
      <c r="A28" s="75" t="s">
        <v>21</v>
      </c>
      <c r="B28" s="75"/>
      <c r="C28" s="75"/>
      <c r="D28" s="75"/>
      <c r="E28" s="106" t="str">
        <f>IF(AND(G20="Mumbai"),"Developed","Developing")</f>
        <v>Developing</v>
      </c>
      <c r="F28" s="106"/>
      <c r="G28" s="106"/>
      <c r="H28" s="106"/>
    </row>
    <row r="29" spans="1:26" x14ac:dyDescent="0.3">
      <c r="A29" s="75" t="s">
        <v>22</v>
      </c>
      <c r="B29" s="75"/>
      <c r="C29" s="75"/>
      <c r="D29" s="75"/>
      <c r="E29" s="106" t="s">
        <v>23</v>
      </c>
      <c r="F29" s="106"/>
      <c r="G29" s="106"/>
      <c r="H29" s="106"/>
    </row>
    <row r="30" spans="1:26" ht="15.75" customHeight="1" x14ac:dyDescent="0.3">
      <c r="A30" s="75" t="s">
        <v>78</v>
      </c>
      <c r="B30" s="75"/>
      <c r="C30" s="75"/>
      <c r="D30" s="75"/>
      <c r="E30" s="106" t="s">
        <v>79</v>
      </c>
      <c r="F30" s="106"/>
      <c r="G30" s="106"/>
      <c r="H30" s="106"/>
    </row>
    <row r="31" spans="1:26" ht="15" customHeight="1" x14ac:dyDescent="0.3">
      <c r="A31" s="75" t="s">
        <v>30</v>
      </c>
      <c r="B31" s="75"/>
      <c r="C31" s="75"/>
      <c r="D31" s="75"/>
      <c r="E31" s="10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6"/>
      <c r="G31" s="106"/>
      <c r="H31" s="106"/>
    </row>
    <row r="32" spans="1:26" ht="15.75" customHeight="1" x14ac:dyDescent="0.3">
      <c r="A32" s="75" t="s">
        <v>89</v>
      </c>
      <c r="B32" s="75"/>
      <c r="C32" s="75"/>
      <c r="D32" s="75"/>
      <c r="E32" s="106" t="s">
        <v>31</v>
      </c>
      <c r="F32" s="106"/>
      <c r="G32" s="106"/>
      <c r="H32" s="106"/>
    </row>
    <row r="33" spans="1:19" s="21" customFormat="1" x14ac:dyDescent="0.3">
      <c r="A33" s="157" t="s">
        <v>90</v>
      </c>
      <c r="B33" s="157"/>
      <c r="C33" s="154" t="s">
        <v>171</v>
      </c>
      <c r="D33" s="155"/>
      <c r="E33" s="156"/>
      <c r="F33" s="154" t="s">
        <v>29</v>
      </c>
      <c r="G33" s="155"/>
      <c r="H33" s="156"/>
      <c r="S33" s="21" t="e">
        <f ca="1">OFFSET($S$13,1,MATCH($G20,$S$13:$W$13,0)-1,15,1)</f>
        <v>#VALUE!</v>
      </c>
    </row>
    <row r="34" spans="1:19" s="21" customFormat="1" x14ac:dyDescent="0.3">
      <c r="A34" s="142" t="s">
        <v>24</v>
      </c>
      <c r="B34" s="142" t="s">
        <v>28</v>
      </c>
      <c r="C34" s="143" t="s">
        <v>307</v>
      </c>
      <c r="D34" s="144"/>
      <c r="E34" s="145"/>
      <c r="F34" s="143" t="s">
        <v>304</v>
      </c>
      <c r="G34" s="144"/>
      <c r="H34" s="145"/>
    </row>
    <row r="35" spans="1:19" x14ac:dyDescent="0.3">
      <c r="A35" s="142" t="s">
        <v>25</v>
      </c>
      <c r="B35" s="142" t="s">
        <v>28</v>
      </c>
      <c r="C35" s="143" t="s">
        <v>308</v>
      </c>
      <c r="D35" s="144"/>
      <c r="E35" s="145"/>
      <c r="F35" s="143" t="s">
        <v>301</v>
      </c>
      <c r="G35" s="144"/>
      <c r="H35" s="145"/>
    </row>
    <row r="36" spans="1:19" s="21" customFormat="1" x14ac:dyDescent="0.3">
      <c r="A36" s="142" t="s">
        <v>27</v>
      </c>
      <c r="B36" s="142" t="s">
        <v>28</v>
      </c>
      <c r="C36" s="143" t="s">
        <v>309</v>
      </c>
      <c r="D36" s="144"/>
      <c r="E36" s="145"/>
      <c r="F36" s="143" t="s">
        <v>305</v>
      </c>
      <c r="G36" s="144"/>
      <c r="H36" s="145"/>
    </row>
    <row r="37" spans="1:19" x14ac:dyDescent="0.3">
      <c r="A37" s="142" t="s">
        <v>26</v>
      </c>
      <c r="B37" s="142" t="s">
        <v>28</v>
      </c>
      <c r="C37" s="143" t="s">
        <v>310</v>
      </c>
      <c r="D37" s="144"/>
      <c r="E37" s="145"/>
      <c r="F37" s="143" t="s">
        <v>306</v>
      </c>
      <c r="G37" s="144"/>
      <c r="H37" s="145"/>
    </row>
    <row r="38" spans="1:19" x14ac:dyDescent="0.3">
      <c r="A38" s="75" t="s">
        <v>276</v>
      </c>
      <c r="B38" s="75"/>
      <c r="C38" s="75"/>
      <c r="D38" s="75"/>
      <c r="E38" s="75"/>
      <c r="F38" s="75"/>
      <c r="G38" s="75"/>
      <c r="H38" s="75"/>
    </row>
    <row r="39" spans="1:19" ht="15.75" customHeight="1" x14ac:dyDescent="0.3">
      <c r="A39" s="75" t="s">
        <v>163</v>
      </c>
      <c r="B39" s="75"/>
      <c r="C39" s="122" t="s">
        <v>325</v>
      </c>
      <c r="D39" s="122"/>
      <c r="E39" s="122"/>
      <c r="F39" s="122"/>
      <c r="G39" s="122"/>
      <c r="H39" s="122"/>
    </row>
    <row r="40" spans="1:19" x14ac:dyDescent="0.3">
      <c r="A40" s="75" t="s">
        <v>159</v>
      </c>
      <c r="B40" s="75"/>
      <c r="C40" s="105" t="s">
        <v>311</v>
      </c>
      <c r="D40" s="106"/>
      <c r="E40" s="106"/>
      <c r="F40" s="106"/>
      <c r="G40" s="106"/>
      <c r="H40" s="106"/>
    </row>
    <row r="41" spans="1:19" x14ac:dyDescent="0.3">
      <c r="A41" s="122" t="s">
        <v>32</v>
      </c>
      <c r="B41" s="122"/>
      <c r="C41" s="122"/>
      <c r="D41" s="122"/>
      <c r="E41" s="122"/>
      <c r="F41" s="122"/>
      <c r="G41" s="122"/>
      <c r="H41" s="122"/>
    </row>
    <row r="42" spans="1:19" x14ac:dyDescent="0.3">
      <c r="A42" s="121" t="s">
        <v>33</v>
      </c>
      <c r="B42" s="121"/>
      <c r="C42" s="121"/>
      <c r="D42" s="121"/>
      <c r="E42" s="146">
        <v>825.27</v>
      </c>
      <c r="F42" s="146"/>
      <c r="G42" s="146"/>
      <c r="H42" s="146"/>
    </row>
    <row r="43" spans="1:19" x14ac:dyDescent="0.3">
      <c r="A43" s="121" t="s">
        <v>34</v>
      </c>
      <c r="B43" s="121"/>
      <c r="C43" s="121"/>
      <c r="D43" s="121"/>
      <c r="E43" s="148">
        <v>1.1000000000000001</v>
      </c>
      <c r="F43" s="148"/>
      <c r="G43" s="148"/>
      <c r="H43" s="148"/>
      <c r="I43" s="20" t="e">
        <f>772.82/E421</f>
        <v>#DIV/0!</v>
      </c>
    </row>
    <row r="44" spans="1:19" x14ac:dyDescent="0.3">
      <c r="A44" s="121" t="s">
        <v>35</v>
      </c>
      <c r="B44" s="121"/>
      <c r="C44" s="121"/>
      <c r="D44" s="121"/>
      <c r="E44" s="148">
        <f>E46/E42-E43</f>
        <v>2.3602009039465872</v>
      </c>
      <c r="F44" s="148"/>
      <c r="G44" s="148"/>
      <c r="H44" s="148"/>
    </row>
    <row r="45" spans="1:19" x14ac:dyDescent="0.3">
      <c r="A45" s="121" t="s">
        <v>36</v>
      </c>
      <c r="B45" s="121"/>
      <c r="C45" s="121"/>
      <c r="D45" s="121"/>
      <c r="E45" s="148">
        <f>E43+E44</f>
        <v>3.4602009039465873</v>
      </c>
      <c r="F45" s="148"/>
      <c r="G45" s="148"/>
      <c r="H45" s="148"/>
    </row>
    <row r="46" spans="1:19" x14ac:dyDescent="0.3">
      <c r="A46" s="121" t="s">
        <v>328</v>
      </c>
      <c r="B46" s="121"/>
      <c r="C46" s="121"/>
      <c r="D46" s="121"/>
      <c r="E46" s="149">
        <v>2855.6</v>
      </c>
      <c r="F46" s="149"/>
      <c r="G46" s="149"/>
      <c r="H46" s="149"/>
    </row>
    <row r="47" spans="1:19" x14ac:dyDescent="0.3">
      <c r="A47" s="121" t="s">
        <v>37</v>
      </c>
      <c r="B47" s="121"/>
      <c r="C47" s="121"/>
      <c r="D47" s="121"/>
      <c r="E47" s="121" t="s">
        <v>119</v>
      </c>
      <c r="F47" s="121"/>
      <c r="G47" s="121"/>
      <c r="H47" s="121"/>
    </row>
    <row r="48" spans="1:19" x14ac:dyDescent="0.3">
      <c r="A48" s="113" t="s">
        <v>38</v>
      </c>
      <c r="B48" s="113"/>
      <c r="C48" s="113"/>
      <c r="D48" s="113"/>
      <c r="E48" s="113"/>
      <c r="F48" s="113"/>
      <c r="G48" s="113"/>
      <c r="H48" s="113"/>
    </row>
    <row r="49" spans="1:24" ht="33.75" customHeight="1" x14ac:dyDescent="0.3">
      <c r="A49" s="88" t="s">
        <v>149</v>
      </c>
      <c r="B49" s="89"/>
      <c r="C49" s="90" t="s">
        <v>266</v>
      </c>
      <c r="D49" s="91"/>
      <c r="E49" s="91"/>
      <c r="F49" s="91"/>
      <c r="G49" s="91"/>
      <c r="H49" s="92"/>
      <c r="R49" t="s">
        <v>249</v>
      </c>
      <c r="S49" t="s">
        <v>170</v>
      </c>
      <c r="T49" t="s">
        <v>175</v>
      </c>
      <c r="U49" t="s">
        <v>190</v>
      </c>
      <c r="V49" t="s">
        <v>185</v>
      </c>
    </row>
    <row r="50" spans="1:24" ht="15.75" customHeight="1" x14ac:dyDescent="0.3">
      <c r="A50" s="150" t="s">
        <v>39</v>
      </c>
      <c r="B50" s="152"/>
      <c r="C50" s="150" t="s">
        <v>329</v>
      </c>
      <c r="D50" s="151"/>
      <c r="E50" s="152"/>
      <c r="F50" s="17" t="s">
        <v>40</v>
      </c>
      <c r="G50" s="153">
        <v>45369</v>
      </c>
      <c r="H50" s="152"/>
      <c r="R50"/>
      <c r="S50" t="s">
        <v>250</v>
      </c>
      <c r="T50" t="s">
        <v>255</v>
      </c>
      <c r="U50" t="s">
        <v>266</v>
      </c>
      <c r="V50" t="s">
        <v>271</v>
      </c>
    </row>
    <row r="51" spans="1:24" x14ac:dyDescent="0.3">
      <c r="A51" s="150" t="s">
        <v>41</v>
      </c>
      <c r="B51" s="152"/>
      <c r="C51" s="150" t="str">
        <f>C50</f>
        <v>CARPC/RB/2024/APL/00076</v>
      </c>
      <c r="D51" s="151"/>
      <c r="E51" s="152"/>
      <c r="F51" s="17" t="s">
        <v>40</v>
      </c>
      <c r="G51" s="153">
        <f>G50</f>
        <v>45369</v>
      </c>
      <c r="H51" s="173"/>
      <c r="R51"/>
      <c r="S51" t="s">
        <v>251</v>
      </c>
      <c r="T51" t="s">
        <v>256</v>
      </c>
      <c r="U51" t="s">
        <v>264</v>
      </c>
      <c r="V51" t="s">
        <v>272</v>
      </c>
    </row>
    <row r="52" spans="1:24" s="22" customFormat="1" ht="15.75" customHeight="1" x14ac:dyDescent="0.3">
      <c r="A52" s="174" t="s">
        <v>152</v>
      </c>
      <c r="B52" s="175"/>
      <c r="C52" s="150" t="s">
        <v>329</v>
      </c>
      <c r="D52" s="151"/>
      <c r="E52" s="152"/>
      <c r="F52" s="17" t="s">
        <v>40</v>
      </c>
      <c r="G52" s="153">
        <v>45366</v>
      </c>
      <c r="H52" s="173"/>
      <c r="R52"/>
      <c r="S52" t="s">
        <v>252</v>
      </c>
      <c r="T52" t="s">
        <v>257</v>
      </c>
      <c r="U52" t="s">
        <v>254</v>
      </c>
      <c r="V52" t="s">
        <v>273</v>
      </c>
    </row>
    <row r="53" spans="1:24" s="22" customFormat="1" x14ac:dyDescent="0.3">
      <c r="A53" s="176"/>
      <c r="B53" s="177"/>
      <c r="C53" s="150" t="s">
        <v>330</v>
      </c>
      <c r="D53" s="151"/>
      <c r="E53" s="151"/>
      <c r="F53" s="151"/>
      <c r="G53" s="151"/>
      <c r="H53" s="152"/>
      <c r="R53"/>
      <c r="S53" t="s">
        <v>253</v>
      </c>
      <c r="T53" t="s">
        <v>260</v>
      </c>
      <c r="U53" t="s">
        <v>267</v>
      </c>
    </row>
    <row r="54" spans="1:24" s="22" customFormat="1" hidden="1" x14ac:dyDescent="0.3">
      <c r="A54" s="183" t="s">
        <v>277</v>
      </c>
      <c r="B54" s="184"/>
      <c r="C54" s="150" t="str">
        <f>C53</f>
        <v>Gr/Stilt + 1st to 6th Floor</v>
      </c>
      <c r="D54" s="151"/>
      <c r="E54" s="152"/>
      <c r="F54" s="17" t="s">
        <v>40</v>
      </c>
      <c r="G54" s="150"/>
      <c r="H54" s="152"/>
      <c r="R54"/>
      <c r="S54" t="s">
        <v>252</v>
      </c>
      <c r="T54" t="s">
        <v>257</v>
      </c>
      <c r="U54" t="s">
        <v>254</v>
      </c>
      <c r="V54" t="s">
        <v>273</v>
      </c>
    </row>
    <row r="55" spans="1:24" s="22" customFormat="1" ht="32.25" hidden="1" customHeight="1" x14ac:dyDescent="0.3">
      <c r="A55" s="185"/>
      <c r="B55" s="186"/>
      <c r="C55" s="109"/>
      <c r="D55" s="110"/>
      <c r="E55" s="110"/>
      <c r="F55" s="110"/>
      <c r="G55" s="110"/>
      <c r="H55" s="111"/>
      <c r="R55"/>
      <c r="S55" t="s">
        <v>254</v>
      </c>
      <c r="T55" t="s">
        <v>258</v>
      </c>
      <c r="U55" t="s">
        <v>268</v>
      </c>
      <c r="V55" s="20"/>
      <c r="W55" s="20"/>
      <c r="X55" s="20"/>
    </row>
    <row r="56" spans="1:24" s="22" customFormat="1" ht="34.5" hidden="1" customHeight="1" x14ac:dyDescent="0.3">
      <c r="A56" s="183" t="s">
        <v>278</v>
      </c>
      <c r="B56" s="184"/>
      <c r="C56" s="150">
        <f>C55</f>
        <v>0</v>
      </c>
      <c r="D56" s="151"/>
      <c r="E56" s="152"/>
      <c r="F56" s="17" t="s">
        <v>40</v>
      </c>
      <c r="G56" s="150">
        <f>G55</f>
        <v>0</v>
      </c>
      <c r="H56" s="152"/>
      <c r="R56"/>
      <c r="S56" s="20"/>
      <c r="T56" t="s">
        <v>259</v>
      </c>
      <c r="U56" t="s">
        <v>269</v>
      </c>
      <c r="V56" s="20"/>
      <c r="W56" s="20"/>
      <c r="X56" s="20"/>
    </row>
    <row r="57" spans="1:24" s="22" customFormat="1" ht="41.25" hidden="1" customHeight="1" x14ac:dyDescent="0.3">
      <c r="A57" s="185"/>
      <c r="B57" s="186"/>
      <c r="C57" s="150"/>
      <c r="D57" s="151"/>
      <c r="E57" s="151"/>
      <c r="F57" s="151"/>
      <c r="G57" s="151"/>
      <c r="H57" s="152"/>
      <c r="R57"/>
      <c r="S57" s="20"/>
      <c r="T57" t="s">
        <v>261</v>
      </c>
      <c r="U57" t="s">
        <v>270</v>
      </c>
      <c r="V57" s="20"/>
      <c r="W57" s="20"/>
      <c r="X57" s="20"/>
    </row>
    <row r="58" spans="1:24" s="22" customFormat="1" ht="15.75" hidden="1" customHeight="1" x14ac:dyDescent="0.3">
      <c r="A58" s="183" t="s">
        <v>279</v>
      </c>
      <c r="B58" s="184"/>
      <c r="C58" s="150">
        <f>C57</f>
        <v>0</v>
      </c>
      <c r="D58" s="151"/>
      <c r="E58" s="152"/>
      <c r="F58" s="17" t="s">
        <v>40</v>
      </c>
      <c r="G58" s="150">
        <f>G57</f>
        <v>0</v>
      </c>
      <c r="H58" s="152"/>
      <c r="R58"/>
      <c r="S58" s="20"/>
      <c r="T58" t="s">
        <v>262</v>
      </c>
      <c r="U58" s="20" t="s">
        <v>293</v>
      </c>
      <c r="V58" s="20"/>
      <c r="W58" s="20"/>
      <c r="X58" s="20"/>
    </row>
    <row r="59" spans="1:24" s="22" customFormat="1" ht="33.75" hidden="1" customHeight="1" x14ac:dyDescent="0.3">
      <c r="A59" s="185"/>
      <c r="B59" s="186"/>
      <c r="C59" s="150"/>
      <c r="D59" s="151"/>
      <c r="E59" s="151"/>
      <c r="F59" s="151"/>
      <c r="G59" s="151"/>
      <c r="H59" s="152"/>
      <c r="R59"/>
      <c r="S59" s="20"/>
      <c r="T59" t="s">
        <v>263</v>
      </c>
      <c r="U59" s="20"/>
      <c r="V59" s="20"/>
      <c r="W59" s="20"/>
      <c r="X59" s="20"/>
    </row>
    <row r="60" spans="1:24" x14ac:dyDescent="0.3">
      <c r="A60" s="190" t="s">
        <v>42</v>
      </c>
      <c r="B60" s="191"/>
      <c r="C60" s="190" t="s">
        <v>102</v>
      </c>
      <c r="D60" s="192"/>
      <c r="E60" s="191"/>
      <c r="F60" s="44" t="s">
        <v>40</v>
      </c>
      <c r="G60" s="181" t="s">
        <v>28</v>
      </c>
      <c r="H60" s="182"/>
      <c r="R60"/>
      <c r="T60" t="s">
        <v>265</v>
      </c>
    </row>
    <row r="61" spans="1:24" x14ac:dyDescent="0.3">
      <c r="A61" s="164" t="s">
        <v>44</v>
      </c>
      <c r="B61" s="164"/>
      <c r="C61" s="164"/>
      <c r="D61" s="164"/>
      <c r="E61" s="164"/>
      <c r="F61" s="164"/>
      <c r="G61" s="164"/>
      <c r="H61" s="164"/>
      <c r="T61" t="s">
        <v>274</v>
      </c>
    </row>
    <row r="62" spans="1:24" x14ac:dyDescent="0.3">
      <c r="A62" s="103" t="s">
        <v>88</v>
      </c>
      <c r="B62" s="103"/>
      <c r="C62" s="103"/>
      <c r="D62" s="75">
        <f>E46</f>
        <v>2855.6</v>
      </c>
      <c r="E62" s="75"/>
      <c r="F62" s="75"/>
      <c r="G62" s="75"/>
      <c r="H62" s="75"/>
      <c r="R62"/>
    </row>
    <row r="63" spans="1:24" x14ac:dyDescent="0.3">
      <c r="A63" s="106" t="s">
        <v>45</v>
      </c>
      <c r="B63" s="121"/>
      <c r="C63" s="121"/>
      <c r="D63" s="121" t="s">
        <v>333</v>
      </c>
      <c r="E63" s="121"/>
      <c r="F63" s="121"/>
      <c r="G63" s="121"/>
      <c r="H63" s="121"/>
      <c r="I63" s="23"/>
      <c r="R63"/>
    </row>
    <row r="64" spans="1:24" x14ac:dyDescent="0.3">
      <c r="A64" s="128" t="s">
        <v>46</v>
      </c>
      <c r="B64" s="129"/>
      <c r="C64" s="130"/>
      <c r="D64" s="102" t="s">
        <v>330</v>
      </c>
      <c r="E64" s="127"/>
      <c r="F64" s="127"/>
      <c r="G64" s="127"/>
      <c r="H64" s="127"/>
      <c r="R64"/>
    </row>
    <row r="65" spans="1:19" ht="15.75" customHeight="1" x14ac:dyDescent="0.3">
      <c r="A65" s="128" t="s">
        <v>86</v>
      </c>
      <c r="B65" s="129"/>
      <c r="C65" s="129"/>
      <c r="D65" s="121" t="s">
        <v>324</v>
      </c>
      <c r="E65" s="121"/>
      <c r="F65" s="121"/>
      <c r="G65" s="121"/>
      <c r="H65" s="121"/>
      <c r="R65"/>
    </row>
    <row r="66" spans="1:19" ht="15.75" customHeight="1" x14ac:dyDescent="0.3">
      <c r="A66" s="75" t="s">
        <v>43</v>
      </c>
      <c r="B66" s="75"/>
      <c r="C66" s="75"/>
      <c r="D66" s="103" t="s">
        <v>312</v>
      </c>
      <c r="E66" s="103"/>
      <c r="F66" s="103"/>
      <c r="G66" s="103"/>
      <c r="H66" s="103"/>
      <c r="J66" s="24"/>
      <c r="K66" s="23"/>
      <c r="N66" s="23"/>
      <c r="S66"/>
    </row>
    <row r="67" spans="1:19" ht="15.75" customHeight="1" x14ac:dyDescent="0.3">
      <c r="A67" s="75" t="s">
        <v>84</v>
      </c>
      <c r="B67" s="75"/>
      <c r="C67" s="75"/>
      <c r="D67" s="147" t="str">
        <f>(IF(G60="NA","60 Years After Completion",IF(G60&lt;&gt;"NA",""&amp;60-ROUNDDOWN((E3-G60)/360,0)&amp;" Years"," ")))</f>
        <v>60 Years After Completion</v>
      </c>
      <c r="E67" s="147"/>
      <c r="F67" s="147"/>
      <c r="G67" s="147"/>
      <c r="H67" s="147"/>
      <c r="N67" s="23"/>
      <c r="S67"/>
    </row>
    <row r="68" spans="1:19" ht="15.75" customHeight="1" x14ac:dyDescent="0.3">
      <c r="A68" s="75" t="s">
        <v>85</v>
      </c>
      <c r="B68" s="75"/>
      <c r="C68" s="75"/>
      <c r="D68" s="103" t="s">
        <v>23</v>
      </c>
      <c r="E68" s="103"/>
      <c r="F68" s="103"/>
      <c r="G68" s="103"/>
      <c r="H68" s="103"/>
      <c r="J68" s="25"/>
      <c r="K68" s="25"/>
      <c r="S68"/>
    </row>
    <row r="69" spans="1:19" x14ac:dyDescent="0.3">
      <c r="A69" s="121" t="s">
        <v>313</v>
      </c>
      <c r="B69" s="121"/>
      <c r="C69" s="121"/>
      <c r="D69" s="106" t="s">
        <v>314</v>
      </c>
      <c r="E69" s="103"/>
      <c r="F69" s="103"/>
      <c r="G69" s="103"/>
      <c r="H69" s="103"/>
      <c r="S69"/>
    </row>
    <row r="70" spans="1:19" x14ac:dyDescent="0.3">
      <c r="A70" s="103" t="s">
        <v>146</v>
      </c>
      <c r="B70" s="103"/>
      <c r="C70" s="103"/>
      <c r="D70" s="103" t="s">
        <v>28</v>
      </c>
      <c r="E70" s="103"/>
      <c r="F70" s="103"/>
      <c r="G70" s="103"/>
      <c r="H70" s="103"/>
      <c r="I70" s="26"/>
      <c r="J70" s="26"/>
      <c r="K70" s="26"/>
      <c r="L70" s="26"/>
      <c r="M70" s="26"/>
      <c r="N70" s="26"/>
    </row>
    <row r="71" spans="1:19" ht="15.75" customHeight="1" x14ac:dyDescent="0.3">
      <c r="A71" s="193" t="s">
        <v>83</v>
      </c>
      <c r="B71" s="193"/>
      <c r="C71" s="193"/>
      <c r="D71" s="102" t="str">
        <f ca="1">(IF(G77&gt;95%,"Nothing",IF(G77&gt;0%,"Cement, Aggregate, Steel, etc",IF(G77=0%,"Work not yet Started"))))</f>
        <v>Cement, Aggregate, Steel, etc</v>
      </c>
      <c r="E71" s="102"/>
      <c r="F71" s="102"/>
      <c r="G71" s="102"/>
      <c r="H71" s="102"/>
      <c r="J71" s="25"/>
      <c r="S71"/>
    </row>
    <row r="72" spans="1:19" ht="33.75" customHeight="1" thickBot="1" x14ac:dyDescent="0.35">
      <c r="A72" s="101" t="s">
        <v>115</v>
      </c>
      <c r="B72" s="101"/>
      <c r="C72" s="101"/>
      <c r="D72" s="102" t="str">
        <f ca="1">(IF(D71="Nothing","Yes",IF(D71="Cement, Aggregate, Steel, etc","Under Construction",IF(D71="Work not yet Started","Work not yet Started"))))</f>
        <v>Under Construction</v>
      </c>
      <c r="E72" s="102"/>
      <c r="F72" s="102" t="str">
        <f ca="1">(IF(D71="Nothing","Yes",IF(D71="Cement, Aggregate, Steel, etc","Under Construction",IF(D71="Work not yet Started","Work not yet Started"))))</f>
        <v>Under Construction</v>
      </c>
      <c r="G72" s="102"/>
      <c r="H72" s="102"/>
      <c r="S72"/>
    </row>
    <row r="73" spans="1:19" ht="15.75" customHeight="1" x14ac:dyDescent="0.3">
      <c r="A73" s="114" t="s">
        <v>138</v>
      </c>
      <c r="B73" s="115"/>
      <c r="C73" s="116" t="str">
        <f>D65</f>
        <v>Gr + 1st to 7th Floor</v>
      </c>
      <c r="D73" s="117"/>
      <c r="E73" s="117"/>
      <c r="F73" s="117"/>
      <c r="G73" s="117"/>
      <c r="H73" s="118"/>
      <c r="I73" s="48" t="str">
        <f ca="1">IF(D86=100%,"All work Completed. Possession granted to the Building.",IF(D85=100%,"All work Completed, Waiting for OC",I74&amp;""&amp;I75&amp;""&amp;J74&amp;""&amp;J73&amp;" "&amp;J75))</f>
        <v>Excavation, Plinth Completed, RCC upto 7 Slab, Brickwork upto 5 Floor, Internal Plaster upto 5 Floor, External Plaster upto 4 Floor, Flooring upto 4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7 Slab, Brickwork upto 5 Floor, Internal Plaster upto 5 Floor, External Plaster upto 4 Floor, Flooring upto 4 Floor</v>
      </c>
      <c r="S73"/>
    </row>
    <row r="74" spans="1:19" x14ac:dyDescent="0.3">
      <c r="A74" s="15" t="s">
        <v>140</v>
      </c>
      <c r="B74" s="46">
        <f>IF(AND(ISNUMBER(SEARCH("1B",C73))),1,IF(AND(ISNUMBER(SEARCH("2B",C73))),2,IF(AND(ISNUMBER(SEARCH("3B",C73))),3,IF(AND(ISNUMBER(SEARCH("4B",C73))),4,IF(ISNUMBER(SEARCH("5B",C73)),5,0)))))</f>
        <v>0</v>
      </c>
      <c r="C74" s="46" t="s">
        <v>69</v>
      </c>
      <c r="D74" s="46">
        <v>1</v>
      </c>
      <c r="E74" s="46" t="s">
        <v>68</v>
      </c>
      <c r="F74" s="46">
        <v>0</v>
      </c>
      <c r="G74" s="47" t="s">
        <v>77</v>
      </c>
      <c r="H74" s="16">
        <f ca="1">--TRIM(RIGHT(SUBSTITUTE(LEFT(C73,_xlfn.AGGREGATE(16,6,FIND({0,1,2,3,4,5,6,7,8,9},C73,ROW(INDIRECT("1:"&amp;LEN(C73)))),1))," ",REPT(" ",LEN(C73))),LEN(C73)))</f>
        <v>7</v>
      </c>
      <c r="I74" s="50"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8" customHeight="1" x14ac:dyDescent="0.3">
      <c r="A75" s="112" t="s">
        <v>87</v>
      </c>
      <c r="B75" s="113"/>
      <c r="C75" s="119" t="str">
        <f ca="1">I73</f>
        <v>Excavation, Plinth Completed, RCC upto 7 Slab, Brickwork upto 5 Floor, Internal Plaster upto 5 Floor, External Plaster upto 4 Floor, Flooring upto 4 Floor Completed</v>
      </c>
      <c r="D75" s="119"/>
      <c r="E75" s="119"/>
      <c r="F75" s="119"/>
      <c r="G75" s="119"/>
      <c r="H75" s="120"/>
      <c r="I75" s="50" t="str">
        <f ca="1">IF(I74&lt;&gt;""," Completed","")</f>
        <v xml:space="preserve"> Completed</v>
      </c>
      <c r="J75" s="51" t="str">
        <f ca="1">IF(J73&lt;&gt;"","Completed","")</f>
        <v>Completed</v>
      </c>
      <c r="S75"/>
    </row>
    <row r="76" spans="1:19" ht="15.75" customHeight="1" x14ac:dyDescent="0.3">
      <c r="A76" s="99" t="s">
        <v>47</v>
      </c>
      <c r="B76" s="100"/>
      <c r="C76" s="42" t="s">
        <v>137</v>
      </c>
      <c r="D76" s="42" t="s">
        <v>80</v>
      </c>
      <c r="E76" s="100" t="s">
        <v>82</v>
      </c>
      <c r="F76" s="100"/>
      <c r="G76" s="100" t="s">
        <v>81</v>
      </c>
      <c r="H76" s="104"/>
      <c r="I76" s="13" t="s">
        <v>139</v>
      </c>
      <c r="J76" s="27">
        <f ca="1">H74*25%</f>
        <v>1.75</v>
      </c>
      <c r="S76"/>
    </row>
    <row r="77" spans="1:19" x14ac:dyDescent="0.3">
      <c r="A77" s="99" t="s">
        <v>126</v>
      </c>
      <c r="B77" s="100"/>
      <c r="C77" s="62">
        <f ca="1">J78</f>
        <v>7</v>
      </c>
      <c r="D77" s="18">
        <f ca="1">((100/H74)*C77)/100</f>
        <v>1</v>
      </c>
      <c r="E77" s="131">
        <f ca="1">(((C78/H74*10)+(40/(D74+F74+H74)*C79)+(7.5/(H74)*C80)+(7.5/(H74)*C81)+(10/H74*C82)+(10/H74*C83)+(5/H74*C84)+(5/H74*C85)+(5/H74*C86))/100)</f>
        <v>0.67142857142857137</v>
      </c>
      <c r="F77" s="132"/>
      <c r="G77" s="131">
        <f ca="1">((((C77/H74)*20)+((C78/H74)*25)+(30/(H74+F74+D74)*C79)+(5/H74*C80)+(5/H74*C81)+(5/H74*C82)+(5/H74*C83)+(0/H74*C84)+(0/H74*C85)+(5/H74*C86))/100)</f>
        <v>0.84107142857142858</v>
      </c>
      <c r="H77" s="137"/>
      <c r="I77" s="13" t="s">
        <v>97</v>
      </c>
      <c r="J77" s="28">
        <f ca="1">H74*50%</f>
        <v>3.5</v>
      </c>
    </row>
    <row r="78" spans="1:19" x14ac:dyDescent="0.3">
      <c r="A78" s="99" t="s">
        <v>48</v>
      </c>
      <c r="B78" s="100"/>
      <c r="C78" s="62">
        <f ca="1">J86</f>
        <v>7</v>
      </c>
      <c r="D78" s="18">
        <f ca="1">((100/H74)*C78)/100</f>
        <v>1</v>
      </c>
      <c r="E78" s="133"/>
      <c r="F78" s="134"/>
      <c r="G78" s="133"/>
      <c r="H78" s="138"/>
      <c r="I78" s="13" t="s">
        <v>98</v>
      </c>
      <c r="J78" s="28">
        <f ca="1">H74</f>
        <v>7</v>
      </c>
      <c r="S78"/>
    </row>
    <row r="79" spans="1:19" ht="15.75" customHeight="1" x14ac:dyDescent="0.3">
      <c r="A79" s="99" t="s">
        <v>127</v>
      </c>
      <c r="B79" s="100"/>
      <c r="C79" s="42">
        <v>7</v>
      </c>
      <c r="D79" s="18">
        <f ca="1">((100/(D74+F74+H74))*C79)/100</f>
        <v>0.875</v>
      </c>
      <c r="E79" s="133"/>
      <c r="F79" s="134"/>
      <c r="G79" s="133"/>
      <c r="H79" s="138"/>
      <c r="I79" s="13" t="s">
        <v>99</v>
      </c>
      <c r="J79" s="29">
        <f ca="1">(IF(B74&gt;1,(H74/(B74+2)),H74/4))</f>
        <v>1.75</v>
      </c>
      <c r="S79"/>
    </row>
    <row r="80" spans="1:19" ht="15.75" customHeight="1" x14ac:dyDescent="0.3">
      <c r="A80" s="99" t="s">
        <v>134</v>
      </c>
      <c r="B80" s="100" t="s">
        <v>128</v>
      </c>
      <c r="C80" s="42">
        <v>5</v>
      </c>
      <c r="D80" s="18">
        <f ca="1">((100/H74)*C80)/100</f>
        <v>0.7142857142857143</v>
      </c>
      <c r="E80" s="133"/>
      <c r="F80" s="134"/>
      <c r="G80" s="133"/>
      <c r="H80" s="138"/>
      <c r="I80" s="13" t="s">
        <v>100</v>
      </c>
      <c r="J80" s="29">
        <f ca="1">(IF(B74&gt;1,(H74/(B74+2)+J79),H74/4+J79))</f>
        <v>3.5</v>
      </c>
    </row>
    <row r="81" spans="1:22" ht="15.75" customHeight="1" x14ac:dyDescent="0.3">
      <c r="A81" s="99" t="s">
        <v>135</v>
      </c>
      <c r="B81" s="100" t="s">
        <v>128</v>
      </c>
      <c r="C81" s="42">
        <v>5</v>
      </c>
      <c r="D81" s="18">
        <f ca="1">((100/H74)*C81)/100</f>
        <v>0.7142857142857143</v>
      </c>
      <c r="E81" s="133"/>
      <c r="F81" s="134"/>
      <c r="G81" s="133"/>
      <c r="H81" s="138"/>
      <c r="I81" s="13" t="s">
        <v>144</v>
      </c>
      <c r="J81" s="29">
        <f>(IF(B74&gt;1,(H74/(B74+2)+J80),0))</f>
        <v>0</v>
      </c>
    </row>
    <row r="82" spans="1:22" ht="15" customHeight="1" x14ac:dyDescent="0.3">
      <c r="A82" s="99" t="s">
        <v>133</v>
      </c>
      <c r="B82" s="100" t="s">
        <v>130</v>
      </c>
      <c r="C82" s="42">
        <v>4</v>
      </c>
      <c r="D82" s="18">
        <f ca="1">((100/(H74))*C82)/100</f>
        <v>0.57142857142857151</v>
      </c>
      <c r="E82" s="133"/>
      <c r="F82" s="134"/>
      <c r="G82" s="133"/>
      <c r="H82" s="138"/>
      <c r="I82" s="13" t="s">
        <v>141</v>
      </c>
      <c r="J82" s="29">
        <f>(IF(B74&gt;2,(H74/(B74+2)+J81),0))</f>
        <v>0</v>
      </c>
    </row>
    <row r="83" spans="1:22" ht="15.75" customHeight="1" x14ac:dyDescent="0.3">
      <c r="A83" s="99" t="s">
        <v>129</v>
      </c>
      <c r="B83" s="100" t="s">
        <v>129</v>
      </c>
      <c r="C83" s="42">
        <v>4</v>
      </c>
      <c r="D83" s="18">
        <f ca="1">((100/H74)*C83)/100</f>
        <v>0.57142857142857151</v>
      </c>
      <c r="E83" s="133"/>
      <c r="F83" s="134"/>
      <c r="G83" s="133"/>
      <c r="H83" s="138"/>
      <c r="I83" s="13" t="s">
        <v>142</v>
      </c>
      <c r="J83" s="30">
        <f>(IF(B74&gt;3,(H74/(B74+2)+J82),0))</f>
        <v>0</v>
      </c>
    </row>
    <row r="84" spans="1:22" ht="15.75" customHeight="1" x14ac:dyDescent="0.3">
      <c r="A84" s="99" t="s">
        <v>136</v>
      </c>
      <c r="B84" s="100"/>
      <c r="C84" s="42">
        <v>0</v>
      </c>
      <c r="D84" s="18">
        <f ca="1">((100/H74)*C84)/100</f>
        <v>0</v>
      </c>
      <c r="E84" s="133"/>
      <c r="F84" s="134"/>
      <c r="G84" s="133"/>
      <c r="H84" s="138"/>
      <c r="I84" s="13" t="s">
        <v>143</v>
      </c>
      <c r="J84" s="29">
        <f>(IF(B74&gt;4,(H74/(B74+2)+J83),0))</f>
        <v>0</v>
      </c>
    </row>
    <row r="85" spans="1:22" ht="15.75" customHeight="1" x14ac:dyDescent="0.3">
      <c r="A85" s="99" t="s">
        <v>131</v>
      </c>
      <c r="B85" s="100" t="s">
        <v>131</v>
      </c>
      <c r="C85" s="42">
        <v>0</v>
      </c>
      <c r="D85" s="18">
        <f ca="1">((100/(H74))*C85)/100</f>
        <v>0</v>
      </c>
      <c r="E85" s="133"/>
      <c r="F85" s="134"/>
      <c r="G85" s="133"/>
      <c r="H85" s="138"/>
      <c r="I85" s="13" t="s">
        <v>145</v>
      </c>
      <c r="J85" s="29">
        <f ca="1">(IF(B74=1,(H74/(B74+3)+J80),IF(B74=0,(H74/4+J80),IF(B74&gt;1,0))))</f>
        <v>5.25</v>
      </c>
    </row>
    <row r="86" spans="1:22" ht="16.2" thickBot="1" x14ac:dyDescent="0.35">
      <c r="A86" s="140" t="s">
        <v>132</v>
      </c>
      <c r="B86" s="141"/>
      <c r="C86" s="43">
        <v>0</v>
      </c>
      <c r="D86" s="19">
        <f ca="1">((100/(H74))*C86)/100</f>
        <v>0</v>
      </c>
      <c r="E86" s="135"/>
      <c r="F86" s="136"/>
      <c r="G86" s="135"/>
      <c r="H86" s="139"/>
      <c r="I86" s="14" t="s">
        <v>101</v>
      </c>
      <c r="J86" s="31">
        <f ca="1">(IF(B74&gt;1.5,(H74/(B74+2)+J80+MAX(0,J81-J80)+MAX(0,J82-J81)+MAX(0,J83-J82)+MAX(0,J84-J83)+MAX(0,J85-J84)),IF(B74=1,(H74/(B74+3)+J85),IF(B74=0,H74/4+J85))))</f>
        <v>7</v>
      </c>
    </row>
    <row r="87" spans="1:22" x14ac:dyDescent="0.3">
      <c r="A87" s="96" t="s">
        <v>154</v>
      </c>
      <c r="B87" s="96"/>
      <c r="C87" s="96"/>
      <c r="D87" s="96"/>
      <c r="E87" s="96"/>
      <c r="F87" s="166" t="s">
        <v>158</v>
      </c>
      <c r="G87" s="166"/>
      <c r="H87" s="166"/>
      <c r="R87" t="s">
        <v>249</v>
      </c>
      <c r="S87" t="s">
        <v>170</v>
      </c>
      <c r="T87" t="s">
        <v>175</v>
      </c>
      <c r="U87" t="s">
        <v>190</v>
      </c>
      <c r="V87" t="s">
        <v>185</v>
      </c>
    </row>
    <row r="88" spans="1:22" x14ac:dyDescent="0.3">
      <c r="A88" s="75" t="s">
        <v>156</v>
      </c>
      <c r="B88" s="75"/>
      <c r="C88" s="75"/>
      <c r="D88" s="75"/>
      <c r="E88" s="75"/>
      <c r="F88" s="93">
        <v>8500</v>
      </c>
      <c r="G88" s="93"/>
      <c r="H88" s="93"/>
      <c r="I88" s="20" t="s">
        <v>326</v>
      </c>
      <c r="R88"/>
      <c r="S88">
        <v>800000</v>
      </c>
      <c r="T88">
        <v>150000</v>
      </c>
      <c r="U88">
        <v>100000</v>
      </c>
      <c r="V88">
        <v>100000</v>
      </c>
    </row>
    <row r="89" spans="1:22" hidden="1" x14ac:dyDescent="0.3">
      <c r="A89" s="75" t="s">
        <v>155</v>
      </c>
      <c r="B89" s="75"/>
      <c r="C89" s="75"/>
      <c r="D89" s="75"/>
      <c r="E89" s="75"/>
      <c r="F89" s="93"/>
      <c r="G89" s="93"/>
      <c r="H89" s="93"/>
      <c r="R89"/>
      <c r="S89">
        <v>900000</v>
      </c>
      <c r="T89">
        <v>200000</v>
      </c>
      <c r="U89">
        <v>150000</v>
      </c>
      <c r="V89">
        <v>150000</v>
      </c>
    </row>
    <row r="90" spans="1:22" hidden="1" x14ac:dyDescent="0.3">
      <c r="A90" s="75" t="s">
        <v>157</v>
      </c>
      <c r="B90" s="75"/>
      <c r="C90" s="75"/>
      <c r="D90" s="75"/>
      <c r="E90" s="75"/>
      <c r="F90" s="93"/>
      <c r="G90" s="93"/>
      <c r="H90" s="93"/>
      <c r="R90"/>
      <c r="S90">
        <v>1000000</v>
      </c>
      <c r="T90">
        <v>250000</v>
      </c>
      <c r="U90">
        <v>200000</v>
      </c>
      <c r="V90">
        <v>200000</v>
      </c>
    </row>
    <row r="91" spans="1:22" s="32" customFormat="1" hidden="1" x14ac:dyDescent="0.3">
      <c r="A91" s="75" t="s">
        <v>172</v>
      </c>
      <c r="B91" s="75"/>
      <c r="C91" s="75"/>
      <c r="D91" s="75"/>
      <c r="E91" s="75"/>
      <c r="F91" s="93"/>
      <c r="G91" s="93"/>
      <c r="H91" s="93"/>
      <c r="R91"/>
      <c r="S91">
        <v>1100000</v>
      </c>
      <c r="T91">
        <v>300000</v>
      </c>
      <c r="U91">
        <v>250000</v>
      </c>
      <c r="V91" s="22">
        <v>250000</v>
      </c>
    </row>
    <row r="92" spans="1:22" s="32" customFormat="1" x14ac:dyDescent="0.3">
      <c r="A92" s="75" t="s">
        <v>91</v>
      </c>
      <c r="B92" s="75"/>
      <c r="C92" s="75"/>
      <c r="D92" s="75"/>
      <c r="E92" s="75"/>
      <c r="F92" s="93">
        <v>250000</v>
      </c>
      <c r="G92" s="93"/>
      <c r="H92" s="93"/>
      <c r="R92"/>
      <c r="S92">
        <v>1200000</v>
      </c>
      <c r="T92">
        <v>350000</v>
      </c>
      <c r="U92">
        <v>300000</v>
      </c>
      <c r="V92">
        <v>300000</v>
      </c>
    </row>
    <row r="93" spans="1:22" s="32" customFormat="1" hidden="1" x14ac:dyDescent="0.3">
      <c r="A93" s="75" t="s">
        <v>92</v>
      </c>
      <c r="B93" s="75"/>
      <c r="C93" s="75"/>
      <c r="D93" s="75"/>
      <c r="E93" s="75"/>
      <c r="F93" s="93"/>
      <c r="G93" s="93"/>
      <c r="H93" s="93"/>
      <c r="R93"/>
      <c r="S93">
        <v>1300000</v>
      </c>
      <c r="T93">
        <v>400000</v>
      </c>
      <c r="U93">
        <v>350000</v>
      </c>
      <c r="V93" s="22">
        <v>400000</v>
      </c>
    </row>
    <row r="94" spans="1:22" s="32" customFormat="1" hidden="1" x14ac:dyDescent="0.3">
      <c r="A94" s="75" t="s">
        <v>93</v>
      </c>
      <c r="B94" s="75"/>
      <c r="C94" s="75"/>
      <c r="D94" s="75"/>
      <c r="E94" s="75"/>
      <c r="F94" s="93"/>
      <c r="G94" s="93"/>
      <c r="H94" s="93"/>
      <c r="R94"/>
      <c r="S94">
        <v>1400000</v>
      </c>
      <c r="T94">
        <v>500000</v>
      </c>
      <c r="U94">
        <v>400000</v>
      </c>
      <c r="V94"/>
    </row>
    <row r="95" spans="1:22" s="32" customFormat="1" hidden="1" x14ac:dyDescent="0.3">
      <c r="A95" s="75" t="s">
        <v>94</v>
      </c>
      <c r="B95" s="75"/>
      <c r="C95" s="75"/>
      <c r="D95" s="75"/>
      <c r="E95" s="75"/>
      <c r="F95" s="93"/>
      <c r="G95" s="93"/>
      <c r="H95" s="93"/>
      <c r="R95"/>
      <c r="S95">
        <v>1500000</v>
      </c>
      <c r="T95">
        <v>600000</v>
      </c>
      <c r="U95">
        <v>500000</v>
      </c>
      <c r="V95" s="22"/>
    </row>
    <row r="96" spans="1:22" s="32" customFormat="1" x14ac:dyDescent="0.3">
      <c r="A96" s="75" t="s">
        <v>95</v>
      </c>
      <c r="B96" s="75"/>
      <c r="C96" s="75"/>
      <c r="D96" s="75"/>
      <c r="E96" s="75"/>
      <c r="F96" s="93">
        <v>100000</v>
      </c>
      <c r="G96" s="93"/>
      <c r="H96" s="93"/>
      <c r="R96"/>
      <c r="S96">
        <v>1600000</v>
      </c>
      <c r="T96">
        <v>700000</v>
      </c>
      <c r="U96">
        <v>600000</v>
      </c>
      <c r="V96"/>
    </row>
    <row r="97" spans="1:22" s="32" customFormat="1" hidden="1" x14ac:dyDescent="0.3">
      <c r="A97" s="75" t="s">
        <v>96</v>
      </c>
      <c r="B97" s="75"/>
      <c r="C97" s="75"/>
      <c r="D97" s="75"/>
      <c r="E97" s="75"/>
      <c r="F97" s="93"/>
      <c r="G97" s="93"/>
      <c r="H97" s="93"/>
      <c r="R97"/>
      <c r="S97">
        <v>1700000</v>
      </c>
      <c r="T97">
        <v>800000</v>
      </c>
      <c r="U97"/>
      <c r="V97" s="22"/>
    </row>
    <row r="98" spans="1:22" x14ac:dyDescent="0.3">
      <c r="A98" s="75" t="s">
        <v>49</v>
      </c>
      <c r="B98" s="75"/>
      <c r="C98" s="75"/>
      <c r="D98" s="75"/>
      <c r="E98" s="75"/>
      <c r="F98" s="93">
        <v>300000</v>
      </c>
      <c r="G98" s="93"/>
      <c r="H98" s="93"/>
      <c r="R98"/>
      <c r="S98">
        <v>1800000</v>
      </c>
      <c r="T98">
        <v>900000</v>
      </c>
      <c r="U98"/>
    </row>
    <row r="99" spans="1:22" s="33" customFormat="1" x14ac:dyDescent="0.3">
      <c r="A99" s="122" t="s">
        <v>50</v>
      </c>
      <c r="B99" s="122"/>
      <c r="C99" s="122"/>
      <c r="D99" s="122"/>
      <c r="E99" s="122"/>
      <c r="F99" s="93">
        <f>F88*0.8</f>
        <v>6800</v>
      </c>
      <c r="G99" s="93"/>
      <c r="H99" s="93"/>
      <c r="R99" s="20"/>
      <c r="S99" s="20"/>
      <c r="T99">
        <v>1000000</v>
      </c>
      <c r="U99"/>
      <c r="V99" s="20"/>
    </row>
    <row r="100" spans="1:22" s="34" customFormat="1" ht="15.75" hidden="1" customHeight="1" x14ac:dyDescent="0.3">
      <c r="A100" s="83" t="s">
        <v>72</v>
      </c>
      <c r="B100" s="83"/>
      <c r="C100" s="83"/>
      <c r="D100" s="83"/>
      <c r="E100" s="83"/>
      <c r="F100" s="83"/>
      <c r="G100" s="83"/>
      <c r="H100" s="83"/>
      <c r="R100"/>
      <c r="S100" s="20"/>
      <c r="T100"/>
      <c r="U100"/>
      <c r="V100" s="20"/>
    </row>
    <row r="101" spans="1:22" s="34" customFormat="1" ht="15.75" hidden="1" customHeight="1" x14ac:dyDescent="0.3">
      <c r="A101" s="86" t="s">
        <v>51</v>
      </c>
      <c r="B101" s="86"/>
      <c r="C101" s="84" t="s">
        <v>75</v>
      </c>
      <c r="D101" s="84"/>
      <c r="E101" s="85" t="s">
        <v>52</v>
      </c>
      <c r="F101" s="85"/>
      <c r="G101" s="86" t="s">
        <v>53</v>
      </c>
      <c r="H101" s="86"/>
      <c r="R101"/>
      <c r="S101" s="20"/>
      <c r="T101"/>
      <c r="U101" s="20"/>
      <c r="V101" s="20"/>
    </row>
    <row r="102" spans="1:22" s="34" customFormat="1" hidden="1" x14ac:dyDescent="0.3">
      <c r="A102" s="87"/>
      <c r="B102" s="87"/>
      <c r="C102" s="80"/>
      <c r="D102" s="80"/>
      <c r="E102" s="81"/>
      <c r="F102" s="81"/>
      <c r="G102" s="82"/>
      <c r="H102" s="82"/>
      <c r="R102"/>
      <c r="S102" s="20"/>
      <c r="T102"/>
      <c r="U102" s="20"/>
      <c r="V102" s="20"/>
    </row>
    <row r="103" spans="1:22" s="34" customFormat="1" hidden="1" x14ac:dyDescent="0.3">
      <c r="A103" s="87"/>
      <c r="B103" s="87"/>
      <c r="C103" s="80"/>
      <c r="D103" s="80"/>
      <c r="E103" s="81"/>
      <c r="F103" s="81"/>
      <c r="G103" s="82"/>
      <c r="H103" s="82"/>
      <c r="R103"/>
      <c r="S103" s="20"/>
      <c r="T103"/>
      <c r="U103" s="20"/>
      <c r="V103" s="20"/>
    </row>
    <row r="104" spans="1:22" s="34" customFormat="1" hidden="1" x14ac:dyDescent="0.3">
      <c r="A104" s="83" t="s">
        <v>148</v>
      </c>
      <c r="B104" s="83"/>
      <c r="C104" s="84"/>
      <c r="D104" s="84"/>
      <c r="E104" s="85"/>
      <c r="F104" s="85"/>
      <c r="G104" s="86"/>
      <c r="H104" s="86"/>
      <c r="R104"/>
      <c r="S104" s="20"/>
      <c r="T104"/>
      <c r="U104" s="20"/>
      <c r="V104" s="20"/>
    </row>
    <row r="105" spans="1:22" s="34" customFormat="1" x14ac:dyDescent="0.3">
      <c r="A105" s="83" t="s">
        <v>67</v>
      </c>
      <c r="B105" s="83"/>
      <c r="C105" s="83"/>
      <c r="D105" s="83"/>
      <c r="E105" s="83"/>
      <c r="F105" s="83"/>
      <c r="G105" s="83"/>
      <c r="H105" s="83"/>
      <c r="T105"/>
    </row>
    <row r="106" spans="1:22" s="34" customFormat="1" ht="15.75" customHeight="1" x14ac:dyDescent="0.3">
      <c r="A106" s="86" t="s">
        <v>51</v>
      </c>
      <c r="B106" s="86"/>
      <c r="C106" s="84" t="s">
        <v>75</v>
      </c>
      <c r="D106" s="84"/>
      <c r="E106" s="85" t="s">
        <v>52</v>
      </c>
      <c r="F106" s="85"/>
      <c r="G106" s="86" t="s">
        <v>53</v>
      </c>
      <c r="H106" s="86"/>
      <c r="T106"/>
    </row>
    <row r="107" spans="1:22" s="34" customFormat="1" ht="16.2" thickBot="1" x14ac:dyDescent="0.35">
      <c r="A107" s="87" t="s">
        <v>322</v>
      </c>
      <c r="B107" s="87"/>
      <c r="C107" s="123">
        <f>COUNT(F125:F130)+COUNT(F132:F138)+COUNT(F140:F146)+COUNT(F148:F154)*2+COUNT(F156:F162)</f>
        <v>41</v>
      </c>
      <c r="D107" s="81"/>
      <c r="E107" s="123">
        <f>SUM(F125:F130)+SUM(F132:F138)+SUM(F140:F146)+SUM(F148:F154)*2+SUM(F156:F162)</f>
        <v>19180.909800000001</v>
      </c>
      <c r="F107" s="81"/>
      <c r="G107" s="123">
        <f>SUM(H125:H130)+SUM(H132:H138)+SUM(H140:H146)+SUM(H148:H154)*2+SUM(H156:H162)</f>
        <v>27812.319209999998</v>
      </c>
      <c r="H107" s="81"/>
      <c r="T107"/>
    </row>
    <row r="108" spans="1:22" s="34" customFormat="1" hidden="1" x14ac:dyDescent="0.3">
      <c r="A108" s="87"/>
      <c r="B108" s="87"/>
      <c r="C108" s="80"/>
      <c r="D108" s="80"/>
      <c r="E108" s="81"/>
      <c r="F108" s="81"/>
      <c r="G108" s="82"/>
      <c r="H108" s="82"/>
      <c r="T108"/>
    </row>
    <row r="109" spans="1:22" s="34" customFormat="1" ht="16.2" hidden="1" thickBot="1" x14ac:dyDescent="0.35">
      <c r="A109" s="76" t="s">
        <v>148</v>
      </c>
      <c r="B109" s="76"/>
      <c r="C109" s="179">
        <f>SUM(C107:C108)</f>
        <v>41</v>
      </c>
      <c r="D109" s="180"/>
      <c r="E109" s="77">
        <f>SUM(E107:E108)</f>
        <v>19180.909800000001</v>
      </c>
      <c r="F109" s="78"/>
      <c r="G109" s="79">
        <f>SUM(G107:G108)</f>
        <v>27812.319209999998</v>
      </c>
      <c r="H109" s="79"/>
      <c r="T109"/>
    </row>
    <row r="110" spans="1:22" s="34" customFormat="1" ht="16.2" thickBot="1" x14ac:dyDescent="0.35">
      <c r="A110" s="169" t="s">
        <v>164</v>
      </c>
      <c r="B110" s="170"/>
      <c r="C110" s="171">
        <f>C104+C109</f>
        <v>41</v>
      </c>
      <c r="D110" s="171"/>
      <c r="E110" s="172">
        <f>E104+E109</f>
        <v>19180.909800000001</v>
      </c>
      <c r="F110" s="172"/>
      <c r="G110" s="107">
        <f>G104+G109</f>
        <v>27812.319209999998</v>
      </c>
      <c r="H110" s="108"/>
      <c r="T110"/>
    </row>
    <row r="111" spans="1:22" s="33" customFormat="1" x14ac:dyDescent="0.3">
      <c r="A111" s="166" t="s">
        <v>54</v>
      </c>
      <c r="B111" s="166"/>
      <c r="C111" s="166"/>
      <c r="D111" s="166"/>
      <c r="E111" s="166"/>
      <c r="F111" s="166"/>
      <c r="G111" s="166"/>
      <c r="H111" s="166"/>
      <c r="T111" s="34"/>
    </row>
    <row r="112" spans="1:22" x14ac:dyDescent="0.3">
      <c r="A112" s="189" t="s">
        <v>315</v>
      </c>
      <c r="B112" s="189"/>
      <c r="C112" s="189"/>
      <c r="D112" s="189"/>
      <c r="E112" s="189"/>
      <c r="F112" s="189"/>
      <c r="G112" s="189"/>
      <c r="H112" s="189"/>
      <c r="T112" s="34"/>
    </row>
    <row r="113" spans="1:20" ht="47.25" hidden="1" customHeight="1" x14ac:dyDescent="0.3">
      <c r="A113" s="94" t="s">
        <v>117</v>
      </c>
      <c r="B113" s="94" t="s">
        <v>173</v>
      </c>
      <c r="C113" s="94" t="s">
        <v>55</v>
      </c>
      <c r="D113" s="94" t="s">
        <v>228</v>
      </c>
      <c r="E113" s="97" t="s">
        <v>153</v>
      </c>
      <c r="F113" s="94" t="s">
        <v>56</v>
      </c>
      <c r="G113" s="97" t="s">
        <v>57</v>
      </c>
      <c r="H113" s="54" t="s">
        <v>147</v>
      </c>
      <c r="T113" s="34"/>
    </row>
    <row r="114" spans="1:20" s="36" customFormat="1" hidden="1" x14ac:dyDescent="0.3">
      <c r="A114" s="95"/>
      <c r="B114" s="95"/>
      <c r="C114" s="95"/>
      <c r="D114" s="95"/>
      <c r="E114" s="98"/>
      <c r="F114" s="95"/>
      <c r="G114" s="98"/>
      <c r="H114" s="55">
        <v>0.45</v>
      </c>
      <c r="T114" s="34"/>
    </row>
    <row r="115" spans="1:20" s="36" customFormat="1" hidden="1" x14ac:dyDescent="0.3">
      <c r="A115" s="124" t="s">
        <v>116</v>
      </c>
      <c r="B115" s="125"/>
      <c r="C115" s="125"/>
      <c r="D115" s="125"/>
      <c r="E115" s="125"/>
      <c r="F115" s="125"/>
      <c r="G115" s="125"/>
      <c r="H115" s="126"/>
      <c r="J115" s="35"/>
      <c r="T115" s="34"/>
    </row>
    <row r="116" spans="1:20" s="36" customFormat="1" ht="15.75" hidden="1" customHeight="1" x14ac:dyDescent="0.3">
      <c r="A116" s="73">
        <v>1</v>
      </c>
      <c r="B116" s="74"/>
      <c r="C116" s="41"/>
      <c r="D116" s="41">
        <v>0</v>
      </c>
      <c r="E116" s="41">
        <v>0</v>
      </c>
      <c r="F116" s="41">
        <f>D116+(IF(E116&lt;201,E116,IF(E116&lt;301,E116/2,E116/3)))</f>
        <v>0</v>
      </c>
      <c r="G116" s="41">
        <v>0</v>
      </c>
      <c r="H116" s="41">
        <f>(F116+(IF(G116&lt;101,G116,IF(G116&lt;201,G116/2,IF(G116&lt;=301,G116/3,G116/4)))))*(($H$114)+1)</f>
        <v>0</v>
      </c>
      <c r="I116" s="35"/>
      <c r="L116" s="67"/>
      <c r="M116" s="67"/>
      <c r="N116" s="35"/>
      <c r="T116" s="34"/>
    </row>
    <row r="117" spans="1:20" s="36" customFormat="1" ht="15.75" hidden="1" customHeight="1" x14ac:dyDescent="0.3">
      <c r="A117" s="73">
        <f>A116+1</f>
        <v>2</v>
      </c>
      <c r="B117" s="74"/>
      <c r="C117" s="41"/>
      <c r="D117" s="41"/>
      <c r="E117" s="41">
        <v>0</v>
      </c>
      <c r="F117" s="41">
        <f t="shared" ref="F117:F119" si="0">D117+(IF(E117&lt;201,E117,IF(E117&lt;301,E117/2,E117/3)))</f>
        <v>0</v>
      </c>
      <c r="G117" s="41">
        <v>0</v>
      </c>
      <c r="H117" s="41">
        <f t="shared" ref="H117:H119" si="1">(F117+(IF(G117&lt;101,G117,IF(G117&lt;201,G117/2,IF(G117&lt;=301,G117/3,G117/4)))))*(($H$114)+1)</f>
        <v>0</v>
      </c>
      <c r="I117" s="35"/>
      <c r="L117" s="67"/>
      <c r="M117" s="67"/>
      <c r="N117" s="35"/>
      <c r="T117" s="33"/>
    </row>
    <row r="118" spans="1:20" s="36" customFormat="1" ht="15.75" hidden="1" customHeight="1" x14ac:dyDescent="0.3">
      <c r="A118" s="73">
        <f>A117+1</f>
        <v>3</v>
      </c>
      <c r="B118" s="74"/>
      <c r="C118" s="41"/>
      <c r="D118" s="41"/>
      <c r="E118" s="41">
        <v>0</v>
      </c>
      <c r="F118" s="41">
        <f t="shared" si="0"/>
        <v>0</v>
      </c>
      <c r="G118" s="41">
        <v>0</v>
      </c>
      <c r="H118" s="41">
        <f t="shared" si="1"/>
        <v>0</v>
      </c>
      <c r="I118" s="35"/>
      <c r="L118" s="67"/>
      <c r="M118" s="67"/>
      <c r="N118" s="35"/>
      <c r="T118" s="20"/>
    </row>
    <row r="119" spans="1:20" s="36" customFormat="1" ht="15.75" hidden="1" customHeight="1" x14ac:dyDescent="0.3">
      <c r="A119" s="73">
        <f>A118+1</f>
        <v>4</v>
      </c>
      <c r="B119" s="74"/>
      <c r="C119" s="41"/>
      <c r="D119" s="41"/>
      <c r="E119" s="41">
        <v>0</v>
      </c>
      <c r="F119" s="41">
        <f t="shared" si="0"/>
        <v>0</v>
      </c>
      <c r="G119" s="41">
        <v>0</v>
      </c>
      <c r="H119" s="41">
        <f t="shared" si="1"/>
        <v>0</v>
      </c>
      <c r="I119" s="35"/>
      <c r="L119" s="67"/>
      <c r="M119" s="67"/>
      <c r="N119" s="35"/>
      <c r="T119" s="20"/>
    </row>
    <row r="120" spans="1:20" s="36" customFormat="1" hidden="1" x14ac:dyDescent="0.3">
      <c r="A120" s="73"/>
      <c r="B120" s="165"/>
      <c r="C120" s="165"/>
      <c r="D120" s="165"/>
      <c r="E120" s="165"/>
      <c r="F120" s="165"/>
      <c r="G120" s="165"/>
      <c r="H120" s="74"/>
      <c r="I120" s="35"/>
      <c r="N120" s="35"/>
    </row>
    <row r="121" spans="1:20" ht="47.25" customHeight="1" x14ac:dyDescent="0.3">
      <c r="A121" s="167" t="s">
        <v>118</v>
      </c>
      <c r="B121" s="94" t="s">
        <v>174</v>
      </c>
      <c r="C121" s="94" t="s">
        <v>55</v>
      </c>
      <c r="D121" s="94" t="s">
        <v>228</v>
      </c>
      <c r="E121" s="94" t="s">
        <v>320</v>
      </c>
      <c r="F121" s="94" t="s">
        <v>56</v>
      </c>
      <c r="G121" s="97" t="s">
        <v>57</v>
      </c>
      <c r="H121" s="54" t="s">
        <v>147</v>
      </c>
      <c r="I121" s="35"/>
      <c r="T121" s="36"/>
    </row>
    <row r="122" spans="1:20" s="36" customFormat="1" x14ac:dyDescent="0.3">
      <c r="A122" s="168"/>
      <c r="B122" s="95"/>
      <c r="C122" s="95"/>
      <c r="D122" s="95"/>
      <c r="E122" s="95"/>
      <c r="F122" s="95"/>
      <c r="G122" s="98"/>
      <c r="H122" s="61">
        <v>0.45</v>
      </c>
      <c r="I122" s="35"/>
    </row>
    <row r="123" spans="1:20" s="36" customFormat="1" x14ac:dyDescent="0.3">
      <c r="A123" s="124" t="s">
        <v>316</v>
      </c>
      <c r="B123" s="125"/>
      <c r="C123" s="125"/>
      <c r="D123" s="125"/>
      <c r="E123" s="125"/>
      <c r="F123" s="125"/>
      <c r="G123" s="125"/>
      <c r="H123" s="126"/>
      <c r="J123" s="35"/>
    </row>
    <row r="124" spans="1:20" s="36" customFormat="1" x14ac:dyDescent="0.3">
      <c r="A124" s="124" t="s">
        <v>317</v>
      </c>
      <c r="B124" s="125"/>
      <c r="C124" s="125"/>
      <c r="D124" s="125"/>
      <c r="E124" s="125"/>
      <c r="F124" s="125"/>
      <c r="G124" s="125"/>
      <c r="H124" s="126"/>
      <c r="J124" s="60">
        <v>10.763999999999999</v>
      </c>
    </row>
    <row r="125" spans="1:20" s="36" customFormat="1" ht="15.75" customHeight="1" x14ac:dyDescent="0.3">
      <c r="A125" s="73">
        <v>1</v>
      </c>
      <c r="B125" s="74"/>
      <c r="C125" s="41" t="s">
        <v>318</v>
      </c>
      <c r="D125" s="60">
        <f>(33.92)*10.764</f>
        <v>365.11487999999997</v>
      </c>
      <c r="E125" s="60">
        <f>(0.75*(2.75+2.3+2.75))*10.764</f>
        <v>62.969399999999993</v>
      </c>
      <c r="F125" s="41">
        <f t="shared" ref="F125:F130" si="2">D125+E125</f>
        <v>428.08427999999998</v>
      </c>
      <c r="G125" s="41">
        <v>0</v>
      </c>
      <c r="H125" s="41">
        <f t="shared" ref="H125:H130" si="3">F125*(($H$122)+1)+(IF(G125&lt;101,G125,IF(G125&lt;201,G125/2,IF(G125&lt;=301,G125/3,G125/4))))</f>
        <v>620.72220599999991</v>
      </c>
      <c r="I125" s="35">
        <f>2.75*5.5+2.3*2.4+3*2.75+1.3*0.9+1.3*1.5+0.9*(1+1.5)</f>
        <v>34.265000000000001</v>
      </c>
      <c r="L125" s="67"/>
      <c r="M125" s="67"/>
      <c r="N125" s="35"/>
    </row>
    <row r="126" spans="1:20" s="36" customFormat="1" ht="15.75" customHeight="1" x14ac:dyDescent="0.3">
      <c r="A126" s="73">
        <f>A125+1</f>
        <v>2</v>
      </c>
      <c r="B126" s="74"/>
      <c r="C126" s="41" t="s">
        <v>318</v>
      </c>
      <c r="D126" s="60">
        <f>(32.09)*10.764</f>
        <v>345.41676000000001</v>
      </c>
      <c r="E126" s="60">
        <f>(0.75*(2.75+2.8+2.05))*10.764</f>
        <v>61.35479999999999</v>
      </c>
      <c r="F126" s="41">
        <f t="shared" si="2"/>
        <v>406.77156000000002</v>
      </c>
      <c r="G126" s="41">
        <v>0</v>
      </c>
      <c r="H126" s="41">
        <f t="shared" si="3"/>
        <v>589.81876199999999</v>
      </c>
      <c r="I126" s="35"/>
      <c r="L126" s="67"/>
      <c r="M126" s="67"/>
      <c r="N126" s="35"/>
    </row>
    <row r="127" spans="1:20" s="36" customFormat="1" ht="15.75" customHeight="1" x14ac:dyDescent="0.3">
      <c r="A127" s="73">
        <f>A126+1</f>
        <v>3</v>
      </c>
      <c r="B127" s="74"/>
      <c r="C127" s="41" t="s">
        <v>318</v>
      </c>
      <c r="D127" s="60">
        <f>(33.38)*10.764</f>
        <v>359.30232000000001</v>
      </c>
      <c r="E127" s="60">
        <f>(0.75*(2.75+2.1+3.05))*10.764</f>
        <v>63.776699999999991</v>
      </c>
      <c r="F127" s="41">
        <f t="shared" si="2"/>
        <v>423.07902000000001</v>
      </c>
      <c r="G127" s="41">
        <v>0</v>
      </c>
      <c r="H127" s="41">
        <f t="shared" si="3"/>
        <v>613.46457899999996</v>
      </c>
      <c r="I127" s="35"/>
      <c r="L127" s="67"/>
      <c r="M127" s="67"/>
      <c r="N127" s="35"/>
    </row>
    <row r="128" spans="1:20" s="36" customFormat="1" ht="15.75" customHeight="1" x14ac:dyDescent="0.3">
      <c r="A128" s="73">
        <f>A127+1</f>
        <v>4</v>
      </c>
      <c r="B128" s="74"/>
      <c r="C128" s="41" t="s">
        <v>318</v>
      </c>
      <c r="D128" s="60">
        <f>(33.38)*10.764</f>
        <v>359.30232000000001</v>
      </c>
      <c r="E128" s="60">
        <f>(0.75*(2.75+2.1+3.05))*10.764</f>
        <v>63.776699999999991</v>
      </c>
      <c r="F128" s="41">
        <f t="shared" si="2"/>
        <v>423.07902000000001</v>
      </c>
      <c r="G128" s="41">
        <v>0</v>
      </c>
      <c r="H128" s="41">
        <f t="shared" si="3"/>
        <v>613.46457899999996</v>
      </c>
      <c r="I128" s="35"/>
      <c r="L128" s="67"/>
      <c r="M128" s="67"/>
      <c r="N128" s="35"/>
      <c r="T128" s="20"/>
    </row>
    <row r="129" spans="1:20" s="36" customFormat="1" ht="15.75" customHeight="1" x14ac:dyDescent="0.3">
      <c r="A129" s="73">
        <f>A128+1</f>
        <v>5</v>
      </c>
      <c r="B129" s="74"/>
      <c r="C129" s="41" t="s">
        <v>319</v>
      </c>
      <c r="D129" s="60">
        <f>(46.48)*10.764</f>
        <v>500.31071999999995</v>
      </c>
      <c r="E129" s="60">
        <f>(0.75*(3.35+3+2.3+3))*10.764</f>
        <v>94.050449999999984</v>
      </c>
      <c r="F129" s="41">
        <f t="shared" si="2"/>
        <v>594.3611699999999</v>
      </c>
      <c r="G129" s="41">
        <v>0</v>
      </c>
      <c r="H129" s="41">
        <f t="shared" si="3"/>
        <v>861.82369649999987</v>
      </c>
      <c r="I129" s="35"/>
      <c r="L129" s="67"/>
      <c r="M129" s="67"/>
      <c r="N129" s="35"/>
    </row>
    <row r="130" spans="1:20" s="36" customFormat="1" ht="15.75" customHeight="1" x14ac:dyDescent="0.3">
      <c r="A130" s="73">
        <f>A129+1</f>
        <v>6</v>
      </c>
      <c r="B130" s="74"/>
      <c r="C130" s="41" t="s">
        <v>319</v>
      </c>
      <c r="D130" s="60">
        <f>(44.77)*10.764</f>
        <v>481.90428000000003</v>
      </c>
      <c r="E130" s="60">
        <f>(0.75*(3.05+3+2.3+3))*10.764</f>
        <v>91.62854999999999</v>
      </c>
      <c r="F130" s="41">
        <f t="shared" si="2"/>
        <v>573.53282999999999</v>
      </c>
      <c r="G130" s="41">
        <v>0</v>
      </c>
      <c r="H130" s="41">
        <f t="shared" si="3"/>
        <v>831.62260349999997</v>
      </c>
      <c r="I130" s="35"/>
      <c r="L130" s="67"/>
      <c r="M130" s="67"/>
      <c r="N130" s="35"/>
      <c r="T130" s="20"/>
    </row>
    <row r="131" spans="1:20" s="36" customFormat="1" x14ac:dyDescent="0.3">
      <c r="A131" s="66" t="s">
        <v>321</v>
      </c>
      <c r="B131" s="66"/>
      <c r="C131" s="66"/>
      <c r="D131" s="66"/>
      <c r="E131" s="66"/>
      <c r="F131" s="66"/>
      <c r="G131" s="66"/>
      <c r="H131" s="66"/>
      <c r="I131" s="35"/>
      <c r="J131" s="36">
        <v>9000</v>
      </c>
      <c r="L131" s="67"/>
      <c r="M131" s="67"/>
    </row>
    <row r="132" spans="1:20" s="36" customFormat="1" x14ac:dyDescent="0.3">
      <c r="A132" s="68">
        <v>1</v>
      </c>
      <c r="B132" s="68"/>
      <c r="C132" s="41" t="s">
        <v>318</v>
      </c>
      <c r="D132" s="60">
        <f>(33.9)*10.764</f>
        <v>364.89959999999996</v>
      </c>
      <c r="E132" s="60">
        <f>(0.75*(2.75+2.3+2.75))*10.764</f>
        <v>62.969399999999993</v>
      </c>
      <c r="F132" s="41">
        <f t="shared" ref="F132:F138" si="4">D132+E132</f>
        <v>427.86899999999997</v>
      </c>
      <c r="G132" s="41">
        <v>0</v>
      </c>
      <c r="H132" s="41">
        <f t="shared" ref="H132:H138" si="5">F132*(($H$122)+1)+(IF(G132&lt;101,G132,IF(G132&lt;201,G132/2,IF(G132&lt;=301,G132/3,G132/4))))</f>
        <v>620.41004999999996</v>
      </c>
      <c r="I132" s="35"/>
      <c r="J132" s="36">
        <f>J$131*H132</f>
        <v>5583690.4499999993</v>
      </c>
      <c r="K132" s="36">
        <f>J132+225000</f>
        <v>5808690.4499999993</v>
      </c>
      <c r="M132" s="36">
        <f>5590000/H132</f>
        <v>9010.1699674271877</v>
      </c>
      <c r="N132" s="35"/>
    </row>
    <row r="133" spans="1:20" s="36" customFormat="1" x14ac:dyDescent="0.3">
      <c r="A133" s="68">
        <f t="shared" ref="A133:A138" si="6">A132+1</f>
        <v>2</v>
      </c>
      <c r="B133" s="68"/>
      <c r="C133" s="41" t="s">
        <v>318</v>
      </c>
      <c r="D133" s="60">
        <f>(32.09)*10.764</f>
        <v>345.41676000000001</v>
      </c>
      <c r="E133" s="60">
        <f>(0.75*(2.75+2.8+2.05))*10.764</f>
        <v>61.35479999999999</v>
      </c>
      <c r="F133" s="41">
        <f t="shared" si="4"/>
        <v>406.77156000000002</v>
      </c>
      <c r="G133" s="41">
        <v>0</v>
      </c>
      <c r="H133" s="41">
        <f t="shared" si="5"/>
        <v>589.81876199999999</v>
      </c>
      <c r="I133" s="35"/>
      <c r="J133" s="36">
        <f t="shared" ref="J133:J138" si="7">J$131*H133</f>
        <v>5308368.858</v>
      </c>
      <c r="K133" s="36">
        <f t="shared" ref="K133:K138" si="8">J133+225000</f>
        <v>5533368.858</v>
      </c>
      <c r="L133" s="36">
        <f>5000000/H133</f>
        <v>8477.180317298893</v>
      </c>
      <c r="M133" s="36">
        <f>5590000/H133</f>
        <v>9477.4875947401615</v>
      </c>
      <c r="N133" s="35"/>
    </row>
    <row r="134" spans="1:20" s="36" customFormat="1" x14ac:dyDescent="0.3">
      <c r="A134" s="68">
        <f t="shared" si="6"/>
        <v>3</v>
      </c>
      <c r="B134" s="68"/>
      <c r="C134" s="41" t="s">
        <v>318</v>
      </c>
      <c r="D134" s="60">
        <f>(33.38)*10.764</f>
        <v>359.30232000000001</v>
      </c>
      <c r="E134" s="60">
        <f>(0.75*(2.75+2.1+3.05))*10.764</f>
        <v>63.776699999999991</v>
      </c>
      <c r="F134" s="41">
        <f t="shared" si="4"/>
        <v>423.07902000000001</v>
      </c>
      <c r="G134" s="41">
        <v>0</v>
      </c>
      <c r="H134" s="41">
        <f t="shared" si="5"/>
        <v>613.46457899999996</v>
      </c>
      <c r="I134" s="35"/>
      <c r="J134" s="36">
        <f t="shared" si="7"/>
        <v>5521181.2109999992</v>
      </c>
      <c r="K134" s="36">
        <f t="shared" si="8"/>
        <v>5746181.2109999992</v>
      </c>
      <c r="M134" s="36">
        <f>5590000/H134</f>
        <v>9112.1805420488672</v>
      </c>
      <c r="N134" s="35"/>
    </row>
    <row r="135" spans="1:20" s="36" customFormat="1" x14ac:dyDescent="0.3">
      <c r="A135" s="68">
        <f t="shared" si="6"/>
        <v>4</v>
      </c>
      <c r="B135" s="68"/>
      <c r="C135" s="41" t="s">
        <v>318</v>
      </c>
      <c r="D135" s="60">
        <f>(33.38)*10.764</f>
        <v>359.30232000000001</v>
      </c>
      <c r="E135" s="60">
        <f>(0.75*(2.75+2.1+3.05))*10.764</f>
        <v>63.776699999999991</v>
      </c>
      <c r="F135" s="41">
        <f t="shared" si="4"/>
        <v>423.07902000000001</v>
      </c>
      <c r="G135" s="41">
        <v>0</v>
      </c>
      <c r="H135" s="41">
        <f t="shared" si="5"/>
        <v>613.46457899999996</v>
      </c>
      <c r="I135" s="35"/>
      <c r="J135" s="36">
        <f t="shared" si="7"/>
        <v>5521181.2109999992</v>
      </c>
      <c r="K135" s="36">
        <f t="shared" si="8"/>
        <v>5746181.2109999992</v>
      </c>
      <c r="M135" s="36">
        <f>5590000/H135</f>
        <v>9112.1805420488672</v>
      </c>
      <c r="N135" s="35"/>
    </row>
    <row r="136" spans="1:20" s="36" customFormat="1" x14ac:dyDescent="0.3">
      <c r="A136" s="68">
        <f t="shared" si="6"/>
        <v>5</v>
      </c>
      <c r="B136" s="68"/>
      <c r="C136" s="41" t="s">
        <v>319</v>
      </c>
      <c r="D136" s="60">
        <f>(46.48)*10.764</f>
        <v>500.31071999999995</v>
      </c>
      <c r="E136" s="60">
        <f>(0.75*(3.35+3+2.3+3))*10.764</f>
        <v>94.050449999999984</v>
      </c>
      <c r="F136" s="41">
        <f t="shared" si="4"/>
        <v>594.3611699999999</v>
      </c>
      <c r="G136" s="41">
        <v>0</v>
      </c>
      <c r="H136" s="41">
        <f t="shared" si="5"/>
        <v>861.82369649999987</v>
      </c>
      <c r="I136" s="35"/>
      <c r="J136" s="36">
        <f t="shared" si="7"/>
        <v>7756413.2684999984</v>
      </c>
      <c r="K136" s="36">
        <f t="shared" si="8"/>
        <v>7981413.2684999984</v>
      </c>
      <c r="M136" s="36">
        <f>7690000/H136</f>
        <v>8922.9386836661452</v>
      </c>
      <c r="N136" s="35"/>
    </row>
    <row r="137" spans="1:20" s="36" customFormat="1" x14ac:dyDescent="0.3">
      <c r="A137" s="68">
        <f t="shared" si="6"/>
        <v>6</v>
      </c>
      <c r="B137" s="68"/>
      <c r="C137" s="41" t="s">
        <v>319</v>
      </c>
      <c r="D137" s="60">
        <f>(44.77)*10.764</f>
        <v>481.90428000000003</v>
      </c>
      <c r="E137" s="60">
        <f>(0.75*(3.05+3+2.3+3))*10.764</f>
        <v>91.62854999999999</v>
      </c>
      <c r="F137" s="41">
        <f t="shared" si="4"/>
        <v>573.53282999999999</v>
      </c>
      <c r="G137" s="41">
        <v>0</v>
      </c>
      <c r="H137" s="41">
        <f t="shared" si="5"/>
        <v>831.62260349999997</v>
      </c>
      <c r="I137" s="35"/>
      <c r="J137" s="36">
        <f t="shared" si="7"/>
        <v>7484603.4314999999</v>
      </c>
      <c r="K137" s="36">
        <f t="shared" si="8"/>
        <v>7709603.4314999999</v>
      </c>
      <c r="M137" s="36">
        <f>7690000/H137</f>
        <v>9246.9829074336849</v>
      </c>
      <c r="N137" s="35"/>
    </row>
    <row r="138" spans="1:20" s="36" customFormat="1" x14ac:dyDescent="0.3">
      <c r="A138" s="68">
        <f t="shared" si="6"/>
        <v>7</v>
      </c>
      <c r="B138" s="68"/>
      <c r="C138" s="41" t="s">
        <v>318</v>
      </c>
      <c r="D138" s="60">
        <f>(32.91)*10.764</f>
        <v>354.24323999999996</v>
      </c>
      <c r="E138" s="60">
        <f>(0.75*(2.75+2.1+2.75))*10.764</f>
        <v>61.35479999999999</v>
      </c>
      <c r="F138" s="41">
        <f t="shared" si="4"/>
        <v>415.59803999999997</v>
      </c>
      <c r="G138" s="41">
        <v>0</v>
      </c>
      <c r="H138" s="41">
        <f t="shared" si="5"/>
        <v>602.6171579999999</v>
      </c>
      <c r="I138" s="35"/>
      <c r="J138" s="36">
        <f t="shared" si="7"/>
        <v>5423554.4219999993</v>
      </c>
      <c r="K138" s="36">
        <f t="shared" si="8"/>
        <v>5648554.4219999993</v>
      </c>
      <c r="M138" s="36">
        <f>5590000/H138</f>
        <v>9276.2045119199884</v>
      </c>
      <c r="N138" s="35"/>
    </row>
    <row r="139" spans="1:20" s="36" customFormat="1" x14ac:dyDescent="0.3">
      <c r="A139" s="66" t="s">
        <v>335</v>
      </c>
      <c r="B139" s="66"/>
      <c r="C139" s="66"/>
      <c r="D139" s="66"/>
      <c r="E139" s="66"/>
      <c r="F139" s="66"/>
      <c r="G139" s="66"/>
      <c r="H139" s="66"/>
      <c r="I139" s="35"/>
      <c r="J139" s="36">
        <v>9000</v>
      </c>
      <c r="L139" s="67"/>
      <c r="M139" s="67"/>
    </row>
    <row r="140" spans="1:20" s="36" customFormat="1" x14ac:dyDescent="0.3">
      <c r="A140" s="68">
        <v>1</v>
      </c>
      <c r="B140" s="68"/>
      <c r="C140" s="41" t="s">
        <v>318</v>
      </c>
      <c r="D140" s="60">
        <f>(33.9)*10.764</f>
        <v>364.89959999999996</v>
      </c>
      <c r="E140" s="60">
        <f>(0.75*(2.75+2.3+2.75))*10.764</f>
        <v>62.969399999999993</v>
      </c>
      <c r="F140" s="41">
        <f t="shared" ref="F140:F146" si="9">D140+E140</f>
        <v>427.86899999999997</v>
      </c>
      <c r="G140" s="60">
        <v>0</v>
      </c>
      <c r="H140" s="41">
        <f t="shared" ref="H140:H146" si="10">F140*(($H$122)+1)+(IF(G140&lt;101,G140,IF(G140&lt;201,G140/2,IF(G140&lt;=301,G140/3,G140/4))))</f>
        <v>620.41004999999996</v>
      </c>
      <c r="I140" s="35">
        <f>(3*4.05+2.3*2.05)*10.764</f>
        <v>181.53485999999998</v>
      </c>
      <c r="J140" s="36">
        <f>J$131*H140</f>
        <v>5583690.4499999993</v>
      </c>
      <c r="K140" s="36">
        <f>J140+225000</f>
        <v>5808690.4499999993</v>
      </c>
      <c r="M140" s="36">
        <f>5590000/H140</f>
        <v>9010.1699674271877</v>
      </c>
      <c r="N140" s="35"/>
    </row>
    <row r="141" spans="1:20" s="36" customFormat="1" x14ac:dyDescent="0.3">
      <c r="A141" s="68">
        <f t="shared" ref="A141:A146" si="11">A140+1</f>
        <v>2</v>
      </c>
      <c r="B141" s="68"/>
      <c r="C141" s="41" t="s">
        <v>318</v>
      </c>
      <c r="D141" s="60">
        <f>(32.09)*10.764</f>
        <v>345.41676000000001</v>
      </c>
      <c r="E141" s="60">
        <f>(0.75*(2.75+2.8+2.05))*10.764</f>
        <v>61.35479999999999</v>
      </c>
      <c r="F141" s="41">
        <f t="shared" si="9"/>
        <v>406.77156000000002</v>
      </c>
      <c r="G141" s="41">
        <v>0</v>
      </c>
      <c r="H141" s="41">
        <f t="shared" si="10"/>
        <v>589.81876199999999</v>
      </c>
      <c r="I141" s="35"/>
      <c r="N141" s="35"/>
    </row>
    <row r="142" spans="1:20" s="36" customFormat="1" x14ac:dyDescent="0.3">
      <c r="A142" s="68">
        <f t="shared" si="11"/>
        <v>3</v>
      </c>
      <c r="B142" s="68"/>
      <c r="C142" s="41" t="s">
        <v>318</v>
      </c>
      <c r="D142" s="60">
        <f>(33.38)*10.764</f>
        <v>359.30232000000001</v>
      </c>
      <c r="E142" s="60">
        <f>(0.75*(2.75+2.1+3.05))*10.764</f>
        <v>63.776699999999991</v>
      </c>
      <c r="F142" s="41">
        <f t="shared" si="9"/>
        <v>423.07902000000001</v>
      </c>
      <c r="G142" s="41">
        <v>0</v>
      </c>
      <c r="H142" s="41">
        <f t="shared" si="10"/>
        <v>613.46457899999996</v>
      </c>
      <c r="I142" s="35"/>
      <c r="N142" s="35"/>
    </row>
    <row r="143" spans="1:20" s="36" customFormat="1" x14ac:dyDescent="0.3">
      <c r="A143" s="68">
        <f t="shared" si="11"/>
        <v>4</v>
      </c>
      <c r="B143" s="68"/>
      <c r="C143" s="41" t="s">
        <v>318</v>
      </c>
      <c r="D143" s="60">
        <f>(33.38)*10.764</f>
        <v>359.30232000000001</v>
      </c>
      <c r="E143" s="60">
        <f>(0.75*(2.75+2.1+3.05))*10.764</f>
        <v>63.776699999999991</v>
      </c>
      <c r="F143" s="41">
        <f t="shared" si="9"/>
        <v>423.07902000000001</v>
      </c>
      <c r="G143" s="41">
        <v>0</v>
      </c>
      <c r="H143" s="41">
        <f t="shared" si="10"/>
        <v>613.46457899999996</v>
      </c>
      <c r="I143" s="35"/>
      <c r="N143" s="35"/>
    </row>
    <row r="144" spans="1:20" s="36" customFormat="1" x14ac:dyDescent="0.3">
      <c r="A144" s="68">
        <f t="shared" si="11"/>
        <v>5</v>
      </c>
      <c r="B144" s="68"/>
      <c r="C144" s="41" t="s">
        <v>319</v>
      </c>
      <c r="D144" s="60">
        <f>(46.48)*10.764</f>
        <v>500.31071999999995</v>
      </c>
      <c r="E144" s="60">
        <f>(0.75*(3.35+3+2.3+3))*10.764</f>
        <v>94.050449999999984</v>
      </c>
      <c r="F144" s="41">
        <f t="shared" si="9"/>
        <v>594.3611699999999</v>
      </c>
      <c r="G144" s="41">
        <v>0</v>
      </c>
      <c r="H144" s="41">
        <f t="shared" si="10"/>
        <v>861.82369649999987</v>
      </c>
      <c r="I144" s="35"/>
      <c r="N144" s="35"/>
    </row>
    <row r="145" spans="1:14" s="36" customFormat="1" x14ac:dyDescent="0.3">
      <c r="A145" s="68">
        <f t="shared" si="11"/>
        <v>6</v>
      </c>
      <c r="B145" s="68"/>
      <c r="C145" s="41" t="s">
        <v>319</v>
      </c>
      <c r="D145" s="60">
        <f>(44.77)*10.764</f>
        <v>481.90428000000003</v>
      </c>
      <c r="E145" s="60">
        <f>(0.75*(3.02+3+2.3+3))*10.764</f>
        <v>91.386359999999996</v>
      </c>
      <c r="F145" s="41">
        <f t="shared" si="9"/>
        <v>573.29064000000005</v>
      </c>
      <c r="G145" s="41">
        <v>0</v>
      </c>
      <c r="H145" s="41">
        <f t="shared" si="10"/>
        <v>831.27142800000001</v>
      </c>
      <c r="I145" s="35"/>
      <c r="N145" s="35"/>
    </row>
    <row r="146" spans="1:14" s="36" customFormat="1" x14ac:dyDescent="0.3">
      <c r="A146" s="68">
        <f t="shared" si="11"/>
        <v>7</v>
      </c>
      <c r="B146" s="68"/>
      <c r="C146" s="41" t="s">
        <v>318</v>
      </c>
      <c r="D146" s="60">
        <f>(32.91)*10.764</f>
        <v>354.24323999999996</v>
      </c>
      <c r="E146" s="60">
        <f>(0.75*(2.75+2.1+2.75))*10.764</f>
        <v>61.35479999999999</v>
      </c>
      <c r="F146" s="41">
        <f t="shared" si="9"/>
        <v>415.59803999999997</v>
      </c>
      <c r="G146" s="41">
        <v>0</v>
      </c>
      <c r="H146" s="41">
        <f t="shared" si="10"/>
        <v>602.6171579999999</v>
      </c>
      <c r="I146" s="35"/>
      <c r="N146" s="35"/>
    </row>
    <row r="147" spans="1:14" s="36" customFormat="1" x14ac:dyDescent="0.3">
      <c r="A147" s="66" t="s">
        <v>331</v>
      </c>
      <c r="B147" s="66"/>
      <c r="C147" s="66"/>
      <c r="D147" s="66"/>
      <c r="E147" s="66"/>
      <c r="F147" s="66"/>
      <c r="G147" s="66"/>
      <c r="H147" s="66"/>
      <c r="I147" s="35"/>
      <c r="L147" s="67"/>
      <c r="M147" s="67"/>
    </row>
    <row r="148" spans="1:14" s="36" customFormat="1" x14ac:dyDescent="0.3">
      <c r="A148" s="68">
        <v>1</v>
      </c>
      <c r="B148" s="68"/>
      <c r="C148" s="41" t="s">
        <v>318</v>
      </c>
      <c r="D148" s="60">
        <f>(33.9)*10.764</f>
        <v>364.89959999999996</v>
      </c>
      <c r="E148" s="60">
        <f>(0.75*(2.75+2.3+2.75))*10.764</f>
        <v>62.969399999999993</v>
      </c>
      <c r="F148" s="41">
        <f t="shared" ref="F148:F154" si="12">D148+E148</f>
        <v>427.86899999999997</v>
      </c>
      <c r="G148" s="60">
        <v>0</v>
      </c>
      <c r="H148" s="41">
        <f t="shared" ref="H148:H154" si="13">F148*(($H$122)+1)+(IF(G148&lt;101,G148,IF(G148&lt;201,G148/2,IF(G148&lt;=301,G148/3,G148/4))))</f>
        <v>620.41004999999996</v>
      </c>
      <c r="I148" s="35"/>
      <c r="N148" s="35"/>
    </row>
    <row r="149" spans="1:14" s="36" customFormat="1" x14ac:dyDescent="0.3">
      <c r="A149" s="68">
        <f t="shared" ref="A149:A154" si="14">A148+1</f>
        <v>2</v>
      </c>
      <c r="B149" s="68"/>
      <c r="C149" s="41" t="s">
        <v>318</v>
      </c>
      <c r="D149" s="60">
        <f>(32.09)*10.764</f>
        <v>345.41676000000001</v>
      </c>
      <c r="E149" s="60">
        <f>(0.75*(2.75+2.8+2.05))*10.764</f>
        <v>61.35479999999999</v>
      </c>
      <c r="F149" s="41">
        <f t="shared" si="12"/>
        <v>406.77156000000002</v>
      </c>
      <c r="G149" s="41">
        <v>0</v>
      </c>
      <c r="H149" s="41">
        <f t="shared" si="13"/>
        <v>589.81876199999999</v>
      </c>
      <c r="I149" s="35"/>
      <c r="N149" s="35"/>
    </row>
    <row r="150" spans="1:14" s="36" customFormat="1" x14ac:dyDescent="0.3">
      <c r="A150" s="68">
        <f t="shared" si="14"/>
        <v>3</v>
      </c>
      <c r="B150" s="68"/>
      <c r="C150" s="41" t="s">
        <v>318</v>
      </c>
      <c r="D150" s="60">
        <f>(33.38)*10.764</f>
        <v>359.30232000000001</v>
      </c>
      <c r="E150" s="60">
        <f>(0.75*(2.75+2.1+3.05))*10.764</f>
        <v>63.776699999999991</v>
      </c>
      <c r="F150" s="41">
        <f t="shared" si="12"/>
        <v>423.07902000000001</v>
      </c>
      <c r="G150" s="41">
        <v>0</v>
      </c>
      <c r="H150" s="41">
        <f t="shared" si="13"/>
        <v>613.46457899999996</v>
      </c>
      <c r="I150" s="35"/>
      <c r="N150" s="35"/>
    </row>
    <row r="151" spans="1:14" s="36" customFormat="1" x14ac:dyDescent="0.3">
      <c r="A151" s="68">
        <f t="shared" si="14"/>
        <v>4</v>
      </c>
      <c r="B151" s="68"/>
      <c r="C151" s="41" t="s">
        <v>318</v>
      </c>
      <c r="D151" s="60">
        <f>(33.38)*10.764</f>
        <v>359.30232000000001</v>
      </c>
      <c r="E151" s="60">
        <f>(0.75*(2.75+2.1+3.05))*10.764</f>
        <v>63.776699999999991</v>
      </c>
      <c r="F151" s="41">
        <f t="shared" si="12"/>
        <v>423.07902000000001</v>
      </c>
      <c r="G151" s="41">
        <v>0</v>
      </c>
      <c r="H151" s="41">
        <f t="shared" si="13"/>
        <v>613.46457899999996</v>
      </c>
      <c r="I151" s="35"/>
      <c r="N151" s="35"/>
    </row>
    <row r="152" spans="1:14" s="36" customFormat="1" x14ac:dyDescent="0.3">
      <c r="A152" s="68">
        <f t="shared" si="14"/>
        <v>5</v>
      </c>
      <c r="B152" s="68"/>
      <c r="C152" s="41" t="s">
        <v>319</v>
      </c>
      <c r="D152" s="60">
        <f>(46.48)*10.764</f>
        <v>500.31071999999995</v>
      </c>
      <c r="E152" s="60">
        <f>(0.75*(3.35+3+2.3+3))*10.764</f>
        <v>94.050449999999984</v>
      </c>
      <c r="F152" s="41">
        <f t="shared" si="12"/>
        <v>594.3611699999999</v>
      </c>
      <c r="G152" s="41">
        <v>0</v>
      </c>
      <c r="H152" s="41">
        <f t="shared" si="13"/>
        <v>861.82369649999987</v>
      </c>
      <c r="I152" s="35"/>
      <c r="N152" s="35"/>
    </row>
    <row r="153" spans="1:14" s="36" customFormat="1" x14ac:dyDescent="0.3">
      <c r="A153" s="68">
        <f t="shared" si="14"/>
        <v>6</v>
      </c>
      <c r="B153" s="68"/>
      <c r="C153" s="41" t="s">
        <v>319</v>
      </c>
      <c r="D153" s="60">
        <f>(44.77)*10.764</f>
        <v>481.90428000000003</v>
      </c>
      <c r="E153" s="60">
        <f>(0.75*(3.02+3+2.3+3))*10.764</f>
        <v>91.386359999999996</v>
      </c>
      <c r="F153" s="41">
        <f t="shared" si="12"/>
        <v>573.29064000000005</v>
      </c>
      <c r="G153" s="41">
        <v>0</v>
      </c>
      <c r="H153" s="41">
        <f t="shared" si="13"/>
        <v>831.27142800000001</v>
      </c>
      <c r="I153" s="35"/>
      <c r="N153" s="35"/>
    </row>
    <row r="154" spans="1:14" s="36" customFormat="1" x14ac:dyDescent="0.3">
      <c r="A154" s="68">
        <f t="shared" si="14"/>
        <v>7</v>
      </c>
      <c r="B154" s="68"/>
      <c r="C154" s="41" t="s">
        <v>318</v>
      </c>
      <c r="D154" s="60">
        <f>(32.91)*10.764</f>
        <v>354.24323999999996</v>
      </c>
      <c r="E154" s="60">
        <f>(0.75*(2.75+2.1+2.75))*10.764</f>
        <v>61.35479999999999</v>
      </c>
      <c r="F154" s="41">
        <f t="shared" si="12"/>
        <v>415.59803999999997</v>
      </c>
      <c r="G154" s="41">
        <v>0</v>
      </c>
      <c r="H154" s="41">
        <f t="shared" si="13"/>
        <v>602.6171579999999</v>
      </c>
      <c r="I154" s="35"/>
      <c r="N154" s="35"/>
    </row>
    <row r="155" spans="1:14" s="36" customFormat="1" x14ac:dyDescent="0.3">
      <c r="A155" s="66" t="s">
        <v>332</v>
      </c>
      <c r="B155" s="66"/>
      <c r="C155" s="66"/>
      <c r="D155" s="66"/>
      <c r="E155" s="66"/>
      <c r="F155" s="66"/>
      <c r="G155" s="66"/>
      <c r="H155" s="66"/>
      <c r="I155" s="35"/>
      <c r="L155" s="67"/>
      <c r="M155" s="67"/>
    </row>
    <row r="156" spans="1:14" s="36" customFormat="1" x14ac:dyDescent="0.3">
      <c r="A156" s="68">
        <v>1</v>
      </c>
      <c r="B156" s="68"/>
      <c r="C156" s="41" t="s">
        <v>318</v>
      </c>
      <c r="D156" s="60">
        <f>(33.9)*10.764</f>
        <v>364.89959999999996</v>
      </c>
      <c r="E156" s="60">
        <f>(0.75*(2.75+2.3+2.75))*10.764</f>
        <v>62.969399999999993</v>
      </c>
      <c r="F156" s="41">
        <f t="shared" ref="F156:F162" si="15">D156+E156</f>
        <v>427.86899999999997</v>
      </c>
      <c r="G156" s="60">
        <v>0</v>
      </c>
      <c r="H156" s="41">
        <f t="shared" ref="H156:H162" si="16">F156*(($H$122)+1)+(IF(G156&lt;101,G156,IF(G156&lt;201,G156/2,IF(G156&lt;=301,G156/3,G156/4))))</f>
        <v>620.41004999999996</v>
      </c>
      <c r="I156" s="35"/>
      <c r="N156" s="35"/>
    </row>
    <row r="157" spans="1:14" s="36" customFormat="1" x14ac:dyDescent="0.3">
      <c r="A157" s="68">
        <f t="shared" ref="A157:A162" si="17">A156+1</f>
        <v>2</v>
      </c>
      <c r="B157" s="68"/>
      <c r="C157" s="41" t="s">
        <v>318</v>
      </c>
      <c r="D157" s="60">
        <f>(32.09)*10.764</f>
        <v>345.41676000000001</v>
      </c>
      <c r="E157" s="60">
        <f>(0.75*(2.75+2.8+2.05))*10.764</f>
        <v>61.35479999999999</v>
      </c>
      <c r="F157" s="41">
        <f t="shared" si="15"/>
        <v>406.77156000000002</v>
      </c>
      <c r="G157" s="41">
        <v>0</v>
      </c>
      <c r="H157" s="41">
        <f t="shared" si="16"/>
        <v>589.81876199999999</v>
      </c>
      <c r="I157" s="35"/>
      <c r="N157" s="35"/>
    </row>
    <row r="158" spans="1:14" s="36" customFormat="1" x14ac:dyDescent="0.3">
      <c r="A158" s="68">
        <f t="shared" si="17"/>
        <v>3</v>
      </c>
      <c r="B158" s="68"/>
      <c r="C158" s="41" t="s">
        <v>318</v>
      </c>
      <c r="D158" s="60">
        <f>(28.92)*10.764</f>
        <v>311.29487999999998</v>
      </c>
      <c r="E158" s="60">
        <f>(0.75*(2.75+2.1+3.05)+5.53)*10.764</f>
        <v>123.30162</v>
      </c>
      <c r="F158" s="41">
        <f t="shared" si="15"/>
        <v>434.59649999999999</v>
      </c>
      <c r="G158" s="41">
        <v>0</v>
      </c>
      <c r="H158" s="41">
        <f t="shared" si="16"/>
        <v>630.16492499999993</v>
      </c>
      <c r="I158" s="35">
        <f>4.3*2.75+2*2.1+2*3.05+2.2*1.2+1.2*1.8</f>
        <v>26.925000000000001</v>
      </c>
      <c r="J158" s="36">
        <f>1*(2.1+3.05)</f>
        <v>5.15</v>
      </c>
      <c r="N158" s="35"/>
    </row>
    <row r="159" spans="1:14" s="36" customFormat="1" x14ac:dyDescent="0.3">
      <c r="A159" s="68">
        <f t="shared" si="17"/>
        <v>4</v>
      </c>
      <c r="B159" s="68"/>
      <c r="C159" s="41" t="s">
        <v>318</v>
      </c>
      <c r="D159" s="60">
        <f>(33.38)*10.764</f>
        <v>359.30232000000001</v>
      </c>
      <c r="E159" s="60">
        <f>(0.75*(2.75+2.1+3.05))*10.764</f>
        <v>63.776699999999991</v>
      </c>
      <c r="F159" s="41">
        <f t="shared" si="15"/>
        <v>423.07902000000001</v>
      </c>
      <c r="G159" s="41">
        <v>0</v>
      </c>
      <c r="H159" s="41">
        <f t="shared" si="16"/>
        <v>613.46457899999996</v>
      </c>
      <c r="I159" s="35"/>
      <c r="N159" s="35"/>
    </row>
    <row r="160" spans="1:14" s="36" customFormat="1" x14ac:dyDescent="0.3">
      <c r="A160" s="68">
        <f t="shared" si="17"/>
        <v>5</v>
      </c>
      <c r="B160" s="68"/>
      <c r="C160" s="41" t="s">
        <v>319</v>
      </c>
      <c r="D160" s="60">
        <f>(46.48)*10.764</f>
        <v>500.31071999999995</v>
      </c>
      <c r="E160" s="60">
        <f>(0.75*(3.35+3+2.3+3))*10.764</f>
        <v>94.050449999999984</v>
      </c>
      <c r="F160" s="41">
        <f t="shared" si="15"/>
        <v>594.3611699999999</v>
      </c>
      <c r="G160" s="41">
        <v>0</v>
      </c>
      <c r="H160" s="41">
        <f t="shared" si="16"/>
        <v>861.82369649999987</v>
      </c>
      <c r="I160" s="35"/>
      <c r="N160" s="35"/>
    </row>
    <row r="161" spans="1:20" s="36" customFormat="1" x14ac:dyDescent="0.3">
      <c r="A161" s="68">
        <f t="shared" si="17"/>
        <v>6</v>
      </c>
      <c r="B161" s="68"/>
      <c r="C161" s="41" t="s">
        <v>319</v>
      </c>
      <c r="D161" s="60">
        <f>(44.77)*10.764</f>
        <v>481.90428000000003</v>
      </c>
      <c r="E161" s="60">
        <f>(0.75*(3.02+3+2.3+3))*10.764</f>
        <v>91.386359999999996</v>
      </c>
      <c r="F161" s="41">
        <f t="shared" si="15"/>
        <v>573.29064000000005</v>
      </c>
      <c r="G161" s="41">
        <v>0</v>
      </c>
      <c r="H161" s="41">
        <f t="shared" si="16"/>
        <v>831.27142800000001</v>
      </c>
      <c r="I161" s="35"/>
      <c r="N161" s="35"/>
    </row>
    <row r="162" spans="1:20" s="36" customFormat="1" x14ac:dyDescent="0.3">
      <c r="A162" s="68">
        <f t="shared" si="17"/>
        <v>7</v>
      </c>
      <c r="B162" s="68"/>
      <c r="C162" s="41" t="s">
        <v>318</v>
      </c>
      <c r="D162" s="60">
        <f>(32.91)*10.764</f>
        <v>354.24323999999996</v>
      </c>
      <c r="E162" s="60">
        <f>(0.75*(2.75+2.1+2.75))*10.764</f>
        <v>61.35479999999999</v>
      </c>
      <c r="F162" s="41">
        <f t="shared" si="15"/>
        <v>415.59803999999997</v>
      </c>
      <c r="G162" s="41">
        <v>0</v>
      </c>
      <c r="H162" s="41">
        <f t="shared" si="16"/>
        <v>602.6171579999999</v>
      </c>
      <c r="I162" s="35"/>
      <c r="N162" s="35"/>
    </row>
    <row r="163" spans="1:20" s="34" customFormat="1" x14ac:dyDescent="0.3">
      <c r="A163" s="69" t="s">
        <v>65</v>
      </c>
      <c r="B163" s="69"/>
      <c r="C163" s="69"/>
      <c r="D163" s="69"/>
      <c r="E163" s="69"/>
      <c r="F163" s="69"/>
      <c r="G163" s="69"/>
      <c r="H163" s="69"/>
      <c r="T163" s="36"/>
    </row>
    <row r="164" spans="1:20" s="34" customFormat="1" ht="34.799999999999997" customHeight="1" x14ac:dyDescent="0.3">
      <c r="A164" s="45" t="s">
        <v>151</v>
      </c>
      <c r="B164" s="70" t="s">
        <v>337</v>
      </c>
      <c r="C164" s="71"/>
      <c r="D164" s="71"/>
      <c r="E164" s="71"/>
      <c r="F164" s="71"/>
      <c r="G164" s="71"/>
      <c r="H164" s="72"/>
      <c r="T164" s="36"/>
    </row>
    <row r="165" spans="1:20" s="34" customFormat="1" x14ac:dyDescent="0.3">
      <c r="A165" s="45" t="s">
        <v>151</v>
      </c>
      <c r="B165" s="70" t="str">
        <f>(IF(H121="Saleable area Loading :","We have considered Saleable area of Flats as per our Calculation.","We considered Saleable area of Flat as per Builder area Sheet."))</f>
        <v>We have considered Saleable area of Flats as per our Calculation.</v>
      </c>
      <c r="C165" s="71"/>
      <c r="D165" s="71"/>
      <c r="E165" s="71"/>
      <c r="F165" s="71"/>
      <c r="G165" s="71"/>
      <c r="H165" s="72"/>
      <c r="T165" s="36"/>
    </row>
    <row r="166" spans="1:20" s="34" customFormat="1" hidden="1" x14ac:dyDescent="0.3">
      <c r="A166" s="45" t="s">
        <v>151</v>
      </c>
      <c r="B166" s="70" t="str">
        <f>(IF(H113="Saleable area Loading :","We have considered Saleable area of Commercial as per our Calculation.","We considered Saleable area of Commercial as per Builder area Sheet."))</f>
        <v>We have considered Saleable area of Commercial as per our Calculation.</v>
      </c>
      <c r="C166" s="71"/>
      <c r="D166" s="71"/>
      <c r="E166" s="71"/>
      <c r="F166" s="71"/>
      <c r="G166" s="71"/>
      <c r="H166" s="72"/>
      <c r="T166" s="36"/>
    </row>
    <row r="167" spans="1:20" s="34" customFormat="1" x14ac:dyDescent="0.3">
      <c r="A167" s="45" t="s">
        <v>151</v>
      </c>
      <c r="B167" s="63" t="s">
        <v>121</v>
      </c>
      <c r="C167" s="64"/>
      <c r="D167" s="64"/>
      <c r="E167" s="64"/>
      <c r="F167" s="64"/>
      <c r="G167" s="64"/>
      <c r="H167" s="65"/>
      <c r="T167" s="36"/>
    </row>
    <row r="168" spans="1:20" s="34" customFormat="1" x14ac:dyDescent="0.3">
      <c r="A168" s="45" t="s">
        <v>151</v>
      </c>
      <c r="B168" s="63" t="s">
        <v>323</v>
      </c>
      <c r="C168" s="64"/>
      <c r="D168" s="64"/>
      <c r="E168" s="64"/>
      <c r="F168" s="64"/>
      <c r="G168" s="64"/>
      <c r="H168" s="65"/>
      <c r="T168" s="36"/>
    </row>
    <row r="169" spans="1:20" s="34" customFormat="1" x14ac:dyDescent="0.3">
      <c r="A169" s="45" t="s">
        <v>151</v>
      </c>
      <c r="B169" s="63" t="s">
        <v>150</v>
      </c>
      <c r="C169" s="64"/>
      <c r="D169" s="64"/>
      <c r="E169" s="64"/>
      <c r="F169" s="64"/>
      <c r="G169" s="64"/>
      <c r="H169" s="65"/>
    </row>
    <row r="170" spans="1:20" s="34" customFormat="1" x14ac:dyDescent="0.3">
      <c r="A170" s="45" t="s">
        <v>151</v>
      </c>
      <c r="B170" s="63" t="s">
        <v>122</v>
      </c>
      <c r="C170" s="64"/>
      <c r="D170" s="64"/>
      <c r="E170" s="64"/>
      <c r="F170" s="64"/>
      <c r="G170" s="64"/>
      <c r="H170" s="65"/>
    </row>
    <row r="171" spans="1:20" s="34" customFormat="1" x14ac:dyDescent="0.3">
      <c r="A171" s="45" t="s">
        <v>151</v>
      </c>
      <c r="B171" s="63" t="s">
        <v>123</v>
      </c>
      <c r="C171" s="64"/>
      <c r="D171" s="64"/>
      <c r="E171" s="64"/>
      <c r="F171" s="64"/>
      <c r="G171" s="64"/>
      <c r="H171" s="65"/>
    </row>
    <row r="172" spans="1:20" s="34" customFormat="1" x14ac:dyDescent="0.3">
      <c r="A172" s="45" t="s">
        <v>151</v>
      </c>
      <c r="B172" s="63" t="s">
        <v>334</v>
      </c>
      <c r="C172" s="64"/>
      <c r="D172" s="64"/>
      <c r="E172" s="64"/>
      <c r="F172" s="64"/>
      <c r="G172" s="64"/>
      <c r="H172" s="65"/>
    </row>
    <row r="173" spans="1:20" x14ac:dyDescent="0.3">
      <c r="A173" s="164" t="s">
        <v>58</v>
      </c>
      <c r="B173" s="164"/>
      <c r="C173" s="164"/>
      <c r="D173" s="164"/>
      <c r="E173" s="164"/>
      <c r="F173" s="164"/>
      <c r="G173" s="164"/>
      <c r="H173" s="164"/>
      <c r="T173" s="34"/>
    </row>
    <row r="174" spans="1:20" x14ac:dyDescent="0.3">
      <c r="A174" s="75" t="s">
        <v>59</v>
      </c>
      <c r="B174" s="75"/>
      <c r="C174" s="75"/>
      <c r="D174" s="75"/>
      <c r="E174" s="75"/>
      <c r="F174" s="75"/>
      <c r="G174" s="75"/>
      <c r="H174" s="75"/>
      <c r="T174" s="34"/>
    </row>
    <row r="175" spans="1:20" ht="15.75" customHeight="1" x14ac:dyDescent="0.3">
      <c r="A175" s="178" t="s">
        <v>60</v>
      </c>
      <c r="B175" s="178"/>
      <c r="C175" s="178"/>
      <c r="D175" s="178"/>
      <c r="E175" s="178"/>
      <c r="F175" s="178"/>
      <c r="G175" s="178"/>
      <c r="H175" s="178"/>
      <c r="T175" s="34"/>
    </row>
    <row r="176" spans="1:20" x14ac:dyDescent="0.3">
      <c r="A176" s="75" t="s">
        <v>61</v>
      </c>
      <c r="B176" s="75"/>
      <c r="C176" s="75"/>
      <c r="D176" s="75"/>
      <c r="E176" s="75"/>
      <c r="F176" s="75"/>
      <c r="G176" s="75"/>
      <c r="H176" s="75"/>
      <c r="T176" s="34"/>
    </row>
    <row r="177" spans="1:20" x14ac:dyDescent="0.3">
      <c r="A177" s="75" t="s">
        <v>62</v>
      </c>
      <c r="B177" s="75"/>
      <c r="C177" s="75"/>
      <c r="D177" s="75"/>
      <c r="E177" s="75"/>
      <c r="F177" s="75"/>
      <c r="G177" s="75"/>
      <c r="H177" s="75"/>
      <c r="T177" s="34"/>
    </row>
    <row r="178" spans="1:20" x14ac:dyDescent="0.3">
      <c r="A178" s="75" t="s">
        <v>124</v>
      </c>
      <c r="B178" s="75"/>
      <c r="C178" s="75"/>
      <c r="D178" s="75"/>
      <c r="E178" s="75"/>
      <c r="F178" s="75"/>
      <c r="G178" s="75"/>
      <c r="H178" s="75"/>
      <c r="T178" s="34"/>
    </row>
    <row r="179" spans="1:20" ht="33.9" customHeight="1" x14ac:dyDescent="0.3">
      <c r="A179" s="103" t="s">
        <v>125</v>
      </c>
      <c r="B179" s="103"/>
      <c r="C179" s="103"/>
      <c r="D179" s="103"/>
      <c r="E179" s="103"/>
      <c r="F179" s="103"/>
      <c r="G179" s="103"/>
      <c r="H179" s="103"/>
    </row>
    <row r="180" spans="1:20" x14ac:dyDescent="0.3">
      <c r="A180" s="163" t="s">
        <v>74</v>
      </c>
      <c r="B180" s="163"/>
      <c r="C180" s="163" t="s">
        <v>336</v>
      </c>
      <c r="D180" s="163"/>
      <c r="E180" s="163" t="s">
        <v>103</v>
      </c>
      <c r="F180" s="163"/>
      <c r="G180" s="163" t="s">
        <v>338</v>
      </c>
      <c r="H180" s="163"/>
    </row>
    <row r="181" spans="1:20" x14ac:dyDescent="0.3">
      <c r="A181" s="162" t="s">
        <v>76</v>
      </c>
      <c r="B181" s="162"/>
      <c r="C181" s="162"/>
      <c r="D181" s="162"/>
      <c r="E181" s="162"/>
      <c r="F181" s="162"/>
      <c r="G181" s="162"/>
      <c r="H181" s="162"/>
    </row>
    <row r="182" spans="1:20" x14ac:dyDescent="0.3">
      <c r="A182" s="162"/>
      <c r="B182" s="162"/>
      <c r="C182" s="162"/>
      <c r="D182" s="162"/>
      <c r="E182" s="162"/>
      <c r="F182" s="162"/>
      <c r="G182" s="162"/>
      <c r="H182" s="162"/>
    </row>
    <row r="183" spans="1:20" x14ac:dyDescent="0.3">
      <c r="A183" s="162"/>
      <c r="B183" s="162"/>
      <c r="C183" s="162"/>
      <c r="D183" s="162"/>
      <c r="E183" s="162"/>
      <c r="F183" s="162"/>
      <c r="G183" s="162"/>
      <c r="H183" s="162"/>
    </row>
    <row r="184" spans="1:20" x14ac:dyDescent="0.3">
      <c r="A184" s="162"/>
      <c r="B184" s="162"/>
      <c r="C184" s="162"/>
      <c r="D184" s="162"/>
      <c r="E184" s="162"/>
      <c r="F184" s="162"/>
      <c r="G184" s="162"/>
      <c r="H184" s="162"/>
    </row>
    <row r="185" spans="1:20" x14ac:dyDescent="0.3">
      <c r="A185" s="37" t="s">
        <v>63</v>
      </c>
      <c r="B185" s="38"/>
      <c r="C185" s="38"/>
      <c r="D185" s="37" t="str">
        <f>E9</f>
        <v>Future Landmark</v>
      </c>
      <c r="F185" s="38"/>
      <c r="G185" s="38"/>
      <c r="H185" s="38"/>
    </row>
    <row r="186" spans="1:20" x14ac:dyDescent="0.3">
      <c r="A186" s="38"/>
      <c r="B186" s="38"/>
      <c r="C186" s="38"/>
      <c r="D186" s="38"/>
      <c r="E186" s="38"/>
      <c r="F186" s="38"/>
      <c r="G186" s="38"/>
      <c r="H186" s="38"/>
    </row>
    <row r="187" spans="1:20" x14ac:dyDescent="0.3">
      <c r="A187" s="38"/>
      <c r="B187" s="38"/>
      <c r="C187" s="38"/>
      <c r="D187" s="38"/>
      <c r="E187" s="38"/>
      <c r="F187" s="38"/>
      <c r="G187" s="38"/>
      <c r="H187" s="38"/>
    </row>
    <row r="188" spans="1:20" ht="15" customHeight="1" x14ac:dyDescent="0.3"/>
    <row r="227" spans="1:1" x14ac:dyDescent="0.3">
      <c r="A227" s="40" t="s">
        <v>161</v>
      </c>
    </row>
    <row r="263" spans="1:1" x14ac:dyDescent="0.3">
      <c r="A263" s="40" t="s">
        <v>64</v>
      </c>
    </row>
  </sheetData>
  <mergeCells count="334">
    <mergeCell ref="I15:P15"/>
    <mergeCell ref="F97:H97"/>
    <mergeCell ref="F95:H95"/>
    <mergeCell ref="A112:H112"/>
    <mergeCell ref="G101:H101"/>
    <mergeCell ref="A96:E96"/>
    <mergeCell ref="A117:B117"/>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178:H178"/>
    <mergeCell ref="A175:H175"/>
    <mergeCell ref="A132:B132"/>
    <mergeCell ref="A106:B106"/>
    <mergeCell ref="D121:D122"/>
    <mergeCell ref="E121:E122"/>
    <mergeCell ref="F88:H88"/>
    <mergeCell ref="G102:H102"/>
    <mergeCell ref="F94:H94"/>
    <mergeCell ref="C101:D101"/>
    <mergeCell ref="C109:D109"/>
    <mergeCell ref="A124:H124"/>
    <mergeCell ref="F87:H87"/>
    <mergeCell ref="F92:H92"/>
    <mergeCell ref="A125:B125"/>
    <mergeCell ref="A119:B119"/>
    <mergeCell ref="A118:B118"/>
    <mergeCell ref="A93:E93"/>
    <mergeCell ref="F93:H93"/>
    <mergeCell ref="A95:E95"/>
    <mergeCell ref="F90:H90"/>
    <mergeCell ref="A120:H120"/>
    <mergeCell ref="E106:F106"/>
    <mergeCell ref="A111:H111"/>
    <mergeCell ref="A121:A122"/>
    <mergeCell ref="F121:F122"/>
    <mergeCell ref="A116:B116"/>
    <mergeCell ref="A110:B110"/>
    <mergeCell ref="C110:D110"/>
    <mergeCell ref="E110:F110"/>
    <mergeCell ref="A181:H184"/>
    <mergeCell ref="A180:B180"/>
    <mergeCell ref="E180:F180"/>
    <mergeCell ref="C180:D180"/>
    <mergeCell ref="G180:H180"/>
    <mergeCell ref="A100:H100"/>
    <mergeCell ref="A98:E98"/>
    <mergeCell ref="F98:H98"/>
    <mergeCell ref="A99:E99"/>
    <mergeCell ref="F99:H99"/>
    <mergeCell ref="A131:H131"/>
    <mergeCell ref="A107:B107"/>
    <mergeCell ref="A102:B102"/>
    <mergeCell ref="A176:H176"/>
    <mergeCell ref="A105:H105"/>
    <mergeCell ref="A179:H179"/>
    <mergeCell ref="A177:H177"/>
    <mergeCell ref="A173:H173"/>
    <mergeCell ref="G106:H106"/>
    <mergeCell ref="C113:C114"/>
    <mergeCell ref="B121:B122"/>
    <mergeCell ref="A174:H174"/>
    <mergeCell ref="A123:H123"/>
    <mergeCell ref="A129:B12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9:B39"/>
    <mergeCell ref="C39:H39"/>
    <mergeCell ref="A46:D46"/>
    <mergeCell ref="L119:M119"/>
    <mergeCell ref="L118:M118"/>
    <mergeCell ref="L117:M117"/>
    <mergeCell ref="L116:M116"/>
    <mergeCell ref="A84:B84"/>
    <mergeCell ref="C107:D107"/>
    <mergeCell ref="E107:F107"/>
    <mergeCell ref="G107:H107"/>
    <mergeCell ref="A88:E88"/>
    <mergeCell ref="A115:H115"/>
    <mergeCell ref="E113:E114"/>
    <mergeCell ref="A47:D47"/>
    <mergeCell ref="A48:H48"/>
    <mergeCell ref="D64:H64"/>
    <mergeCell ref="A64:C64"/>
    <mergeCell ref="A83:B83"/>
    <mergeCell ref="A45:D45"/>
    <mergeCell ref="E77:F86"/>
    <mergeCell ref="G77:H86"/>
    <mergeCell ref="A85:B85"/>
    <mergeCell ref="A86:B86"/>
    <mergeCell ref="A40:B40"/>
    <mergeCell ref="C40:H40"/>
    <mergeCell ref="F113:F114"/>
    <mergeCell ref="C102:D102"/>
    <mergeCell ref="E102:F102"/>
    <mergeCell ref="B113:B114"/>
    <mergeCell ref="A113:A114"/>
    <mergeCell ref="C121:C122"/>
    <mergeCell ref="G121:G122"/>
    <mergeCell ref="G110:H110"/>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A49:B49"/>
    <mergeCell ref="C49:H49"/>
    <mergeCell ref="B169:H169"/>
    <mergeCell ref="F89:H89"/>
    <mergeCell ref="A89:E89"/>
    <mergeCell ref="D113:D114"/>
    <mergeCell ref="A91:E91"/>
    <mergeCell ref="A90:E90"/>
    <mergeCell ref="A87:E87"/>
    <mergeCell ref="F91:H91"/>
    <mergeCell ref="G113:G114"/>
    <mergeCell ref="A79:B79"/>
    <mergeCell ref="A136:B136"/>
    <mergeCell ref="A133:B133"/>
    <mergeCell ref="A134:B134"/>
    <mergeCell ref="A126:B126"/>
    <mergeCell ref="A127:B127"/>
    <mergeCell ref="A128:B128"/>
    <mergeCell ref="A72:C72"/>
    <mergeCell ref="D72:H72"/>
    <mergeCell ref="A70:C70"/>
    <mergeCell ref="D71:H71"/>
    <mergeCell ref="A77:B77"/>
    <mergeCell ref="G76:H76"/>
    <mergeCell ref="A92:E92"/>
    <mergeCell ref="A109:B109"/>
    <mergeCell ref="E109:F109"/>
    <mergeCell ref="A97:E97"/>
    <mergeCell ref="G109:H109"/>
    <mergeCell ref="C103:D103"/>
    <mergeCell ref="E103:F103"/>
    <mergeCell ref="G103:H103"/>
    <mergeCell ref="A104:B104"/>
    <mergeCell ref="C104:D104"/>
    <mergeCell ref="E104:F104"/>
    <mergeCell ref="G104:H104"/>
    <mergeCell ref="A108:B108"/>
    <mergeCell ref="C108:D108"/>
    <mergeCell ref="E108:F108"/>
    <mergeCell ref="G108:H108"/>
    <mergeCell ref="A94:E94"/>
    <mergeCell ref="L129:M129"/>
    <mergeCell ref="A130:B130"/>
    <mergeCell ref="L130:M130"/>
    <mergeCell ref="A137:B137"/>
    <mergeCell ref="A138:B138"/>
    <mergeCell ref="L131:M131"/>
    <mergeCell ref="L128:M128"/>
    <mergeCell ref="L125:M125"/>
    <mergeCell ref="L126:M126"/>
    <mergeCell ref="L127:M127"/>
    <mergeCell ref="A135:B135"/>
    <mergeCell ref="A139:H139"/>
    <mergeCell ref="L139:M139"/>
    <mergeCell ref="A140:B140"/>
    <mergeCell ref="A141:B141"/>
    <mergeCell ref="A142:B142"/>
    <mergeCell ref="A143:B143"/>
    <mergeCell ref="A144:B144"/>
    <mergeCell ref="A145:B145"/>
    <mergeCell ref="A146:B146"/>
    <mergeCell ref="A147:H147"/>
    <mergeCell ref="L147:M147"/>
    <mergeCell ref="A148:B148"/>
    <mergeCell ref="A149:B149"/>
    <mergeCell ref="A150:B150"/>
    <mergeCell ref="A151:B151"/>
    <mergeCell ref="A152:B152"/>
    <mergeCell ref="A153:B153"/>
    <mergeCell ref="A154:B154"/>
    <mergeCell ref="B172:H172"/>
    <mergeCell ref="A155:H155"/>
    <mergeCell ref="L155:M155"/>
    <mergeCell ref="A156:B156"/>
    <mergeCell ref="A157:B157"/>
    <mergeCell ref="A158:B158"/>
    <mergeCell ref="A159:B159"/>
    <mergeCell ref="A160:B160"/>
    <mergeCell ref="A161:B161"/>
    <mergeCell ref="A162:B162"/>
    <mergeCell ref="B171:H171"/>
    <mergeCell ref="B168:H168"/>
    <mergeCell ref="A163:H163"/>
    <mergeCell ref="B170:H170"/>
    <mergeCell ref="B166:H166"/>
    <mergeCell ref="B164:H164"/>
    <mergeCell ref="B165:H165"/>
    <mergeCell ref="B167:H167"/>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3:E114" xr:uid="{00000000-0002-0000-0000-000003000000}">
      <formula1>"Attached Loft area,Attached Otla area,Attached Mezzanine area"</formula1>
    </dataValidation>
    <dataValidation type="list" allowBlank="1" showInputMessage="1" showErrorMessage="1" sqref="G180:H180" xr:uid="{00000000-0002-0000-0000-000004000000}">
      <formula1>"Gaurav Panchal,Kunal Kadam,Pranita Mhatre,Shruti Fule,Pooja Kawale,Mansee Mohite,Anjali Kamble,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3:B114" xr:uid="{00000000-0002-0000-0000-000007000000}">
      <formula1>"Shop No. (Sale Plan),Sale / Rehab,Sale / Mhada"</formula1>
    </dataValidation>
    <dataValidation type="list" allowBlank="1" showInputMessage="1" showErrorMessage="1" sqref="B121:B122"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1:E122" xr:uid="{00000000-0002-0000-0000-00000B000000}">
      <formula1>"Fungible area,Balcony Area,Chajja Area,Cornice Area,AP Area,WS Area"</formula1>
    </dataValidation>
    <dataValidation type="list" allowBlank="1" showInputMessage="1" showErrorMessage="1" sqref="H114 H122"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2" xr:uid="{00000000-0002-0000-0000-00000F000000}">
      <formula1>0</formula1>
      <formula2>H74</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2" max="16383" man="1"/>
    <brk id="172" max="7" man="1"/>
    <brk id="184" max="16383" man="1"/>
    <brk id="226" max="16383" man="1"/>
    <brk id="26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94" t="s">
        <v>104</v>
      </c>
      <c r="C3" s="194"/>
      <c r="D3" s="194"/>
      <c r="E3" s="194"/>
      <c r="F3" s="194"/>
      <c r="G3" s="194"/>
      <c r="H3" s="194"/>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175</v>
      </c>
      <c r="E4" s="53" t="s">
        <v>185</v>
      </c>
      <c r="F4" s="53" t="s">
        <v>170</v>
      </c>
      <c r="G4" s="53" t="s">
        <v>190</v>
      </c>
      <c r="H4" s="53" t="s">
        <v>208</v>
      </c>
      <c r="J4" t="s">
        <v>190</v>
      </c>
      <c r="K4" t="s">
        <v>206</v>
      </c>
    </row>
    <row r="5" spans="2:11" x14ac:dyDescent="0.3">
      <c r="B5" s="52"/>
      <c r="C5" s="52"/>
      <c r="D5" s="53" t="s">
        <v>176</v>
      </c>
      <c r="E5" s="53" t="s">
        <v>183</v>
      </c>
      <c r="F5" s="53" t="s">
        <v>205</v>
      </c>
      <c r="G5" s="53" t="s">
        <v>191</v>
      </c>
      <c r="H5" s="53" t="s">
        <v>209</v>
      </c>
    </row>
    <row r="6" spans="2:11" x14ac:dyDescent="0.3">
      <c r="B6" s="52"/>
      <c r="C6" s="52"/>
      <c r="D6" s="53" t="s">
        <v>177</v>
      </c>
      <c r="E6" s="53" t="s">
        <v>184</v>
      </c>
      <c r="F6" s="53" t="s">
        <v>206</v>
      </c>
      <c r="G6" s="53" t="s">
        <v>192</v>
      </c>
      <c r="H6" s="53" t="s">
        <v>222</v>
      </c>
    </row>
    <row r="7" spans="2:11" x14ac:dyDescent="0.3">
      <c r="B7" s="52"/>
      <c r="C7" s="52"/>
      <c r="D7" s="53" t="s">
        <v>178</v>
      </c>
      <c r="E7" s="53" t="s">
        <v>186</v>
      </c>
      <c r="F7" s="53" t="s">
        <v>207</v>
      </c>
      <c r="G7" s="53" t="s">
        <v>193</v>
      </c>
      <c r="H7" s="53" t="s">
        <v>210</v>
      </c>
    </row>
    <row r="8" spans="2:11" x14ac:dyDescent="0.3">
      <c r="B8" s="52"/>
      <c r="C8" s="52"/>
      <c r="D8" s="53" t="s">
        <v>179</v>
      </c>
      <c r="E8" s="53" t="s">
        <v>187</v>
      </c>
      <c r="F8" s="53"/>
      <c r="G8" s="53" t="s">
        <v>194</v>
      </c>
      <c r="H8" s="53" t="s">
        <v>211</v>
      </c>
    </row>
    <row r="9" spans="2:11" x14ac:dyDescent="0.3">
      <c r="B9" s="52"/>
      <c r="C9" s="52"/>
      <c r="D9" s="53" t="s">
        <v>180</v>
      </c>
      <c r="E9" s="53" t="s">
        <v>185</v>
      </c>
      <c r="F9" s="53"/>
      <c r="G9" s="53" t="s">
        <v>195</v>
      </c>
      <c r="H9" s="53" t="s">
        <v>212</v>
      </c>
    </row>
    <row r="10" spans="2:11" x14ac:dyDescent="0.3">
      <c r="B10" s="52"/>
      <c r="C10" s="52"/>
      <c r="D10" s="53" t="s">
        <v>181</v>
      </c>
      <c r="E10" s="53" t="s">
        <v>188</v>
      </c>
      <c r="F10" s="53"/>
      <c r="G10" s="53" t="s">
        <v>196</v>
      </c>
      <c r="H10" s="53" t="s">
        <v>213</v>
      </c>
    </row>
    <row r="11" spans="2:11" x14ac:dyDescent="0.3">
      <c r="B11" s="52"/>
      <c r="C11" s="52"/>
      <c r="D11" s="53" t="s">
        <v>182</v>
      </c>
      <c r="E11" s="53" t="s">
        <v>189</v>
      </c>
      <c r="F11" s="53"/>
      <c r="G11" s="53" t="s">
        <v>197</v>
      </c>
      <c r="H11" s="53" t="s">
        <v>214</v>
      </c>
    </row>
    <row r="12" spans="2:11" x14ac:dyDescent="0.3">
      <c r="B12" s="52"/>
      <c r="C12" s="52"/>
      <c r="D12" s="53"/>
      <c r="E12" s="53"/>
      <c r="F12" s="53"/>
      <c r="G12" s="53" t="s">
        <v>198</v>
      </c>
      <c r="H12" s="53" t="s">
        <v>215</v>
      </c>
    </row>
    <row r="13" spans="2:11" x14ac:dyDescent="0.3">
      <c r="B13" s="52"/>
      <c r="C13" s="52"/>
      <c r="D13" s="53"/>
      <c r="E13" s="53"/>
      <c r="F13" s="53"/>
      <c r="G13" s="53" t="s">
        <v>199</v>
      </c>
      <c r="H13" s="53" t="s">
        <v>216</v>
      </c>
    </row>
    <row r="14" spans="2:11" x14ac:dyDescent="0.3">
      <c r="B14" s="52"/>
      <c r="C14" s="52"/>
      <c r="D14" s="53"/>
      <c r="E14" s="53"/>
      <c r="F14" s="53"/>
      <c r="G14" s="53" t="s">
        <v>200</v>
      </c>
      <c r="H14" s="53" t="s">
        <v>217</v>
      </c>
    </row>
    <row r="15" spans="2:11" x14ac:dyDescent="0.3">
      <c r="B15" s="52"/>
      <c r="C15" s="52"/>
      <c r="D15" s="53"/>
      <c r="E15" s="53"/>
      <c r="F15" s="53"/>
      <c r="G15" s="53" t="s">
        <v>201</v>
      </c>
      <c r="H15" s="53" t="s">
        <v>218</v>
      </c>
    </row>
    <row r="16" spans="2:11" x14ac:dyDescent="0.3">
      <c r="B16" s="52"/>
      <c r="C16" s="52"/>
      <c r="D16" s="53"/>
      <c r="E16" s="53"/>
      <c r="F16" s="53"/>
      <c r="G16" s="53" t="s">
        <v>202</v>
      </c>
      <c r="H16" s="53" t="s">
        <v>219</v>
      </c>
    </row>
    <row r="17" spans="2:8" x14ac:dyDescent="0.3">
      <c r="B17" s="52"/>
      <c r="C17" s="52"/>
      <c r="D17" s="53"/>
      <c r="E17" s="53"/>
      <c r="F17" s="53"/>
      <c r="G17" s="53" t="s">
        <v>203</v>
      </c>
      <c r="H17" s="53" t="s">
        <v>220</v>
      </c>
    </row>
    <row r="18" spans="2:8" x14ac:dyDescent="0.3">
      <c r="B18" s="52"/>
      <c r="C18" s="52"/>
      <c r="D18" s="53"/>
      <c r="E18" s="53"/>
      <c r="F18" s="53"/>
      <c r="G18" s="53" t="s">
        <v>204</v>
      </c>
      <c r="H18" s="53" t="s">
        <v>221</v>
      </c>
    </row>
    <row r="24" spans="2:8" x14ac:dyDescent="0.3">
      <c r="C24" t="s">
        <v>167</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167</v>
      </c>
    </row>
    <row r="33" spans="3:11" x14ac:dyDescent="0.3">
      <c r="J33">
        <v>1</v>
      </c>
      <c r="K33">
        <v>2</v>
      </c>
    </row>
    <row r="34" spans="3:11" x14ac:dyDescent="0.3">
      <c r="C34" s="56" t="s">
        <v>232</v>
      </c>
      <c r="D34" s="53" t="s">
        <v>230</v>
      </c>
      <c r="E34" s="53" t="s">
        <v>235</v>
      </c>
      <c r="F34" s="53" t="s">
        <v>233</v>
      </c>
      <c r="G34" s="53" t="s">
        <v>234</v>
      </c>
      <c r="H34" s="53" t="s">
        <v>236</v>
      </c>
      <c r="J34" t="s">
        <v>190</v>
      </c>
      <c r="K34" t="s">
        <v>206</v>
      </c>
    </row>
    <row r="35" spans="3:11" x14ac:dyDescent="0.3">
      <c r="C35" s="52" t="s">
        <v>231</v>
      </c>
      <c r="D35" s="53" t="s">
        <v>168</v>
      </c>
      <c r="E35" s="53" t="s">
        <v>240</v>
      </c>
      <c r="F35" s="53" t="s">
        <v>242</v>
      </c>
      <c r="G35" s="53" t="s">
        <v>244</v>
      </c>
      <c r="H35" s="53"/>
    </row>
    <row r="36" spans="3:11" x14ac:dyDescent="0.3">
      <c r="C36" s="52"/>
      <c r="D36" s="53" t="s">
        <v>237</v>
      </c>
      <c r="E36" s="53" t="s">
        <v>241</v>
      </c>
      <c r="F36" s="53" t="s">
        <v>243</v>
      </c>
      <c r="G36" s="53" t="s">
        <v>245</v>
      </c>
      <c r="H36" s="53"/>
    </row>
    <row r="37" spans="3:11" x14ac:dyDescent="0.3">
      <c r="C37" s="52"/>
      <c r="D37" s="53" t="s">
        <v>238</v>
      </c>
      <c r="E37" s="53"/>
      <c r="F37" s="53"/>
      <c r="G37" s="53" t="s">
        <v>246</v>
      </c>
      <c r="H37" s="53"/>
    </row>
    <row r="38" spans="3:11" x14ac:dyDescent="0.3">
      <c r="C38" s="52"/>
      <c r="D38" s="53" t="s">
        <v>239</v>
      </c>
      <c r="E38" s="53"/>
      <c r="F38" s="53"/>
      <c r="G38" s="53" t="s">
        <v>246</v>
      </c>
      <c r="H38" s="53"/>
    </row>
    <row r="39" spans="3:11" x14ac:dyDescent="0.3">
      <c r="C39" s="52"/>
      <c r="D39" s="53"/>
      <c r="E39" s="53"/>
      <c r="F39" s="53"/>
      <c r="G39" s="53" t="s">
        <v>247</v>
      </c>
      <c r="H39" s="53"/>
    </row>
    <row r="40" spans="3:11" x14ac:dyDescent="0.3">
      <c r="C40" s="52"/>
      <c r="D40" s="53"/>
      <c r="E40" s="53"/>
      <c r="F40" s="53"/>
      <c r="G40" s="53" t="s">
        <v>248</v>
      </c>
      <c r="H40" s="53"/>
    </row>
    <row r="41" spans="3:11" x14ac:dyDescent="0.3">
      <c r="C41" s="52"/>
      <c r="D41" s="53"/>
      <c r="E41" s="53"/>
      <c r="F41" s="53"/>
      <c r="G41" s="53"/>
      <c r="H41" s="53"/>
    </row>
    <row r="43" spans="3:11" x14ac:dyDescent="0.3">
      <c r="C43" t="s">
        <v>249</v>
      </c>
    </row>
    <row r="44" spans="3:11" x14ac:dyDescent="0.3">
      <c r="C44" t="s">
        <v>170</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7">
        <v>1</v>
      </c>
      <c r="C2" s="59" t="s">
        <v>280</v>
      </c>
    </row>
    <row r="3" spans="2:3" x14ac:dyDescent="0.3">
      <c r="B3" s="57">
        <v>2</v>
      </c>
      <c r="C3" s="58" t="s">
        <v>281</v>
      </c>
    </row>
    <row r="4" spans="2:3" x14ac:dyDescent="0.3">
      <c r="B4" s="57">
        <v>3</v>
      </c>
      <c r="C4" s="57" t="s">
        <v>282</v>
      </c>
    </row>
    <row r="5" spans="2:3" x14ac:dyDescent="0.3">
      <c r="B5" s="57">
        <v>4</v>
      </c>
      <c r="C5" s="58" t="s">
        <v>283</v>
      </c>
    </row>
    <row r="6" spans="2:3" x14ac:dyDescent="0.3">
      <c r="B6" s="57">
        <v>5</v>
      </c>
      <c r="C6" s="57" t="s">
        <v>284</v>
      </c>
    </row>
    <row r="7" spans="2:3" ht="28.8" x14ac:dyDescent="0.3">
      <c r="B7" s="57">
        <v>6</v>
      </c>
      <c r="C7" s="58" t="s">
        <v>285</v>
      </c>
    </row>
    <row r="8" spans="2:3" ht="72" x14ac:dyDescent="0.3">
      <c r="B8" s="57">
        <v>7</v>
      </c>
      <c r="C8" s="58" t="s">
        <v>286</v>
      </c>
    </row>
    <row r="9" spans="2:3" x14ac:dyDescent="0.3">
      <c r="B9" s="57">
        <v>8</v>
      </c>
      <c r="C9" s="57" t="s">
        <v>287</v>
      </c>
    </row>
    <row r="10" spans="2:3" x14ac:dyDescent="0.3">
      <c r="B10" s="57">
        <v>9</v>
      </c>
      <c r="C10" s="57" t="s">
        <v>288</v>
      </c>
    </row>
    <row r="11" spans="2:3" x14ac:dyDescent="0.3">
      <c r="B11" s="57">
        <v>10</v>
      </c>
      <c r="C11" s="57" t="s">
        <v>289</v>
      </c>
    </row>
    <row r="12" spans="2:3" x14ac:dyDescent="0.3">
      <c r="B12" s="57">
        <v>11</v>
      </c>
      <c r="C12" s="57" t="s">
        <v>290</v>
      </c>
    </row>
    <row r="13" spans="2:3" x14ac:dyDescent="0.3">
      <c r="B13" s="57">
        <v>12</v>
      </c>
      <c r="C13" s="57" t="s">
        <v>291</v>
      </c>
    </row>
    <row r="14" spans="2:3" x14ac:dyDescent="0.3">
      <c r="B14" s="57">
        <v>13</v>
      </c>
      <c r="C14" s="57" t="s">
        <v>292</v>
      </c>
    </row>
    <row r="15" spans="2:3" x14ac:dyDescent="0.3">
      <c r="B15" s="57">
        <v>14</v>
      </c>
      <c r="C15" s="57"/>
    </row>
    <row r="16" spans="2:3" x14ac:dyDescent="0.3">
      <c r="B16" s="57">
        <v>15</v>
      </c>
      <c r="C16" s="57"/>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2025-09-11T09:45:03Z</cp:lastPrinted>
  <dcterms:created xsi:type="dcterms:W3CDTF">2019-07-16T09:29:46Z</dcterms:created>
  <dcterms:modified xsi:type="dcterms:W3CDTF">2025-09-11T09:46:22Z</dcterms:modified>
</cp:coreProperties>
</file>