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2213821B-B9EB-4B1D-B42A-153991E72558}" xr6:coauthVersionLast="47" xr6:coauthVersionMax="47" xr10:uidLastSave="{00000000-0000-0000-0000-000000000000}"/>
  <bookViews>
    <workbookView xWindow="-108" yWindow="-108" windowWidth="23256" windowHeight="12456" tabRatio="872" xr2:uid="{00000000-000D-0000-FFFF-FFFF00000000}"/>
  </bookViews>
  <sheets>
    <sheet name="Sheet1 (3)" sheetId="15" r:id="rId1"/>
    <sheet name="VALUATION" sheetId="27" r:id="rId2"/>
    <sheet name="Note" sheetId="26" r:id="rId3"/>
    <sheet name="Ground - C % 3A,B" sheetId="22" r:id="rId4"/>
    <sheet name="Ground - C % 3A,B (2)" sheetId="25" r:id="rId5"/>
    <sheet name="Ground - C % 3C" sheetId="23" r:id="rId6"/>
    <sheet name="Ground - C % 3D" sheetId="24" r:id="rId7"/>
  </sheets>
  <definedNames>
    <definedName name="_xlnm.Print_Area" localSheetId="0">'Sheet1 (3)'!$A$1:$J$288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5" l="1"/>
  <c r="F6" i="27"/>
  <c r="G6" i="27" s="1"/>
  <c r="F7" i="27"/>
  <c r="G7" i="27" s="1"/>
  <c r="F8" i="27"/>
  <c r="G8" i="27" s="1"/>
  <c r="F5" i="27"/>
  <c r="G5" i="27" s="1"/>
  <c r="E10" i="25"/>
  <c r="E9" i="25"/>
  <c r="E8" i="25"/>
  <c r="O7" i="25"/>
  <c r="H19" i="25" s="1"/>
  <c r="N7" i="25"/>
  <c r="H18" i="25" s="1"/>
  <c r="M7" i="25"/>
  <c r="H17" i="25" s="1"/>
  <c r="L7" i="25"/>
  <c r="H16" i="25" s="1"/>
  <c r="K7" i="25"/>
  <c r="H15" i="25" s="1"/>
  <c r="E7" i="25"/>
  <c r="O6" i="25"/>
  <c r="G19" i="25" s="1"/>
  <c r="N6" i="25"/>
  <c r="G18" i="25" s="1"/>
  <c r="M6" i="25"/>
  <c r="G17" i="25" s="1"/>
  <c r="L6" i="25"/>
  <c r="G16" i="25" s="1"/>
  <c r="K6" i="25"/>
  <c r="G15" i="25" s="1"/>
  <c r="I6" i="25"/>
  <c r="G13" i="25" s="1"/>
  <c r="E6" i="25"/>
  <c r="B6" i="25"/>
  <c r="J7" i="25" s="1"/>
  <c r="H14" i="25" s="1"/>
  <c r="E4" i="25"/>
  <c r="D142" i="15"/>
  <c r="F142" i="15" s="1"/>
  <c r="H142" i="15" s="1"/>
  <c r="D141" i="15"/>
  <c r="F141" i="15" s="1"/>
  <c r="H141" i="15" s="1"/>
  <c r="D140" i="15"/>
  <c r="F140" i="15" s="1"/>
  <c r="H140" i="15" s="1"/>
  <c r="D139" i="15"/>
  <c r="F139" i="15" s="1"/>
  <c r="H139" i="15" s="1"/>
  <c r="D138" i="15"/>
  <c r="F138" i="15" s="1"/>
  <c r="H138" i="15" s="1"/>
  <c r="D137" i="15"/>
  <c r="F137" i="15" s="1"/>
  <c r="H137" i="15" s="1"/>
  <c r="D136" i="15"/>
  <c r="F136" i="15" s="1"/>
  <c r="H136" i="15" s="1"/>
  <c r="D135" i="15"/>
  <c r="F135" i="15" s="1"/>
  <c r="H135" i="15" s="1"/>
  <c r="D134" i="15"/>
  <c r="F134" i="15" s="1"/>
  <c r="H134" i="15" s="1"/>
  <c r="D133" i="15"/>
  <c r="F133" i="15" s="1"/>
  <c r="H133" i="15" s="1"/>
  <c r="F38" i="15"/>
  <c r="F39" i="15" s="1"/>
  <c r="D49" i="15" s="1"/>
  <c r="D165" i="15"/>
  <c r="F165" i="15" s="1"/>
  <c r="H165" i="15" s="1"/>
  <c r="D164" i="15"/>
  <c r="F164" i="15" s="1"/>
  <c r="H164" i="15" s="1"/>
  <c r="D162" i="15"/>
  <c r="F162" i="15" s="1"/>
  <c r="H162" i="15" s="1"/>
  <c r="D163" i="15"/>
  <c r="F163" i="15" s="1"/>
  <c r="H163" i="15" s="1"/>
  <c r="D161" i="15"/>
  <c r="F161" i="15" s="1"/>
  <c r="H161" i="15" s="1"/>
  <c r="D160" i="15"/>
  <c r="F160" i="15" s="1"/>
  <c r="H160" i="15" s="1"/>
  <c r="D159" i="15"/>
  <c r="F159" i="15" s="1"/>
  <c r="H159" i="15" s="1"/>
  <c r="D158" i="15"/>
  <c r="F158" i="15" s="1"/>
  <c r="H158" i="15" s="1"/>
  <c r="D157" i="15"/>
  <c r="F157" i="15" s="1"/>
  <c r="H157" i="15" s="1"/>
  <c r="D156" i="15"/>
  <c r="F156" i="15" s="1"/>
  <c r="H156" i="15" s="1"/>
  <c r="D155" i="15"/>
  <c r="F155" i="15" s="1"/>
  <c r="H155" i="15" s="1"/>
  <c r="D154" i="15"/>
  <c r="F154" i="15" s="1"/>
  <c r="H154" i="15" s="1"/>
  <c r="D153" i="15"/>
  <c r="F153" i="15" s="1"/>
  <c r="H153" i="15" s="1"/>
  <c r="E205" i="15"/>
  <c r="E9" i="24"/>
  <c r="E10" i="24"/>
  <c r="E8" i="24"/>
  <c r="K7" i="24"/>
  <c r="H15" i="24" s="1"/>
  <c r="O7" i="24"/>
  <c r="H19" i="24" s="1"/>
  <c r="M7" i="24"/>
  <c r="H17" i="24" s="1"/>
  <c r="L7" i="24"/>
  <c r="H16" i="24" s="1"/>
  <c r="E7" i="24"/>
  <c r="O6" i="24"/>
  <c r="G19" i="24" s="1"/>
  <c r="M6" i="24"/>
  <c r="G17" i="24" s="1"/>
  <c r="L6" i="24"/>
  <c r="G16" i="24" s="1"/>
  <c r="I6" i="24"/>
  <c r="G13" i="24" s="1"/>
  <c r="E6" i="24"/>
  <c r="B6" i="24"/>
  <c r="J7" i="24" s="1"/>
  <c r="H14" i="24" s="1"/>
  <c r="E4" i="24"/>
  <c r="O6" i="23"/>
  <c r="G19" i="23" s="1"/>
  <c r="E9" i="23"/>
  <c r="M6" i="23"/>
  <c r="G17" i="23" s="1"/>
  <c r="E7" i="23"/>
  <c r="K6" i="23"/>
  <c r="G15" i="23" s="1"/>
  <c r="K7" i="23"/>
  <c r="H15" i="23" s="1"/>
  <c r="I6" i="23"/>
  <c r="G13" i="23" s="1"/>
  <c r="B6" i="23"/>
  <c r="J7" i="23" s="1"/>
  <c r="H14" i="23" s="1"/>
  <c r="E4" i="23"/>
  <c r="E9" i="22"/>
  <c r="E10" i="22"/>
  <c r="E8" i="22"/>
  <c r="K7" i="22"/>
  <c r="H15" i="22" s="1"/>
  <c r="O7" i="22"/>
  <c r="H19" i="22" s="1"/>
  <c r="M7" i="22"/>
  <c r="H17" i="22" s="1"/>
  <c r="L7" i="22"/>
  <c r="H16" i="22" s="1"/>
  <c r="E7" i="22"/>
  <c r="O6" i="22"/>
  <c r="G19" i="22" s="1"/>
  <c r="M6" i="22"/>
  <c r="G17" i="22" s="1"/>
  <c r="L6" i="22"/>
  <c r="G16" i="22" s="1"/>
  <c r="I6" i="22"/>
  <c r="G13" i="22" s="1"/>
  <c r="E6" i="22"/>
  <c r="B6" i="22"/>
  <c r="J7" i="22" s="1"/>
  <c r="H14" i="22" s="1"/>
  <c r="E4" i="22"/>
  <c r="N6" i="24"/>
  <c r="G18" i="24" s="1"/>
  <c r="N7" i="24"/>
  <c r="H18" i="24" s="1"/>
  <c r="K6" i="24"/>
  <c r="G15" i="24" s="1"/>
  <c r="N7" i="23"/>
  <c r="H18" i="23" s="1"/>
  <c r="N6" i="22"/>
  <c r="G18" i="22" s="1"/>
  <c r="N7" i="22"/>
  <c r="H18" i="22" s="1"/>
  <c r="K6" i="22"/>
  <c r="G15" i="22" s="1"/>
  <c r="D192" i="15"/>
  <c r="F192" i="15" s="1"/>
  <c r="H192" i="15" s="1"/>
  <c r="D191" i="15"/>
  <c r="F191" i="15" s="1"/>
  <c r="H191" i="15" s="1"/>
  <c r="D190" i="15"/>
  <c r="F190" i="15" s="1"/>
  <c r="H190" i="15" s="1"/>
  <c r="D189" i="15"/>
  <c r="F189" i="15" s="1"/>
  <c r="H189" i="15" s="1"/>
  <c r="D187" i="15"/>
  <c r="F187" i="15" s="1"/>
  <c r="H187" i="15" s="1"/>
  <c r="D186" i="15"/>
  <c r="F186" i="15" s="1"/>
  <c r="H186" i="15" s="1"/>
  <c r="D183" i="15"/>
  <c r="F183" i="15" s="1"/>
  <c r="H183" i="15" s="1"/>
  <c r="D182" i="15"/>
  <c r="F182" i="15" s="1"/>
  <c r="H182" i="15" s="1"/>
  <c r="D181" i="15"/>
  <c r="F181" i="15" s="1"/>
  <c r="H181" i="15" s="1"/>
  <c r="D180" i="15"/>
  <c r="F180" i="15" s="1"/>
  <c r="H180" i="15" s="1"/>
  <c r="D179" i="15"/>
  <c r="F179" i="15" s="1"/>
  <c r="H179" i="15" s="1"/>
  <c r="D178" i="15"/>
  <c r="F178" i="15" s="1"/>
  <c r="H178" i="15" s="1"/>
  <c r="D176" i="15"/>
  <c r="F176" i="15" s="1"/>
  <c r="H176" i="15" s="1"/>
  <c r="D175" i="15"/>
  <c r="F175" i="15" s="1"/>
  <c r="H175" i="15" s="1"/>
  <c r="D172" i="15"/>
  <c r="F172" i="15" s="1"/>
  <c r="H172" i="15" s="1"/>
  <c r="D171" i="15"/>
  <c r="F171" i="15" s="1"/>
  <c r="H171" i="15" s="1"/>
  <c r="D170" i="15"/>
  <c r="F170" i="15" s="1"/>
  <c r="H170" i="15" s="1"/>
  <c r="D169" i="15"/>
  <c r="F169" i="15" s="1"/>
  <c r="H169" i="15" s="1"/>
  <c r="D168" i="15"/>
  <c r="F168" i="15" s="1"/>
  <c r="H168" i="15" s="1"/>
  <c r="D167" i="15"/>
  <c r="F167" i="15" s="1"/>
  <c r="H167" i="15" s="1"/>
  <c r="D150" i="15"/>
  <c r="F150" i="15" s="1"/>
  <c r="H150" i="15" s="1"/>
  <c r="D149" i="15"/>
  <c r="F149" i="15" s="1"/>
  <c r="H149" i="15" s="1"/>
  <c r="D148" i="15"/>
  <c r="F148" i="15" s="1"/>
  <c r="H148" i="15" s="1"/>
  <c r="D147" i="15"/>
  <c r="F147" i="15" s="1"/>
  <c r="H147" i="15" s="1"/>
  <c r="D146" i="15"/>
  <c r="F146" i="15" s="1"/>
  <c r="H146" i="15" s="1"/>
  <c r="D145" i="15"/>
  <c r="F145" i="15" s="1"/>
  <c r="H145" i="15" s="1"/>
  <c r="D144" i="15"/>
  <c r="F144" i="15" s="1"/>
  <c r="H144" i="15" s="1"/>
  <c r="K144" i="15" s="1"/>
  <c r="H126" i="15"/>
  <c r="H42" i="15"/>
  <c r="H43" i="15" s="1"/>
  <c r="H45" i="15" s="1"/>
  <c r="D47" i="15" s="1"/>
  <c r="C42" i="15"/>
  <c r="E8" i="23"/>
  <c r="M7" i="23"/>
  <c r="H17" i="23" s="1"/>
  <c r="L6" i="23"/>
  <c r="G16" i="23" s="1"/>
  <c r="O7" i="23"/>
  <c r="H19" i="23" s="1"/>
  <c r="E10" i="23"/>
  <c r="N6" i="23"/>
  <c r="G18" i="23" s="1"/>
  <c r="L7" i="23"/>
  <c r="H16" i="23" s="1"/>
  <c r="E6" i="23"/>
  <c r="I7" i="25"/>
  <c r="H13" i="25" s="1"/>
  <c r="I56" i="15"/>
  <c r="I70" i="15"/>
  <c r="I98" i="15"/>
  <c r="I84" i="15"/>
  <c r="J6" i="25" l="1"/>
  <c r="G14" i="25" s="1"/>
  <c r="E5" i="25"/>
  <c r="E5" i="24"/>
  <c r="J6" i="23"/>
  <c r="G14" i="23" s="1"/>
  <c r="G20" i="23" s="1"/>
  <c r="G9" i="27"/>
  <c r="G20" i="25"/>
  <c r="I7" i="24"/>
  <c r="H13" i="24" s="1"/>
  <c r="H20" i="24" s="1"/>
  <c r="J6" i="22"/>
  <c r="G14" i="22" s="1"/>
  <c r="G20" i="22" s="1"/>
  <c r="E5" i="22"/>
  <c r="H20" i="25"/>
  <c r="I7" i="22"/>
  <c r="H13" i="22" s="1"/>
  <c r="H20" i="22" s="1"/>
  <c r="I7" i="23"/>
  <c r="H13" i="23" s="1"/>
  <c r="H20" i="23" s="1"/>
  <c r="E5" i="23"/>
  <c r="J6" i="24"/>
  <c r="G14" i="24" s="1"/>
  <c r="G20" i="24" s="1"/>
  <c r="D103" i="15"/>
  <c r="M101" i="15"/>
  <c r="D110" i="15"/>
  <c r="D108" i="15"/>
  <c r="D106" i="15"/>
  <c r="D104" i="15"/>
  <c r="M102" i="15"/>
  <c r="C101" i="15" s="1"/>
  <c r="D101" i="15" s="1"/>
  <c r="M100" i="15"/>
  <c r="D107" i="15"/>
  <c r="D105" i="15"/>
  <c r="M103" i="15"/>
  <c r="M104" i="15" s="1"/>
  <c r="D109" i="15"/>
  <c r="D89" i="15"/>
  <c r="M87" i="15"/>
  <c r="D96" i="15"/>
  <c r="D94" i="15"/>
  <c r="D92" i="15"/>
  <c r="D90" i="15"/>
  <c r="M88" i="15"/>
  <c r="C87" i="15" s="1"/>
  <c r="D87" i="15" s="1"/>
  <c r="M86" i="15"/>
  <c r="D93" i="15"/>
  <c r="M89" i="15"/>
  <c r="M90" i="15" s="1"/>
  <c r="M91" i="15" s="1"/>
  <c r="D95" i="15"/>
  <c r="D91" i="15"/>
  <c r="D82" i="15"/>
  <c r="D80" i="15"/>
  <c r="D78" i="15"/>
  <c r="D76" i="15"/>
  <c r="M74" i="15"/>
  <c r="C73" i="15" s="1"/>
  <c r="D73" i="15" s="1"/>
  <c r="M72" i="15"/>
  <c r="D81" i="15"/>
  <c r="D77" i="15"/>
  <c r="D75" i="15"/>
  <c r="M73" i="15"/>
  <c r="M75" i="15"/>
  <c r="M76" i="15" s="1"/>
  <c r="D79" i="15"/>
  <c r="M59" i="15"/>
  <c r="D68" i="15"/>
  <c r="D66" i="15"/>
  <c r="D64" i="15"/>
  <c r="D62" i="15"/>
  <c r="M60" i="15"/>
  <c r="C59" i="15" s="1"/>
  <c r="M58" i="15"/>
  <c r="M61" i="15"/>
  <c r="M62" i="15" s="1"/>
  <c r="M63" i="15" s="1"/>
  <c r="M64" i="15" s="1"/>
  <c r="M65" i="15" s="1"/>
  <c r="M66" i="15" s="1"/>
  <c r="D67" i="15"/>
  <c r="D63" i="15"/>
  <c r="D65" i="15"/>
  <c r="D61" i="15"/>
  <c r="M105" i="15" l="1"/>
  <c r="M106" i="15" s="1"/>
  <c r="M107" i="15" s="1"/>
  <c r="M108" i="15" s="1"/>
  <c r="M77" i="15"/>
  <c r="M78" i="15" s="1"/>
  <c r="M79" i="15" s="1"/>
  <c r="M80" i="15" s="1"/>
  <c r="M92" i="15"/>
  <c r="M93" i="15" s="1"/>
  <c r="M94" i="15" s="1"/>
  <c r="M95" i="15" s="1"/>
  <c r="M96" i="15" s="1"/>
  <c r="C88" i="15" s="1"/>
  <c r="D88" i="15" s="1"/>
  <c r="M67" i="15"/>
  <c r="M68" i="15" s="1"/>
  <c r="C60" i="15" s="1"/>
  <c r="D60" i="15" s="1"/>
  <c r="D59" i="15"/>
  <c r="K55" i="15" l="1"/>
  <c r="C57" i="15" s="1"/>
  <c r="F59" i="15" s="1"/>
  <c r="M109" i="15"/>
  <c r="M110" i="15" s="1"/>
  <c r="C102" i="15" s="1"/>
  <c r="H87" i="15"/>
  <c r="K83" i="15"/>
  <c r="C85" i="15" s="1"/>
  <c r="F87" i="15" s="1"/>
  <c r="M81" i="15"/>
  <c r="M82" i="15" s="1"/>
  <c r="C74" i="15" s="1"/>
  <c r="H59" i="15"/>
  <c r="D102" i="15" l="1"/>
  <c r="K97" i="15"/>
  <c r="C99" i="15" s="1"/>
  <c r="F101" i="15" s="1"/>
  <c r="H101" i="15"/>
  <c r="D74" i="15"/>
  <c r="H73" i="15"/>
  <c r="K69" i="15"/>
  <c r="C71" i="15" s="1"/>
  <c r="F73" i="15" s="1"/>
</calcChain>
</file>

<file path=xl/sharedStrings.xml><?xml version="1.0" encoding="utf-8"?>
<sst xmlns="http://schemas.openxmlformats.org/spreadsheetml/2006/main" count="627" uniqueCount="233">
  <si>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</si>
  <si>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</si>
  <si>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</si>
  <si>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</si>
  <si>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</si>
  <si>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</si>
  <si>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</si>
  <si>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</si>
  <si>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</si>
  <si>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</si>
  <si>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</si>
  <si>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</si>
  <si>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</si>
  <si>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</si>
  <si>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</si>
  <si>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</si>
  <si>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</si>
  <si>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</si>
  <si>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</si>
  <si>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</si>
  <si>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</si>
  <si>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</si>
  <si>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</si>
  <si>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</si>
  <si>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</si>
  <si>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</si>
  <si>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Building details floor wise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</si>
  <si>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</si>
  <si>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</si>
  <si>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</si>
  <si>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</si>
  <si>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</si>
  <si>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</si>
  <si>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</si>
  <si>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</si>
  <si>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</si>
  <si>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</si>
  <si>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</si>
  <si>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</si>
  <si>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</si>
  <si>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</si>
  <si>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</si>
  <si>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</si>
  <si>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>Gross Carpet area</t>
  </si>
  <si>
    <t xml:space="preserve">Latitude &amp; Longitude </t>
  </si>
  <si>
    <t>Flooring</t>
  </si>
  <si>
    <t>Finishing</t>
  </si>
  <si>
    <r>
      <t xml:space="preserve">Construction details:    </t>
    </r>
    <r>
      <rPr>
        <b/>
        <sz val="11"/>
        <color indexed="8"/>
        <rFont val="Times New Roman"/>
        <family val="1"/>
      </rPr>
      <t xml:space="preserve">                                                              </t>
    </r>
  </si>
  <si>
    <t xml:space="preserve">Valuation Report </t>
  </si>
  <si>
    <t xml:space="preserve">Details of Flats in Building   </t>
  </si>
  <si>
    <t>1. Copy of Plans. 2. Copy of CC.</t>
  </si>
  <si>
    <t>Yes</t>
  </si>
  <si>
    <t xml:space="preserve">Residential </t>
  </si>
  <si>
    <t>Type of Structure : RCC Framed Structure</t>
  </si>
  <si>
    <t>O. Certificate No.: NA</t>
  </si>
  <si>
    <t>Date of approval: 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</si>
  <si>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</si>
  <si>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</si>
  <si>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</si>
  <si>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</si>
  <si>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</si>
  <si>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</si>
  <si>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</si>
  <si>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Projected life of the structure: 60 Years After Completion</t>
  </si>
  <si>
    <t>Material laying at Site: :Bricks, Cement &amp; Steel etc.</t>
  </si>
  <si>
    <t>Wheather the construction is as per approved Building plan : Under Construction</t>
  </si>
  <si>
    <t xml:space="preserve">4)  The saleable area is as per Our Calculation.  </t>
  </si>
  <si>
    <t>Does the boundaries at site match, as mentioned in the Docoumentation: NA</t>
  </si>
  <si>
    <t>Ground Floor For Parking &amp; Commercial</t>
  </si>
  <si>
    <t>Fungible area</t>
  </si>
  <si>
    <t>all available at  1 to 2 km.</t>
  </si>
  <si>
    <t xml:space="preserve">Approved Layout Plan :         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</si>
  <si>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</si>
  <si>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</si>
  <si>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</si>
  <si>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</si>
  <si>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</si>
  <si>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</si>
  <si>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</si>
  <si>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</si>
  <si>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</si>
  <si>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</si>
  <si>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</si>
  <si>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>Expected Completion</t>
  </si>
  <si>
    <t>Approved no of Floors</t>
  </si>
  <si>
    <t>Floor rise rate 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</si>
  <si>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</si>
  <si>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</si>
  <si>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</si>
  <si>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Carpet area</t>
  </si>
  <si>
    <t xml:space="preserve">Recommended rate of Parking </t>
  </si>
  <si>
    <t>Approved area of the building in Sq.Mt</t>
  </si>
  <si>
    <t>Middle class</t>
  </si>
  <si>
    <t>Axis Goregaon.</t>
  </si>
  <si>
    <t xml:space="preserve">M/s. Ideal Group </t>
  </si>
  <si>
    <t>M/s. Ideal Properties Builder &amp; Developers.</t>
  </si>
  <si>
    <t>16/06/2016.</t>
  </si>
  <si>
    <t>Gut No</t>
  </si>
  <si>
    <t>179, 180 &amp; 181</t>
  </si>
  <si>
    <t>Umroli(E)</t>
  </si>
  <si>
    <t>Village Umroli(E) Road</t>
  </si>
  <si>
    <t>Palghar</t>
  </si>
  <si>
    <t>Opp.Railway Station</t>
  </si>
  <si>
    <t>Approved usage of the Property: Residential &amp; Commercial.                                                                                                                                                    (Restrictive convenants in regards to land use , if any)</t>
  </si>
  <si>
    <t>Railway station</t>
  </si>
  <si>
    <t>Open</t>
  </si>
  <si>
    <t>Near By Umroli Railway Station</t>
  </si>
  <si>
    <t>1st &amp; 2nd Floor</t>
  </si>
  <si>
    <t>1BHK</t>
  </si>
  <si>
    <t>2BHK</t>
  </si>
  <si>
    <t>1RK</t>
  </si>
  <si>
    <t>Ground Floor For Parking, Residential &amp; Commercial</t>
  </si>
  <si>
    <t>Ground Floor For Parking &amp; Residential</t>
  </si>
  <si>
    <t>Undertaking :</t>
  </si>
  <si>
    <t>1,00,000/-</t>
  </si>
  <si>
    <t>Saleable area</t>
  </si>
  <si>
    <t>Name / no of the Building</t>
  </si>
  <si>
    <t>Building no.3 - Ideal Avenue</t>
  </si>
  <si>
    <t>Rate of the flat Per Sq. Ft. (on Saleable area) = Building no.3 - Ideal Avenue</t>
  </si>
  <si>
    <t>Distress valuation of the property Per Sq. Ft. = Building no.3 - Ideal Avenue</t>
  </si>
  <si>
    <t>01 Building (4 Wings )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</si>
  <si>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</si>
  <si>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</si>
  <si>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</si>
  <si>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</si>
  <si>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</si>
  <si>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</si>
  <si>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</si>
  <si>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</si>
  <si>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</si>
  <si>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</si>
  <si>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</si>
  <si>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</si>
  <si>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</si>
  <si>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</si>
  <si>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</si>
  <si>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</si>
  <si>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</si>
  <si>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</si>
  <si>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</si>
  <si>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</si>
  <si>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</si>
  <si>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Proposed no of Floors</t>
  </si>
  <si>
    <t>Gr.+4th Floor</t>
  </si>
  <si>
    <t>Google Map :</t>
  </si>
  <si>
    <t>Ideal Avenue</t>
  </si>
  <si>
    <t>Shop</t>
  </si>
  <si>
    <t>MHSL/K.1/MJ.1/NAP/SR/229/17</t>
  </si>
  <si>
    <t>22/03/2019.</t>
  </si>
  <si>
    <t>Type-B1c (C wing)</t>
  </si>
  <si>
    <t>Type-C1a (D wing)</t>
  </si>
  <si>
    <t>Type-B1d ( B Wing)</t>
  </si>
  <si>
    <t>Type-F1 (A Wing)</t>
  </si>
  <si>
    <t>MHSL/K.1/MJ.1/NAP/SR/229/17
Approval no. of floors = Gr.+3rd Floor</t>
  </si>
  <si>
    <t>MHSL/U.1/M.1/NAP/SR/87/15
Approval no. of floors = Gr.+2nd Floor</t>
  </si>
  <si>
    <t>Building plan approval No 
(Type F1 &amp; B1d)</t>
  </si>
  <si>
    <t xml:space="preserve">Building plan approval No
(Type B1c &amp; C1a)
</t>
  </si>
  <si>
    <t xml:space="preserve">C.certificate No (Type F1, B1d, B1c &amp; C1a)  </t>
  </si>
  <si>
    <t>Rate of the Shop Per Sq. Ft. (on Saleable area) = Building no.3 - Ideal Avenue</t>
  </si>
  <si>
    <t xml:space="preserve">PHOTOGRAPHS OF PROPERTY : </t>
  </si>
  <si>
    <t>Ideal City-Ideal Avenue, Building no.3, Gut No.179, 180 &amp; 181, Sarpada, Umroli(E), Opp.Railway Station, Village. Umroli, Tal.Palghar, Dist.Palghar.</t>
  </si>
  <si>
    <t>1st to 3rd Floor</t>
  </si>
  <si>
    <t>Approved no of units</t>
  </si>
  <si>
    <t>Shops = 23, Flats = 63</t>
  </si>
  <si>
    <t>19/08/2020.</t>
  </si>
  <si>
    <t>11/11/2020.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</si>
  <si>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</si>
  <si>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</si>
  <si>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</si>
  <si>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</si>
  <si>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</si>
  <si>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</si>
  <si>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</si>
  <si>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</si>
  <si>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</si>
  <si>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</si>
  <si>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Commonfloor</t>
  </si>
  <si>
    <t>quikr.</t>
  </si>
  <si>
    <t>proptiger</t>
  </si>
  <si>
    <t>Dhanashree</t>
  </si>
  <si>
    <t>OLD APF</t>
  </si>
  <si>
    <t>1. Rate has not Changed.</t>
  </si>
  <si>
    <t>Construction details:</t>
  </si>
  <si>
    <t>Basement</t>
  </si>
  <si>
    <t>Ground</t>
  </si>
  <si>
    <t>Podium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</si>
  <si>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</si>
  <si>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</si>
  <si>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</si>
  <si>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</si>
  <si>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</si>
  <si>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</si>
  <si>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</si>
  <si>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</si>
  <si>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</si>
  <si>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</si>
  <si>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</si>
  <si>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</si>
  <si>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</si>
  <si>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</si>
  <si>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</si>
  <si>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</si>
  <si>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</si>
  <si>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</si>
  <si>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</si>
  <si>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</si>
  <si>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</si>
  <si>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</si>
  <si>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</si>
  <si>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</si>
  <si>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</si>
  <si>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</si>
  <si>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</si>
  <si>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</si>
  <si>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</si>
  <si>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</si>
  <si>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MHSL/K.1/MJ.1/NAP/SR/229/17
Valid Upto : Type F1, B1d, B1c &amp; C1a= Gr.+ 1st to 3rd Floor</t>
  </si>
  <si>
    <t>Type F1 &amp; B1d = Gr.+1st to 3rd Floor
Type B1c &amp; C1a = Gr.+1st to 2nd Floor</t>
  </si>
  <si>
    <t>50000/-</t>
  </si>
  <si>
    <t>Building No.3: Type-F1 (A Wing) = Gr + 1st to 4th Floor</t>
  </si>
  <si>
    <t xml:space="preserve"> Building No.3:  Type-B1d ( B Wing)  = Gr + 1st to 4th Floor</t>
  </si>
  <si>
    <t>Building No.3: Type-B1c (C wing) = Gr + 1st to 4th Floor</t>
  </si>
  <si>
    <t>Building No.3: Type-C1a (D wing) = Gr + 1st to 4th Floor</t>
  </si>
  <si>
    <t>RERA No.</t>
  </si>
  <si>
    <t xml:space="preserve">Building no.3 - Ideal Avenue 
Wing A - Type F1
Wing B - Type B1d
Wing C - Type B1c
Wing D - Type C1a
</t>
  </si>
  <si>
    <t>Wing A - Type F = P99000003409
Wing B - Type B1d = P99000009483
Wing C &amp; D - Type Blc &amp; Cla= P99000028528</t>
  </si>
  <si>
    <t>Location Link</t>
  </si>
  <si>
    <t>https://goo.gl/maps/7WikqxUYgVzdYGVG7?coh=178572&amp;entry=tt</t>
  </si>
  <si>
    <t>Office No. 1031, Wing J, Akshar Business Park, Plot No. 03 Sector 25, Near APMC Market, Vashi, 
Navi Mumbai, Maharashtra 400703 TEL: 022-46090378/79/80                                                                                                                                            E mail : vsjcapf@gmail.com. Web site : www.vsjadon.com</t>
  </si>
  <si>
    <t xml:space="preserve">   Wing D - Construction work is same as last visit 22/02/2023.</t>
  </si>
  <si>
    <t>19.7556951,72.7584406</t>
  </si>
  <si>
    <t>A Wing = 31/12/2029
B Wing = 31/12/2025
C &amp; D Wing = 30/06/2025</t>
  </si>
  <si>
    <r>
      <t xml:space="preserve">Remarks:  
1. Wing B, C &amp; D = Work is same as last visit (13/03/2025) but construction work is in procress at the time of visit (Very Slow Speed).
    Wing A = Construction work is same as last visit (dtd. 16/09/2024).
2. We considered saleable area as per our calculation.
3. Recommended rate considered as per  market Inquire.
4. We update revised Approved plans of Type F1 &amp; B1d, Layout &amp; CC on 05/04/2019.
5. We have considered Other charges from cost sheet.
6. We have considered construction percent as per proposed no of floor( Gr.+ 4th Floor) because construction work goes beyond approved no. of floor(Gr.+ 3rd Floor). Please provide Revised approved plans &amp; CC.
</t>
    </r>
    <r>
      <rPr>
        <b/>
        <sz val="11"/>
        <color rgb="FFFF0000"/>
        <rFont val="Times New Roman"/>
        <family val="1"/>
      </rPr>
      <t>7. Since the project has received first CC on 22/03/2019., But construction work of Wing A, B, C &amp; D is under construction.
8. As per RERA, completion period of project is expired on 30/06/2025 but still project is under construction.
9. As checked on RERA portal on dated 17/09/2025, we have observed that above project is kept under abeyance.</t>
    </r>
    <r>
      <rPr>
        <b/>
        <sz val="11"/>
        <color theme="1"/>
        <rFont val="Times New Roman"/>
        <family val="1"/>
      </rPr>
      <t xml:space="preserve">
10. On site we met Mr. Anil 9892755827
On site we met Mr. Yadav : 9029664475.
7</t>
    </r>
    <r>
      <rPr>
        <b/>
        <sz val="11"/>
        <color rgb="FFFF0000"/>
        <rFont val="Times New Roman"/>
        <family val="1"/>
      </rPr>
      <t xml:space="preserve">. A Wing - As per RERA, completion period of project Ideal Avenue is expired on 31/12/2022 but still project is under construction.
</t>
    </r>
    <r>
      <rPr>
        <b/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</si>
</sst>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1.5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0" fontId="12" fillId="0" borderId="0"/>
    <xf numFmtId="0" fontId="22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2"/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1" fontId="6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1" fontId="10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3" fillId="3" borderId="2" xfId="0" applyFont="1" applyFill="1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0" xfId="0" applyNumberFormat="1"/>
    <xf numFmtId="0" fontId="15" fillId="0" borderId="0" xfId="0" applyFont="1"/>
    <xf numFmtId="1" fontId="11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1" fillId="0" borderId="0" xfId="3"/>
    <xf numFmtId="0" fontId="12" fillId="0" borderId="0" xfId="4"/>
    <xf numFmtId="0" fontId="13" fillId="0" borderId="2" xfId="4" applyFont="1" applyBorder="1" applyAlignment="1">
      <alignment horizontal="center" vertical="top" wrapText="1"/>
    </xf>
    <xf numFmtId="0" fontId="12" fillId="0" borderId="2" xfId="4" applyBorder="1" applyAlignment="1">
      <alignment horizontal="center" vertical="center"/>
    </xf>
    <xf numFmtId="1" fontId="12" fillId="0" borderId="2" xfId="4" applyNumberFormat="1" applyBorder="1" applyAlignment="1">
      <alignment horizontal="center" vertical="center"/>
    </xf>
    <xf numFmtId="166" fontId="12" fillId="0" borderId="2" xfId="1" applyNumberFormat="1" applyFont="1" applyBorder="1" applyAlignment="1">
      <alignment horizontal="right" vertical="center"/>
    </xf>
    <xf numFmtId="0" fontId="13" fillId="0" borderId="2" xfId="4" applyFont="1" applyBorder="1" applyAlignment="1">
      <alignment horizontal="center" vertical="center"/>
    </xf>
    <xf numFmtId="1" fontId="14" fillId="0" borderId="2" xfId="4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6" fillId="0" borderId="0" xfId="3" applyFont="1"/>
    <xf numFmtId="0" fontId="12" fillId="0" borderId="2" xfId="4" applyBorder="1" applyAlignment="1">
      <alignment horizontal="left" vertical="center"/>
    </xf>
    <xf numFmtId="0" fontId="17" fillId="0" borderId="17" xfId="5" applyFont="1" applyBorder="1" applyProtection="1">
      <protection hidden="1"/>
    </xf>
    <xf numFmtId="0" fontId="17" fillId="0" borderId="18" xfId="5" applyFont="1" applyBorder="1" applyProtection="1">
      <protection hidden="1"/>
    </xf>
    <xf numFmtId="0" fontId="18" fillId="0" borderId="19" xfId="5" applyFont="1" applyBorder="1" applyAlignment="1" applyProtection="1">
      <alignment horizontal="center" vertical="top"/>
      <protection locked="0"/>
    </xf>
    <xf numFmtId="0" fontId="18" fillId="0" borderId="2" xfId="5" applyFont="1" applyBorder="1" applyAlignment="1" applyProtection="1">
      <alignment horizontal="center" vertical="top"/>
      <protection locked="0"/>
    </xf>
    <xf numFmtId="0" fontId="17" fillId="0" borderId="0" xfId="5" applyFont="1" applyProtection="1">
      <protection hidden="1"/>
    </xf>
    <xf numFmtId="0" fontId="17" fillId="0" borderId="21" xfId="5" applyFont="1" applyBorder="1" applyProtection="1">
      <protection hidden="1"/>
    </xf>
    <xf numFmtId="0" fontId="20" fillId="0" borderId="0" xfId="0" applyFont="1" applyProtection="1">
      <protection hidden="1"/>
    </xf>
    <xf numFmtId="0" fontId="17" fillId="0" borderId="0" xfId="5" applyFont="1"/>
    <xf numFmtId="0" fontId="17" fillId="0" borderId="21" xfId="5" applyFont="1" applyBorder="1"/>
    <xf numFmtId="9" fontId="20" fillId="0" borderId="0" xfId="0" applyNumberFormat="1" applyFont="1" applyProtection="1">
      <protection hidden="1"/>
    </xf>
    <xf numFmtId="0" fontId="20" fillId="0" borderId="21" xfId="0" applyFont="1" applyBorder="1" applyProtection="1">
      <protection hidden="1"/>
    </xf>
    <xf numFmtId="1" fontId="0" fillId="0" borderId="21" xfId="0" applyNumberFormat="1" applyBorder="1"/>
    <xf numFmtId="165" fontId="0" fillId="0" borderId="0" xfId="0" applyNumberFormat="1"/>
    <xf numFmtId="1" fontId="0" fillId="0" borderId="21" xfId="0" applyNumberFormat="1" applyBorder="1" applyAlignment="1">
      <alignment horizontal="right"/>
    </xf>
    <xf numFmtId="0" fontId="0" fillId="0" borderId="21" xfId="0" applyBorder="1"/>
    <xf numFmtId="0" fontId="20" fillId="0" borderId="25" xfId="0" applyFont="1" applyBorder="1" applyProtection="1">
      <protection hidden="1"/>
    </xf>
    <xf numFmtId="9" fontId="20" fillId="0" borderId="25" xfId="0" applyNumberFormat="1" applyFont="1" applyBorder="1" applyProtection="1">
      <protection hidden="1"/>
    </xf>
    <xf numFmtId="1" fontId="0" fillId="0" borderId="26" xfId="0" applyNumberFormat="1" applyBorder="1"/>
    <xf numFmtId="0" fontId="18" fillId="0" borderId="2" xfId="5" applyFont="1" applyBorder="1" applyAlignment="1" applyProtection="1">
      <alignment horizontal="center" vertical="top" wrapText="1"/>
      <protection locked="0"/>
    </xf>
    <xf numFmtId="0" fontId="18" fillId="0" borderId="2" xfId="5" applyFont="1" applyBorder="1" applyAlignment="1" applyProtection="1">
      <alignment horizontal="center" wrapText="1"/>
      <protection locked="0"/>
    </xf>
    <xf numFmtId="1" fontId="18" fillId="0" borderId="2" xfId="5" applyNumberFormat="1" applyFont="1" applyBorder="1" applyAlignment="1" applyProtection="1">
      <alignment horizontal="center" wrapText="1"/>
      <protection locked="0"/>
    </xf>
    <xf numFmtId="0" fontId="18" fillId="0" borderId="23" xfId="5" applyFont="1" applyBorder="1" applyAlignment="1" applyProtection="1">
      <alignment horizontal="center" wrapText="1"/>
      <protection locked="0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22" fillId="0" borderId="1" xfId="6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5" fillId="0" borderId="7" xfId="2" applyFont="1" applyBorder="1" applyAlignment="1">
      <alignment horizontal="left" vertical="top" wrapText="1"/>
    </xf>
    <xf numFmtId="0" fontId="15" fillId="0" borderId="8" xfId="2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8" fillId="0" borderId="2" xfId="5" applyFont="1" applyBorder="1" applyAlignment="1" applyProtection="1">
      <alignment horizontal="center" vertical="top"/>
      <protection locked="0"/>
    </xf>
    <xf numFmtId="0" fontId="18" fillId="0" borderId="20" xfId="5" applyFont="1" applyBorder="1" applyAlignment="1" applyProtection="1">
      <alignment horizontal="center" vertical="top"/>
      <protection locked="0"/>
    </xf>
    <xf numFmtId="0" fontId="19" fillId="0" borderId="19" xfId="5" applyFont="1" applyBorder="1" applyAlignment="1" applyProtection="1">
      <alignment horizontal="left" vertical="top"/>
      <protection locked="0"/>
    </xf>
    <xf numFmtId="0" fontId="19" fillId="0" borderId="2" xfId="5" applyFont="1" applyBorder="1" applyAlignment="1" applyProtection="1">
      <alignment horizontal="left" vertical="top"/>
      <protection locked="0"/>
    </xf>
    <xf numFmtId="0" fontId="19" fillId="0" borderId="2" xfId="5" applyFont="1" applyBorder="1" applyAlignment="1" applyProtection="1">
      <alignment horizontal="left" vertical="top" wrapText="1"/>
      <protection locked="0"/>
    </xf>
    <xf numFmtId="0" fontId="19" fillId="0" borderId="20" xfId="5" applyFont="1" applyBorder="1" applyAlignment="1" applyProtection="1">
      <alignment horizontal="left" vertical="top" wrapText="1"/>
      <protection locked="0"/>
    </xf>
    <xf numFmtId="0" fontId="18" fillId="0" borderId="19" xfId="5" applyFont="1" applyBorder="1" applyAlignment="1" applyProtection="1">
      <alignment horizontal="center" vertical="top" wrapText="1"/>
      <protection locked="0"/>
    </xf>
    <xf numFmtId="0" fontId="18" fillId="0" borderId="2" xfId="5" applyFont="1" applyBorder="1" applyAlignment="1" applyProtection="1">
      <alignment horizontal="center" vertical="top" wrapText="1"/>
      <protection locked="0"/>
    </xf>
    <xf numFmtId="0" fontId="18" fillId="0" borderId="20" xfId="5" applyFont="1" applyBorder="1" applyAlignment="1" applyProtection="1">
      <alignment horizontal="center" vertical="top" wrapText="1"/>
      <protection locked="0"/>
    </xf>
    <xf numFmtId="9" fontId="18" fillId="2" borderId="2" xfId="5" applyNumberFormat="1" applyFont="1" applyFill="1" applyBorder="1" applyAlignment="1" applyProtection="1">
      <alignment horizontal="center" vertical="center" wrapText="1"/>
      <protection hidden="1"/>
    </xf>
    <xf numFmtId="9" fontId="18" fillId="2" borderId="23" xfId="5" applyNumberFormat="1" applyFont="1" applyFill="1" applyBorder="1" applyAlignment="1" applyProtection="1">
      <alignment horizontal="center" vertical="center" wrapText="1"/>
      <protection hidden="1"/>
    </xf>
    <xf numFmtId="9" fontId="18" fillId="2" borderId="20" xfId="5" applyNumberFormat="1" applyFont="1" applyFill="1" applyBorder="1" applyAlignment="1" applyProtection="1">
      <alignment horizontal="center" vertical="center" wrapText="1"/>
      <protection hidden="1"/>
    </xf>
    <xf numFmtId="9" fontId="18" fillId="2" borderId="24" xfId="5" applyNumberFormat="1" applyFont="1" applyFill="1" applyBorder="1" applyAlignment="1" applyProtection="1">
      <alignment horizontal="center" vertical="center" wrapText="1"/>
      <protection hidden="1"/>
    </xf>
    <xf numFmtId="0" fontId="18" fillId="0" borderId="19" xfId="5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/>
    </xf>
    <xf numFmtId="165" fontId="4" fillId="0" borderId="5" xfId="0" applyNumberFormat="1" applyFont="1" applyBorder="1" applyAlignment="1">
      <alignment horizontal="left" vertical="top"/>
    </xf>
    <xf numFmtId="165" fontId="4" fillId="0" borderId="4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165" fontId="4" fillId="0" borderId="5" xfId="0" applyNumberFormat="1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19" fillId="0" borderId="14" xfId="5" applyFont="1" applyBorder="1" applyAlignment="1" applyProtection="1">
      <alignment horizontal="center" vertical="top" wrapText="1"/>
      <protection locked="0"/>
    </xf>
    <xf numFmtId="0" fontId="19" fillId="0" borderId="15" xfId="5" applyFont="1" applyBorder="1" applyAlignment="1" applyProtection="1">
      <alignment horizontal="center" vertical="top" wrapText="1"/>
      <protection locked="0"/>
    </xf>
    <xf numFmtId="0" fontId="19" fillId="0" borderId="15" xfId="5" applyFont="1" applyBorder="1" applyAlignment="1" applyProtection="1">
      <alignment horizontal="left" vertical="top" wrapText="1"/>
      <protection locked="0"/>
    </xf>
    <xf numFmtId="0" fontId="19" fillId="0" borderId="16" xfId="5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18" fillId="0" borderId="22" xfId="5" applyFont="1" applyBorder="1" applyAlignment="1" applyProtection="1">
      <alignment horizontal="center" vertical="top" wrapText="1"/>
      <protection locked="0"/>
    </xf>
    <xf numFmtId="0" fontId="18" fillId="0" borderId="23" xfId="5" applyFont="1" applyBorder="1" applyAlignment="1" applyProtection="1">
      <alignment horizontal="center" vertical="top" wrapText="1"/>
      <protection locked="0"/>
    </xf>
    <xf numFmtId="0" fontId="13" fillId="0" borderId="2" xfId="4" applyFont="1" applyBorder="1" applyAlignment="1">
      <alignment horizontal="left"/>
    </xf>
  </cellXfs>
  <cellStyles count="7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Hyperlink" xfId="6" builtinId="8"/>
    <cellStyle name="Normal" xfId="0" builtinId="0"/>
    <cellStyle name="Normal 3" xfId="5" xr:uid="{00000000-0005-0000-0000-000005000000}"/>
    <cellStyle name="Normal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560296</xdr:colOff>
      <xdr:row>254</xdr:row>
      <xdr:rowOff>32721</xdr:rowOff>
    </xdr:from>
    <xdr:to>
      <xdr:col>8</xdr:col>
      <xdr:colOff>36756</xdr:colOff>
      <xdr:row>269</xdr:row>
      <xdr:rowOff>55221</xdr:rowOff>
    </xdr:to>
    <xdr:pic>
      <xdr:nvPicPr>
        <xdr:cNvPr id="6905" name="Picture 6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656" y="55079601"/>
          <a:ext cx="4307540" cy="2765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526677</xdr:colOff>
      <xdr:row>270</xdr:row>
      <xdr:rowOff>42246</xdr:rowOff>
    </xdr:from>
    <xdr:to>
      <xdr:col>8</xdr:col>
      <xdr:colOff>14343</xdr:colOff>
      <xdr:row>285</xdr:row>
      <xdr:rowOff>64746</xdr:rowOff>
    </xdr:to>
    <xdr:pic>
      <xdr:nvPicPr>
        <xdr:cNvPr id="6906" name="Picture 7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037" y="58015206"/>
          <a:ext cx="4318746" cy="2765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440055</xdr:colOff>
      <xdr:row>208</xdr:row>
      <xdr:rowOff>175260</xdr:rowOff>
    </xdr:from>
    <xdr:to>
      <xdr:col>13</xdr:col>
      <xdr:colOff>66675</xdr:colOff>
      <xdr:row>210</xdr:row>
      <xdr:rowOff>91440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C281B9-F221-DECD-6E6D-2CACB944C0E0}"/>
            </a:ext>
          </a:extLst>
        </xdr:cNvPr>
        <xdr:cNvSpPr txBox="1"/>
      </xdr:nvSpPr>
      <xdr:spPr>
        <a:xfrm>
          <a:off x="8117205" y="48447960"/>
          <a:ext cx="23622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11</xdr:col>
      <xdr:colOff>0</xdr:colOff>
      <xdr:row>201</xdr:row>
      <xdr:rowOff>0</xdr:rowOff>
    </xdr:from>
    <xdr:to>
      <xdr:col>12</xdr:col>
      <xdr:colOff>126267</xdr:colOff>
      <xdr:row>202</xdr:row>
      <xdr:rowOff>107950</xdr:rowOff>
    </xdr:to>
    <xdr:sp macro="" textlink="">
      <xdr:nvSpPr>
        <xdr:cNvPr id="35" name="Text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032750" y="44754800"/>
          <a:ext cx="735867" cy="2984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  <a:endParaRPr lang="en-IN" sz="12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232410</xdr:colOff>
      <xdr:row>205</xdr:row>
      <xdr:rowOff>104140</xdr:rowOff>
    </xdr:from>
    <xdr:to>
      <xdr:col>21</xdr:col>
      <xdr:colOff>532176</xdr:colOff>
      <xdr:row>243</xdr:row>
      <xdr:rowOff>147856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126730" y="46479460"/>
          <a:ext cx="6395766" cy="6993156"/>
          <a:chOff x="438150" y="45580300"/>
          <a:chExt cx="6506256" cy="7041416"/>
        </a:xfrm>
      </xdr:grpSpPr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715" y="51181716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5417" y="45580300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62364" y="45580300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715" y="45580300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62364" y="48381008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5417" y="48381008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1066" y="48381008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0" y="51181716"/>
            <a:ext cx="319047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1066" y="45580300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715" y="48381008"/>
            <a:ext cx="139755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13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950367" y="45650150"/>
            <a:ext cx="735867" cy="2984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2" name="TextBox 1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5789414" y="45758100"/>
            <a:ext cx="735867" cy="2984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3" name="TextBox 1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1128167" y="48457208"/>
            <a:ext cx="735867" cy="2984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4" name="TextBox 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2377116" y="48431808"/>
            <a:ext cx="735867" cy="2984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13</xdr:col>
      <xdr:colOff>0</xdr:colOff>
      <xdr:row>189</xdr:row>
      <xdr:rowOff>0</xdr:rowOff>
    </xdr:from>
    <xdr:to>
      <xdr:col>21</xdr:col>
      <xdr:colOff>523200</xdr:colOff>
      <xdr:row>192</xdr:row>
      <xdr:rowOff>2443140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A98E49-883A-11D0-227E-B195D37B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13520" y="40858440"/>
          <a:ext cx="5400000" cy="303750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206</xdr:row>
      <xdr:rowOff>7620</xdr:rowOff>
    </xdr:from>
    <xdr:to>
      <xdr:col>9</xdr:col>
      <xdr:colOff>1219200</xdr:colOff>
      <xdr:row>240</xdr:row>
      <xdr:rowOff>68580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F45252C-43FA-D7AC-8DFF-A40C0D28B2CB}"/>
            </a:ext>
          </a:extLst>
        </xdr:cNvPr>
        <xdr:cNvGrpSpPr/>
      </xdr:nvGrpSpPr>
      <xdr:grpSpPr>
        <a:xfrm>
          <a:off x="91440" y="46565820"/>
          <a:ext cx="7094220" cy="6278880"/>
          <a:chOff x="-357964" y="160639"/>
          <a:chExt cx="7751382" cy="706398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962B073-1D2A-8410-C534-F5DED87B28DF}"/>
              </a:ext>
            </a:extLst>
          </xdr:cNvPr>
          <xdr:cNvGrpSpPr/>
        </xdr:nvGrpSpPr>
        <xdr:grpSpPr>
          <a:xfrm>
            <a:off x="550782" y="2792629"/>
            <a:ext cx="5933891" cy="2520000"/>
            <a:chOff x="78992" y="2792629"/>
            <a:chExt cx="5933891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73C8A8E4-FFAF-423D-3223-012B72B7F2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8992" y="279262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2B412323-1BCD-80D6-F2AD-27C9ED9406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24852" y="279262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2F7B79D8-8BCF-054A-712E-C3A291559F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01922" y="279262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2C9F47A-9842-FF5C-C657-C213AC08AC3E}"/>
              </a:ext>
            </a:extLst>
          </xdr:cNvPr>
          <xdr:cNvGrpSpPr/>
        </xdr:nvGrpSpPr>
        <xdr:grpSpPr>
          <a:xfrm>
            <a:off x="-183849" y="160639"/>
            <a:ext cx="7403153" cy="2520000"/>
            <a:chOff x="78992" y="160639"/>
            <a:chExt cx="7403153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DEE6ECE9-9BD5-E14C-E954-B420416EA7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24854" y="160639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AAF705F6-2BC4-4A08-7263-7FD2CFF976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01923" y="16063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5C8F486B-1D13-F189-C7C0-9E285AF202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8992" y="16063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480EBCA-CECB-8860-53C8-8E339A1AE584}"/>
              </a:ext>
            </a:extLst>
          </xdr:cNvPr>
          <xdr:cNvGrpSpPr/>
        </xdr:nvGrpSpPr>
        <xdr:grpSpPr>
          <a:xfrm>
            <a:off x="-357964" y="5424619"/>
            <a:ext cx="7751382" cy="1800000"/>
            <a:chOff x="-4031148" y="5865840"/>
            <a:chExt cx="7751382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7C7229EE-BD35-64C8-88DD-4867163CEA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545114" y="58658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EDB90A6A-980E-6BF0-D4CE-5BB90BD170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71640" y="58658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CB19F124-35CF-7434-0DFC-1D13BFB3E0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031148" y="5865840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E3423BE-ADB7-2D2C-82E4-8563CCA0F4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08551" y="5865840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38100</xdr:rowOff>
    </xdr:from>
    <xdr:to>
      <xdr:col>6</xdr:col>
      <xdr:colOff>409575</xdr:colOff>
      <xdr:row>31</xdr:row>
      <xdr:rowOff>76200</xdr:rowOff>
    </xdr:to>
    <xdr:pic>
      <xdr:nvPicPr>
        <xdr:cNvPr id="11293" name="Picture 1">
          <a:extLst>
            <a:ext uri="{FF2B5EF4-FFF2-40B4-BE49-F238E27FC236}">
              <a16:creationId xmlns:a16="http://schemas.microsoft.com/office/drawing/2014/main" id="{00000000-0008-0000-0100-00001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14600"/>
          <a:ext cx="6505575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114300</xdr:rowOff>
    </xdr:from>
    <xdr:to>
      <xdr:col>6</xdr:col>
      <xdr:colOff>409575</xdr:colOff>
      <xdr:row>51</xdr:row>
      <xdr:rowOff>152400</xdr:rowOff>
    </xdr:to>
    <xdr:pic>
      <xdr:nvPicPr>
        <xdr:cNvPr id="11294" name="Picture 2">
          <a:extLst>
            <a:ext uri="{FF2B5EF4-FFF2-40B4-BE49-F238E27FC236}">
              <a16:creationId xmlns:a16="http://schemas.microsoft.com/office/drawing/2014/main" id="{00000000-0008-0000-0100-00001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00800"/>
          <a:ext cx="6505575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11</xdr:row>
      <xdr:rowOff>0</xdr:rowOff>
    </xdr:from>
    <xdr:to>
      <xdr:col>15</xdr:col>
      <xdr:colOff>476250</xdr:colOff>
      <xdr:row>30</xdr:row>
      <xdr:rowOff>38100</xdr:rowOff>
    </xdr:to>
    <xdr:pic>
      <xdr:nvPicPr>
        <xdr:cNvPr id="11295" name="Picture 3">
          <a:extLst>
            <a:ext uri="{FF2B5EF4-FFF2-40B4-BE49-F238E27FC236}">
              <a16:creationId xmlns:a16="http://schemas.microsoft.com/office/drawing/2014/main" id="{00000000-0008-0000-0100-00001F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2286000"/>
          <a:ext cx="6505575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31</xdr:row>
      <xdr:rowOff>152400</xdr:rowOff>
    </xdr:from>
    <xdr:to>
      <xdr:col>15</xdr:col>
      <xdr:colOff>476250</xdr:colOff>
      <xdr:row>51</xdr:row>
      <xdr:rowOff>0</xdr:rowOff>
    </xdr:to>
    <xdr:pic>
      <xdr:nvPicPr>
        <xdr:cNvPr id="11296" name="Picture 4">
          <a:extLst>
            <a:ext uri="{FF2B5EF4-FFF2-40B4-BE49-F238E27FC236}">
              <a16:creationId xmlns:a16="http://schemas.microsoft.com/office/drawing/2014/main" id="{00000000-0008-0000-0100-000020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248400"/>
          <a:ext cx="6505575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6</xdr:col>
      <xdr:colOff>257175</xdr:colOff>
      <xdr:row>20</xdr:row>
      <xdr:rowOff>133350</xdr:rowOff>
    </xdr:to>
    <xdr:pic>
      <xdr:nvPicPr>
        <xdr:cNvPr id="10281" name="Picture 1">
          <a:extLst>
            <a:ext uri="{FF2B5EF4-FFF2-40B4-BE49-F238E27FC236}">
              <a16:creationId xmlns:a16="http://schemas.microsoft.com/office/drawing/2014/main" id="{00000000-0008-0000-0200-00002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00025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1</xdr:row>
      <xdr:rowOff>0</xdr:rowOff>
    </xdr:from>
    <xdr:to>
      <xdr:col>11</xdr:col>
      <xdr:colOff>104775</xdr:colOff>
      <xdr:row>20</xdr:row>
      <xdr:rowOff>123825</xdr:rowOff>
    </xdr:to>
    <xdr:pic>
      <xdr:nvPicPr>
        <xdr:cNvPr id="10282" name="Picture 2">
          <a:extLst>
            <a:ext uri="{FF2B5EF4-FFF2-40B4-BE49-F238E27FC236}">
              <a16:creationId xmlns:a16="http://schemas.microsoft.com/office/drawing/2014/main" id="{00000000-0008-0000-0200-00002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0</xdr:rowOff>
    </xdr:from>
    <xdr:to>
      <xdr:col>10</xdr:col>
      <xdr:colOff>361950</xdr:colOff>
      <xdr:row>19</xdr:row>
      <xdr:rowOff>104775</xdr:rowOff>
    </xdr:to>
    <xdr:pic>
      <xdr:nvPicPr>
        <xdr:cNvPr id="9227" name="Picture 1" descr="C:\Users\Owner\Downloads\APF\OLD - IDEAL AVENUE\WhatsApp Image 2020-11-09 at 1.33.27 PM.jpeg">
          <a:extLst>
            <a:ext uri="{FF2B5EF4-FFF2-40B4-BE49-F238E27FC236}">
              <a16:creationId xmlns:a16="http://schemas.microsoft.com/office/drawing/2014/main" id="{00000000-0008-0000-03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286000"/>
          <a:ext cx="1371600" cy="1828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WikqxUYgVzdYGVG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4"/>
  <sheetViews>
    <sheetView tabSelected="1" view="pageBreakPreview" topLeftCell="A106" zoomScaleNormal="100" zoomScaleSheetLayoutView="100" zoomScalePageLayoutView="85" workbookViewId="0">
      <selection activeCell="R114" sqref="R114"/>
    </sheetView>
  </sheetViews>
  <sheetFormatPr defaultRowHeight="14.4" x14ac:dyDescent="0.3"/>
  <cols>
    <col min="1" max="1" width="8.77734375" customWidth="1"/>
    <col min="2" max="2" width="14.21875" customWidth="1"/>
    <col min="3" max="3" width="14.44140625" customWidth="1"/>
    <col min="4" max="4" width="7.21875" customWidth="1"/>
    <col min="5" max="5" width="6.77734375" customWidth="1"/>
    <col min="6" max="6" width="8.21875" customWidth="1"/>
    <col min="7" max="8" width="9.77734375" customWidth="1"/>
    <col min="9" max="9" width="7.77734375" customWidth="1"/>
    <col min="10" max="10" width="19.21875" customWidth="1"/>
  </cols>
  <sheetData>
    <row r="1" spans="1:10" ht="43.95" customHeight="1" x14ac:dyDescent="0.3">
      <c r="A1" s="172" t="s">
        <v>228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0" x14ac:dyDescent="0.3">
      <c r="A2" s="90" t="s">
        <v>48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x14ac:dyDescent="0.3">
      <c r="A3" s="74" t="s">
        <v>0</v>
      </c>
      <c r="B3" s="75"/>
      <c r="C3" s="75"/>
      <c r="D3" s="75"/>
      <c r="E3" s="76"/>
      <c r="F3" s="164" t="str">
        <f ca="1">TEXT(TODAY(),"DD/MM/YYYY")</f>
        <v>17/09/2025</v>
      </c>
      <c r="G3" s="165"/>
      <c r="H3" s="165"/>
      <c r="I3" s="165"/>
      <c r="J3" s="166"/>
    </row>
    <row r="4" spans="1:10" x14ac:dyDescent="0.3">
      <c r="A4" s="74" t="s">
        <v>1</v>
      </c>
      <c r="B4" s="75"/>
      <c r="C4" s="75"/>
      <c r="D4" s="75"/>
      <c r="E4" s="76"/>
      <c r="F4" s="61" t="s">
        <v>93</v>
      </c>
      <c r="G4" s="53"/>
      <c r="H4" s="53"/>
      <c r="I4" s="53"/>
      <c r="J4" s="54"/>
    </row>
    <row r="5" spans="1:10" x14ac:dyDescent="0.3">
      <c r="A5" s="74" t="s">
        <v>2</v>
      </c>
      <c r="B5" s="75"/>
      <c r="C5" s="75"/>
      <c r="D5" s="75"/>
      <c r="E5" s="76"/>
      <c r="F5" s="164">
        <v>45909</v>
      </c>
      <c r="G5" s="165"/>
      <c r="H5" s="165"/>
      <c r="I5" s="165"/>
      <c r="J5" s="166"/>
    </row>
    <row r="6" spans="1:10" ht="16.5" customHeight="1" x14ac:dyDescent="0.3">
      <c r="A6" s="74" t="s">
        <v>3</v>
      </c>
      <c r="B6" s="75"/>
      <c r="C6" s="75"/>
      <c r="D6" s="75"/>
      <c r="E6" s="76"/>
      <c r="F6" s="62" t="s">
        <v>94</v>
      </c>
      <c r="G6" s="63"/>
      <c r="H6" s="63"/>
      <c r="I6" s="63"/>
      <c r="J6" s="64"/>
    </row>
    <row r="7" spans="1:10" ht="15" customHeight="1" x14ac:dyDescent="0.3">
      <c r="A7" s="74" t="s">
        <v>4</v>
      </c>
      <c r="B7" s="75"/>
      <c r="C7" s="75"/>
      <c r="D7" s="75"/>
      <c r="E7" s="76"/>
      <c r="F7" s="62" t="s">
        <v>95</v>
      </c>
      <c r="G7" s="63"/>
      <c r="H7" s="63"/>
      <c r="I7" s="63"/>
      <c r="J7" s="64"/>
    </row>
    <row r="8" spans="1:10" x14ac:dyDescent="0.3">
      <c r="A8" s="74" t="s">
        <v>5</v>
      </c>
      <c r="B8" s="75"/>
      <c r="C8" s="75"/>
      <c r="D8" s="75"/>
      <c r="E8" s="76"/>
      <c r="F8" s="87" t="s">
        <v>145</v>
      </c>
      <c r="G8" s="88"/>
      <c r="H8" s="88"/>
      <c r="I8" s="88"/>
      <c r="J8" s="89"/>
    </row>
    <row r="9" spans="1:10" ht="72" customHeight="1" x14ac:dyDescent="0.3">
      <c r="A9" s="61" t="s">
        <v>116</v>
      </c>
      <c r="B9" s="53"/>
      <c r="C9" s="53"/>
      <c r="D9" s="53"/>
      <c r="E9" s="54"/>
      <c r="F9" s="62" t="s">
        <v>224</v>
      </c>
      <c r="G9" s="53"/>
      <c r="H9" s="53"/>
      <c r="I9" s="53"/>
      <c r="J9" s="54"/>
    </row>
    <row r="10" spans="1:10" x14ac:dyDescent="0.3">
      <c r="A10" s="74" t="s">
        <v>6</v>
      </c>
      <c r="B10" s="75"/>
      <c r="C10" s="75"/>
      <c r="D10" s="75"/>
      <c r="E10" s="76"/>
      <c r="F10" s="61" t="s">
        <v>50</v>
      </c>
      <c r="G10" s="53"/>
      <c r="H10" s="53"/>
      <c r="I10" s="53"/>
      <c r="J10" s="54"/>
    </row>
    <row r="11" spans="1:10" ht="44.25" customHeight="1" x14ac:dyDescent="0.3">
      <c r="A11" s="61" t="s">
        <v>223</v>
      </c>
      <c r="B11" s="75"/>
      <c r="C11" s="75"/>
      <c r="D11" s="75"/>
      <c r="E11" s="76"/>
      <c r="F11" s="62" t="s">
        <v>225</v>
      </c>
      <c r="G11" s="53"/>
      <c r="H11" s="53"/>
      <c r="I11" s="53"/>
      <c r="J11" s="54"/>
    </row>
    <row r="12" spans="1:10" hidden="1" x14ac:dyDescent="0.3">
      <c r="A12" s="95" t="s">
        <v>71</v>
      </c>
      <c r="B12" s="95"/>
      <c r="C12" s="61" t="s">
        <v>147</v>
      </c>
      <c r="D12" s="53"/>
      <c r="E12" s="53"/>
      <c r="F12" s="53"/>
      <c r="G12" s="54"/>
      <c r="H12" s="2" t="s">
        <v>72</v>
      </c>
      <c r="I12" s="129" t="s">
        <v>148</v>
      </c>
      <c r="J12" s="129"/>
    </row>
    <row r="13" spans="1:10" ht="32.25" customHeight="1" x14ac:dyDescent="0.3">
      <c r="A13" s="95" t="s">
        <v>73</v>
      </c>
      <c r="B13" s="95"/>
      <c r="C13" s="62" t="s">
        <v>160</v>
      </c>
      <c r="D13" s="63"/>
      <c r="E13" s="63"/>
      <c r="F13" s="63"/>
      <c r="G13" s="63"/>
      <c r="H13" s="63"/>
      <c r="I13" s="63"/>
      <c r="J13" s="64"/>
    </row>
    <row r="14" spans="1:10" ht="19.5" customHeight="1" x14ac:dyDescent="0.3">
      <c r="A14" s="95" t="s">
        <v>97</v>
      </c>
      <c r="B14" s="95"/>
      <c r="C14" s="99" t="s">
        <v>98</v>
      </c>
      <c r="D14" s="99"/>
      <c r="E14" s="99"/>
      <c r="F14" s="163" t="s">
        <v>74</v>
      </c>
      <c r="G14" s="163"/>
      <c r="H14" s="81" t="s">
        <v>99</v>
      </c>
      <c r="I14" s="81"/>
      <c r="J14" s="82"/>
    </row>
    <row r="15" spans="1:10" x14ac:dyDescent="0.3">
      <c r="A15" s="95" t="s">
        <v>7</v>
      </c>
      <c r="B15" s="95"/>
      <c r="C15" s="99" t="s">
        <v>100</v>
      </c>
      <c r="D15" s="99"/>
      <c r="E15" s="99"/>
      <c r="F15" s="163" t="s">
        <v>75</v>
      </c>
      <c r="G15" s="163"/>
      <c r="H15" s="81" t="s">
        <v>101</v>
      </c>
      <c r="I15" s="81"/>
      <c r="J15" s="82"/>
    </row>
    <row r="16" spans="1:10" x14ac:dyDescent="0.3">
      <c r="A16" s="95" t="s">
        <v>8</v>
      </c>
      <c r="B16" s="95"/>
      <c r="C16" s="99" t="s">
        <v>101</v>
      </c>
      <c r="D16" s="99"/>
      <c r="E16" s="99"/>
      <c r="F16" s="163" t="s">
        <v>76</v>
      </c>
      <c r="G16" s="163"/>
      <c r="H16" s="81">
        <v>401404</v>
      </c>
      <c r="I16" s="81"/>
      <c r="J16" s="82"/>
    </row>
    <row r="17" spans="1:10" ht="32.25" customHeight="1" x14ac:dyDescent="0.3">
      <c r="A17" s="95" t="s">
        <v>77</v>
      </c>
      <c r="B17" s="95"/>
      <c r="C17" s="99" t="s">
        <v>102</v>
      </c>
      <c r="D17" s="99"/>
      <c r="E17" s="99"/>
      <c r="F17" s="163" t="s">
        <v>60</v>
      </c>
      <c r="G17" s="163"/>
      <c r="H17" s="81" t="s">
        <v>106</v>
      </c>
      <c r="I17" s="81"/>
      <c r="J17" s="82"/>
    </row>
    <row r="18" spans="1:10" ht="15" customHeight="1" x14ac:dyDescent="0.3">
      <c r="A18" s="141" t="s">
        <v>62</v>
      </c>
      <c r="B18" s="142"/>
      <c r="C18" s="142"/>
      <c r="D18" s="142"/>
      <c r="E18" s="143"/>
      <c r="F18" s="154" t="s">
        <v>70</v>
      </c>
      <c r="G18" s="155"/>
      <c r="H18" s="155"/>
      <c r="I18" s="155"/>
      <c r="J18" s="156"/>
    </row>
    <row r="19" spans="1:10" x14ac:dyDescent="0.3">
      <c r="A19" s="144"/>
      <c r="B19" s="145"/>
      <c r="C19" s="145"/>
      <c r="D19" s="145"/>
      <c r="E19" s="146"/>
      <c r="F19" s="157"/>
      <c r="G19" s="158"/>
      <c r="H19" s="158"/>
      <c r="I19" s="158"/>
      <c r="J19" s="159"/>
    </row>
    <row r="20" spans="1:10" ht="15" customHeight="1" x14ac:dyDescent="0.3">
      <c r="A20" s="160" t="s">
        <v>9</v>
      </c>
      <c r="B20" s="161"/>
      <c r="C20" s="161"/>
      <c r="D20" s="161"/>
      <c r="E20" s="162"/>
      <c r="F20" s="141" t="s">
        <v>51</v>
      </c>
      <c r="G20" s="142"/>
      <c r="H20" s="142"/>
      <c r="I20" s="142"/>
      <c r="J20" s="143"/>
    </row>
    <row r="21" spans="1:10" x14ac:dyDescent="0.3">
      <c r="A21" s="74" t="s">
        <v>10</v>
      </c>
      <c r="B21" s="75"/>
      <c r="C21" s="75"/>
      <c r="D21" s="75"/>
      <c r="E21" s="76"/>
      <c r="F21" s="71" t="s">
        <v>92</v>
      </c>
      <c r="G21" s="72"/>
      <c r="H21" s="72"/>
      <c r="I21" s="72"/>
      <c r="J21" s="73"/>
    </row>
    <row r="22" spans="1:10" x14ac:dyDescent="0.3">
      <c r="A22" s="74" t="s">
        <v>11</v>
      </c>
      <c r="B22" s="75"/>
      <c r="C22" s="75"/>
      <c r="D22" s="75"/>
      <c r="E22" s="76"/>
      <c r="F22" s="71" t="s">
        <v>61</v>
      </c>
      <c r="G22" s="72"/>
      <c r="H22" s="72"/>
      <c r="I22" s="72"/>
      <c r="J22" s="73"/>
    </row>
    <row r="23" spans="1:10" x14ac:dyDescent="0.3">
      <c r="A23" s="74" t="s">
        <v>12</v>
      </c>
      <c r="B23" s="75"/>
      <c r="C23" s="75"/>
      <c r="D23" s="75"/>
      <c r="E23" s="76"/>
      <c r="F23" s="71" t="s">
        <v>52</v>
      </c>
      <c r="G23" s="72"/>
      <c r="H23" s="72"/>
      <c r="I23" s="72"/>
      <c r="J23" s="73"/>
    </row>
    <row r="24" spans="1:10" x14ac:dyDescent="0.3">
      <c r="A24" s="74" t="s">
        <v>29</v>
      </c>
      <c r="B24" s="75"/>
      <c r="C24" s="75"/>
      <c r="D24" s="75"/>
      <c r="E24" s="76"/>
      <c r="F24" s="71" t="s">
        <v>78</v>
      </c>
      <c r="G24" s="78"/>
      <c r="H24" s="78"/>
      <c r="I24" s="78"/>
      <c r="J24" s="79"/>
    </row>
    <row r="25" spans="1:10" x14ac:dyDescent="0.3">
      <c r="A25" s="152" t="s">
        <v>13</v>
      </c>
      <c r="B25" s="153"/>
      <c r="C25" s="152" t="s">
        <v>14</v>
      </c>
      <c r="D25" s="153"/>
      <c r="E25" s="123" t="s">
        <v>15</v>
      </c>
      <c r="F25" s="153"/>
      <c r="G25" s="123" t="s">
        <v>59</v>
      </c>
      <c r="H25" s="124"/>
      <c r="I25" s="152" t="s">
        <v>16</v>
      </c>
      <c r="J25" s="153"/>
    </row>
    <row r="26" spans="1:10" x14ac:dyDescent="0.3">
      <c r="A26" s="123" t="s">
        <v>17</v>
      </c>
      <c r="B26" s="124"/>
      <c r="C26" s="123" t="s">
        <v>58</v>
      </c>
      <c r="D26" s="124"/>
      <c r="E26" s="123" t="s">
        <v>58</v>
      </c>
      <c r="F26" s="124"/>
      <c r="G26" s="123" t="s">
        <v>58</v>
      </c>
      <c r="H26" s="124"/>
      <c r="I26" s="123" t="s">
        <v>58</v>
      </c>
      <c r="J26" s="124"/>
    </row>
    <row r="27" spans="1:10" x14ac:dyDescent="0.3">
      <c r="A27" s="150" t="s">
        <v>18</v>
      </c>
      <c r="B27" s="151"/>
      <c r="C27" s="123" t="s">
        <v>105</v>
      </c>
      <c r="D27" s="124"/>
      <c r="E27" s="123" t="s">
        <v>104</v>
      </c>
      <c r="F27" s="124"/>
      <c r="G27" s="123" t="s">
        <v>105</v>
      </c>
      <c r="H27" s="124"/>
      <c r="I27" s="123" t="s">
        <v>105</v>
      </c>
      <c r="J27" s="124"/>
    </row>
    <row r="28" spans="1:10" x14ac:dyDescent="0.3">
      <c r="A28" s="61" t="s">
        <v>67</v>
      </c>
      <c r="B28" s="53"/>
      <c r="C28" s="53"/>
      <c r="D28" s="53"/>
      <c r="E28" s="53"/>
      <c r="F28" s="53"/>
      <c r="G28" s="53"/>
      <c r="H28" s="53"/>
      <c r="I28" s="53"/>
      <c r="J28" s="54"/>
    </row>
    <row r="29" spans="1:10" x14ac:dyDescent="0.3">
      <c r="A29" s="61" t="s">
        <v>53</v>
      </c>
      <c r="B29" s="53"/>
      <c r="C29" s="53"/>
      <c r="D29" s="53"/>
      <c r="E29" s="53"/>
      <c r="F29" s="53"/>
      <c r="G29" s="53"/>
      <c r="H29" s="53"/>
      <c r="I29" s="53"/>
      <c r="J29" s="54"/>
    </row>
    <row r="30" spans="1:10" x14ac:dyDescent="0.3">
      <c r="A30" s="50" t="s">
        <v>44</v>
      </c>
      <c r="B30" s="51"/>
      <c r="C30" s="87" t="s">
        <v>230</v>
      </c>
      <c r="D30" s="88"/>
      <c r="E30" s="88"/>
      <c r="F30" s="88"/>
      <c r="G30" s="88"/>
      <c r="H30" s="88"/>
      <c r="I30" s="88"/>
      <c r="J30" s="89"/>
    </row>
    <row r="31" spans="1:10" x14ac:dyDescent="0.3">
      <c r="A31" s="50" t="s">
        <v>226</v>
      </c>
      <c r="B31" s="51"/>
      <c r="C31" s="52" t="s">
        <v>227</v>
      </c>
      <c r="D31" s="53"/>
      <c r="E31" s="53"/>
      <c r="F31" s="53"/>
      <c r="G31" s="53"/>
      <c r="H31" s="53"/>
      <c r="I31" s="53"/>
      <c r="J31" s="54"/>
    </row>
    <row r="32" spans="1:10" x14ac:dyDescent="0.3">
      <c r="A32" s="87" t="s">
        <v>19</v>
      </c>
      <c r="B32" s="88"/>
      <c r="C32" s="88"/>
      <c r="D32" s="88"/>
      <c r="E32" s="88"/>
      <c r="F32" s="88"/>
      <c r="G32" s="88"/>
      <c r="H32" s="88"/>
      <c r="I32" s="88"/>
      <c r="J32" s="89"/>
    </row>
    <row r="33" spans="1:10" ht="15" customHeight="1" x14ac:dyDescent="0.3">
      <c r="A33" s="141" t="s">
        <v>103</v>
      </c>
      <c r="B33" s="142"/>
      <c r="C33" s="142"/>
      <c r="D33" s="142"/>
      <c r="E33" s="142"/>
      <c r="F33" s="142"/>
      <c r="G33" s="142"/>
      <c r="H33" s="142"/>
      <c r="I33" s="142"/>
      <c r="J33" s="143"/>
    </row>
    <row r="34" spans="1:10" x14ac:dyDescent="0.3">
      <c r="A34" s="144"/>
      <c r="B34" s="145"/>
      <c r="C34" s="145"/>
      <c r="D34" s="145"/>
      <c r="E34" s="145"/>
      <c r="F34" s="145"/>
      <c r="G34" s="145"/>
      <c r="H34" s="145"/>
      <c r="I34" s="145"/>
      <c r="J34" s="146"/>
    </row>
    <row r="35" spans="1:10" ht="16.5" customHeight="1" x14ac:dyDescent="0.3">
      <c r="A35" s="61" t="s">
        <v>79</v>
      </c>
      <c r="B35" s="75"/>
      <c r="C35" s="75"/>
      <c r="D35" s="75"/>
      <c r="E35" s="76"/>
      <c r="F35" s="147">
        <v>12311.44</v>
      </c>
      <c r="G35" s="148"/>
      <c r="H35" s="148"/>
      <c r="I35" s="148"/>
      <c r="J35" s="149"/>
    </row>
    <row r="36" spans="1:10" x14ac:dyDescent="0.3">
      <c r="A36" s="74" t="s">
        <v>20</v>
      </c>
      <c r="B36" s="75"/>
      <c r="C36" s="75"/>
      <c r="D36" s="75"/>
      <c r="E36" s="76"/>
      <c r="F36" s="138">
        <v>0.9</v>
      </c>
      <c r="G36" s="139"/>
      <c r="H36" s="139"/>
      <c r="I36" s="139"/>
      <c r="J36" s="140"/>
    </row>
    <row r="37" spans="1:10" x14ac:dyDescent="0.3">
      <c r="A37" s="74" t="s">
        <v>21</v>
      </c>
      <c r="B37" s="75"/>
      <c r="C37" s="75"/>
      <c r="D37" s="75"/>
      <c r="E37" s="76"/>
      <c r="F37" s="138">
        <v>0</v>
      </c>
      <c r="G37" s="139"/>
      <c r="H37" s="139"/>
      <c r="I37" s="139"/>
      <c r="J37" s="140"/>
    </row>
    <row r="38" spans="1:10" x14ac:dyDescent="0.3">
      <c r="A38" s="74" t="s">
        <v>22</v>
      </c>
      <c r="B38" s="75"/>
      <c r="C38" s="75"/>
      <c r="D38" s="75"/>
      <c r="E38" s="76"/>
      <c r="F38" s="138">
        <f>F36+F37</f>
        <v>0.9</v>
      </c>
      <c r="G38" s="139"/>
      <c r="H38" s="139"/>
      <c r="I38" s="139"/>
      <c r="J38" s="140"/>
    </row>
    <row r="39" spans="1:10" x14ac:dyDescent="0.3">
      <c r="A39" s="61" t="s">
        <v>80</v>
      </c>
      <c r="B39" s="75"/>
      <c r="C39" s="75"/>
      <c r="D39" s="75"/>
      <c r="E39" s="76"/>
      <c r="F39" s="138">
        <f>F35*F38</f>
        <v>11080.296</v>
      </c>
      <c r="G39" s="139"/>
      <c r="H39" s="139"/>
      <c r="I39" s="139"/>
      <c r="J39" s="140"/>
    </row>
    <row r="40" spans="1:10" x14ac:dyDescent="0.3">
      <c r="A40" s="74" t="s">
        <v>23</v>
      </c>
      <c r="B40" s="75"/>
      <c r="C40" s="75"/>
      <c r="D40" s="75"/>
      <c r="E40" s="76"/>
      <c r="F40" s="61" t="s">
        <v>120</v>
      </c>
      <c r="G40" s="53"/>
      <c r="H40" s="53"/>
      <c r="I40" s="53"/>
      <c r="J40" s="54"/>
    </row>
    <row r="41" spans="1:10" x14ac:dyDescent="0.3">
      <c r="A41" s="87" t="s">
        <v>82</v>
      </c>
      <c r="B41" s="88"/>
      <c r="C41" s="88"/>
      <c r="D41" s="88"/>
      <c r="E41" s="88"/>
      <c r="F41" s="88"/>
      <c r="G41" s="88"/>
      <c r="H41" s="88"/>
      <c r="I41" s="88"/>
      <c r="J41" s="89"/>
    </row>
    <row r="42" spans="1:10" ht="16.5" customHeight="1" x14ac:dyDescent="0.3">
      <c r="A42" s="134" t="s">
        <v>81</v>
      </c>
      <c r="B42" s="134"/>
      <c r="C42" s="96" t="str">
        <f>C12</f>
        <v>MHSL/K.1/MJ.1/NAP/SR/229/17</v>
      </c>
      <c r="D42" s="97"/>
      <c r="E42" s="97"/>
      <c r="F42" s="98"/>
      <c r="G42" s="3" t="s">
        <v>72</v>
      </c>
      <c r="H42" s="96" t="str">
        <f>I12</f>
        <v>22/03/2019.</v>
      </c>
      <c r="I42" s="97"/>
      <c r="J42" s="98"/>
    </row>
    <row r="43" spans="1:10" ht="31.5" customHeight="1" x14ac:dyDescent="0.3">
      <c r="A43" s="163" t="s">
        <v>155</v>
      </c>
      <c r="B43" s="163"/>
      <c r="C43" s="175" t="s">
        <v>153</v>
      </c>
      <c r="D43" s="99"/>
      <c r="E43" s="99"/>
      <c r="F43" s="99"/>
      <c r="G43" s="3" t="s">
        <v>72</v>
      </c>
      <c r="H43" s="99" t="str">
        <f>H42</f>
        <v>22/03/2019.</v>
      </c>
      <c r="I43" s="99"/>
      <c r="J43" s="99"/>
    </row>
    <row r="44" spans="1:10" ht="31.5" customHeight="1" x14ac:dyDescent="0.3">
      <c r="A44" s="163" t="s">
        <v>156</v>
      </c>
      <c r="B44" s="163"/>
      <c r="C44" s="175" t="s">
        <v>154</v>
      </c>
      <c r="D44" s="99"/>
      <c r="E44" s="99"/>
      <c r="F44" s="99"/>
      <c r="G44" s="3" t="s">
        <v>72</v>
      </c>
      <c r="H44" s="99" t="s">
        <v>96</v>
      </c>
      <c r="I44" s="99"/>
      <c r="J44" s="99"/>
    </row>
    <row r="45" spans="1:10" ht="48.75" customHeight="1" x14ac:dyDescent="0.3">
      <c r="A45" s="62" t="s">
        <v>157</v>
      </c>
      <c r="B45" s="64"/>
      <c r="C45" s="135" t="s">
        <v>216</v>
      </c>
      <c r="D45" s="136"/>
      <c r="E45" s="136"/>
      <c r="F45" s="137"/>
      <c r="G45" s="3" t="s">
        <v>72</v>
      </c>
      <c r="H45" s="96" t="str">
        <f>H43</f>
        <v>22/03/2019.</v>
      </c>
      <c r="I45" s="97"/>
      <c r="J45" s="98"/>
    </row>
    <row r="46" spans="1:10" x14ac:dyDescent="0.3">
      <c r="A46" s="62" t="s">
        <v>54</v>
      </c>
      <c r="B46" s="64"/>
      <c r="C46" s="135" t="s">
        <v>58</v>
      </c>
      <c r="D46" s="136"/>
      <c r="E46" s="136"/>
      <c r="F46" s="137" t="s">
        <v>55</v>
      </c>
      <c r="G46" s="3" t="s">
        <v>72</v>
      </c>
      <c r="H46" s="96" t="s">
        <v>58</v>
      </c>
      <c r="I46" s="97"/>
      <c r="J46" s="98"/>
    </row>
    <row r="47" spans="1:10" ht="49.5" customHeight="1" x14ac:dyDescent="0.3">
      <c r="A47" s="95" t="s">
        <v>87</v>
      </c>
      <c r="B47" s="95"/>
      <c r="C47" s="95"/>
      <c r="D47" s="129" t="str">
        <f>H45</f>
        <v>22/03/2019.</v>
      </c>
      <c r="E47" s="129"/>
      <c r="F47" s="129" t="s">
        <v>83</v>
      </c>
      <c r="G47" s="130"/>
      <c r="H47" s="62" t="s">
        <v>231</v>
      </c>
      <c r="I47" s="53"/>
      <c r="J47" s="54"/>
    </row>
    <row r="48" spans="1:10" x14ac:dyDescent="0.3">
      <c r="A48" s="120" t="s">
        <v>24</v>
      </c>
      <c r="B48" s="121"/>
      <c r="C48" s="121"/>
      <c r="D48" s="121"/>
      <c r="E48" s="121"/>
      <c r="F48" s="121"/>
      <c r="G48" s="121"/>
      <c r="H48" s="121"/>
      <c r="I48" s="121"/>
      <c r="J48" s="122"/>
    </row>
    <row r="49" spans="1:13" x14ac:dyDescent="0.3">
      <c r="A49" s="61" t="s">
        <v>91</v>
      </c>
      <c r="B49" s="53"/>
      <c r="C49" s="54"/>
      <c r="D49" s="123">
        <f>F39</f>
        <v>11080.296</v>
      </c>
      <c r="E49" s="124"/>
      <c r="F49" s="80" t="s">
        <v>162</v>
      </c>
      <c r="G49" s="82"/>
      <c r="H49" s="131" t="s">
        <v>163</v>
      </c>
      <c r="I49" s="132"/>
      <c r="J49" s="133"/>
    </row>
    <row r="50" spans="1:13" ht="31.5" customHeight="1" x14ac:dyDescent="0.3">
      <c r="A50" s="123" t="s">
        <v>84</v>
      </c>
      <c r="B50" s="128"/>
      <c r="C50" s="62" t="s">
        <v>217</v>
      </c>
      <c r="D50" s="63"/>
      <c r="E50" s="63"/>
      <c r="F50" s="63"/>
      <c r="G50" s="63"/>
      <c r="H50" s="63"/>
      <c r="I50" s="63"/>
      <c r="J50" s="64"/>
    </row>
    <row r="51" spans="1:13" ht="15" customHeight="1" x14ac:dyDescent="0.3">
      <c r="A51" s="61" t="s">
        <v>142</v>
      </c>
      <c r="B51" s="53"/>
      <c r="C51" s="54"/>
      <c r="D51" s="62" t="s">
        <v>143</v>
      </c>
      <c r="E51" s="63"/>
      <c r="F51" s="63"/>
      <c r="G51" s="63"/>
      <c r="H51" s="63"/>
      <c r="I51" s="63"/>
      <c r="J51" s="64"/>
    </row>
    <row r="52" spans="1:13" x14ac:dyDescent="0.3">
      <c r="A52" s="123" t="s">
        <v>56</v>
      </c>
      <c r="B52" s="128"/>
      <c r="C52" s="128"/>
      <c r="D52" s="124"/>
      <c r="E52" s="125" t="s">
        <v>63</v>
      </c>
      <c r="F52" s="126"/>
      <c r="G52" s="126"/>
      <c r="H52" s="126"/>
      <c r="I52" s="126"/>
      <c r="J52" s="127"/>
    </row>
    <row r="53" spans="1:13" x14ac:dyDescent="0.3">
      <c r="A53" s="61" t="s">
        <v>64</v>
      </c>
      <c r="B53" s="53"/>
      <c r="C53" s="53"/>
      <c r="D53" s="53"/>
      <c r="E53" s="53"/>
      <c r="F53" s="53"/>
      <c r="G53" s="53"/>
      <c r="H53" s="53"/>
      <c r="I53" s="53"/>
      <c r="J53" s="54"/>
    </row>
    <row r="54" spans="1:13" ht="15" customHeight="1" thickBot="1" x14ac:dyDescent="0.35">
      <c r="A54" s="117" t="s">
        <v>47</v>
      </c>
      <c r="B54" s="118"/>
      <c r="C54" s="118"/>
      <c r="D54" s="118"/>
      <c r="E54" s="118"/>
      <c r="F54" s="118"/>
      <c r="G54" s="118"/>
      <c r="H54" s="118"/>
      <c r="I54" s="118"/>
      <c r="J54" s="119"/>
    </row>
    <row r="55" spans="1:13" ht="15.75" customHeight="1" x14ac:dyDescent="0.3">
      <c r="A55" s="167" t="s">
        <v>182</v>
      </c>
      <c r="B55" s="168"/>
      <c r="C55" s="169" t="s">
        <v>219</v>
      </c>
      <c r="D55" s="169"/>
      <c r="E55" s="169"/>
      <c r="F55" s="169"/>
      <c r="G55" s="169"/>
      <c r="H55" s="169"/>
      <c r="I55" s="169"/>
      <c r="J55" s="170"/>
      <c r="K55" s="27" t="str">
        <f ca="1">(IF(C59=0,"Work not yet Started.",IF(D59=25%,"Piling work in process",IF(D59=50%,"Excavation work in process",IF(D59=100%,"Excavation work completed, ","0")))&amp;(IF(C60=0%,"",IF(C60=M61,"Footing work is process",IF(C60=M62,"Footing work Completed",IF(C60=M63,"1st Basement Completed",IF(C60=M64,"1st &amp; 2nd Basement Completed",IF(C60=M65,"1st to 3rd Basement Completed",IF(C60=M66,"1st to 4th Basement Completed",IF(C60=M67,"Plinth work is process",IF(C60=M68,"Plinth work completed","0")))))))))))&amp;(IF(C61&gt;0,", RCC upto "&amp;C61&amp;" Slab completed",""))&amp;(IF(C62&gt;0,", Brickwork upto "&amp;C62&amp;" Floor completed"," "))&amp;(IF(C63&gt;0,", Internal Plaster upto "&amp;C63&amp;" Floor completed"," "))&amp;(IF(C64&gt;0,", External Plaster upto "&amp;C64&amp;" Floor completed"," "))&amp;(IF(C65&gt;0,", Flooring upto "&amp;C65&amp;" Floor completed"," "))&amp;(IF(C66&gt;0,", Painting upto "&amp;C66&amp;" Floor completed"," "))&amp;(IF(C67&gt;0,", Finishing upto "&amp;C67&amp;" Floor completed"," ")))</f>
        <v xml:space="preserve">Excavation work completed, Plinth work completed, RCC upto 4 Slab completed, Brickwork upto 3 Floor completed, Internal Plaster upto 3 Floor completed, External Plaster upto 3 Floor completed, Flooring upto 3 Floor completed, Painting upto 3 Floor completed </v>
      </c>
      <c r="L55" s="27"/>
      <c r="M55" s="28"/>
    </row>
    <row r="56" spans="1:13" ht="15.6" x14ac:dyDescent="0.3">
      <c r="A56" s="29" t="s">
        <v>183</v>
      </c>
      <c r="B56" s="30">
        <v>0</v>
      </c>
      <c r="C56" s="30" t="s">
        <v>184</v>
      </c>
      <c r="D56" s="30">
        <v>1</v>
      </c>
      <c r="E56" s="30" t="s">
        <v>185</v>
      </c>
      <c r="F56" s="103">
        <v>0</v>
      </c>
      <c r="G56" s="103"/>
      <c r="H56" s="30" t="s">
        <v>186</v>
      </c>
      <c r="I56" s="103">
        <f ca="1">--TRIM(RIGHT(SUBSTITUTE(LEFT(C55,_xlfn.AGGREGATE(16,6,FIND({0,1,2,3,4,5,6,7,8,9},C55,ROW(INDIRECT("1:"&amp;LEN(C55)))),1))," ",REPT(" ",LEN(C55))),LEN(C55)))</f>
        <v>4</v>
      </c>
      <c r="J56" s="104"/>
      <c r="K56" s="31" t="s">
        <v>187</v>
      </c>
      <c r="L56" s="31"/>
      <c r="M56" s="32"/>
    </row>
    <row r="57" spans="1:13" ht="51" customHeight="1" x14ac:dyDescent="0.3">
      <c r="A57" s="105" t="s">
        <v>188</v>
      </c>
      <c r="B57" s="106"/>
      <c r="C57" s="107" t="str">
        <f ca="1">K55</f>
        <v xml:space="preserve">Excavation work completed, Plinth work completed, RCC upto 4 Slab completed, Brickwork upto 3 Floor completed, Internal Plaster upto 3 Floor completed, External Plaster upto 3 Floor completed, Flooring upto 3 Floor completed, Painting upto 3 Floor completed </v>
      </c>
      <c r="D57" s="107"/>
      <c r="E57" s="107"/>
      <c r="F57" s="107"/>
      <c r="G57" s="107"/>
      <c r="H57" s="107"/>
      <c r="I57" s="107"/>
      <c r="J57" s="108"/>
      <c r="K57" s="31" t="s">
        <v>189</v>
      </c>
      <c r="L57" s="31"/>
      <c r="M57" s="32"/>
    </row>
    <row r="58" spans="1:13" ht="15.6" x14ac:dyDescent="0.3">
      <c r="A58" s="109" t="s">
        <v>35</v>
      </c>
      <c r="B58" s="110"/>
      <c r="C58" s="45" t="s">
        <v>190</v>
      </c>
      <c r="D58" s="110" t="s">
        <v>191</v>
      </c>
      <c r="E58" s="110"/>
      <c r="F58" s="110" t="s">
        <v>192</v>
      </c>
      <c r="G58" s="110"/>
      <c r="H58" s="110" t="s">
        <v>193</v>
      </c>
      <c r="I58" s="110"/>
      <c r="J58" s="111"/>
      <c r="K58" s="33" t="s">
        <v>194</v>
      </c>
      <c r="L58" s="34"/>
      <c r="M58" s="35">
        <f ca="1">I56*25%</f>
        <v>1</v>
      </c>
    </row>
    <row r="59" spans="1:13" ht="15.6" x14ac:dyDescent="0.3">
      <c r="A59" s="109" t="s">
        <v>195</v>
      </c>
      <c r="B59" s="110"/>
      <c r="C59" s="46">
        <f ca="1">M60</f>
        <v>4</v>
      </c>
      <c r="D59" s="112">
        <f ca="1">((100/I56)*C59)/100</f>
        <v>1</v>
      </c>
      <c r="E59" s="112"/>
      <c r="F59" s="112">
        <f ca="1">(IF(C57=K56,"100%",IF(C57=K57,"100%",(((C60/I56*10)+(40/(B56+D56+F56+I56)*C61)+(7.5/(I56)*C62)+(7.5/(I56)*C63)+(10/I56*C64)+(10/I56*C65)+(5/I56*C66)+(5/I56*C67)+(5/I56*C68))/100))))</f>
        <v>0.72</v>
      </c>
      <c r="G59" s="112"/>
      <c r="H59" s="112">
        <f ca="1">((((C59/I56)*20)+((C60/I56)*25)+(30/(B56+I56+F56+D56)*C61)+(5/I56*C62)+(5/I56*C63)+(5/I56*C64)+(5/I56*C65)+(0/I56*C66)+(0/I56*C67)+(5/I56*C68))/100)</f>
        <v>0.84</v>
      </c>
      <c r="I59" s="112"/>
      <c r="J59" s="114"/>
      <c r="K59" s="33" t="s">
        <v>196</v>
      </c>
      <c r="L59" s="36"/>
      <c r="M59" s="37">
        <f ca="1">I56*50%</f>
        <v>2</v>
      </c>
    </row>
    <row r="60" spans="1:13" ht="15.6" x14ac:dyDescent="0.3">
      <c r="A60" s="109" t="s">
        <v>36</v>
      </c>
      <c r="B60" s="110"/>
      <c r="C60" s="47">
        <f ca="1">M68</f>
        <v>4</v>
      </c>
      <c r="D60" s="112">
        <f ca="1">((100/I56)*C60)/100</f>
        <v>1</v>
      </c>
      <c r="E60" s="112"/>
      <c r="F60" s="112"/>
      <c r="G60" s="112"/>
      <c r="H60" s="112"/>
      <c r="I60" s="112"/>
      <c r="J60" s="114"/>
      <c r="K60" s="33" t="s">
        <v>197</v>
      </c>
      <c r="L60" s="36"/>
      <c r="M60" s="37">
        <f ca="1">I56</f>
        <v>4</v>
      </c>
    </row>
    <row r="61" spans="1:13" ht="15.6" x14ac:dyDescent="0.3">
      <c r="A61" s="116" t="s">
        <v>198</v>
      </c>
      <c r="B61" s="103"/>
      <c r="C61" s="47">
        <v>4</v>
      </c>
      <c r="D61" s="112">
        <f ca="1">((100/(B56+D56+F56+I56))*C61)/100</f>
        <v>0.8</v>
      </c>
      <c r="E61" s="112"/>
      <c r="F61" s="112"/>
      <c r="G61" s="112"/>
      <c r="H61" s="112"/>
      <c r="I61" s="112"/>
      <c r="J61" s="114"/>
      <c r="K61" s="33" t="s">
        <v>199</v>
      </c>
      <c r="L61" s="36"/>
      <c r="M61" s="38">
        <f ca="1">(IF(B56=0,I56/4,(I56/(B56+4))))</f>
        <v>1</v>
      </c>
    </row>
    <row r="62" spans="1:13" ht="15.6" x14ac:dyDescent="0.3">
      <c r="A62" s="109" t="s">
        <v>200</v>
      </c>
      <c r="B62" s="110" t="s">
        <v>201</v>
      </c>
      <c r="C62" s="46">
        <v>3</v>
      </c>
      <c r="D62" s="112">
        <f ca="1">((100/I56)*C62)/100</f>
        <v>0.75</v>
      </c>
      <c r="E62" s="112"/>
      <c r="F62" s="112"/>
      <c r="G62" s="112"/>
      <c r="H62" s="112"/>
      <c r="I62" s="112"/>
      <c r="J62" s="114"/>
      <c r="K62" s="33" t="s">
        <v>202</v>
      </c>
      <c r="L62" s="36"/>
      <c r="M62" s="38">
        <f ca="1">(IF(B56=0,I56/4+M61,(I56/(B56+4)+M61)))</f>
        <v>2</v>
      </c>
    </row>
    <row r="63" spans="1:13" ht="15.6" x14ac:dyDescent="0.3">
      <c r="A63" s="109" t="s">
        <v>203</v>
      </c>
      <c r="B63" s="110" t="s">
        <v>201</v>
      </c>
      <c r="C63" s="46">
        <v>3</v>
      </c>
      <c r="D63" s="112">
        <f ca="1">((100/I56)*C63)/100</f>
        <v>0.75</v>
      </c>
      <c r="E63" s="112"/>
      <c r="F63" s="112"/>
      <c r="G63" s="112"/>
      <c r="H63" s="112"/>
      <c r="I63" s="112"/>
      <c r="J63" s="114"/>
      <c r="K63" s="33" t="s">
        <v>204</v>
      </c>
      <c r="L63" s="12"/>
      <c r="M63" s="38">
        <f>(IF(B56=0,0,(I56/(B56+4)+M62)))</f>
        <v>0</v>
      </c>
    </row>
    <row r="64" spans="1:13" ht="15.6" x14ac:dyDescent="0.3">
      <c r="A64" s="116" t="s">
        <v>205</v>
      </c>
      <c r="B64" s="103" t="s">
        <v>206</v>
      </c>
      <c r="C64" s="46">
        <v>3</v>
      </c>
      <c r="D64" s="112">
        <f ca="1">((100/(I56))*C64)/100</f>
        <v>0.75</v>
      </c>
      <c r="E64" s="112"/>
      <c r="F64" s="112"/>
      <c r="G64" s="112"/>
      <c r="H64" s="112"/>
      <c r="I64" s="112"/>
      <c r="J64" s="114"/>
      <c r="K64" s="33" t="s">
        <v>207</v>
      </c>
      <c r="L64" s="12"/>
      <c r="M64" s="38">
        <f>(IF(B56&gt;1,(I56/(B56+4)+M63),0))</f>
        <v>0</v>
      </c>
    </row>
    <row r="65" spans="1:13" ht="15.6" x14ac:dyDescent="0.3">
      <c r="A65" s="109" t="s">
        <v>208</v>
      </c>
      <c r="B65" s="110" t="s">
        <v>208</v>
      </c>
      <c r="C65" s="46">
        <v>3</v>
      </c>
      <c r="D65" s="112">
        <f ca="1">((100/I56)*C65)/100</f>
        <v>0.75</v>
      </c>
      <c r="E65" s="112"/>
      <c r="F65" s="112"/>
      <c r="G65" s="112"/>
      <c r="H65" s="112"/>
      <c r="I65" s="112"/>
      <c r="J65" s="114"/>
      <c r="K65" s="33" t="s">
        <v>209</v>
      </c>
      <c r="L65" s="39"/>
      <c r="M65" s="40">
        <f>(IF(B56&gt;2,(I56/(B56+4)+M64),0))</f>
        <v>0</v>
      </c>
    </row>
    <row r="66" spans="1:13" ht="15.6" x14ac:dyDescent="0.3">
      <c r="A66" s="109" t="s">
        <v>210</v>
      </c>
      <c r="B66" s="110"/>
      <c r="C66" s="46">
        <v>3</v>
      </c>
      <c r="D66" s="112">
        <f ca="1">((100/I56)*C66)/100</f>
        <v>0.75</v>
      </c>
      <c r="E66" s="112"/>
      <c r="F66" s="112"/>
      <c r="G66" s="112"/>
      <c r="H66" s="112"/>
      <c r="I66" s="112"/>
      <c r="J66" s="114"/>
      <c r="K66" s="33" t="s">
        <v>211</v>
      </c>
      <c r="M66" s="41">
        <f>(IF(B56&gt;3,(I56/(B56+4)+M65),0))</f>
        <v>0</v>
      </c>
    </row>
    <row r="67" spans="1:13" ht="15.6" x14ac:dyDescent="0.3">
      <c r="A67" s="109" t="s">
        <v>212</v>
      </c>
      <c r="B67" s="110" t="s">
        <v>212</v>
      </c>
      <c r="C67" s="46">
        <v>0</v>
      </c>
      <c r="D67" s="112">
        <f ca="1">((100/(I56))*C67)/100</f>
        <v>0</v>
      </c>
      <c r="E67" s="112"/>
      <c r="F67" s="112"/>
      <c r="G67" s="112"/>
      <c r="H67" s="112"/>
      <c r="I67" s="112"/>
      <c r="J67" s="114"/>
      <c r="K67" s="33" t="s">
        <v>213</v>
      </c>
      <c r="L67" s="36"/>
      <c r="M67" s="38">
        <f ca="1">(IF(B56=0,I56/4+M62,(I56/(B56+4)+M62+MAX(0,M63-M62)+MAX(0,M64-M63)+MAX(0,M65-M64)+MAX(0,M66-M65))))</f>
        <v>3</v>
      </c>
    </row>
    <row r="68" spans="1:13" ht="16.2" thickBot="1" x14ac:dyDescent="0.35">
      <c r="A68" s="176" t="s">
        <v>214</v>
      </c>
      <c r="B68" s="177"/>
      <c r="C68" s="48">
        <v>0</v>
      </c>
      <c r="D68" s="113">
        <f ca="1">((100/(I56))*C68)/100</f>
        <v>0</v>
      </c>
      <c r="E68" s="113"/>
      <c r="F68" s="113"/>
      <c r="G68" s="113"/>
      <c r="H68" s="113"/>
      <c r="I68" s="113"/>
      <c r="J68" s="115"/>
      <c r="K68" s="42" t="s">
        <v>215</v>
      </c>
      <c r="L68" s="43"/>
      <c r="M68" s="44">
        <f ca="1">(IF(B56=0,I56/4+M67,(I56/(B56+4)+M67)))</f>
        <v>4</v>
      </c>
    </row>
    <row r="69" spans="1:13" ht="15.75" customHeight="1" x14ac:dyDescent="0.3">
      <c r="A69" s="167" t="s">
        <v>182</v>
      </c>
      <c r="B69" s="168"/>
      <c r="C69" s="169" t="s">
        <v>220</v>
      </c>
      <c r="D69" s="169"/>
      <c r="E69" s="169"/>
      <c r="F69" s="169"/>
      <c r="G69" s="169"/>
      <c r="H69" s="169"/>
      <c r="I69" s="169"/>
      <c r="J69" s="170"/>
      <c r="K69" s="27" t="str">
        <f ca="1">(IF(C73=0,"Work not yet Started.",IF(D73=25%,"Piling work in process",IF(D73=50%,"Excavation work in process",IF(D73=100%,"Excavation work completed, ","0")))&amp;(IF(C74=0%,"",IF(C74=M75,"Footing work is process",IF(C74=M76,"Footing work Completed",IF(C74=M77,"1st Basement Completed",IF(C74=M78,"1st &amp; 2nd Basement Completed",IF(C74=M79,"1st to 3rd Basement Completed",IF(C74=M80,"1st to 4th Basement Completed",IF(C74=M81,"Plinth work is process",IF(C74=M82,"Plinth work completed","0")))))))))))&amp;(IF(C75&gt;0,", RCC upto "&amp;C75&amp;" Slab completed",""))&amp;(IF(C76&gt;0,", Brickwork upto "&amp;C76&amp;" Floor completed"," "))&amp;(IF(C77&gt;0,", Internal Plaster upto "&amp;C77&amp;" Floor completed"," "))&amp;(IF(C78&gt;0,", External Plaster upto "&amp;C78&amp;" Floor completed"," "))&amp;(IF(C79&gt;0,", Flooring upto "&amp;C79&amp;" Floor completed"," "))&amp;(IF(C80&gt;0,", Painting upto "&amp;C80&amp;" Floor completed"," "))&amp;(IF(C81&gt;0,", Finishing upto "&amp;C81&amp;" Floor completed"," ")))</f>
        <v xml:space="preserve">Excavation work completed, Plinth work completed, RCC upto 5 Slab completed, Brickwork upto 4 Floor completed, Internal Plaster upto 4 Floor completed, External Plaster upto 3 Floor completed   </v>
      </c>
      <c r="L69" s="27"/>
      <c r="M69" s="28"/>
    </row>
    <row r="70" spans="1:13" ht="15.6" x14ac:dyDescent="0.3">
      <c r="A70" s="29" t="s">
        <v>183</v>
      </c>
      <c r="B70" s="30">
        <v>0</v>
      </c>
      <c r="C70" s="30" t="s">
        <v>184</v>
      </c>
      <c r="D70" s="30">
        <v>1</v>
      </c>
      <c r="E70" s="30" t="s">
        <v>185</v>
      </c>
      <c r="F70" s="103">
        <v>0</v>
      </c>
      <c r="G70" s="103"/>
      <c r="H70" s="30" t="s">
        <v>186</v>
      </c>
      <c r="I70" s="103">
        <f ca="1">--TRIM(RIGHT(SUBSTITUTE(LEFT(C69,_xlfn.AGGREGATE(16,6,FIND({0,1,2,3,4,5,6,7,8,9},C69,ROW(INDIRECT("1:"&amp;LEN(C69)))),1))," ",REPT(" ",LEN(C69))),LEN(C69)))</f>
        <v>4</v>
      </c>
      <c r="J70" s="104"/>
      <c r="K70" s="31" t="s">
        <v>187</v>
      </c>
      <c r="L70" s="31"/>
      <c r="M70" s="32"/>
    </row>
    <row r="71" spans="1:13" ht="50.25" customHeight="1" x14ac:dyDescent="0.3">
      <c r="A71" s="105" t="s">
        <v>188</v>
      </c>
      <c r="B71" s="106"/>
      <c r="C71" s="107" t="str">
        <f ca="1">K69</f>
        <v xml:space="preserve">Excavation work completed, Plinth work completed, RCC upto 5 Slab completed, Brickwork upto 4 Floor completed, Internal Plaster upto 4 Floor completed, External Plaster upto 3 Floor completed   </v>
      </c>
      <c r="D71" s="107"/>
      <c r="E71" s="107"/>
      <c r="F71" s="107"/>
      <c r="G71" s="107"/>
      <c r="H71" s="107"/>
      <c r="I71" s="107"/>
      <c r="J71" s="108"/>
      <c r="K71" s="31" t="s">
        <v>189</v>
      </c>
      <c r="L71" s="31"/>
      <c r="M71" s="32"/>
    </row>
    <row r="72" spans="1:13" ht="15.6" x14ac:dyDescent="0.3">
      <c r="A72" s="109" t="s">
        <v>35</v>
      </c>
      <c r="B72" s="110"/>
      <c r="C72" s="45" t="s">
        <v>190</v>
      </c>
      <c r="D72" s="110" t="s">
        <v>191</v>
      </c>
      <c r="E72" s="110"/>
      <c r="F72" s="110" t="s">
        <v>192</v>
      </c>
      <c r="G72" s="110"/>
      <c r="H72" s="110" t="s">
        <v>193</v>
      </c>
      <c r="I72" s="110"/>
      <c r="J72" s="111"/>
      <c r="K72" s="33" t="s">
        <v>194</v>
      </c>
      <c r="L72" s="34"/>
      <c r="M72" s="35">
        <f ca="1">I70*25%</f>
        <v>1</v>
      </c>
    </row>
    <row r="73" spans="1:13" ht="15.6" x14ac:dyDescent="0.3">
      <c r="A73" s="109" t="s">
        <v>195</v>
      </c>
      <c r="B73" s="110"/>
      <c r="C73" s="46">
        <f ca="1">M74</f>
        <v>4</v>
      </c>
      <c r="D73" s="112">
        <f ca="1">((100/I70)*C73)/100</f>
        <v>1</v>
      </c>
      <c r="E73" s="112"/>
      <c r="F73" s="112">
        <f ca="1">(IF(C71=K70,"100%",IF(C71=K71,"100%",(((C74/I70*10)+(40/(B70+D70+F70+I70)*C75)+(7.5/(I70)*C76)+(7.5/(I70)*C77)+(10/I70*C78)+(10/I70*C79)+(5/I70*C80)+(5/I70*C81)+(5/I70*C82))/100))))</f>
        <v>0.72499999999999998</v>
      </c>
      <c r="G73" s="112"/>
      <c r="H73" s="112">
        <f ca="1">((((C73/I70)*20)+((C74/I70)*25)+(30/(B70+I70+F70+D70)*C75)+(5/I70*C76)+(5/I70*C77)+(5/I70*C78)+(5/I70*C79)+(0/I70*C80)+(0/I70*C81)+(5/I70*C82))/100)</f>
        <v>0.88749999999999996</v>
      </c>
      <c r="I73" s="112"/>
      <c r="J73" s="114"/>
      <c r="K73" s="33" t="s">
        <v>196</v>
      </c>
      <c r="L73" s="36"/>
      <c r="M73" s="37">
        <f ca="1">I70*50%</f>
        <v>2</v>
      </c>
    </row>
    <row r="74" spans="1:13" ht="15.6" x14ac:dyDescent="0.3">
      <c r="A74" s="109" t="s">
        <v>36</v>
      </c>
      <c r="B74" s="110"/>
      <c r="C74" s="47">
        <f ca="1">M82</f>
        <v>4</v>
      </c>
      <c r="D74" s="112">
        <f ca="1">((100/I70)*C74)/100</f>
        <v>1</v>
      </c>
      <c r="E74" s="112"/>
      <c r="F74" s="112"/>
      <c r="G74" s="112"/>
      <c r="H74" s="112"/>
      <c r="I74" s="112"/>
      <c r="J74" s="114"/>
      <c r="K74" s="33" t="s">
        <v>197</v>
      </c>
      <c r="L74" s="36"/>
      <c r="M74" s="37">
        <f ca="1">I70</f>
        <v>4</v>
      </c>
    </row>
    <row r="75" spans="1:13" ht="15.6" x14ac:dyDescent="0.3">
      <c r="A75" s="116" t="s">
        <v>198</v>
      </c>
      <c r="B75" s="103"/>
      <c r="C75" s="47">
        <v>5</v>
      </c>
      <c r="D75" s="112">
        <f ca="1">((100/(B70+D70+F70+I70))*C75)/100</f>
        <v>1</v>
      </c>
      <c r="E75" s="112"/>
      <c r="F75" s="112"/>
      <c r="G75" s="112"/>
      <c r="H75" s="112"/>
      <c r="I75" s="112"/>
      <c r="J75" s="114"/>
      <c r="K75" s="33" t="s">
        <v>199</v>
      </c>
      <c r="L75" s="36"/>
      <c r="M75" s="38">
        <f ca="1">(IF(B70=0,I70/4,(I70/(B70+4))))</f>
        <v>1</v>
      </c>
    </row>
    <row r="76" spans="1:13" ht="15.6" x14ac:dyDescent="0.3">
      <c r="A76" s="109" t="s">
        <v>200</v>
      </c>
      <c r="B76" s="110" t="s">
        <v>201</v>
      </c>
      <c r="C76" s="46">
        <v>4</v>
      </c>
      <c r="D76" s="112">
        <f ca="1">((100/I70)*C76)/100</f>
        <v>1</v>
      </c>
      <c r="E76" s="112"/>
      <c r="F76" s="112"/>
      <c r="G76" s="112"/>
      <c r="H76" s="112"/>
      <c r="I76" s="112"/>
      <c r="J76" s="114"/>
      <c r="K76" s="33" t="s">
        <v>202</v>
      </c>
      <c r="L76" s="36"/>
      <c r="M76" s="38">
        <f ca="1">(IF(B70=0,I70/4+M75,(I70/(B70+4)+M75)))</f>
        <v>2</v>
      </c>
    </row>
    <row r="77" spans="1:13" ht="15.6" x14ac:dyDescent="0.3">
      <c r="A77" s="109" t="s">
        <v>203</v>
      </c>
      <c r="B77" s="110" t="s">
        <v>201</v>
      </c>
      <c r="C77" s="46">
        <v>4</v>
      </c>
      <c r="D77" s="112">
        <f ca="1">((100/I70)*C77)/100</f>
        <v>1</v>
      </c>
      <c r="E77" s="112"/>
      <c r="F77" s="112"/>
      <c r="G77" s="112"/>
      <c r="H77" s="112"/>
      <c r="I77" s="112"/>
      <c r="J77" s="114"/>
      <c r="K77" s="33" t="s">
        <v>204</v>
      </c>
      <c r="L77" s="12"/>
      <c r="M77" s="38">
        <f>(IF(B70=0,0,(I70/(B70+4)+M76)))</f>
        <v>0</v>
      </c>
    </row>
    <row r="78" spans="1:13" ht="15.6" x14ac:dyDescent="0.3">
      <c r="A78" s="109" t="s">
        <v>205</v>
      </c>
      <c r="B78" s="110" t="s">
        <v>206</v>
      </c>
      <c r="C78" s="46">
        <v>3</v>
      </c>
      <c r="D78" s="112">
        <f ca="1">((100/(I70))*C78)/100</f>
        <v>0.75</v>
      </c>
      <c r="E78" s="112"/>
      <c r="F78" s="112"/>
      <c r="G78" s="112"/>
      <c r="H78" s="112"/>
      <c r="I78" s="112"/>
      <c r="J78" s="114"/>
      <c r="K78" s="33" t="s">
        <v>207</v>
      </c>
      <c r="L78" s="12"/>
      <c r="M78" s="38">
        <f>(IF(B70&gt;1,(I70/(B70+4)+M77),0))</f>
        <v>0</v>
      </c>
    </row>
    <row r="79" spans="1:13" ht="15.6" x14ac:dyDescent="0.3">
      <c r="A79" s="109" t="s">
        <v>208</v>
      </c>
      <c r="B79" s="110" t="s">
        <v>208</v>
      </c>
      <c r="C79" s="46">
        <v>0</v>
      </c>
      <c r="D79" s="112">
        <f ca="1">((100/I70)*C79)/100</f>
        <v>0</v>
      </c>
      <c r="E79" s="112"/>
      <c r="F79" s="112"/>
      <c r="G79" s="112"/>
      <c r="H79" s="112"/>
      <c r="I79" s="112"/>
      <c r="J79" s="114"/>
      <c r="K79" s="33" t="s">
        <v>209</v>
      </c>
      <c r="L79" s="39"/>
      <c r="M79" s="40">
        <f>(IF(B70&gt;2,(I70/(B70+4)+M78),0))</f>
        <v>0</v>
      </c>
    </row>
    <row r="80" spans="1:13" ht="15.6" x14ac:dyDescent="0.3">
      <c r="A80" s="109" t="s">
        <v>210</v>
      </c>
      <c r="B80" s="110"/>
      <c r="C80" s="46">
        <v>0</v>
      </c>
      <c r="D80" s="112">
        <f ca="1">((100/I70)*C80)/100</f>
        <v>0</v>
      </c>
      <c r="E80" s="112"/>
      <c r="F80" s="112"/>
      <c r="G80" s="112"/>
      <c r="H80" s="112"/>
      <c r="I80" s="112"/>
      <c r="J80" s="114"/>
      <c r="K80" s="33" t="s">
        <v>211</v>
      </c>
      <c r="M80" s="41">
        <f>(IF(B70&gt;3,(I70/(B70+4)+M79),0))</f>
        <v>0</v>
      </c>
    </row>
    <row r="81" spans="1:13" ht="15.6" x14ac:dyDescent="0.3">
      <c r="A81" s="109" t="s">
        <v>212</v>
      </c>
      <c r="B81" s="110" t="s">
        <v>212</v>
      </c>
      <c r="C81" s="46">
        <v>0</v>
      </c>
      <c r="D81" s="112">
        <f ca="1">((100/(I70))*C81)/100</f>
        <v>0</v>
      </c>
      <c r="E81" s="112"/>
      <c r="F81" s="112"/>
      <c r="G81" s="112"/>
      <c r="H81" s="112"/>
      <c r="I81" s="112"/>
      <c r="J81" s="114"/>
      <c r="K81" s="33" t="s">
        <v>213</v>
      </c>
      <c r="L81" s="36"/>
      <c r="M81" s="38">
        <f ca="1">(IF(B70=0,I70/4+M76,(I70/(B70+4)+M76+MAX(0,M77-M76)+MAX(0,M78-M77)+MAX(0,M79-M78)+MAX(0,M80-M79))))</f>
        <v>3</v>
      </c>
    </row>
    <row r="82" spans="1:13" ht="16.2" thickBot="1" x14ac:dyDescent="0.35">
      <c r="A82" s="176" t="s">
        <v>214</v>
      </c>
      <c r="B82" s="177"/>
      <c r="C82" s="48">
        <v>0</v>
      </c>
      <c r="D82" s="113">
        <f ca="1">((100/(I70))*C82)/100</f>
        <v>0</v>
      </c>
      <c r="E82" s="113"/>
      <c r="F82" s="113"/>
      <c r="G82" s="113"/>
      <c r="H82" s="113"/>
      <c r="I82" s="113"/>
      <c r="J82" s="115"/>
      <c r="K82" s="42" t="s">
        <v>215</v>
      </c>
      <c r="L82" s="43"/>
      <c r="M82" s="44">
        <f ca="1">(IF(B70=0,I70/4+M81,(I70/(B70+4)+M81)))</f>
        <v>4</v>
      </c>
    </row>
    <row r="83" spans="1:13" ht="15.75" customHeight="1" x14ac:dyDescent="0.3">
      <c r="A83" s="167" t="s">
        <v>182</v>
      </c>
      <c r="B83" s="168"/>
      <c r="C83" s="169" t="s">
        <v>221</v>
      </c>
      <c r="D83" s="169"/>
      <c r="E83" s="169"/>
      <c r="F83" s="169"/>
      <c r="G83" s="169"/>
      <c r="H83" s="169"/>
      <c r="I83" s="169"/>
      <c r="J83" s="170"/>
      <c r="K83" s="27" t="str">
        <f ca="1">(IF(C87=0,"Work not yet Started.",IF(D87=25%,"Piling work in process",IF(D87=50%,"Excavation work in process",IF(D87=100%,"Excavation work completed, ","0")))&amp;(IF(C88=0%,"",IF(C88=M89,"Footing work is process",IF(C88=M90,"Footing work Completed",IF(C88=M91,"1st Basement Completed",IF(C88=M92,"1st &amp; 2nd Basement Completed",IF(C88=M93,"1st to 3rd Basement Completed",IF(C88=M94,"1st to 4th Basement Completed",IF(C88=M95,"Plinth work is process",IF(C88=M96,"Plinth work completed","0")))))))))))&amp;(IF(C89&gt;0,", RCC upto "&amp;C89&amp;" Slab completed",""))&amp;(IF(C90&gt;0,", Brickwork upto "&amp;C90&amp;" Floor completed"," "))&amp;(IF(C91&gt;0,", Internal Plaster upto "&amp;C91&amp;" Floor completed"," "))&amp;(IF(C92&gt;0,", External Plaster upto "&amp;C92&amp;" Floor completed"," "))&amp;(IF(C93&gt;0,", Flooring upto "&amp;C93&amp;" Floor completed"," "))&amp;(IF(C94&gt;0,", Painting upto "&amp;C94&amp;" Floor completed"," "))&amp;(IF(C95&gt;0,", Finishing upto "&amp;C95&amp;" Floor completed"," ")))</f>
        <v xml:space="preserve">Excavation work completed, Plinth work completed, RCC upto 5 Slab completed, Brickwork upto 4 Floor completed, Internal Plaster upto 3 Floor completed, External Plaster upto 2 Floor completed   </v>
      </c>
      <c r="L83" s="27"/>
      <c r="M83" s="28"/>
    </row>
    <row r="84" spans="1:13" ht="15.6" x14ac:dyDescent="0.3">
      <c r="A84" s="29" t="s">
        <v>183</v>
      </c>
      <c r="B84" s="30">
        <v>0</v>
      </c>
      <c r="C84" s="30" t="s">
        <v>184</v>
      </c>
      <c r="D84" s="30">
        <v>1</v>
      </c>
      <c r="E84" s="30" t="s">
        <v>185</v>
      </c>
      <c r="F84" s="103">
        <v>0</v>
      </c>
      <c r="G84" s="103"/>
      <c r="H84" s="30" t="s">
        <v>186</v>
      </c>
      <c r="I84" s="103">
        <f ca="1">--TRIM(RIGHT(SUBSTITUTE(LEFT(C83,_xlfn.AGGREGATE(16,6,FIND({0,1,2,3,4,5,6,7,8,9},C83,ROW(INDIRECT("1:"&amp;LEN(C83)))),1))," ",REPT(" ",LEN(C83))),LEN(C83)))</f>
        <v>4</v>
      </c>
      <c r="J84" s="104"/>
      <c r="K84" s="31" t="s">
        <v>187</v>
      </c>
      <c r="L84" s="31"/>
      <c r="M84" s="32"/>
    </row>
    <row r="85" spans="1:13" ht="46.95" customHeight="1" x14ac:dyDescent="0.3">
      <c r="A85" s="105" t="s">
        <v>188</v>
      </c>
      <c r="B85" s="106"/>
      <c r="C85" s="107" t="str">
        <f ca="1">K83</f>
        <v xml:space="preserve">Excavation work completed, Plinth work completed, RCC upto 5 Slab completed, Brickwork upto 4 Floor completed, Internal Plaster upto 3 Floor completed, External Plaster upto 2 Floor completed   </v>
      </c>
      <c r="D85" s="107"/>
      <c r="E85" s="107"/>
      <c r="F85" s="107"/>
      <c r="G85" s="107"/>
      <c r="H85" s="107"/>
      <c r="I85" s="107"/>
      <c r="J85" s="108"/>
      <c r="K85" s="31" t="s">
        <v>189</v>
      </c>
      <c r="L85" s="31"/>
      <c r="M85" s="32"/>
    </row>
    <row r="86" spans="1:13" ht="15.6" x14ac:dyDescent="0.3">
      <c r="A86" s="109" t="s">
        <v>35</v>
      </c>
      <c r="B86" s="110"/>
      <c r="C86" s="45" t="s">
        <v>190</v>
      </c>
      <c r="D86" s="110" t="s">
        <v>191</v>
      </c>
      <c r="E86" s="110"/>
      <c r="F86" s="110" t="s">
        <v>192</v>
      </c>
      <c r="G86" s="110"/>
      <c r="H86" s="110" t="s">
        <v>193</v>
      </c>
      <c r="I86" s="110"/>
      <c r="J86" s="111"/>
      <c r="K86" s="33" t="s">
        <v>194</v>
      </c>
      <c r="L86" s="34"/>
      <c r="M86" s="35">
        <f ca="1">I84*25%</f>
        <v>1</v>
      </c>
    </row>
    <row r="87" spans="1:13" ht="15.6" x14ac:dyDescent="0.3">
      <c r="A87" s="109" t="s">
        <v>195</v>
      </c>
      <c r="B87" s="110"/>
      <c r="C87" s="46">
        <f ca="1">M88</f>
        <v>4</v>
      </c>
      <c r="D87" s="112">
        <f ca="1">((100/I84)*C87)/100</f>
        <v>1</v>
      </c>
      <c r="E87" s="112"/>
      <c r="F87" s="112">
        <f ca="1">(IF(C85=K84,"100%",IF(C85=K85,"100%",(((C88/I84*10)+(40/(B84+D84+F84+I84)*C89)+(7.5/(I84)*C90)+(7.5/(I84)*C91)+(10/I84*C92)+(10/I84*C93)+(5/I84*C94)+(5/I84*C95)+(5/I84*C96))/100))))</f>
        <v>0.68125000000000002</v>
      </c>
      <c r="G87" s="112"/>
      <c r="H87" s="112">
        <f ca="1">((((C87/I84)*20)+((C88/I84)*25)+(30/(B84+I84+F84+D84)*C89)+(5/I84*C90)+(5/I84*C91)+(5/I84*C92)+(5/I84*C93)+(0/I84*C94)+(0/I84*C95)+(5/I84*C96))/100)</f>
        <v>0.86250000000000004</v>
      </c>
      <c r="I87" s="112"/>
      <c r="J87" s="114"/>
      <c r="K87" s="33" t="s">
        <v>196</v>
      </c>
      <c r="L87" s="36"/>
      <c r="M87" s="37">
        <f ca="1">I84*50%</f>
        <v>2</v>
      </c>
    </row>
    <row r="88" spans="1:13" ht="15.6" x14ac:dyDescent="0.3">
      <c r="A88" s="109" t="s">
        <v>36</v>
      </c>
      <c r="B88" s="110"/>
      <c r="C88" s="47">
        <f ca="1">M96</f>
        <v>4</v>
      </c>
      <c r="D88" s="112">
        <f ca="1">((100/I84)*C88)/100</f>
        <v>1</v>
      </c>
      <c r="E88" s="112"/>
      <c r="F88" s="112"/>
      <c r="G88" s="112"/>
      <c r="H88" s="112"/>
      <c r="I88" s="112"/>
      <c r="J88" s="114"/>
      <c r="K88" s="33" t="s">
        <v>197</v>
      </c>
      <c r="L88" s="36"/>
      <c r="M88" s="37">
        <f ca="1">I84</f>
        <v>4</v>
      </c>
    </row>
    <row r="89" spans="1:13" ht="15.6" x14ac:dyDescent="0.3">
      <c r="A89" s="116" t="s">
        <v>198</v>
      </c>
      <c r="B89" s="103"/>
      <c r="C89" s="47">
        <v>5</v>
      </c>
      <c r="D89" s="112">
        <f ca="1">((100/(B84+D84+F84+I84))*C89)/100</f>
        <v>1</v>
      </c>
      <c r="E89" s="112"/>
      <c r="F89" s="112"/>
      <c r="G89" s="112"/>
      <c r="H89" s="112"/>
      <c r="I89" s="112"/>
      <c r="J89" s="114"/>
      <c r="K89" s="33" t="s">
        <v>199</v>
      </c>
      <c r="L89" s="36"/>
      <c r="M89" s="38">
        <f ca="1">(IF(B84=0,I84/4,(I84/(B84+4))))</f>
        <v>1</v>
      </c>
    </row>
    <row r="90" spans="1:13" ht="15.6" x14ac:dyDescent="0.3">
      <c r="A90" s="109" t="s">
        <v>200</v>
      </c>
      <c r="B90" s="110" t="s">
        <v>201</v>
      </c>
      <c r="C90" s="46">
        <v>4</v>
      </c>
      <c r="D90" s="112">
        <f ca="1">((100/I84)*C90)/100</f>
        <v>1</v>
      </c>
      <c r="E90" s="112"/>
      <c r="F90" s="112"/>
      <c r="G90" s="112"/>
      <c r="H90" s="112"/>
      <c r="I90" s="112"/>
      <c r="J90" s="114"/>
      <c r="K90" s="33" t="s">
        <v>202</v>
      </c>
      <c r="L90" s="36"/>
      <c r="M90" s="38">
        <f ca="1">(IF(B84=0,I84/4+M89,(I84/(B84+4)+M89)))</f>
        <v>2</v>
      </c>
    </row>
    <row r="91" spans="1:13" ht="15.6" x14ac:dyDescent="0.3">
      <c r="A91" s="109" t="s">
        <v>203</v>
      </c>
      <c r="B91" s="110" t="s">
        <v>201</v>
      </c>
      <c r="C91" s="46">
        <v>3</v>
      </c>
      <c r="D91" s="112">
        <f ca="1">((100/I84)*C91)/100</f>
        <v>0.75</v>
      </c>
      <c r="E91" s="112"/>
      <c r="F91" s="112"/>
      <c r="G91" s="112"/>
      <c r="H91" s="112"/>
      <c r="I91" s="112"/>
      <c r="J91" s="114"/>
      <c r="K91" s="33" t="s">
        <v>204</v>
      </c>
      <c r="L91" s="12"/>
      <c r="M91" s="38">
        <f>(IF(B84=0,0,(I84/(B84+4)+M90)))</f>
        <v>0</v>
      </c>
    </row>
    <row r="92" spans="1:13" ht="15.6" x14ac:dyDescent="0.3">
      <c r="A92" s="109" t="s">
        <v>205</v>
      </c>
      <c r="B92" s="110" t="s">
        <v>206</v>
      </c>
      <c r="C92" s="46">
        <v>2</v>
      </c>
      <c r="D92" s="112">
        <f ca="1">((100/(I84))*C92)/100</f>
        <v>0.5</v>
      </c>
      <c r="E92" s="112"/>
      <c r="F92" s="112"/>
      <c r="G92" s="112"/>
      <c r="H92" s="112"/>
      <c r="I92" s="112"/>
      <c r="J92" s="114"/>
      <c r="K92" s="33" t="s">
        <v>207</v>
      </c>
      <c r="L92" s="12"/>
      <c r="M92" s="38">
        <f>(IF(B84&gt;1,(I84/(B84+4)+M91),0))</f>
        <v>0</v>
      </c>
    </row>
    <row r="93" spans="1:13" ht="15.6" x14ac:dyDescent="0.3">
      <c r="A93" s="109" t="s">
        <v>208</v>
      </c>
      <c r="B93" s="110" t="s">
        <v>208</v>
      </c>
      <c r="C93" s="46">
        <v>0</v>
      </c>
      <c r="D93" s="112">
        <f ca="1">((100/I84)*C93)/100</f>
        <v>0</v>
      </c>
      <c r="E93" s="112"/>
      <c r="F93" s="112"/>
      <c r="G93" s="112"/>
      <c r="H93" s="112"/>
      <c r="I93" s="112"/>
      <c r="J93" s="114"/>
      <c r="K93" s="33" t="s">
        <v>209</v>
      </c>
      <c r="L93" s="39"/>
      <c r="M93" s="40">
        <f>(IF(B84&gt;2,(I84/(B84+4)+M92),0))</f>
        <v>0</v>
      </c>
    </row>
    <row r="94" spans="1:13" ht="15.6" x14ac:dyDescent="0.3">
      <c r="A94" s="109" t="s">
        <v>210</v>
      </c>
      <c r="B94" s="110"/>
      <c r="C94" s="46">
        <v>0</v>
      </c>
      <c r="D94" s="112">
        <f ca="1">((100/I84)*C94)/100</f>
        <v>0</v>
      </c>
      <c r="E94" s="112"/>
      <c r="F94" s="112"/>
      <c r="G94" s="112"/>
      <c r="H94" s="112"/>
      <c r="I94" s="112"/>
      <c r="J94" s="114"/>
      <c r="K94" s="33" t="s">
        <v>211</v>
      </c>
      <c r="M94" s="41">
        <f>(IF(B84&gt;3,(I84/(B84+4)+M93),0))</f>
        <v>0</v>
      </c>
    </row>
    <row r="95" spans="1:13" ht="15.6" x14ac:dyDescent="0.3">
      <c r="A95" s="109" t="s">
        <v>212</v>
      </c>
      <c r="B95" s="110" t="s">
        <v>212</v>
      </c>
      <c r="C95" s="46">
        <v>0</v>
      </c>
      <c r="D95" s="112">
        <f ca="1">((100/(I84))*C95)/100</f>
        <v>0</v>
      </c>
      <c r="E95" s="112"/>
      <c r="F95" s="112"/>
      <c r="G95" s="112"/>
      <c r="H95" s="112"/>
      <c r="I95" s="112"/>
      <c r="J95" s="114"/>
      <c r="K95" s="33" t="s">
        <v>213</v>
      </c>
      <c r="L95" s="36"/>
      <c r="M95" s="38">
        <f ca="1">(IF(B84=0,I84/4+M90,(I84/(B84+4)+M90+MAX(0,M91-M90)+MAX(0,M92-M91)+MAX(0,M93-M92)+MAX(0,M94-M93))))</f>
        <v>3</v>
      </c>
    </row>
    <row r="96" spans="1:13" ht="16.2" thickBot="1" x14ac:dyDescent="0.35">
      <c r="A96" s="176" t="s">
        <v>214</v>
      </c>
      <c r="B96" s="177"/>
      <c r="C96" s="48">
        <v>0</v>
      </c>
      <c r="D96" s="113">
        <f ca="1">((100/(I84))*C96)/100</f>
        <v>0</v>
      </c>
      <c r="E96" s="113"/>
      <c r="F96" s="113"/>
      <c r="G96" s="113"/>
      <c r="H96" s="113"/>
      <c r="I96" s="113"/>
      <c r="J96" s="115"/>
      <c r="K96" s="42" t="s">
        <v>215</v>
      </c>
      <c r="L96" s="43"/>
      <c r="M96" s="44">
        <f ca="1">(IF(B84=0,I84/4+M95,(I84/(B84+4)+M95)))</f>
        <v>4</v>
      </c>
    </row>
    <row r="97" spans="1:13" ht="15.75" customHeight="1" x14ac:dyDescent="0.3">
      <c r="A97" s="167" t="s">
        <v>182</v>
      </c>
      <c r="B97" s="168"/>
      <c r="C97" s="169" t="s">
        <v>222</v>
      </c>
      <c r="D97" s="169"/>
      <c r="E97" s="169"/>
      <c r="F97" s="169"/>
      <c r="G97" s="169"/>
      <c r="H97" s="169"/>
      <c r="I97" s="169"/>
      <c r="J97" s="170"/>
      <c r="K97" s="27" t="str">
        <f ca="1">(IF(C101=0,"Work not yet Started.",IF(D101=25%,"Piling work in process",IF(D101=50%,"Excavation work in process",IF(D101=100%,"Excavation work completed, ","0")))&amp;(IF(C102=0%,"",IF(C102=M103,"Footing work is process",IF(C102=M104,"Footing work Completed",IF(C102=M105,"1st Basement Completed",IF(C102=M106,"1st &amp; 2nd Basement Completed",IF(C102=M107,"1st to 3rd Basement Completed",IF(C102=M108,"1st to 4th Basement Completed",IF(C102=M109,"Plinth work is process",IF(C102=M110,"Plinth work completed","0")))))))))))&amp;(IF(C103&gt;0,", RCC upto "&amp;C103&amp;" Slab completed",""))&amp;(IF(C104&gt;0,", Brickwork upto "&amp;C104&amp;" Floor completed"," "))&amp;(IF(C105&gt;0,", Internal Plaster upto "&amp;C105&amp;" Floor completed"," "))&amp;(IF(C106&gt;0,", External Plaster upto "&amp;C106&amp;" Floor completed"," "))&amp;(IF(C107&gt;0,", Flooring upto "&amp;C107&amp;" Floor completed"," "))&amp;(IF(C108&gt;0,", Painting upto "&amp;C108&amp;" Floor completed"," "))&amp;(IF(C109&gt;0,", Finishing upto "&amp;C109&amp;" Floor completed"," ")))</f>
        <v xml:space="preserve">Excavation work completed, Plinth work completed, RCC upto 5 Slab completed, Brickwork upto 4 Floor completed, Internal Plaster upto 3 Floor completed, External Plaster upto 2 Floor completed   </v>
      </c>
      <c r="L97" s="27"/>
      <c r="M97" s="28"/>
    </row>
    <row r="98" spans="1:13" ht="15.6" x14ac:dyDescent="0.3">
      <c r="A98" s="29" t="s">
        <v>183</v>
      </c>
      <c r="B98" s="30">
        <v>0</v>
      </c>
      <c r="C98" s="30" t="s">
        <v>184</v>
      </c>
      <c r="D98" s="30">
        <v>1</v>
      </c>
      <c r="E98" s="30" t="s">
        <v>185</v>
      </c>
      <c r="F98" s="103">
        <v>0</v>
      </c>
      <c r="G98" s="103"/>
      <c r="H98" s="30" t="s">
        <v>186</v>
      </c>
      <c r="I98" s="103">
        <f ca="1">--TRIM(RIGHT(SUBSTITUTE(LEFT(C97,_xlfn.AGGREGATE(16,6,FIND({0,1,2,3,4,5,6,7,8,9},C97,ROW(INDIRECT("1:"&amp;LEN(C97)))),1))," ",REPT(" ",LEN(C97))),LEN(C97)))</f>
        <v>4</v>
      </c>
      <c r="J98" s="104"/>
      <c r="K98" s="31" t="s">
        <v>187</v>
      </c>
      <c r="L98" s="31"/>
      <c r="M98" s="32"/>
    </row>
    <row r="99" spans="1:13" ht="49.95" customHeight="1" x14ac:dyDescent="0.3">
      <c r="A99" s="105" t="s">
        <v>188</v>
      </c>
      <c r="B99" s="106"/>
      <c r="C99" s="107" t="str">
        <f ca="1">K97</f>
        <v xml:space="preserve">Excavation work completed, Plinth work completed, RCC upto 5 Slab completed, Brickwork upto 4 Floor completed, Internal Plaster upto 3 Floor completed, External Plaster upto 2 Floor completed   </v>
      </c>
      <c r="D99" s="107"/>
      <c r="E99" s="107"/>
      <c r="F99" s="107"/>
      <c r="G99" s="107"/>
      <c r="H99" s="107"/>
      <c r="I99" s="107"/>
      <c r="J99" s="108"/>
      <c r="K99" s="31" t="s">
        <v>189</v>
      </c>
      <c r="L99" s="31"/>
      <c r="M99" s="32"/>
    </row>
    <row r="100" spans="1:13" ht="15.6" x14ac:dyDescent="0.3">
      <c r="A100" s="109" t="s">
        <v>35</v>
      </c>
      <c r="B100" s="110"/>
      <c r="C100" s="45" t="s">
        <v>190</v>
      </c>
      <c r="D100" s="110" t="s">
        <v>191</v>
      </c>
      <c r="E100" s="110"/>
      <c r="F100" s="110" t="s">
        <v>192</v>
      </c>
      <c r="G100" s="110"/>
      <c r="H100" s="110" t="s">
        <v>193</v>
      </c>
      <c r="I100" s="110"/>
      <c r="J100" s="111"/>
      <c r="K100" s="33" t="s">
        <v>194</v>
      </c>
      <c r="L100" s="34"/>
      <c r="M100" s="35">
        <f ca="1">I98*25%</f>
        <v>1</v>
      </c>
    </row>
    <row r="101" spans="1:13" ht="15.6" x14ac:dyDescent="0.3">
      <c r="A101" s="109" t="s">
        <v>195</v>
      </c>
      <c r="B101" s="110"/>
      <c r="C101" s="46">
        <f ca="1">M102</f>
        <v>4</v>
      </c>
      <c r="D101" s="112">
        <f ca="1">((100/I98)*C101)/100</f>
        <v>1</v>
      </c>
      <c r="E101" s="112"/>
      <c r="F101" s="112">
        <f ca="1">(IF(C99=K98,"100%",IF(C99=K99,"100%",(((C102/I98*10)+(40/(B98+D98+F98+I98)*C103)+(7.5/(I98)*C104)+(7.5/(I98)*C105)+(10/I98*C106)+(10/I98*C107)+(5/I98*C108)+(5/I98*C109)+(5/I98*C110))/100))))</f>
        <v>0.68125000000000002</v>
      </c>
      <c r="G101" s="112"/>
      <c r="H101" s="112">
        <f ca="1">((((C101/I98)*20)+((C102/I98)*25)+(30/(B98+I98+F98+D98)*C103)+(5/I98*C104)+(5/I98*C105)+(5/I98*C106)+(5/I98*C107)+(0/I98*C108)+(0/I98*C109)+(5/I98*C110))/100)</f>
        <v>0.86250000000000004</v>
      </c>
      <c r="I101" s="112"/>
      <c r="J101" s="114"/>
      <c r="K101" s="33" t="s">
        <v>196</v>
      </c>
      <c r="L101" s="36"/>
      <c r="M101" s="37">
        <f ca="1">I98*50%</f>
        <v>2</v>
      </c>
    </row>
    <row r="102" spans="1:13" ht="15.6" x14ac:dyDescent="0.3">
      <c r="A102" s="109" t="s">
        <v>36</v>
      </c>
      <c r="B102" s="110"/>
      <c r="C102" s="47">
        <f ca="1">M110</f>
        <v>4</v>
      </c>
      <c r="D102" s="112">
        <f ca="1">((100/I98)*C102)/100</f>
        <v>1</v>
      </c>
      <c r="E102" s="112"/>
      <c r="F102" s="112"/>
      <c r="G102" s="112"/>
      <c r="H102" s="112"/>
      <c r="I102" s="112"/>
      <c r="J102" s="114"/>
      <c r="K102" s="33" t="s">
        <v>197</v>
      </c>
      <c r="L102" s="36"/>
      <c r="M102" s="37">
        <f ca="1">I98</f>
        <v>4</v>
      </c>
    </row>
    <row r="103" spans="1:13" ht="15.6" x14ac:dyDescent="0.3">
      <c r="A103" s="116" t="s">
        <v>198</v>
      </c>
      <c r="B103" s="103"/>
      <c r="C103" s="47">
        <v>5</v>
      </c>
      <c r="D103" s="112">
        <f ca="1">((100/(B98+D98+F98+I98))*C103)/100</f>
        <v>1</v>
      </c>
      <c r="E103" s="112"/>
      <c r="F103" s="112"/>
      <c r="G103" s="112"/>
      <c r="H103" s="112"/>
      <c r="I103" s="112"/>
      <c r="J103" s="114"/>
      <c r="K103" s="33" t="s">
        <v>199</v>
      </c>
      <c r="L103" s="36"/>
      <c r="M103" s="38">
        <f ca="1">(IF(B98=0,I98/4,(I98/(B98+4))))</f>
        <v>1</v>
      </c>
    </row>
    <row r="104" spans="1:13" ht="15.6" x14ac:dyDescent="0.3">
      <c r="A104" s="109" t="s">
        <v>200</v>
      </c>
      <c r="B104" s="110" t="s">
        <v>201</v>
      </c>
      <c r="C104" s="46">
        <v>4</v>
      </c>
      <c r="D104" s="112">
        <f ca="1">((100/I98)*C104)/100</f>
        <v>1</v>
      </c>
      <c r="E104" s="112"/>
      <c r="F104" s="112"/>
      <c r="G104" s="112"/>
      <c r="H104" s="112"/>
      <c r="I104" s="112"/>
      <c r="J104" s="114"/>
      <c r="K104" s="33" t="s">
        <v>202</v>
      </c>
      <c r="L104" s="36"/>
      <c r="M104" s="38">
        <f ca="1">(IF(B98=0,I98/4+M103,(I98/(B98+4)+M103)))</f>
        <v>2</v>
      </c>
    </row>
    <row r="105" spans="1:13" ht="15.6" x14ac:dyDescent="0.3">
      <c r="A105" s="109" t="s">
        <v>203</v>
      </c>
      <c r="B105" s="110" t="s">
        <v>201</v>
      </c>
      <c r="C105" s="46">
        <v>3</v>
      </c>
      <c r="D105" s="112">
        <f ca="1">((100/I98)*C105)/100</f>
        <v>0.75</v>
      </c>
      <c r="E105" s="112"/>
      <c r="F105" s="112"/>
      <c r="G105" s="112"/>
      <c r="H105" s="112"/>
      <c r="I105" s="112"/>
      <c r="J105" s="114"/>
      <c r="K105" s="33" t="s">
        <v>204</v>
      </c>
      <c r="L105" s="12"/>
      <c r="M105" s="38">
        <f>(IF(B98=0,0,(I98/(B98+4)+M104)))</f>
        <v>0</v>
      </c>
    </row>
    <row r="106" spans="1:13" ht="15.6" x14ac:dyDescent="0.3">
      <c r="A106" s="109" t="s">
        <v>205</v>
      </c>
      <c r="B106" s="110" t="s">
        <v>206</v>
      </c>
      <c r="C106" s="46">
        <v>2</v>
      </c>
      <c r="D106" s="112">
        <f ca="1">((100/(I98))*C106)/100</f>
        <v>0.5</v>
      </c>
      <c r="E106" s="112"/>
      <c r="F106" s="112"/>
      <c r="G106" s="112"/>
      <c r="H106" s="112"/>
      <c r="I106" s="112"/>
      <c r="J106" s="114"/>
      <c r="K106" s="33" t="s">
        <v>207</v>
      </c>
      <c r="L106" s="12"/>
      <c r="M106" s="38">
        <f>(IF(B98&gt;1,(I98/(B98+4)+M105),0))</f>
        <v>0</v>
      </c>
    </row>
    <row r="107" spans="1:13" ht="15.6" x14ac:dyDescent="0.3">
      <c r="A107" s="109" t="s">
        <v>208</v>
      </c>
      <c r="B107" s="110" t="s">
        <v>208</v>
      </c>
      <c r="C107" s="46">
        <v>0</v>
      </c>
      <c r="D107" s="112">
        <f ca="1">((100/I98)*C107)/100</f>
        <v>0</v>
      </c>
      <c r="E107" s="112"/>
      <c r="F107" s="112"/>
      <c r="G107" s="112"/>
      <c r="H107" s="112"/>
      <c r="I107" s="112"/>
      <c r="J107" s="114"/>
      <c r="K107" s="33" t="s">
        <v>209</v>
      </c>
      <c r="L107" s="39"/>
      <c r="M107" s="40">
        <f>(IF(B98&gt;2,(I98/(B98+4)+M106),0))</f>
        <v>0</v>
      </c>
    </row>
    <row r="108" spans="1:13" ht="15.6" x14ac:dyDescent="0.3">
      <c r="A108" s="109" t="s">
        <v>210</v>
      </c>
      <c r="B108" s="110"/>
      <c r="C108" s="46">
        <v>0</v>
      </c>
      <c r="D108" s="112">
        <f ca="1">((100/I98)*C108)/100</f>
        <v>0</v>
      </c>
      <c r="E108" s="112"/>
      <c r="F108" s="112"/>
      <c r="G108" s="112"/>
      <c r="H108" s="112"/>
      <c r="I108" s="112"/>
      <c r="J108" s="114"/>
      <c r="K108" s="33" t="s">
        <v>211</v>
      </c>
      <c r="M108" s="41">
        <f>(IF(B98&gt;3,(I98/(B98+4)+M107),0))</f>
        <v>0</v>
      </c>
    </row>
    <row r="109" spans="1:13" ht="15.6" x14ac:dyDescent="0.3">
      <c r="A109" s="109" t="s">
        <v>212</v>
      </c>
      <c r="B109" s="110" t="s">
        <v>212</v>
      </c>
      <c r="C109" s="46">
        <v>0</v>
      </c>
      <c r="D109" s="112">
        <f ca="1">((100/(I98))*C109)/100</f>
        <v>0</v>
      </c>
      <c r="E109" s="112"/>
      <c r="F109" s="112"/>
      <c r="G109" s="112"/>
      <c r="H109" s="112"/>
      <c r="I109" s="112"/>
      <c r="J109" s="114"/>
      <c r="K109" s="33" t="s">
        <v>213</v>
      </c>
      <c r="L109" s="36"/>
      <c r="M109" s="38">
        <f ca="1">(IF(B98=0,I98/4+M104,(I98/(B98+4)+M104+MAX(0,M105-M104)+MAX(0,M106-M105)+MAX(0,M107-M106)+MAX(0,M108-M107))))</f>
        <v>3</v>
      </c>
    </row>
    <row r="110" spans="1:13" ht="16.2" thickBot="1" x14ac:dyDescent="0.35">
      <c r="A110" s="176" t="s">
        <v>214</v>
      </c>
      <c r="B110" s="177"/>
      <c r="C110" s="48">
        <v>0</v>
      </c>
      <c r="D110" s="113">
        <f ca="1">((100/(I98))*C110)/100</f>
        <v>0</v>
      </c>
      <c r="E110" s="113"/>
      <c r="F110" s="113"/>
      <c r="G110" s="113"/>
      <c r="H110" s="113"/>
      <c r="I110" s="113"/>
      <c r="J110" s="115"/>
      <c r="K110" s="42" t="s">
        <v>215</v>
      </c>
      <c r="L110" s="43"/>
      <c r="M110" s="44">
        <f ca="1">(IF(B98=0,I98/4+M109,(I98/(B98+4)+M109)))</f>
        <v>4</v>
      </c>
    </row>
    <row r="111" spans="1:13" x14ac:dyDescent="0.3">
      <c r="A111" s="61" t="s">
        <v>65</v>
      </c>
      <c r="B111" s="53"/>
      <c r="C111" s="53"/>
      <c r="D111" s="53"/>
      <c r="E111" s="53"/>
      <c r="F111" s="53"/>
      <c r="G111" s="53"/>
      <c r="H111" s="53"/>
      <c r="I111" s="53"/>
      <c r="J111" s="54"/>
    </row>
    <row r="112" spans="1:13" x14ac:dyDescent="0.3">
      <c r="A112" s="61" t="s">
        <v>57</v>
      </c>
      <c r="B112" s="53"/>
      <c r="C112" s="53"/>
      <c r="D112" s="53"/>
      <c r="E112" s="53"/>
      <c r="F112" s="53"/>
      <c r="G112" s="53"/>
      <c r="H112" s="53"/>
      <c r="I112" s="53"/>
      <c r="J112" s="54"/>
    </row>
    <row r="113" spans="1:10" ht="15" customHeight="1" x14ac:dyDescent="0.3">
      <c r="A113" s="101" t="s">
        <v>86</v>
      </c>
      <c r="B113" s="101"/>
      <c r="C113" s="101"/>
      <c r="D113" s="101"/>
      <c r="E113" s="101"/>
      <c r="F113" s="101"/>
      <c r="G113" s="101"/>
      <c r="H113" s="101"/>
      <c r="I113" s="101"/>
      <c r="J113" s="101"/>
    </row>
    <row r="114" spans="1:10" x14ac:dyDescent="0.3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</row>
    <row r="115" spans="1:10" ht="2.25" customHeight="1" x14ac:dyDescent="0.3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</row>
    <row r="116" spans="1:10" ht="15" hidden="1" customHeight="1" x14ac:dyDescent="0.3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</row>
    <row r="117" spans="1:10" ht="15" hidden="1" customHeight="1" x14ac:dyDescent="0.3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</row>
    <row r="118" spans="1:10" ht="15" hidden="1" customHeight="1" x14ac:dyDescent="0.3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</row>
    <row r="119" spans="1:10" ht="15" hidden="1" customHeight="1" x14ac:dyDescent="0.3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</row>
    <row r="120" spans="1:10" x14ac:dyDescent="0.3">
      <c r="A120" s="102" t="s">
        <v>25</v>
      </c>
      <c r="B120" s="102"/>
      <c r="C120" s="102"/>
      <c r="D120" s="102"/>
      <c r="E120" s="102"/>
      <c r="F120" s="102"/>
      <c r="G120" s="102"/>
      <c r="H120" s="102"/>
      <c r="I120" s="102"/>
      <c r="J120" s="102"/>
    </row>
    <row r="121" spans="1:10" x14ac:dyDescent="0.3">
      <c r="A121" s="95" t="s">
        <v>118</v>
      </c>
      <c r="B121" s="95"/>
      <c r="C121" s="95"/>
      <c r="D121" s="95"/>
      <c r="E121" s="95"/>
      <c r="F121" s="95"/>
      <c r="G121" s="95"/>
      <c r="H121" s="100">
        <v>3300</v>
      </c>
      <c r="I121" s="100"/>
      <c r="J121" s="100"/>
    </row>
    <row r="122" spans="1:10" x14ac:dyDescent="0.3">
      <c r="A122" s="95" t="s">
        <v>158</v>
      </c>
      <c r="B122" s="95"/>
      <c r="C122" s="95"/>
      <c r="D122" s="95"/>
      <c r="E122" s="95"/>
      <c r="F122" s="95"/>
      <c r="G122" s="95"/>
      <c r="H122" s="99">
        <v>6000</v>
      </c>
      <c r="I122" s="99"/>
      <c r="J122" s="99"/>
    </row>
    <row r="123" spans="1:10" hidden="1" x14ac:dyDescent="0.3">
      <c r="A123" s="95" t="s">
        <v>85</v>
      </c>
      <c r="B123" s="95"/>
      <c r="C123" s="95"/>
      <c r="D123" s="95"/>
      <c r="E123" s="95"/>
      <c r="F123" s="95"/>
      <c r="G123" s="95"/>
      <c r="H123" s="99" t="s">
        <v>58</v>
      </c>
      <c r="I123" s="99"/>
      <c r="J123" s="99"/>
    </row>
    <row r="124" spans="1:10" ht="15" customHeight="1" x14ac:dyDescent="0.3">
      <c r="A124" s="95" t="s">
        <v>88</v>
      </c>
      <c r="B124" s="95"/>
      <c r="C124" s="95"/>
      <c r="D124" s="95"/>
      <c r="E124" s="95"/>
      <c r="F124" s="95"/>
      <c r="G124" s="95"/>
      <c r="H124" s="99" t="s">
        <v>114</v>
      </c>
      <c r="I124" s="99"/>
      <c r="J124" s="99"/>
    </row>
    <row r="125" spans="1:10" x14ac:dyDescent="0.3">
      <c r="A125" s="95" t="s">
        <v>90</v>
      </c>
      <c r="B125" s="95"/>
      <c r="C125" s="95"/>
      <c r="D125" s="95"/>
      <c r="E125" s="95"/>
      <c r="F125" s="95"/>
      <c r="G125" s="95"/>
      <c r="H125" s="99" t="s">
        <v>218</v>
      </c>
      <c r="I125" s="99"/>
      <c r="J125" s="99"/>
    </row>
    <row r="126" spans="1:10" s="1" customFormat="1" ht="14.55" customHeight="1" x14ac:dyDescent="0.3">
      <c r="A126" s="95" t="s">
        <v>119</v>
      </c>
      <c r="B126" s="95"/>
      <c r="C126" s="95"/>
      <c r="D126" s="95"/>
      <c r="E126" s="95"/>
      <c r="F126" s="95"/>
      <c r="G126" s="95"/>
      <c r="H126" s="96">
        <f>H121*0.8</f>
        <v>2640</v>
      </c>
      <c r="I126" s="97"/>
      <c r="J126" s="98"/>
    </row>
    <row r="127" spans="1:10" s="1" customFormat="1" x14ac:dyDescent="0.3">
      <c r="A127" s="87" t="s">
        <v>26</v>
      </c>
      <c r="B127" s="88"/>
      <c r="C127" s="88"/>
      <c r="D127" s="88"/>
      <c r="E127" s="88"/>
      <c r="F127" s="88"/>
      <c r="G127" s="88"/>
      <c r="H127" s="88"/>
      <c r="I127" s="88"/>
      <c r="J127" s="89"/>
    </row>
    <row r="128" spans="1:10" x14ac:dyDescent="0.3">
      <c r="A128" s="90" t="s">
        <v>49</v>
      </c>
      <c r="B128" s="91"/>
      <c r="C128" s="91"/>
      <c r="D128" s="91"/>
      <c r="E128" s="91"/>
      <c r="F128" s="91"/>
      <c r="G128" s="91"/>
      <c r="H128" s="91"/>
      <c r="I128" s="91"/>
      <c r="J128" s="92"/>
    </row>
    <row r="129" spans="1:11" ht="46.8" x14ac:dyDescent="0.3">
      <c r="A129" s="93" t="s">
        <v>33</v>
      </c>
      <c r="B129" s="94" t="s">
        <v>33</v>
      </c>
      <c r="C129" s="4" t="s">
        <v>30</v>
      </c>
      <c r="D129" s="5" t="s">
        <v>89</v>
      </c>
      <c r="E129" s="4" t="s">
        <v>69</v>
      </c>
      <c r="F129" s="14" t="s">
        <v>43</v>
      </c>
      <c r="G129" s="14" t="s">
        <v>31</v>
      </c>
      <c r="H129" s="4" t="s">
        <v>115</v>
      </c>
      <c r="I129" s="93" t="s">
        <v>32</v>
      </c>
      <c r="J129" s="94"/>
    </row>
    <row r="130" spans="1:11" ht="15.6" x14ac:dyDescent="0.3">
      <c r="A130" s="58" t="s">
        <v>117</v>
      </c>
      <c r="B130" s="59"/>
      <c r="C130" s="59"/>
      <c r="D130" s="59"/>
      <c r="E130" s="59"/>
      <c r="F130" s="59"/>
      <c r="G130" s="59"/>
      <c r="H130" s="59"/>
      <c r="I130" s="59"/>
      <c r="J130" s="60"/>
    </row>
    <row r="131" spans="1:11" ht="15.6" x14ac:dyDescent="0.3">
      <c r="A131" s="58" t="s">
        <v>152</v>
      </c>
      <c r="B131" s="59"/>
      <c r="C131" s="59"/>
      <c r="D131" s="59"/>
      <c r="E131" s="59"/>
      <c r="F131" s="59"/>
      <c r="G131" s="59"/>
      <c r="H131" s="59"/>
      <c r="I131" s="59"/>
      <c r="J131" s="60"/>
    </row>
    <row r="132" spans="1:11" ht="15.6" x14ac:dyDescent="0.3">
      <c r="A132" s="58" t="s">
        <v>68</v>
      </c>
      <c r="B132" s="59"/>
      <c r="C132" s="59"/>
      <c r="D132" s="59"/>
      <c r="E132" s="59"/>
      <c r="F132" s="59"/>
      <c r="G132" s="59"/>
      <c r="H132" s="59"/>
      <c r="I132" s="59"/>
      <c r="J132" s="60"/>
    </row>
    <row r="133" spans="1:11" ht="15.6" x14ac:dyDescent="0.3">
      <c r="A133" s="55">
        <v>1</v>
      </c>
      <c r="B133" s="56"/>
      <c r="C133" s="6" t="s">
        <v>146</v>
      </c>
      <c r="D133" s="6">
        <f>14.58*10.764</f>
        <v>156.93912</v>
      </c>
      <c r="E133" s="6">
        <v>0</v>
      </c>
      <c r="F133" s="6">
        <f>E133+D133</f>
        <v>156.93912</v>
      </c>
      <c r="G133" s="6">
        <v>0</v>
      </c>
      <c r="H133" s="6">
        <f>F133*1.5+G133</f>
        <v>235.40868</v>
      </c>
      <c r="I133" s="57" t="s">
        <v>58</v>
      </c>
      <c r="J133" s="57"/>
    </row>
    <row r="134" spans="1:11" ht="15.6" x14ac:dyDescent="0.3">
      <c r="A134" s="55">
        <v>2</v>
      </c>
      <c r="B134" s="56"/>
      <c r="C134" s="6" t="s">
        <v>146</v>
      </c>
      <c r="D134" s="6">
        <f>12.83*10.764</f>
        <v>138.10211999999999</v>
      </c>
      <c r="E134" s="6">
        <v>0</v>
      </c>
      <c r="F134" s="6">
        <f t="shared" ref="F134:F139" si="0">E134+D134</f>
        <v>138.10211999999999</v>
      </c>
      <c r="G134" s="6">
        <v>0</v>
      </c>
      <c r="H134" s="6">
        <f t="shared" ref="H134:H142" si="1">F134*1.5+G134</f>
        <v>207.15317999999996</v>
      </c>
      <c r="I134" s="57" t="s">
        <v>58</v>
      </c>
      <c r="J134" s="57"/>
    </row>
    <row r="135" spans="1:11" ht="15.6" x14ac:dyDescent="0.3">
      <c r="A135" s="55">
        <v>3</v>
      </c>
      <c r="B135" s="56"/>
      <c r="C135" s="6" t="s">
        <v>146</v>
      </c>
      <c r="D135" s="6">
        <f>16.64*10.764</f>
        <v>179.11295999999999</v>
      </c>
      <c r="E135" s="6">
        <v>0</v>
      </c>
      <c r="F135" s="6">
        <f t="shared" si="0"/>
        <v>179.11295999999999</v>
      </c>
      <c r="G135" s="6">
        <v>0</v>
      </c>
      <c r="H135" s="6">
        <f t="shared" si="1"/>
        <v>268.66944000000001</v>
      </c>
      <c r="I135" s="57" t="s">
        <v>58</v>
      </c>
      <c r="J135" s="57"/>
    </row>
    <row r="136" spans="1:11" ht="15.6" x14ac:dyDescent="0.3">
      <c r="A136" s="55">
        <v>4</v>
      </c>
      <c r="B136" s="56"/>
      <c r="C136" s="6" t="s">
        <v>146</v>
      </c>
      <c r="D136" s="6">
        <f>14.47*10.764</f>
        <v>155.75507999999999</v>
      </c>
      <c r="E136" s="6">
        <v>0</v>
      </c>
      <c r="F136" s="6">
        <f t="shared" si="0"/>
        <v>155.75507999999999</v>
      </c>
      <c r="G136" s="6">
        <v>0</v>
      </c>
      <c r="H136" s="6">
        <f t="shared" si="1"/>
        <v>233.63261999999997</v>
      </c>
      <c r="I136" s="57" t="s">
        <v>58</v>
      </c>
      <c r="J136" s="57"/>
    </row>
    <row r="137" spans="1:11" ht="15.6" x14ac:dyDescent="0.3">
      <c r="A137" s="55">
        <v>5</v>
      </c>
      <c r="B137" s="56"/>
      <c r="C137" s="6" t="s">
        <v>146</v>
      </c>
      <c r="D137" s="6">
        <f>10.46*10.764</f>
        <v>112.59144000000001</v>
      </c>
      <c r="E137" s="6">
        <v>0</v>
      </c>
      <c r="F137" s="6">
        <f t="shared" si="0"/>
        <v>112.59144000000001</v>
      </c>
      <c r="G137" s="6">
        <v>0</v>
      </c>
      <c r="H137" s="6">
        <f t="shared" si="1"/>
        <v>168.88715999999999</v>
      </c>
      <c r="I137" s="57" t="s">
        <v>58</v>
      </c>
      <c r="J137" s="57"/>
    </row>
    <row r="138" spans="1:11" ht="15.6" x14ac:dyDescent="0.3">
      <c r="A138" s="55">
        <v>6</v>
      </c>
      <c r="B138" s="56"/>
      <c r="C138" s="6" t="s">
        <v>146</v>
      </c>
      <c r="D138" s="6">
        <f>15.56*10.764</f>
        <v>167.48784000000001</v>
      </c>
      <c r="E138" s="6">
        <v>0</v>
      </c>
      <c r="F138" s="6">
        <f t="shared" si="0"/>
        <v>167.48784000000001</v>
      </c>
      <c r="G138" s="6">
        <v>0</v>
      </c>
      <c r="H138" s="6">
        <f t="shared" si="1"/>
        <v>251.23176000000001</v>
      </c>
      <c r="I138" s="57" t="s">
        <v>58</v>
      </c>
      <c r="J138" s="57"/>
    </row>
    <row r="139" spans="1:11" ht="15.6" x14ac:dyDescent="0.3">
      <c r="A139" s="55">
        <v>7</v>
      </c>
      <c r="B139" s="56"/>
      <c r="C139" s="6" t="s">
        <v>146</v>
      </c>
      <c r="D139" s="6">
        <f>15.95*10.764</f>
        <v>171.68579999999997</v>
      </c>
      <c r="E139" s="6">
        <v>0</v>
      </c>
      <c r="F139" s="6">
        <f t="shared" si="0"/>
        <v>171.68579999999997</v>
      </c>
      <c r="G139" s="6">
        <v>0</v>
      </c>
      <c r="H139" s="6">
        <f t="shared" si="1"/>
        <v>257.52869999999996</v>
      </c>
      <c r="I139" s="57" t="s">
        <v>58</v>
      </c>
      <c r="J139" s="57"/>
    </row>
    <row r="140" spans="1:11" ht="15.6" x14ac:dyDescent="0.3">
      <c r="A140" s="55">
        <v>8</v>
      </c>
      <c r="B140" s="56"/>
      <c r="C140" s="6" t="s">
        <v>146</v>
      </c>
      <c r="D140" s="6">
        <f>12.47*10.764</f>
        <v>134.22708</v>
      </c>
      <c r="E140" s="6">
        <v>0</v>
      </c>
      <c r="F140" s="6">
        <f>E140+D140</f>
        <v>134.22708</v>
      </c>
      <c r="G140" s="6">
        <v>0</v>
      </c>
      <c r="H140" s="6">
        <f t="shared" si="1"/>
        <v>201.34062</v>
      </c>
      <c r="I140" s="57" t="s">
        <v>58</v>
      </c>
      <c r="J140" s="57"/>
    </row>
    <row r="141" spans="1:11" ht="15.6" x14ac:dyDescent="0.3">
      <c r="A141" s="55">
        <v>9</v>
      </c>
      <c r="B141" s="56"/>
      <c r="C141" s="6" t="s">
        <v>146</v>
      </c>
      <c r="D141" s="6">
        <f>11.44*10.764</f>
        <v>123.14015999999998</v>
      </c>
      <c r="E141" s="6">
        <v>0</v>
      </c>
      <c r="F141" s="6">
        <f>E141+D141</f>
        <v>123.14015999999998</v>
      </c>
      <c r="G141" s="6">
        <v>0</v>
      </c>
      <c r="H141" s="6">
        <f t="shared" si="1"/>
        <v>184.71023999999997</v>
      </c>
      <c r="I141" s="57" t="s">
        <v>58</v>
      </c>
      <c r="J141" s="57"/>
    </row>
    <row r="142" spans="1:11" ht="15.6" x14ac:dyDescent="0.3">
      <c r="A142" s="55">
        <v>10</v>
      </c>
      <c r="B142" s="56"/>
      <c r="C142" s="6" t="s">
        <v>146</v>
      </c>
      <c r="D142" s="6">
        <f>12.1*10.764</f>
        <v>130.24439999999998</v>
      </c>
      <c r="E142" s="6">
        <v>0</v>
      </c>
      <c r="F142" s="6">
        <f>E142+D142</f>
        <v>130.24439999999998</v>
      </c>
      <c r="G142" s="6">
        <v>0</v>
      </c>
      <c r="H142" s="6">
        <f t="shared" si="1"/>
        <v>195.36659999999998</v>
      </c>
      <c r="I142" s="57" t="s">
        <v>58</v>
      </c>
      <c r="J142" s="57"/>
    </row>
    <row r="143" spans="1:11" ht="15.6" x14ac:dyDescent="0.3">
      <c r="A143" s="58" t="s">
        <v>161</v>
      </c>
      <c r="B143" s="59"/>
      <c r="C143" s="59"/>
      <c r="D143" s="59"/>
      <c r="E143" s="59"/>
      <c r="F143" s="59"/>
      <c r="G143" s="59"/>
      <c r="H143" s="59"/>
      <c r="I143" s="59"/>
      <c r="J143" s="60"/>
    </row>
    <row r="144" spans="1:11" ht="15.6" x14ac:dyDescent="0.3">
      <c r="A144" s="55">
        <v>1</v>
      </c>
      <c r="B144" s="56"/>
      <c r="C144" s="6" t="s">
        <v>109</v>
      </c>
      <c r="D144" s="6">
        <f>50.05*10.764</f>
        <v>538.73819999999989</v>
      </c>
      <c r="E144" s="6">
        <v>0</v>
      </c>
      <c r="F144" s="6">
        <f>E144+D144</f>
        <v>538.73819999999989</v>
      </c>
      <c r="G144" s="6">
        <v>0</v>
      </c>
      <c r="H144" s="6">
        <f>F144*1.45+G144</f>
        <v>781.17038999999977</v>
      </c>
      <c r="I144" s="57" t="s">
        <v>58</v>
      </c>
      <c r="J144" s="57"/>
      <c r="K144">
        <f>H144/F144</f>
        <v>1.45</v>
      </c>
    </row>
    <row r="145" spans="1:10" ht="15.6" x14ac:dyDescent="0.3">
      <c r="A145" s="55">
        <v>2</v>
      </c>
      <c r="B145" s="56"/>
      <c r="C145" s="6" t="s">
        <v>109</v>
      </c>
      <c r="D145" s="6">
        <f>47.96*10.764</f>
        <v>516.24144000000001</v>
      </c>
      <c r="E145" s="6">
        <v>0</v>
      </c>
      <c r="F145" s="6">
        <f t="shared" ref="F145:F150" si="2">E145+D145</f>
        <v>516.24144000000001</v>
      </c>
      <c r="G145" s="6">
        <v>0</v>
      </c>
      <c r="H145" s="6">
        <f t="shared" ref="H145:H150" si="3">F145*1.45+G145</f>
        <v>748.55008799999996</v>
      </c>
      <c r="I145" s="57" t="s">
        <v>58</v>
      </c>
      <c r="J145" s="57"/>
    </row>
    <row r="146" spans="1:10" ht="15.6" x14ac:dyDescent="0.3">
      <c r="A146" s="55">
        <v>3</v>
      </c>
      <c r="B146" s="56"/>
      <c r="C146" s="6" t="s">
        <v>110</v>
      </c>
      <c r="D146" s="6">
        <f>26.95*10.764</f>
        <v>290.08979999999997</v>
      </c>
      <c r="E146" s="6">
        <v>0</v>
      </c>
      <c r="F146" s="6">
        <f t="shared" si="2"/>
        <v>290.08979999999997</v>
      </c>
      <c r="G146" s="6">
        <v>0</v>
      </c>
      <c r="H146" s="6">
        <f t="shared" si="3"/>
        <v>420.63020999999992</v>
      </c>
      <c r="I146" s="57" t="s">
        <v>58</v>
      </c>
      <c r="J146" s="57"/>
    </row>
    <row r="147" spans="1:10" ht="15.6" x14ac:dyDescent="0.3">
      <c r="A147" s="55">
        <v>4</v>
      </c>
      <c r="B147" s="56"/>
      <c r="C147" s="6" t="s">
        <v>110</v>
      </c>
      <c r="D147" s="6">
        <f>26.95*10.764</f>
        <v>290.08979999999997</v>
      </c>
      <c r="E147" s="6">
        <v>0</v>
      </c>
      <c r="F147" s="6">
        <f t="shared" si="2"/>
        <v>290.08979999999997</v>
      </c>
      <c r="G147" s="6">
        <v>0</v>
      </c>
      <c r="H147" s="6">
        <f t="shared" si="3"/>
        <v>420.63020999999992</v>
      </c>
      <c r="I147" s="57" t="s">
        <v>58</v>
      </c>
      <c r="J147" s="57"/>
    </row>
    <row r="148" spans="1:10" ht="15.6" x14ac:dyDescent="0.3">
      <c r="A148" s="55">
        <v>5</v>
      </c>
      <c r="B148" s="56"/>
      <c r="C148" s="6" t="s">
        <v>108</v>
      </c>
      <c r="D148" s="6">
        <f>34.98*10.764</f>
        <v>376.52471999999995</v>
      </c>
      <c r="E148" s="6">
        <v>0</v>
      </c>
      <c r="F148" s="6">
        <f t="shared" si="2"/>
        <v>376.52471999999995</v>
      </c>
      <c r="G148" s="6">
        <v>0</v>
      </c>
      <c r="H148" s="6">
        <f t="shared" si="3"/>
        <v>545.96084399999995</v>
      </c>
      <c r="I148" s="57" t="s">
        <v>58</v>
      </c>
      <c r="J148" s="57"/>
    </row>
    <row r="149" spans="1:10" ht="15.6" x14ac:dyDescent="0.3">
      <c r="A149" s="55">
        <v>6</v>
      </c>
      <c r="B149" s="56"/>
      <c r="C149" s="6" t="s">
        <v>108</v>
      </c>
      <c r="D149" s="6">
        <f>34.98*10.764</f>
        <v>376.52471999999995</v>
      </c>
      <c r="E149" s="6">
        <v>0</v>
      </c>
      <c r="F149" s="6">
        <f t="shared" si="2"/>
        <v>376.52471999999995</v>
      </c>
      <c r="G149" s="6">
        <v>0</v>
      </c>
      <c r="H149" s="6">
        <f t="shared" si="3"/>
        <v>545.96084399999995</v>
      </c>
      <c r="I149" s="57" t="s">
        <v>58</v>
      </c>
      <c r="J149" s="57"/>
    </row>
    <row r="150" spans="1:10" ht="15.6" x14ac:dyDescent="0.3">
      <c r="A150" s="55">
        <v>7</v>
      </c>
      <c r="B150" s="56"/>
      <c r="C150" s="6" t="s">
        <v>108</v>
      </c>
      <c r="D150" s="6">
        <f>34.8*10.764</f>
        <v>374.58719999999994</v>
      </c>
      <c r="E150" s="6">
        <v>0</v>
      </c>
      <c r="F150" s="6">
        <f t="shared" si="2"/>
        <v>374.58719999999994</v>
      </c>
      <c r="G150" s="6">
        <v>0</v>
      </c>
      <c r="H150" s="6">
        <f t="shared" si="3"/>
        <v>543.15143999999987</v>
      </c>
      <c r="I150" s="57" t="s">
        <v>58</v>
      </c>
      <c r="J150" s="57"/>
    </row>
    <row r="151" spans="1:10" ht="15.6" x14ac:dyDescent="0.3">
      <c r="A151" s="58" t="s">
        <v>151</v>
      </c>
      <c r="B151" s="59"/>
      <c r="C151" s="59"/>
      <c r="D151" s="59"/>
      <c r="E151" s="59"/>
      <c r="F151" s="59"/>
      <c r="G151" s="59"/>
      <c r="H151" s="59"/>
      <c r="I151" s="59"/>
      <c r="J151" s="60"/>
    </row>
    <row r="152" spans="1:10" ht="15.6" x14ac:dyDescent="0.3">
      <c r="A152" s="58" t="s">
        <v>68</v>
      </c>
      <c r="B152" s="59"/>
      <c r="C152" s="59"/>
      <c r="D152" s="59"/>
      <c r="E152" s="59"/>
      <c r="F152" s="59"/>
      <c r="G152" s="59"/>
      <c r="H152" s="59"/>
      <c r="I152" s="59"/>
      <c r="J152" s="60"/>
    </row>
    <row r="153" spans="1:10" ht="15.6" x14ac:dyDescent="0.3">
      <c r="A153" s="55">
        <v>1</v>
      </c>
      <c r="B153" s="56"/>
      <c r="C153" s="6" t="s">
        <v>146</v>
      </c>
      <c r="D153" s="6">
        <f>12.1*10.764</f>
        <v>130.24439999999998</v>
      </c>
      <c r="E153" s="6">
        <v>0</v>
      </c>
      <c r="F153" s="6">
        <f t="shared" ref="F153:F158" si="4">E153+D153</f>
        <v>130.24439999999998</v>
      </c>
      <c r="G153" s="6">
        <v>0</v>
      </c>
      <c r="H153" s="6">
        <f>F153*1.5+G153</f>
        <v>195.36659999999998</v>
      </c>
      <c r="I153" s="57" t="s">
        <v>58</v>
      </c>
      <c r="J153" s="57"/>
    </row>
    <row r="154" spans="1:10" ht="15.6" x14ac:dyDescent="0.3">
      <c r="A154" s="55">
        <v>2</v>
      </c>
      <c r="B154" s="56"/>
      <c r="C154" s="6" t="s">
        <v>146</v>
      </c>
      <c r="D154" s="6">
        <f>11.44*10.764</f>
        <v>123.14015999999998</v>
      </c>
      <c r="E154" s="6">
        <v>0</v>
      </c>
      <c r="F154" s="6">
        <f t="shared" si="4"/>
        <v>123.14015999999998</v>
      </c>
      <c r="G154" s="6">
        <v>0</v>
      </c>
      <c r="H154" s="6">
        <f t="shared" ref="H154:H165" si="5">F154*1.5+G154</f>
        <v>184.71023999999997</v>
      </c>
      <c r="I154" s="57" t="s">
        <v>58</v>
      </c>
      <c r="J154" s="57"/>
    </row>
    <row r="155" spans="1:10" ht="15.6" x14ac:dyDescent="0.3">
      <c r="A155" s="55">
        <v>3</v>
      </c>
      <c r="B155" s="56"/>
      <c r="C155" s="6" t="s">
        <v>146</v>
      </c>
      <c r="D155" s="6">
        <f>12.47*10.764</f>
        <v>134.22708</v>
      </c>
      <c r="E155" s="6">
        <v>0</v>
      </c>
      <c r="F155" s="6">
        <f t="shared" si="4"/>
        <v>134.22708</v>
      </c>
      <c r="G155" s="6">
        <v>0</v>
      </c>
      <c r="H155" s="6">
        <f t="shared" si="5"/>
        <v>201.34062</v>
      </c>
      <c r="I155" s="57" t="s">
        <v>58</v>
      </c>
      <c r="J155" s="57"/>
    </row>
    <row r="156" spans="1:10" ht="15.6" x14ac:dyDescent="0.3">
      <c r="A156" s="55">
        <v>4</v>
      </c>
      <c r="B156" s="56"/>
      <c r="C156" s="6" t="s">
        <v>146</v>
      </c>
      <c r="D156" s="6">
        <f>15.95*10.764</f>
        <v>171.68579999999997</v>
      </c>
      <c r="E156" s="6">
        <v>0</v>
      </c>
      <c r="F156" s="6">
        <f t="shared" si="4"/>
        <v>171.68579999999997</v>
      </c>
      <c r="G156" s="6">
        <v>0</v>
      </c>
      <c r="H156" s="6">
        <f t="shared" si="5"/>
        <v>257.52869999999996</v>
      </c>
      <c r="I156" s="57" t="s">
        <v>58</v>
      </c>
      <c r="J156" s="57"/>
    </row>
    <row r="157" spans="1:10" ht="15.6" x14ac:dyDescent="0.3">
      <c r="A157" s="55">
        <v>5</v>
      </c>
      <c r="B157" s="56"/>
      <c r="C157" s="6" t="s">
        <v>146</v>
      </c>
      <c r="D157" s="6">
        <f>12.32*10.764</f>
        <v>132.61248000000001</v>
      </c>
      <c r="E157" s="6">
        <v>0</v>
      </c>
      <c r="F157" s="6">
        <f t="shared" si="4"/>
        <v>132.61248000000001</v>
      </c>
      <c r="G157" s="6">
        <v>0</v>
      </c>
      <c r="H157" s="6">
        <f t="shared" si="5"/>
        <v>198.91872000000001</v>
      </c>
      <c r="I157" s="57" t="s">
        <v>58</v>
      </c>
      <c r="J157" s="57"/>
    </row>
    <row r="158" spans="1:10" ht="15.6" x14ac:dyDescent="0.3">
      <c r="A158" s="55">
        <v>6</v>
      </c>
      <c r="B158" s="56"/>
      <c r="C158" s="6" t="s">
        <v>146</v>
      </c>
      <c r="D158" s="6">
        <f>8.8*10.764</f>
        <v>94.723200000000006</v>
      </c>
      <c r="E158" s="6">
        <v>0</v>
      </c>
      <c r="F158" s="6">
        <f t="shared" si="4"/>
        <v>94.723200000000006</v>
      </c>
      <c r="G158" s="6">
        <v>0</v>
      </c>
      <c r="H158" s="6">
        <f t="shared" si="5"/>
        <v>142.0848</v>
      </c>
      <c r="I158" s="57" t="s">
        <v>58</v>
      </c>
      <c r="J158" s="57"/>
    </row>
    <row r="159" spans="1:10" ht="15.6" x14ac:dyDescent="0.3">
      <c r="A159" s="55">
        <v>7</v>
      </c>
      <c r="B159" s="56"/>
      <c r="C159" s="6" t="s">
        <v>146</v>
      </c>
      <c r="D159" s="6">
        <f>12.64*10.764</f>
        <v>136.05696</v>
      </c>
      <c r="E159" s="6">
        <v>0</v>
      </c>
      <c r="F159" s="6">
        <f t="shared" ref="F159:F164" si="6">E159+D159</f>
        <v>136.05696</v>
      </c>
      <c r="G159" s="6">
        <v>0</v>
      </c>
      <c r="H159" s="6">
        <f t="shared" si="5"/>
        <v>204.08544000000001</v>
      </c>
      <c r="I159" s="57" t="s">
        <v>58</v>
      </c>
      <c r="J159" s="57"/>
    </row>
    <row r="160" spans="1:10" ht="15.6" x14ac:dyDescent="0.3">
      <c r="A160" s="55">
        <v>8</v>
      </c>
      <c r="B160" s="56"/>
      <c r="C160" s="6" t="s">
        <v>146</v>
      </c>
      <c r="D160" s="6">
        <f>14.79*10.764</f>
        <v>159.19955999999999</v>
      </c>
      <c r="E160" s="6">
        <v>0</v>
      </c>
      <c r="F160" s="6">
        <f t="shared" si="6"/>
        <v>159.19955999999999</v>
      </c>
      <c r="G160" s="6">
        <v>0</v>
      </c>
      <c r="H160" s="6">
        <f t="shared" si="5"/>
        <v>238.79933999999997</v>
      </c>
      <c r="I160" s="57" t="s">
        <v>58</v>
      </c>
      <c r="J160" s="57"/>
    </row>
    <row r="161" spans="1:10" ht="15.6" x14ac:dyDescent="0.3">
      <c r="A161" s="55">
        <v>9</v>
      </c>
      <c r="B161" s="56"/>
      <c r="C161" s="6" t="s">
        <v>146</v>
      </c>
      <c r="D161" s="6">
        <f>10.78*10.764</f>
        <v>116.03591999999999</v>
      </c>
      <c r="E161" s="6">
        <v>0</v>
      </c>
      <c r="F161" s="6">
        <f t="shared" si="6"/>
        <v>116.03591999999999</v>
      </c>
      <c r="G161" s="6">
        <v>0</v>
      </c>
      <c r="H161" s="6">
        <f t="shared" si="5"/>
        <v>174.05387999999999</v>
      </c>
      <c r="I161" s="57" t="s">
        <v>58</v>
      </c>
      <c r="J161" s="57"/>
    </row>
    <row r="162" spans="1:10" ht="15.6" x14ac:dyDescent="0.3">
      <c r="A162" s="55">
        <v>10</v>
      </c>
      <c r="B162" s="56"/>
      <c r="C162" s="6" t="s">
        <v>146</v>
      </c>
      <c r="D162" s="6">
        <f>15.4*10.764</f>
        <v>165.76560000000001</v>
      </c>
      <c r="E162" s="6">
        <v>0</v>
      </c>
      <c r="F162" s="6">
        <f t="shared" si="6"/>
        <v>165.76560000000001</v>
      </c>
      <c r="G162" s="6">
        <v>0</v>
      </c>
      <c r="H162" s="6">
        <f t="shared" si="5"/>
        <v>248.64840000000001</v>
      </c>
      <c r="I162" s="57" t="s">
        <v>58</v>
      </c>
      <c r="J162" s="57"/>
    </row>
    <row r="163" spans="1:10" ht="15.6" x14ac:dyDescent="0.3">
      <c r="A163" s="55">
        <v>11</v>
      </c>
      <c r="B163" s="56"/>
      <c r="C163" s="6" t="s">
        <v>146</v>
      </c>
      <c r="D163" s="6">
        <f>15.4*10.764</f>
        <v>165.76560000000001</v>
      </c>
      <c r="E163" s="6">
        <v>0</v>
      </c>
      <c r="F163" s="6">
        <f t="shared" si="6"/>
        <v>165.76560000000001</v>
      </c>
      <c r="G163" s="6">
        <v>0</v>
      </c>
      <c r="H163" s="6">
        <f t="shared" si="5"/>
        <v>248.64840000000001</v>
      </c>
      <c r="I163" s="57" t="s">
        <v>58</v>
      </c>
      <c r="J163" s="57"/>
    </row>
    <row r="164" spans="1:10" ht="15.6" x14ac:dyDescent="0.3">
      <c r="A164" s="55">
        <v>12</v>
      </c>
      <c r="B164" s="56"/>
      <c r="C164" s="6" t="s">
        <v>146</v>
      </c>
      <c r="D164" s="6">
        <f>11.81*10.764</f>
        <v>127.12284</v>
      </c>
      <c r="E164" s="6">
        <v>0</v>
      </c>
      <c r="F164" s="6">
        <f t="shared" si="6"/>
        <v>127.12284</v>
      </c>
      <c r="G164" s="6">
        <v>0</v>
      </c>
      <c r="H164" s="6">
        <f t="shared" si="5"/>
        <v>190.68425999999999</v>
      </c>
      <c r="I164" s="57" t="s">
        <v>58</v>
      </c>
      <c r="J164" s="57"/>
    </row>
    <row r="165" spans="1:10" ht="15.6" x14ac:dyDescent="0.3">
      <c r="A165" s="55">
        <v>13</v>
      </c>
      <c r="B165" s="56"/>
      <c r="C165" s="6" t="s">
        <v>146</v>
      </c>
      <c r="D165" s="6">
        <f>13.34*10.764</f>
        <v>143.59175999999999</v>
      </c>
      <c r="E165" s="6">
        <v>0</v>
      </c>
      <c r="F165" s="6">
        <f>E165+D165</f>
        <v>143.59175999999999</v>
      </c>
      <c r="G165" s="6">
        <v>0</v>
      </c>
      <c r="H165" s="6">
        <f t="shared" si="5"/>
        <v>215.38763999999998</v>
      </c>
      <c r="I165" s="57" t="s">
        <v>58</v>
      </c>
      <c r="J165" s="57"/>
    </row>
    <row r="166" spans="1:10" ht="15.6" x14ac:dyDescent="0.3">
      <c r="A166" s="86" t="s">
        <v>161</v>
      </c>
      <c r="B166" s="86"/>
      <c r="C166" s="86"/>
      <c r="D166" s="86"/>
      <c r="E166" s="86"/>
      <c r="F166" s="86"/>
      <c r="G166" s="86"/>
      <c r="H166" s="86"/>
      <c r="I166" s="86"/>
      <c r="J166" s="86"/>
    </row>
    <row r="167" spans="1:10" ht="15.6" x14ac:dyDescent="0.3">
      <c r="A167" s="57">
        <v>1</v>
      </c>
      <c r="B167" s="57"/>
      <c r="C167" s="6" t="s">
        <v>108</v>
      </c>
      <c r="D167" s="6">
        <f>33.58*10.764</f>
        <v>361.45511999999997</v>
      </c>
      <c r="E167" s="6">
        <v>0</v>
      </c>
      <c r="F167" s="6">
        <f t="shared" ref="F167:F172" si="7">E167+D167</f>
        <v>361.45511999999997</v>
      </c>
      <c r="G167" s="6">
        <v>0</v>
      </c>
      <c r="H167" s="6">
        <f t="shared" ref="H167:H172" si="8">F167*1.45+G167</f>
        <v>524.10992399999998</v>
      </c>
      <c r="I167" s="57" t="s">
        <v>58</v>
      </c>
      <c r="J167" s="57"/>
    </row>
    <row r="168" spans="1:10" ht="15.6" x14ac:dyDescent="0.3">
      <c r="A168" s="57">
        <v>2</v>
      </c>
      <c r="B168" s="57"/>
      <c r="C168" s="6" t="s">
        <v>108</v>
      </c>
      <c r="D168" s="6">
        <f>33.94*10.764</f>
        <v>365.33015999999998</v>
      </c>
      <c r="E168" s="6">
        <v>0</v>
      </c>
      <c r="F168" s="6">
        <f t="shared" si="7"/>
        <v>365.33015999999998</v>
      </c>
      <c r="G168" s="6">
        <v>0</v>
      </c>
      <c r="H168" s="6">
        <f t="shared" si="8"/>
        <v>529.72873199999992</v>
      </c>
      <c r="I168" s="57" t="s">
        <v>58</v>
      </c>
      <c r="J168" s="57"/>
    </row>
    <row r="169" spans="1:10" ht="15.6" x14ac:dyDescent="0.3">
      <c r="A169" s="57">
        <v>3</v>
      </c>
      <c r="B169" s="57"/>
      <c r="C169" s="6" t="s">
        <v>108</v>
      </c>
      <c r="D169" s="6">
        <f>33.94*10.764</f>
        <v>365.33015999999998</v>
      </c>
      <c r="E169" s="6">
        <v>0</v>
      </c>
      <c r="F169" s="6">
        <f t="shared" si="7"/>
        <v>365.33015999999998</v>
      </c>
      <c r="G169" s="6">
        <v>0</v>
      </c>
      <c r="H169" s="6">
        <f t="shared" si="8"/>
        <v>529.72873199999992</v>
      </c>
      <c r="I169" s="57" t="s">
        <v>58</v>
      </c>
      <c r="J169" s="57"/>
    </row>
    <row r="170" spans="1:10" ht="15.6" x14ac:dyDescent="0.3">
      <c r="A170" s="57">
        <v>4</v>
      </c>
      <c r="B170" s="57"/>
      <c r="C170" s="6" t="s">
        <v>109</v>
      </c>
      <c r="D170" s="6">
        <f>47.96*10.764</f>
        <v>516.24144000000001</v>
      </c>
      <c r="E170" s="6">
        <v>0</v>
      </c>
      <c r="F170" s="6">
        <f t="shared" si="7"/>
        <v>516.24144000000001</v>
      </c>
      <c r="G170" s="6">
        <v>0</v>
      </c>
      <c r="H170" s="6">
        <f>F170*1.45+G170</f>
        <v>748.55008799999996</v>
      </c>
      <c r="I170" s="57" t="s">
        <v>58</v>
      </c>
      <c r="J170" s="57"/>
    </row>
    <row r="171" spans="1:10" ht="15.6" x14ac:dyDescent="0.3">
      <c r="A171" s="57">
        <v>5</v>
      </c>
      <c r="B171" s="57"/>
      <c r="C171" s="6" t="s">
        <v>109</v>
      </c>
      <c r="D171" s="6">
        <f>47.96*10.764</f>
        <v>516.24144000000001</v>
      </c>
      <c r="E171" s="6">
        <v>0</v>
      </c>
      <c r="F171" s="6">
        <f t="shared" si="7"/>
        <v>516.24144000000001</v>
      </c>
      <c r="G171" s="6">
        <v>0</v>
      </c>
      <c r="H171" s="6">
        <f t="shared" si="8"/>
        <v>748.55008799999996</v>
      </c>
      <c r="I171" s="57" t="s">
        <v>58</v>
      </c>
      <c r="J171" s="57"/>
    </row>
    <row r="172" spans="1:10" ht="15.6" x14ac:dyDescent="0.3">
      <c r="A172" s="57">
        <v>6</v>
      </c>
      <c r="B172" s="57"/>
      <c r="C172" s="6" t="s">
        <v>108</v>
      </c>
      <c r="D172" s="6">
        <f>31.54*10.764</f>
        <v>339.49655999999999</v>
      </c>
      <c r="E172" s="6">
        <v>0</v>
      </c>
      <c r="F172" s="6">
        <f t="shared" si="7"/>
        <v>339.49655999999999</v>
      </c>
      <c r="G172" s="6">
        <v>0</v>
      </c>
      <c r="H172" s="6">
        <f t="shared" si="8"/>
        <v>492.27001199999995</v>
      </c>
      <c r="I172" s="57" t="s">
        <v>58</v>
      </c>
      <c r="J172" s="57"/>
    </row>
    <row r="173" spans="1:10" ht="15.6" x14ac:dyDescent="0.3">
      <c r="A173" s="58" t="s">
        <v>149</v>
      </c>
      <c r="B173" s="59"/>
      <c r="C173" s="59"/>
      <c r="D173" s="59"/>
      <c r="E173" s="59"/>
      <c r="F173" s="59"/>
      <c r="G173" s="59"/>
      <c r="H173" s="59"/>
      <c r="I173" s="59"/>
      <c r="J173" s="60"/>
    </row>
    <row r="174" spans="1:10" ht="15.6" x14ac:dyDescent="0.3">
      <c r="A174" s="58" t="s">
        <v>111</v>
      </c>
      <c r="B174" s="59"/>
      <c r="C174" s="59"/>
      <c r="D174" s="59"/>
      <c r="E174" s="59"/>
      <c r="F174" s="59"/>
      <c r="G174" s="59"/>
      <c r="H174" s="59"/>
      <c r="I174" s="59"/>
      <c r="J174" s="60"/>
    </row>
    <row r="175" spans="1:10" ht="15.6" x14ac:dyDescent="0.3">
      <c r="A175" s="55">
        <v>1</v>
      </c>
      <c r="B175" s="56">
        <v>1</v>
      </c>
      <c r="C175" s="6" t="s">
        <v>108</v>
      </c>
      <c r="D175" s="6">
        <f>33.94*10.764</f>
        <v>365.33015999999998</v>
      </c>
      <c r="E175" s="6">
        <v>0</v>
      </c>
      <c r="F175" s="6">
        <f>E175+D175</f>
        <v>365.33015999999998</v>
      </c>
      <c r="G175" s="6">
        <v>0</v>
      </c>
      <c r="H175" s="6">
        <f>F175*1.45+G175</f>
        <v>529.72873199999992</v>
      </c>
      <c r="I175" s="57" t="s">
        <v>58</v>
      </c>
      <c r="J175" s="57"/>
    </row>
    <row r="176" spans="1:10" ht="15.6" x14ac:dyDescent="0.3">
      <c r="A176" s="55">
        <v>2</v>
      </c>
      <c r="B176" s="56">
        <v>2</v>
      </c>
      <c r="C176" s="6" t="s">
        <v>110</v>
      </c>
      <c r="D176" s="6">
        <f>23.28*10.764</f>
        <v>250.58591999999999</v>
      </c>
      <c r="E176" s="6">
        <v>0</v>
      </c>
      <c r="F176" s="6">
        <f>E176+D176</f>
        <v>250.58591999999999</v>
      </c>
      <c r="G176" s="6">
        <v>0</v>
      </c>
      <c r="H176" s="6">
        <f>F176*1.45+G176</f>
        <v>363.34958399999999</v>
      </c>
      <c r="I176" s="57" t="s">
        <v>58</v>
      </c>
      <c r="J176" s="57"/>
    </row>
    <row r="177" spans="1:10" ht="15.6" x14ac:dyDescent="0.3">
      <c r="A177" s="58" t="s">
        <v>107</v>
      </c>
      <c r="B177" s="59"/>
      <c r="C177" s="59"/>
      <c r="D177" s="59"/>
      <c r="E177" s="59"/>
      <c r="F177" s="59"/>
      <c r="G177" s="59"/>
      <c r="H177" s="59"/>
      <c r="I177" s="59"/>
      <c r="J177" s="60"/>
    </row>
    <row r="178" spans="1:10" ht="15.6" x14ac:dyDescent="0.3">
      <c r="A178" s="55">
        <v>1</v>
      </c>
      <c r="B178" s="56">
        <v>1</v>
      </c>
      <c r="C178" s="6" t="s">
        <v>108</v>
      </c>
      <c r="D178" s="6">
        <f>31.54*10.764</f>
        <v>339.49655999999999</v>
      </c>
      <c r="E178" s="6">
        <v>0</v>
      </c>
      <c r="F178" s="6">
        <f t="shared" ref="F178:F183" si="9">E178+D178</f>
        <v>339.49655999999999</v>
      </c>
      <c r="G178" s="6">
        <v>0</v>
      </c>
      <c r="H178" s="6">
        <f t="shared" ref="H178:H183" si="10">F178*1.45+G178</f>
        <v>492.27001199999995</v>
      </c>
      <c r="I178" s="57" t="s">
        <v>58</v>
      </c>
      <c r="J178" s="57"/>
    </row>
    <row r="179" spans="1:10" ht="15.6" x14ac:dyDescent="0.3">
      <c r="A179" s="55">
        <v>2</v>
      </c>
      <c r="B179" s="56">
        <v>2</v>
      </c>
      <c r="C179" s="6" t="s">
        <v>109</v>
      </c>
      <c r="D179" s="6">
        <f>47.96*10.764</f>
        <v>516.24144000000001</v>
      </c>
      <c r="E179" s="6">
        <v>0</v>
      </c>
      <c r="F179" s="6">
        <f t="shared" si="9"/>
        <v>516.24144000000001</v>
      </c>
      <c r="G179" s="6">
        <v>0</v>
      </c>
      <c r="H179" s="6">
        <f t="shared" si="10"/>
        <v>748.55008799999996</v>
      </c>
      <c r="I179" s="57" t="s">
        <v>58</v>
      </c>
      <c r="J179" s="57"/>
    </row>
    <row r="180" spans="1:10" ht="15.6" x14ac:dyDescent="0.3">
      <c r="A180" s="55">
        <v>3</v>
      </c>
      <c r="B180" s="56">
        <v>3</v>
      </c>
      <c r="C180" s="6" t="s">
        <v>109</v>
      </c>
      <c r="D180" s="6">
        <f>47.96*10.764</f>
        <v>516.24144000000001</v>
      </c>
      <c r="E180" s="6">
        <v>0</v>
      </c>
      <c r="F180" s="6">
        <f t="shared" si="9"/>
        <v>516.24144000000001</v>
      </c>
      <c r="G180" s="6">
        <v>0</v>
      </c>
      <c r="H180" s="6">
        <f t="shared" si="10"/>
        <v>748.55008799999996</v>
      </c>
      <c r="I180" s="57" t="s">
        <v>58</v>
      </c>
      <c r="J180" s="57"/>
    </row>
    <row r="181" spans="1:10" ht="15.6" x14ac:dyDescent="0.3">
      <c r="A181" s="55">
        <v>4</v>
      </c>
      <c r="B181" s="56">
        <v>4</v>
      </c>
      <c r="C181" s="6" t="s">
        <v>108</v>
      </c>
      <c r="D181" s="6">
        <f>33.66*10.764</f>
        <v>362.31623999999994</v>
      </c>
      <c r="E181" s="6">
        <v>0</v>
      </c>
      <c r="F181" s="6">
        <f t="shared" si="9"/>
        <v>362.31623999999994</v>
      </c>
      <c r="G181" s="6">
        <v>0</v>
      </c>
      <c r="H181" s="6">
        <f t="shared" si="10"/>
        <v>525.35854799999993</v>
      </c>
      <c r="I181" s="57" t="s">
        <v>58</v>
      </c>
      <c r="J181" s="57"/>
    </row>
    <row r="182" spans="1:10" ht="15.6" x14ac:dyDescent="0.3">
      <c r="A182" s="55">
        <v>5</v>
      </c>
      <c r="B182" s="56">
        <v>5</v>
      </c>
      <c r="C182" s="6" t="s">
        <v>108</v>
      </c>
      <c r="D182" s="6">
        <f>33.94*10.764</f>
        <v>365.33015999999998</v>
      </c>
      <c r="E182" s="6">
        <v>0</v>
      </c>
      <c r="F182" s="6">
        <f t="shared" si="9"/>
        <v>365.33015999999998</v>
      </c>
      <c r="G182" s="6">
        <v>0</v>
      </c>
      <c r="H182" s="6">
        <f t="shared" si="10"/>
        <v>529.72873199999992</v>
      </c>
      <c r="I182" s="57" t="s">
        <v>58</v>
      </c>
      <c r="J182" s="57"/>
    </row>
    <row r="183" spans="1:10" ht="15.6" x14ac:dyDescent="0.3">
      <c r="A183" s="55">
        <v>6</v>
      </c>
      <c r="B183" s="56">
        <v>6</v>
      </c>
      <c r="C183" s="6" t="s">
        <v>108</v>
      </c>
      <c r="D183" s="6">
        <f>33.58*10.764</f>
        <v>361.45511999999997</v>
      </c>
      <c r="E183" s="6">
        <v>0</v>
      </c>
      <c r="F183" s="6">
        <f t="shared" si="9"/>
        <v>361.45511999999997</v>
      </c>
      <c r="G183" s="6">
        <v>0</v>
      </c>
      <c r="H183" s="6">
        <f t="shared" si="10"/>
        <v>524.10992399999998</v>
      </c>
      <c r="I183" s="57" t="s">
        <v>58</v>
      </c>
      <c r="J183" s="57"/>
    </row>
    <row r="184" spans="1:10" ht="15.6" x14ac:dyDescent="0.3">
      <c r="A184" s="58" t="s">
        <v>150</v>
      </c>
      <c r="B184" s="59"/>
      <c r="C184" s="59"/>
      <c r="D184" s="59"/>
      <c r="E184" s="59"/>
      <c r="F184" s="59"/>
      <c r="G184" s="59"/>
      <c r="H184" s="59"/>
      <c r="I184" s="59"/>
      <c r="J184" s="60"/>
    </row>
    <row r="185" spans="1:10" ht="15.6" x14ac:dyDescent="0.3">
      <c r="A185" s="58" t="s">
        <v>112</v>
      </c>
      <c r="B185" s="59"/>
      <c r="C185" s="59"/>
      <c r="D185" s="59"/>
      <c r="E185" s="59"/>
      <c r="F185" s="59"/>
      <c r="G185" s="59"/>
      <c r="H185" s="59"/>
      <c r="I185" s="59"/>
      <c r="J185" s="60"/>
    </row>
    <row r="186" spans="1:10" ht="15.6" x14ac:dyDescent="0.3">
      <c r="A186" s="55">
        <v>1</v>
      </c>
      <c r="B186" s="56">
        <v>1</v>
      </c>
      <c r="C186" s="6" t="s">
        <v>108</v>
      </c>
      <c r="D186" s="6">
        <f>34*10.764</f>
        <v>365.976</v>
      </c>
      <c r="E186" s="6">
        <v>0</v>
      </c>
      <c r="F186" s="6">
        <f>E186+D186</f>
        <v>365.976</v>
      </c>
      <c r="G186" s="6">
        <v>0</v>
      </c>
      <c r="H186" s="6">
        <f>F186*1.45+G186</f>
        <v>530.66520000000003</v>
      </c>
      <c r="I186" s="57" t="s">
        <v>58</v>
      </c>
      <c r="J186" s="57"/>
    </row>
    <row r="187" spans="1:10" ht="15.6" x14ac:dyDescent="0.3">
      <c r="A187" s="55">
        <v>2</v>
      </c>
      <c r="B187" s="56">
        <v>2</v>
      </c>
      <c r="C187" s="6" t="s">
        <v>108</v>
      </c>
      <c r="D187" s="6">
        <f>34*10.764</f>
        <v>365.976</v>
      </c>
      <c r="E187" s="6">
        <v>0</v>
      </c>
      <c r="F187" s="6">
        <f>E187+D187</f>
        <v>365.976</v>
      </c>
      <c r="G187" s="6">
        <v>0</v>
      </c>
      <c r="H187" s="6">
        <f>F187*1.45+G187</f>
        <v>530.66520000000003</v>
      </c>
      <c r="I187" s="57" t="s">
        <v>58</v>
      </c>
      <c r="J187" s="57"/>
    </row>
    <row r="188" spans="1:10" ht="15.6" x14ac:dyDescent="0.3">
      <c r="A188" s="58" t="s">
        <v>107</v>
      </c>
      <c r="B188" s="59"/>
      <c r="C188" s="59"/>
      <c r="D188" s="59"/>
      <c r="E188" s="59"/>
      <c r="F188" s="59"/>
      <c r="G188" s="59"/>
      <c r="H188" s="59"/>
      <c r="I188" s="59"/>
      <c r="J188" s="60"/>
    </row>
    <row r="189" spans="1:10" ht="15.6" x14ac:dyDescent="0.3">
      <c r="A189" s="55">
        <v>1</v>
      </c>
      <c r="B189" s="56">
        <v>1</v>
      </c>
      <c r="C189" s="6" t="s">
        <v>108</v>
      </c>
      <c r="D189" s="6">
        <f>34*10.764</f>
        <v>365.976</v>
      </c>
      <c r="E189" s="6">
        <v>0</v>
      </c>
      <c r="F189" s="6">
        <f>E189+D189</f>
        <v>365.976</v>
      </c>
      <c r="G189" s="6">
        <v>0</v>
      </c>
      <c r="H189" s="6">
        <f>F189*1.45+G189</f>
        <v>530.66520000000003</v>
      </c>
      <c r="I189" s="57" t="s">
        <v>58</v>
      </c>
      <c r="J189" s="57"/>
    </row>
    <row r="190" spans="1:10" ht="15.6" x14ac:dyDescent="0.3">
      <c r="A190" s="55">
        <v>2</v>
      </c>
      <c r="B190" s="56">
        <v>2</v>
      </c>
      <c r="C190" s="6" t="s">
        <v>108</v>
      </c>
      <c r="D190" s="6">
        <f>28.25*10.764</f>
        <v>304.08299999999997</v>
      </c>
      <c r="E190" s="6">
        <v>0</v>
      </c>
      <c r="F190" s="6">
        <f>E190+D190</f>
        <v>304.08299999999997</v>
      </c>
      <c r="G190" s="6">
        <v>0</v>
      </c>
      <c r="H190" s="6">
        <f>F190*1.45+G190</f>
        <v>440.92034999999993</v>
      </c>
      <c r="I190" s="57" t="s">
        <v>58</v>
      </c>
      <c r="J190" s="57"/>
    </row>
    <row r="191" spans="1:10" ht="15.6" x14ac:dyDescent="0.3">
      <c r="A191" s="55">
        <v>3</v>
      </c>
      <c r="B191" s="56">
        <v>3</v>
      </c>
      <c r="C191" s="6" t="s">
        <v>108</v>
      </c>
      <c r="D191" s="6">
        <f>34*10.764</f>
        <v>365.976</v>
      </c>
      <c r="E191" s="6">
        <v>0</v>
      </c>
      <c r="F191" s="6">
        <f>E191+D191</f>
        <v>365.976</v>
      </c>
      <c r="G191" s="6">
        <v>0</v>
      </c>
      <c r="H191" s="6">
        <f>F191*1.45+G191</f>
        <v>530.66520000000003</v>
      </c>
      <c r="I191" s="57" t="s">
        <v>58</v>
      </c>
      <c r="J191" s="57"/>
    </row>
    <row r="192" spans="1:10" ht="15.6" x14ac:dyDescent="0.3">
      <c r="A192" s="55">
        <v>4</v>
      </c>
      <c r="B192" s="56">
        <v>4</v>
      </c>
      <c r="C192" s="6" t="s">
        <v>108</v>
      </c>
      <c r="D192" s="6">
        <f>34*10.764</f>
        <v>365.976</v>
      </c>
      <c r="E192" s="6">
        <v>0</v>
      </c>
      <c r="F192" s="6">
        <f>E192+D192</f>
        <v>365.976</v>
      </c>
      <c r="G192" s="6">
        <v>0</v>
      </c>
      <c r="H192" s="6">
        <f>F192*1.45+G192</f>
        <v>530.66520000000003</v>
      </c>
      <c r="I192" s="57" t="s">
        <v>58</v>
      </c>
      <c r="J192" s="57"/>
    </row>
    <row r="193" spans="1:13" ht="214.8" customHeight="1" x14ac:dyDescent="0.3">
      <c r="A193" s="83" t="s">
        <v>232</v>
      </c>
      <c r="B193" s="84"/>
      <c r="C193" s="84"/>
      <c r="D193" s="84"/>
      <c r="E193" s="84"/>
      <c r="F193" s="84"/>
      <c r="G193" s="84"/>
      <c r="H193" s="84"/>
      <c r="I193" s="84"/>
      <c r="J193" s="85"/>
      <c r="M193" s="49" t="s">
        <v>229</v>
      </c>
    </row>
    <row r="194" spans="1:13" x14ac:dyDescent="0.3">
      <c r="A194" s="71" t="s">
        <v>113</v>
      </c>
      <c r="B194" s="72"/>
      <c r="C194" s="72"/>
      <c r="D194" s="72"/>
      <c r="E194" s="72"/>
      <c r="F194" s="72"/>
      <c r="G194" s="72"/>
      <c r="H194" s="72"/>
      <c r="I194" s="72"/>
      <c r="J194" s="73"/>
    </row>
    <row r="195" spans="1:13" x14ac:dyDescent="0.3">
      <c r="A195" s="74" t="s">
        <v>34</v>
      </c>
      <c r="B195" s="75"/>
      <c r="C195" s="75"/>
      <c r="D195" s="75"/>
      <c r="E195" s="75"/>
      <c r="F195" s="75"/>
      <c r="G195" s="75"/>
      <c r="H195" s="75"/>
      <c r="I195" s="75"/>
      <c r="J195" s="76"/>
    </row>
    <row r="196" spans="1:13" x14ac:dyDescent="0.3">
      <c r="A196" s="77" t="s">
        <v>28</v>
      </c>
      <c r="B196" s="78"/>
      <c r="C196" s="78"/>
      <c r="D196" s="78"/>
      <c r="E196" s="78"/>
      <c r="F196" s="78"/>
      <c r="G196" s="78"/>
      <c r="H196" s="78"/>
      <c r="I196" s="78"/>
      <c r="J196" s="79"/>
    </row>
    <row r="197" spans="1:13" x14ac:dyDescent="0.3">
      <c r="A197" s="61" t="s">
        <v>39</v>
      </c>
      <c r="B197" s="53"/>
      <c r="C197" s="53"/>
      <c r="D197" s="53"/>
      <c r="E197" s="53"/>
      <c r="F197" s="53"/>
      <c r="G197" s="53"/>
      <c r="H197" s="53"/>
      <c r="I197" s="53"/>
      <c r="J197" s="54"/>
    </row>
    <row r="198" spans="1:13" x14ac:dyDescent="0.3">
      <c r="A198" s="80" t="s">
        <v>66</v>
      </c>
      <c r="B198" s="81"/>
      <c r="C198" s="81"/>
      <c r="D198" s="81"/>
      <c r="E198" s="81"/>
      <c r="F198" s="81"/>
      <c r="G198" s="81"/>
      <c r="H198" s="81"/>
      <c r="I198" s="81"/>
      <c r="J198" s="82"/>
    </row>
    <row r="199" spans="1:13" x14ac:dyDescent="0.3">
      <c r="A199" s="61" t="s">
        <v>40</v>
      </c>
      <c r="B199" s="53"/>
      <c r="C199" s="53"/>
      <c r="D199" s="53"/>
      <c r="E199" s="53"/>
      <c r="F199" s="53"/>
      <c r="G199" s="53"/>
      <c r="H199" s="53"/>
      <c r="I199" s="53"/>
      <c r="J199" s="54"/>
    </row>
    <row r="200" spans="1:13" x14ac:dyDescent="0.3">
      <c r="A200" s="61" t="s">
        <v>41</v>
      </c>
      <c r="B200" s="53"/>
      <c r="C200" s="53"/>
      <c r="D200" s="53"/>
      <c r="E200" s="53"/>
      <c r="F200" s="53"/>
      <c r="G200" s="53"/>
      <c r="H200" s="53"/>
      <c r="I200" s="53"/>
      <c r="J200" s="54"/>
    </row>
    <row r="201" spans="1:13" x14ac:dyDescent="0.3">
      <c r="A201" s="62" t="s">
        <v>42</v>
      </c>
      <c r="B201" s="63"/>
      <c r="C201" s="63"/>
      <c r="D201" s="63"/>
      <c r="E201" s="63"/>
      <c r="F201" s="63"/>
      <c r="G201" s="63"/>
      <c r="H201" s="63"/>
      <c r="I201" s="63"/>
      <c r="J201" s="64"/>
    </row>
    <row r="202" spans="1:13" ht="15" customHeight="1" x14ac:dyDescent="0.3">
      <c r="A202" s="65" t="s">
        <v>27</v>
      </c>
      <c r="B202" s="66"/>
      <c r="C202" s="66"/>
      <c r="D202" s="66"/>
      <c r="E202" s="66"/>
      <c r="F202" s="66"/>
      <c r="G202" s="66"/>
      <c r="H202" s="66"/>
      <c r="I202" s="66"/>
      <c r="J202" s="67"/>
    </row>
    <row r="203" spans="1:13" x14ac:dyDescent="0.3">
      <c r="A203" s="68"/>
      <c r="B203" s="69"/>
      <c r="C203" s="69"/>
      <c r="D203" s="69"/>
      <c r="E203" s="69"/>
      <c r="F203" s="69"/>
      <c r="G203" s="69"/>
      <c r="H203" s="69"/>
      <c r="I203" s="69"/>
      <c r="J203" s="70"/>
    </row>
    <row r="204" spans="1:13" x14ac:dyDescent="0.3">
      <c r="A204" s="68"/>
      <c r="B204" s="69"/>
      <c r="C204" s="69"/>
      <c r="D204" s="69"/>
      <c r="E204" s="69"/>
      <c r="F204" s="69"/>
      <c r="G204" s="69"/>
      <c r="H204" s="69"/>
      <c r="I204" s="69"/>
      <c r="J204" s="70"/>
    </row>
    <row r="205" spans="1:13" s="13" customFormat="1" ht="13.8" x14ac:dyDescent="0.25">
      <c r="A205" s="13" t="s">
        <v>159</v>
      </c>
      <c r="E205" s="13" t="str">
        <f>F8</f>
        <v>Ideal Avenue</v>
      </c>
    </row>
    <row r="221" spans="7:8" x14ac:dyDescent="0.3">
      <c r="G221" s="171"/>
      <c r="H221" s="171"/>
    </row>
    <row r="236" spans="2:8" x14ac:dyDescent="0.3">
      <c r="B236" s="171"/>
      <c r="C236" s="171"/>
      <c r="G236" s="171"/>
      <c r="H236" s="171"/>
    </row>
    <row r="254" spans="1:2" x14ac:dyDescent="0.3">
      <c r="A254" s="15" t="s">
        <v>144</v>
      </c>
      <c r="B254" s="15"/>
    </row>
  </sheetData>
  <mergeCells count="395">
    <mergeCell ref="A101:B101"/>
    <mergeCell ref="D101:E101"/>
    <mergeCell ref="F101:G110"/>
    <mergeCell ref="H101:J110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97:B97"/>
    <mergeCell ref="C97:J97"/>
    <mergeCell ref="F98:G98"/>
    <mergeCell ref="I98:J98"/>
    <mergeCell ref="A99:B99"/>
    <mergeCell ref="C99:J99"/>
    <mergeCell ref="A100:B100"/>
    <mergeCell ref="D100:E100"/>
    <mergeCell ref="F100:G100"/>
    <mergeCell ref="H100:J100"/>
    <mergeCell ref="A87:B87"/>
    <mergeCell ref="D87:E87"/>
    <mergeCell ref="F87:G96"/>
    <mergeCell ref="H87:J96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83:B83"/>
    <mergeCell ref="C83:J83"/>
    <mergeCell ref="F84:G84"/>
    <mergeCell ref="I84:J84"/>
    <mergeCell ref="A85:B85"/>
    <mergeCell ref="C85:J85"/>
    <mergeCell ref="A86:B86"/>
    <mergeCell ref="D86:E86"/>
    <mergeCell ref="F86:G86"/>
    <mergeCell ref="H86:J86"/>
    <mergeCell ref="A73:B73"/>
    <mergeCell ref="D73:E73"/>
    <mergeCell ref="F73:G82"/>
    <mergeCell ref="H73:J82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69:B69"/>
    <mergeCell ref="C69:J69"/>
    <mergeCell ref="F70:G70"/>
    <mergeCell ref="I70:J70"/>
    <mergeCell ref="A71:B71"/>
    <mergeCell ref="C71:J71"/>
    <mergeCell ref="A72:B72"/>
    <mergeCell ref="D72:E72"/>
    <mergeCell ref="F72:G72"/>
    <mergeCell ref="H72:J72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55:B55"/>
    <mergeCell ref="C55:J55"/>
    <mergeCell ref="G221:H221"/>
    <mergeCell ref="B236:C236"/>
    <mergeCell ref="G236:H236"/>
    <mergeCell ref="A1:J1"/>
    <mergeCell ref="A2:J2"/>
    <mergeCell ref="A3:E3"/>
    <mergeCell ref="F3:J3"/>
    <mergeCell ref="A4:E4"/>
    <mergeCell ref="F4:J4"/>
    <mergeCell ref="A5:E5"/>
    <mergeCell ref="A43:B43"/>
    <mergeCell ref="C43:F43"/>
    <mergeCell ref="H43:J43"/>
    <mergeCell ref="A45:B45"/>
    <mergeCell ref="C45:F45"/>
    <mergeCell ref="H45:J45"/>
    <mergeCell ref="A44:B44"/>
    <mergeCell ref="C44:F44"/>
    <mergeCell ref="H44:J44"/>
    <mergeCell ref="A9:E9"/>
    <mergeCell ref="F9:J9"/>
    <mergeCell ref="A10:E10"/>
    <mergeCell ref="F10:J10"/>
    <mergeCell ref="A12:B12"/>
    <mergeCell ref="C12:G12"/>
    <mergeCell ref="I12:J12"/>
    <mergeCell ref="F5:J5"/>
    <mergeCell ref="A6:E6"/>
    <mergeCell ref="F6:J6"/>
    <mergeCell ref="A7:E7"/>
    <mergeCell ref="F7:J7"/>
    <mergeCell ref="A8:E8"/>
    <mergeCell ref="F8:J8"/>
    <mergeCell ref="A11:E11"/>
    <mergeCell ref="F11:J11"/>
    <mergeCell ref="A17:B17"/>
    <mergeCell ref="C17:E17"/>
    <mergeCell ref="F17:G17"/>
    <mergeCell ref="H17:J17"/>
    <mergeCell ref="A13:B13"/>
    <mergeCell ref="C13:J13"/>
    <mergeCell ref="H14:J14"/>
    <mergeCell ref="A14:B14"/>
    <mergeCell ref="C14:E14"/>
    <mergeCell ref="F14:G14"/>
    <mergeCell ref="A15:B15"/>
    <mergeCell ref="C15:E15"/>
    <mergeCell ref="F15:G15"/>
    <mergeCell ref="H15:J15"/>
    <mergeCell ref="A16:B16"/>
    <mergeCell ref="C16:E16"/>
    <mergeCell ref="F16:G16"/>
    <mergeCell ref="H16:J16"/>
    <mergeCell ref="A22:E22"/>
    <mergeCell ref="F22:J22"/>
    <mergeCell ref="A23:E23"/>
    <mergeCell ref="F23:J23"/>
    <mergeCell ref="A24:E24"/>
    <mergeCell ref="F24:J24"/>
    <mergeCell ref="A18:E19"/>
    <mergeCell ref="F18:J19"/>
    <mergeCell ref="A20:E20"/>
    <mergeCell ref="F20:J20"/>
    <mergeCell ref="A21:E21"/>
    <mergeCell ref="F21:J21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9:J29"/>
    <mergeCell ref="A30:B30"/>
    <mergeCell ref="A27:B27"/>
    <mergeCell ref="C27:D27"/>
    <mergeCell ref="E27:F27"/>
    <mergeCell ref="G27:H27"/>
    <mergeCell ref="I27:J27"/>
    <mergeCell ref="A28:J28"/>
    <mergeCell ref="C30:J30"/>
    <mergeCell ref="A37:E37"/>
    <mergeCell ref="F37:J37"/>
    <mergeCell ref="A38:E38"/>
    <mergeCell ref="F38:J38"/>
    <mergeCell ref="A39:E39"/>
    <mergeCell ref="F39:J39"/>
    <mergeCell ref="A32:J32"/>
    <mergeCell ref="A33:J34"/>
    <mergeCell ref="A35:E35"/>
    <mergeCell ref="F35:J35"/>
    <mergeCell ref="A36:E36"/>
    <mergeCell ref="F36:J36"/>
    <mergeCell ref="A47:C47"/>
    <mergeCell ref="D47:E47"/>
    <mergeCell ref="F47:G47"/>
    <mergeCell ref="H47:J47"/>
    <mergeCell ref="A50:B50"/>
    <mergeCell ref="F49:G49"/>
    <mergeCell ref="H49:J49"/>
    <mergeCell ref="A40:E40"/>
    <mergeCell ref="F40:J40"/>
    <mergeCell ref="A41:J41"/>
    <mergeCell ref="A42:B42"/>
    <mergeCell ref="C42:F42"/>
    <mergeCell ref="H42:J42"/>
    <mergeCell ref="A46:B46"/>
    <mergeCell ref="C46:F46"/>
    <mergeCell ref="H46:J46"/>
    <mergeCell ref="A53:J53"/>
    <mergeCell ref="A54:J54"/>
    <mergeCell ref="A48:J48"/>
    <mergeCell ref="A49:C49"/>
    <mergeCell ref="D49:E49"/>
    <mergeCell ref="A51:C51"/>
    <mergeCell ref="D51:J51"/>
    <mergeCell ref="E52:J52"/>
    <mergeCell ref="A52:D52"/>
    <mergeCell ref="C50:J50"/>
    <mergeCell ref="A113:J119"/>
    <mergeCell ref="A120:J120"/>
    <mergeCell ref="A111:J111"/>
    <mergeCell ref="A112:J112"/>
    <mergeCell ref="F56:G56"/>
    <mergeCell ref="I56:J56"/>
    <mergeCell ref="A57:B57"/>
    <mergeCell ref="C57:J57"/>
    <mergeCell ref="A58:B58"/>
    <mergeCell ref="D58:E58"/>
    <mergeCell ref="F58:G58"/>
    <mergeCell ref="H58:J58"/>
    <mergeCell ref="A59:B59"/>
    <mergeCell ref="D59:E59"/>
    <mergeCell ref="F59:G68"/>
    <mergeCell ref="H59:J68"/>
    <mergeCell ref="A60:B60"/>
    <mergeCell ref="D60:E60"/>
    <mergeCell ref="A61:B61"/>
    <mergeCell ref="D61:E61"/>
    <mergeCell ref="A62:B62"/>
    <mergeCell ref="D62:E62"/>
    <mergeCell ref="A63:B63"/>
    <mergeCell ref="D63:E63"/>
    <mergeCell ref="A126:G126"/>
    <mergeCell ref="H126:J126"/>
    <mergeCell ref="A125:G125"/>
    <mergeCell ref="H125:J125"/>
    <mergeCell ref="A121:G121"/>
    <mergeCell ref="H121:J121"/>
    <mergeCell ref="A123:G123"/>
    <mergeCell ref="H123:J123"/>
    <mergeCell ref="A124:G124"/>
    <mergeCell ref="H124:J124"/>
    <mergeCell ref="A122:G122"/>
    <mergeCell ref="H122:J122"/>
    <mergeCell ref="A130:J130"/>
    <mergeCell ref="A131:J131"/>
    <mergeCell ref="A132:J132"/>
    <mergeCell ref="A143:J143"/>
    <mergeCell ref="I144:J144"/>
    <mergeCell ref="A127:J127"/>
    <mergeCell ref="A128:J128"/>
    <mergeCell ref="I129:J129"/>
    <mergeCell ref="A144:B144"/>
    <mergeCell ref="A133:B133"/>
    <mergeCell ref="I136:J136"/>
    <mergeCell ref="A129:B129"/>
    <mergeCell ref="A140:B140"/>
    <mergeCell ref="I140:J140"/>
    <mergeCell ref="A141:B141"/>
    <mergeCell ref="I141:J141"/>
    <mergeCell ref="A142:B142"/>
    <mergeCell ref="I142:J142"/>
    <mergeCell ref="A137:B137"/>
    <mergeCell ref="I137:J137"/>
    <mergeCell ref="A138:B138"/>
    <mergeCell ref="I138:J138"/>
    <mergeCell ref="A139:B139"/>
    <mergeCell ref="I139:J139"/>
    <mergeCell ref="A166:J166"/>
    <mergeCell ref="I167:J167"/>
    <mergeCell ref="I168:J168"/>
    <mergeCell ref="I169:J169"/>
    <mergeCell ref="A167:B167"/>
    <mergeCell ref="A168:B168"/>
    <mergeCell ref="A169:B169"/>
    <mergeCell ref="A153:B153"/>
    <mergeCell ref="I145:J145"/>
    <mergeCell ref="I146:J146"/>
    <mergeCell ref="I147:J147"/>
    <mergeCell ref="I148:J148"/>
    <mergeCell ref="I149:J149"/>
    <mergeCell ref="I150:J150"/>
    <mergeCell ref="A164:B164"/>
    <mergeCell ref="I164:J164"/>
    <mergeCell ref="A165:B165"/>
    <mergeCell ref="I165:J165"/>
    <mergeCell ref="A160:B160"/>
    <mergeCell ref="I160:J160"/>
    <mergeCell ref="A161:B161"/>
    <mergeCell ref="I161:J161"/>
    <mergeCell ref="A162:B162"/>
    <mergeCell ref="I162:J162"/>
    <mergeCell ref="I181:J181"/>
    <mergeCell ref="A178:B178"/>
    <mergeCell ref="A179:B179"/>
    <mergeCell ref="A180:B180"/>
    <mergeCell ref="A181:B181"/>
    <mergeCell ref="A176:B176"/>
    <mergeCell ref="I170:J170"/>
    <mergeCell ref="I171:J171"/>
    <mergeCell ref="I172:J172"/>
    <mergeCell ref="A173:J173"/>
    <mergeCell ref="A174:J174"/>
    <mergeCell ref="I175:J175"/>
    <mergeCell ref="A170:B170"/>
    <mergeCell ref="A171:B171"/>
    <mergeCell ref="A172:B172"/>
    <mergeCell ref="A175:B175"/>
    <mergeCell ref="A202:J204"/>
    <mergeCell ref="A194:J194"/>
    <mergeCell ref="A195:J195"/>
    <mergeCell ref="A196:J196"/>
    <mergeCell ref="A197:J197"/>
    <mergeCell ref="A198:J198"/>
    <mergeCell ref="A199:J199"/>
    <mergeCell ref="A188:J188"/>
    <mergeCell ref="I189:J189"/>
    <mergeCell ref="I190:J190"/>
    <mergeCell ref="I191:J191"/>
    <mergeCell ref="I192:J192"/>
    <mergeCell ref="A193:J193"/>
    <mergeCell ref="A189:B189"/>
    <mergeCell ref="A190:B190"/>
    <mergeCell ref="A191:B191"/>
    <mergeCell ref="A192:B192"/>
    <mergeCell ref="I134:J134"/>
    <mergeCell ref="A135:B135"/>
    <mergeCell ref="I135:J135"/>
    <mergeCell ref="A136:B136"/>
    <mergeCell ref="A145:B145"/>
    <mergeCell ref="A146:B146"/>
    <mergeCell ref="A147:B147"/>
    <mergeCell ref="A200:J200"/>
    <mergeCell ref="A201:J201"/>
    <mergeCell ref="I182:J182"/>
    <mergeCell ref="I183:J183"/>
    <mergeCell ref="A184:J184"/>
    <mergeCell ref="A185:J185"/>
    <mergeCell ref="I186:J186"/>
    <mergeCell ref="I187:J187"/>
    <mergeCell ref="A182:B182"/>
    <mergeCell ref="A183:B183"/>
    <mergeCell ref="A186:B186"/>
    <mergeCell ref="A187:B187"/>
    <mergeCell ref="I176:J176"/>
    <mergeCell ref="A177:J177"/>
    <mergeCell ref="I178:J178"/>
    <mergeCell ref="I179:J179"/>
    <mergeCell ref="I180:J180"/>
    <mergeCell ref="A31:B31"/>
    <mergeCell ref="C31:J31"/>
    <mergeCell ref="A148:B148"/>
    <mergeCell ref="A149:B149"/>
    <mergeCell ref="A150:B150"/>
    <mergeCell ref="A163:B163"/>
    <mergeCell ref="I163:J163"/>
    <mergeCell ref="A157:B157"/>
    <mergeCell ref="I157:J157"/>
    <mergeCell ref="A158:B158"/>
    <mergeCell ref="I158:J158"/>
    <mergeCell ref="A159:B159"/>
    <mergeCell ref="I159:J159"/>
    <mergeCell ref="I153:J153"/>
    <mergeCell ref="A154:B154"/>
    <mergeCell ref="I154:J154"/>
    <mergeCell ref="A155:B155"/>
    <mergeCell ref="I155:J155"/>
    <mergeCell ref="A156:B156"/>
    <mergeCell ref="I156:J156"/>
    <mergeCell ref="A151:J151"/>
    <mergeCell ref="A152:J152"/>
    <mergeCell ref="I133:J133"/>
    <mergeCell ref="A134:B134"/>
  </mergeCells>
  <hyperlinks>
    <hyperlink ref="C31" r:id="rId1" xr:uid="{00000000-0004-0000-0000-000000000000}"/>
  </hyperlinks>
  <pageMargins left="0.39370078740157483" right="0.39370078740157483" top="0.78740157480314965" bottom="0.78740157480314965" header="0.19685039370078741" footer="0.19685039370078741"/>
  <pageSetup paperSize="9" scale="89" fitToHeight="0" orientation="portrait" r:id="rId2"/>
  <headerFooter>
    <oddHeader>&amp;C&amp;G</oddHeader>
    <oddFooter>&amp;L&amp;"Times New Roman,Bold"Ref No: &amp;F&amp;C&amp;G&amp;R&amp;P</oddFooter>
  </headerFooter>
  <rowBreaks count="3" manualBreakCount="3">
    <brk id="68" max="16383" man="1"/>
    <brk id="204" max="16383" man="1"/>
    <brk id="253" max="16383" man="1"/>
  </rowBreaks>
  <colBreaks count="1" manualBreakCount="1">
    <brk id="2" max="283" man="1"/>
  </col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"/>
  <sheetViews>
    <sheetView workbookViewId="0">
      <selection activeCell="C8" sqref="C8"/>
    </sheetView>
  </sheetViews>
  <sheetFormatPr defaultColWidth="9.21875" defaultRowHeight="14.4" x14ac:dyDescent="0.3"/>
  <cols>
    <col min="1" max="1" width="9.21875" style="16"/>
    <col min="2" max="2" width="21.5546875" style="16" customWidth="1"/>
    <col min="3" max="3" width="36.21875" style="16" customWidth="1"/>
    <col min="4" max="4" width="11.21875" style="16" customWidth="1"/>
    <col min="5" max="5" width="12" style="16" customWidth="1"/>
    <col min="6" max="6" width="10.21875" style="16" customWidth="1"/>
    <col min="7" max="7" width="9.21875" style="16"/>
    <col min="8" max="8" width="28.77734375" style="16" customWidth="1"/>
    <col min="9" max="16384" width="9.21875" style="16"/>
  </cols>
  <sheetData>
    <row r="2" spans="1:9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A3" s="17"/>
      <c r="B3" s="178" t="s">
        <v>166</v>
      </c>
      <c r="C3" s="178"/>
      <c r="D3" s="178"/>
      <c r="E3" s="178"/>
      <c r="F3" s="178"/>
      <c r="G3" s="178"/>
      <c r="H3" s="178"/>
    </row>
    <row r="4" spans="1:9" ht="28.8" x14ac:dyDescent="0.3">
      <c r="A4" s="17"/>
      <c r="B4" s="18" t="s">
        <v>167</v>
      </c>
      <c r="C4" s="18" t="s">
        <v>168</v>
      </c>
      <c r="D4" s="18" t="s">
        <v>169</v>
      </c>
      <c r="E4" s="18" t="s">
        <v>170</v>
      </c>
      <c r="F4" s="18" t="s">
        <v>171</v>
      </c>
      <c r="G4" s="18" t="s">
        <v>172</v>
      </c>
      <c r="H4" s="18" t="s">
        <v>173</v>
      </c>
    </row>
    <row r="5" spans="1:9" x14ac:dyDescent="0.3">
      <c r="A5" s="17"/>
      <c r="B5" s="19" t="s">
        <v>176</v>
      </c>
      <c r="C5" s="26" t="s">
        <v>145</v>
      </c>
      <c r="D5" s="19" t="s">
        <v>108</v>
      </c>
      <c r="E5" s="19">
        <v>420</v>
      </c>
      <c r="F5" s="20">
        <f>E5*1.45</f>
        <v>609</v>
      </c>
      <c r="G5" s="20">
        <f>H5/F5</f>
        <v>2955.6650246305417</v>
      </c>
      <c r="H5" s="21">
        <v>1800000</v>
      </c>
    </row>
    <row r="6" spans="1:9" x14ac:dyDescent="0.3">
      <c r="A6" s="17"/>
      <c r="B6" s="19" t="s">
        <v>177</v>
      </c>
      <c r="C6" s="26" t="s">
        <v>145</v>
      </c>
      <c r="D6" s="19" t="s">
        <v>108</v>
      </c>
      <c r="E6" s="19">
        <v>420</v>
      </c>
      <c r="F6" s="20">
        <f>E6*1.45</f>
        <v>609</v>
      </c>
      <c r="G6" s="20">
        <f>H6/F6</f>
        <v>2955.6650246305417</v>
      </c>
      <c r="H6" s="21">
        <v>1800000</v>
      </c>
    </row>
    <row r="7" spans="1:9" x14ac:dyDescent="0.3">
      <c r="A7" s="17"/>
      <c r="B7" s="19" t="s">
        <v>178</v>
      </c>
      <c r="C7" s="26" t="s">
        <v>145</v>
      </c>
      <c r="D7" s="19" t="s">
        <v>108</v>
      </c>
      <c r="E7" s="19">
        <v>323</v>
      </c>
      <c r="F7" s="20">
        <f>E7*1.45</f>
        <v>468.34999999999997</v>
      </c>
      <c r="G7" s="20">
        <f>H7/F7</f>
        <v>3416.2485320807091</v>
      </c>
      <c r="H7" s="21">
        <v>1600000</v>
      </c>
    </row>
    <row r="8" spans="1:9" x14ac:dyDescent="0.3">
      <c r="A8" s="17"/>
      <c r="B8" s="19" t="s">
        <v>178</v>
      </c>
      <c r="C8" s="26" t="s">
        <v>145</v>
      </c>
      <c r="D8" s="19" t="s">
        <v>109</v>
      </c>
      <c r="E8" s="19">
        <v>454</v>
      </c>
      <c r="F8" s="20">
        <f>E8*1.45</f>
        <v>658.3</v>
      </c>
      <c r="G8" s="20">
        <f>H8/F8</f>
        <v>3190.0349384778979</v>
      </c>
      <c r="H8" s="21">
        <v>2100000</v>
      </c>
    </row>
    <row r="9" spans="1:9" x14ac:dyDescent="0.3">
      <c r="A9" s="17"/>
      <c r="B9" s="22" t="s">
        <v>174</v>
      </c>
      <c r="C9" s="19"/>
      <c r="D9" s="19"/>
      <c r="E9" s="19"/>
      <c r="F9" s="19"/>
      <c r="G9" s="23">
        <f>AVERAGE(G5:G8)</f>
        <v>3129.4033799549229</v>
      </c>
      <c r="H9" s="19"/>
    </row>
    <row r="10" spans="1:9" x14ac:dyDescent="0.3">
      <c r="B10" s="22" t="s">
        <v>175</v>
      </c>
      <c r="C10" s="19"/>
      <c r="D10" s="19"/>
      <c r="E10" s="19"/>
      <c r="F10" s="24"/>
      <c r="G10" s="22">
        <v>3200</v>
      </c>
      <c r="H10" s="22"/>
      <c r="I10" s="25"/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5"/>
  <sheetViews>
    <sheetView topLeftCell="A7" workbookViewId="0">
      <selection activeCell="B29" sqref="B29"/>
    </sheetView>
  </sheetViews>
  <sheetFormatPr defaultRowHeight="14.4" x14ac:dyDescent="0.3"/>
  <cols>
    <col min="1" max="1" width="11.21875" bestFit="1" customWidth="1"/>
    <col min="2" max="2" width="12.77734375" customWidth="1"/>
  </cols>
  <sheetData>
    <row r="2" spans="1:1" x14ac:dyDescent="0.3">
      <c r="A2" t="s">
        <v>164</v>
      </c>
    </row>
    <row r="24" spans="1:3" x14ac:dyDescent="0.3">
      <c r="A24" t="s">
        <v>165</v>
      </c>
      <c r="B24" t="s">
        <v>179</v>
      </c>
      <c r="C24" t="s">
        <v>180</v>
      </c>
    </row>
    <row r="25" spans="1:3" x14ac:dyDescent="0.3">
      <c r="C25" t="s">
        <v>181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0"/>
  <sheetViews>
    <sheetView workbookViewId="0">
      <selection activeCell="C6" sqref="C6:C8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121</v>
      </c>
      <c r="B2" s="8" t="s">
        <v>122</v>
      </c>
      <c r="C2" s="8">
        <v>4</v>
      </c>
    </row>
    <row r="3" spans="1:15" x14ac:dyDescent="0.3">
      <c r="B3" t="s">
        <v>123</v>
      </c>
      <c r="C3" t="s">
        <v>124</v>
      </c>
    </row>
    <row r="4" spans="1:15" x14ac:dyDescent="0.3">
      <c r="A4" t="s">
        <v>125</v>
      </c>
      <c r="B4" s="7">
        <v>10</v>
      </c>
      <c r="C4" s="7">
        <v>10</v>
      </c>
      <c r="E4" s="12">
        <f>(100/B4)*C4</f>
        <v>100</v>
      </c>
    </row>
    <row r="5" spans="1:15" x14ac:dyDescent="0.3">
      <c r="A5" t="s">
        <v>126</v>
      </c>
      <c r="B5" t="s">
        <v>127</v>
      </c>
      <c r="C5" t="s">
        <v>128</v>
      </c>
      <c r="E5" s="12">
        <f>(100/B6)*C6</f>
        <v>80</v>
      </c>
      <c r="I5" s="7" t="s">
        <v>129</v>
      </c>
      <c r="J5" s="7" t="s">
        <v>130</v>
      </c>
      <c r="K5" s="7" t="s">
        <v>131</v>
      </c>
      <c r="L5" s="7" t="s">
        <v>38</v>
      </c>
      <c r="M5" s="7" t="s">
        <v>45</v>
      </c>
      <c r="N5" s="7" t="s">
        <v>132</v>
      </c>
      <c r="O5" s="7" t="s">
        <v>46</v>
      </c>
    </row>
    <row r="6" spans="1:15" x14ac:dyDescent="0.3">
      <c r="B6" s="7">
        <f>C2+1</f>
        <v>5</v>
      </c>
      <c r="C6" s="7">
        <v>4</v>
      </c>
      <c r="E6" s="12">
        <f>(100/B8)*C8</f>
        <v>80</v>
      </c>
      <c r="F6" s="9" t="s">
        <v>133</v>
      </c>
      <c r="I6" s="9">
        <f>C4</f>
        <v>10</v>
      </c>
      <c r="J6" s="9">
        <f>40/B6*C6</f>
        <v>32</v>
      </c>
      <c r="K6" s="9">
        <f>15/B8*C8</f>
        <v>12</v>
      </c>
      <c r="L6" s="9">
        <f>10/B10*C10</f>
        <v>0</v>
      </c>
      <c r="M6" s="9">
        <f>10/B12*C12</f>
        <v>0</v>
      </c>
      <c r="N6" s="9">
        <f>5/B14*C14</f>
        <v>0</v>
      </c>
      <c r="O6" s="9">
        <f>5/B16*C16</f>
        <v>0</v>
      </c>
    </row>
    <row r="7" spans="1:15" x14ac:dyDescent="0.3">
      <c r="A7" t="s">
        <v>134</v>
      </c>
      <c r="B7" t="s">
        <v>135</v>
      </c>
      <c r="C7" t="s">
        <v>136</v>
      </c>
      <c r="E7" s="12">
        <f>(100/B10)*C10</f>
        <v>0</v>
      </c>
      <c r="F7" s="7" t="s">
        <v>137</v>
      </c>
      <c r="G7" s="7"/>
      <c r="H7" s="7"/>
      <c r="I7" s="7">
        <f>I6+20</f>
        <v>30</v>
      </c>
      <c r="J7" s="7">
        <f>30/B6*C6</f>
        <v>24</v>
      </c>
      <c r="K7" s="7">
        <f>15/B8*C8</f>
        <v>12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v>5</v>
      </c>
      <c r="C8" s="7">
        <v>4</v>
      </c>
      <c r="E8" s="12">
        <f>(100/B12)*C12</f>
        <v>0</v>
      </c>
    </row>
    <row r="9" spans="1:15" x14ac:dyDescent="0.3">
      <c r="A9" t="s">
        <v>138</v>
      </c>
      <c r="B9" t="s">
        <v>135</v>
      </c>
      <c r="C9" t="s">
        <v>136</v>
      </c>
      <c r="E9" s="12">
        <f>(100/B14)*C14</f>
        <v>0</v>
      </c>
    </row>
    <row r="10" spans="1:15" x14ac:dyDescent="0.3">
      <c r="B10" s="7">
        <v>5</v>
      </c>
      <c r="C10" s="7">
        <v>0</v>
      </c>
      <c r="E10" s="12">
        <f>(100/B16)*C16</f>
        <v>0</v>
      </c>
    </row>
    <row r="11" spans="1:15" x14ac:dyDescent="0.3">
      <c r="A11" t="s">
        <v>45</v>
      </c>
      <c r="B11" t="s">
        <v>135</v>
      </c>
      <c r="C11" t="s">
        <v>136</v>
      </c>
    </row>
    <row r="12" spans="1:15" x14ac:dyDescent="0.3">
      <c r="B12" s="7">
        <v>5</v>
      </c>
      <c r="C12" s="7">
        <v>0</v>
      </c>
      <c r="F12" s="7"/>
      <c r="G12" s="7" t="s">
        <v>133</v>
      </c>
      <c r="H12" s="7" t="s">
        <v>139</v>
      </c>
      <c r="L12" t="s">
        <v>140</v>
      </c>
    </row>
    <row r="13" spans="1:15" ht="31.5" customHeight="1" x14ac:dyDescent="0.3">
      <c r="A13" s="10" t="s">
        <v>132</v>
      </c>
      <c r="B13" t="s">
        <v>135</v>
      </c>
      <c r="C13" t="s">
        <v>136</v>
      </c>
      <c r="F13" s="7" t="s">
        <v>36</v>
      </c>
      <c r="G13" s="7">
        <f>I6</f>
        <v>10</v>
      </c>
      <c r="H13" s="7">
        <f>I7</f>
        <v>30</v>
      </c>
      <c r="L13" t="s">
        <v>140</v>
      </c>
    </row>
    <row r="14" spans="1:15" x14ac:dyDescent="0.3">
      <c r="B14" s="7">
        <v>5</v>
      </c>
      <c r="C14" s="7">
        <v>0</v>
      </c>
      <c r="F14" s="7" t="s">
        <v>37</v>
      </c>
      <c r="G14" s="7">
        <f>J6</f>
        <v>32</v>
      </c>
      <c r="H14" s="7">
        <f>J7</f>
        <v>24</v>
      </c>
    </row>
    <row r="15" spans="1:15" x14ac:dyDescent="0.3">
      <c r="A15" t="s">
        <v>46</v>
      </c>
      <c r="B15" t="s">
        <v>135</v>
      </c>
      <c r="C15" t="s">
        <v>136</v>
      </c>
      <c r="F15" s="7" t="s">
        <v>131</v>
      </c>
      <c r="G15" s="7">
        <f>K6</f>
        <v>12</v>
      </c>
      <c r="H15" s="7">
        <f>K7</f>
        <v>12</v>
      </c>
    </row>
    <row r="16" spans="1:15" x14ac:dyDescent="0.3">
      <c r="B16" s="7">
        <v>5</v>
      </c>
      <c r="C16" s="7">
        <v>0</v>
      </c>
      <c r="F16" s="7" t="s">
        <v>38</v>
      </c>
      <c r="G16" s="7">
        <f>L6</f>
        <v>0</v>
      </c>
      <c r="H16" s="7">
        <f>L7</f>
        <v>0</v>
      </c>
    </row>
    <row r="17" spans="6:8" x14ac:dyDescent="0.3">
      <c r="F17" s="7" t="s">
        <v>45</v>
      </c>
      <c r="G17" s="7">
        <f>M6</f>
        <v>0</v>
      </c>
      <c r="H17" s="7">
        <f>M7</f>
        <v>0</v>
      </c>
    </row>
    <row r="18" spans="6:8" ht="29.25" customHeight="1" x14ac:dyDescent="0.3">
      <c r="F18" s="11" t="s">
        <v>132</v>
      </c>
      <c r="G18" s="7">
        <f>N6</f>
        <v>0</v>
      </c>
      <c r="H18" s="7">
        <f>N7</f>
        <v>0</v>
      </c>
    </row>
    <row r="19" spans="6:8" x14ac:dyDescent="0.3">
      <c r="F19" s="7" t="s">
        <v>46</v>
      </c>
      <c r="G19" s="7">
        <f>O6</f>
        <v>0</v>
      </c>
      <c r="H19" s="7">
        <f>O7</f>
        <v>0</v>
      </c>
    </row>
    <row r="20" spans="6:8" x14ac:dyDescent="0.3">
      <c r="F20" s="7" t="s">
        <v>141</v>
      </c>
      <c r="G20" s="7">
        <f>G13+G14+G15+G16+G17+G18+G19</f>
        <v>54</v>
      </c>
      <c r="H20" s="7">
        <f>H13+H14+H15+H16+H17+H18+H19</f>
        <v>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0"/>
  <sheetViews>
    <sheetView workbookViewId="0">
      <selection activeCell="C7" sqref="C7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121</v>
      </c>
      <c r="B2" s="8" t="s">
        <v>122</v>
      </c>
      <c r="C2" s="8">
        <v>4</v>
      </c>
    </row>
    <row r="3" spans="1:15" x14ac:dyDescent="0.3">
      <c r="B3" t="s">
        <v>123</v>
      </c>
      <c r="C3" t="s">
        <v>124</v>
      </c>
    </row>
    <row r="4" spans="1:15" x14ac:dyDescent="0.3">
      <c r="A4" t="s">
        <v>125</v>
      </c>
      <c r="B4" s="7">
        <v>10</v>
      </c>
      <c r="C4" s="7">
        <v>10</v>
      </c>
      <c r="E4" s="12">
        <f>(100/B4)*C4</f>
        <v>100</v>
      </c>
    </row>
    <row r="5" spans="1:15" x14ac:dyDescent="0.3">
      <c r="A5" t="s">
        <v>126</v>
      </c>
      <c r="B5" t="s">
        <v>127</v>
      </c>
      <c r="C5" t="s">
        <v>128</v>
      </c>
      <c r="E5" s="12">
        <f>(100/B6)*C6</f>
        <v>80</v>
      </c>
      <c r="I5" s="7" t="s">
        <v>129</v>
      </c>
      <c r="J5" s="7" t="s">
        <v>130</v>
      </c>
      <c r="K5" s="7" t="s">
        <v>131</v>
      </c>
      <c r="L5" s="7" t="s">
        <v>38</v>
      </c>
      <c r="M5" s="7" t="s">
        <v>45</v>
      </c>
      <c r="N5" s="7" t="s">
        <v>132</v>
      </c>
      <c r="O5" s="7" t="s">
        <v>46</v>
      </c>
    </row>
    <row r="6" spans="1:15" x14ac:dyDescent="0.3">
      <c r="B6" s="7">
        <f>C2+1</f>
        <v>5</v>
      </c>
      <c r="C6" s="7">
        <v>4</v>
      </c>
      <c r="E6" s="12">
        <f>(100/B8)*C8</f>
        <v>60</v>
      </c>
      <c r="F6" s="9" t="s">
        <v>133</v>
      </c>
      <c r="I6" s="9">
        <f>C4</f>
        <v>10</v>
      </c>
      <c r="J6" s="9">
        <f>40/B6*C6</f>
        <v>32</v>
      </c>
      <c r="K6" s="9">
        <f>15/B8*C8</f>
        <v>9</v>
      </c>
      <c r="L6" s="9">
        <f>10/B10*C10</f>
        <v>0</v>
      </c>
      <c r="M6" s="9">
        <f>10/B12*C12</f>
        <v>0</v>
      </c>
      <c r="N6" s="9">
        <f>5/B14*C14</f>
        <v>0</v>
      </c>
      <c r="O6" s="9">
        <f>5/B16*C16</f>
        <v>0</v>
      </c>
    </row>
    <row r="7" spans="1:15" x14ac:dyDescent="0.3">
      <c r="A7" t="s">
        <v>134</v>
      </c>
      <c r="B7" t="s">
        <v>135</v>
      </c>
      <c r="C7" t="s">
        <v>136</v>
      </c>
      <c r="E7" s="12">
        <f>(100/B10)*C10</f>
        <v>0</v>
      </c>
      <c r="F7" s="7" t="s">
        <v>137</v>
      </c>
      <c r="G7" s="7"/>
      <c r="H7" s="7"/>
      <c r="I7" s="7">
        <f>I6+20</f>
        <v>30</v>
      </c>
      <c r="J7" s="7">
        <f>30/B6*C6</f>
        <v>24</v>
      </c>
      <c r="K7" s="7">
        <f>15/B8*C8</f>
        <v>9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v>5</v>
      </c>
      <c r="C8" s="7">
        <v>3</v>
      </c>
      <c r="E8" s="12">
        <f>(100/B12)*C12</f>
        <v>0</v>
      </c>
    </row>
    <row r="9" spans="1:15" x14ac:dyDescent="0.3">
      <c r="A9" t="s">
        <v>138</v>
      </c>
      <c r="B9" t="s">
        <v>135</v>
      </c>
      <c r="C9" t="s">
        <v>136</v>
      </c>
      <c r="E9" s="12">
        <f>(100/B14)*C14</f>
        <v>0</v>
      </c>
    </row>
    <row r="10" spans="1:15" x14ac:dyDescent="0.3">
      <c r="B10" s="7">
        <v>5</v>
      </c>
      <c r="C10" s="7">
        <v>0</v>
      </c>
      <c r="E10" s="12">
        <f>(100/B16)*C16</f>
        <v>0</v>
      </c>
    </row>
    <row r="11" spans="1:15" x14ac:dyDescent="0.3">
      <c r="A11" t="s">
        <v>45</v>
      </c>
      <c r="B11" t="s">
        <v>135</v>
      </c>
      <c r="C11" t="s">
        <v>136</v>
      </c>
    </row>
    <row r="12" spans="1:15" x14ac:dyDescent="0.3">
      <c r="B12" s="7">
        <v>5</v>
      </c>
      <c r="C12" s="7">
        <v>0</v>
      </c>
      <c r="F12" s="7"/>
      <c r="G12" s="7" t="s">
        <v>133</v>
      </c>
      <c r="H12" s="7" t="s">
        <v>139</v>
      </c>
      <c r="L12" t="s">
        <v>140</v>
      </c>
    </row>
    <row r="13" spans="1:15" ht="31.5" customHeight="1" x14ac:dyDescent="0.3">
      <c r="A13" s="10" t="s">
        <v>132</v>
      </c>
      <c r="B13" t="s">
        <v>135</v>
      </c>
      <c r="C13" t="s">
        <v>136</v>
      </c>
      <c r="F13" s="7" t="s">
        <v>36</v>
      </c>
      <c r="G13" s="7">
        <f>I6</f>
        <v>10</v>
      </c>
      <c r="H13" s="7">
        <f>I7</f>
        <v>30</v>
      </c>
      <c r="L13" t="s">
        <v>140</v>
      </c>
    </row>
    <row r="14" spans="1:15" x14ac:dyDescent="0.3">
      <c r="B14" s="7">
        <v>5</v>
      </c>
      <c r="C14" s="7">
        <v>0</v>
      </c>
      <c r="F14" s="7" t="s">
        <v>37</v>
      </c>
      <c r="G14" s="7">
        <f>J6</f>
        <v>32</v>
      </c>
      <c r="H14" s="7">
        <f>J7</f>
        <v>24</v>
      </c>
    </row>
    <row r="15" spans="1:15" x14ac:dyDescent="0.3">
      <c r="A15" t="s">
        <v>46</v>
      </c>
      <c r="B15" t="s">
        <v>135</v>
      </c>
      <c r="C15" t="s">
        <v>136</v>
      </c>
      <c r="F15" s="7" t="s">
        <v>131</v>
      </c>
      <c r="G15" s="7">
        <f>K6</f>
        <v>9</v>
      </c>
      <c r="H15" s="7">
        <f>K7</f>
        <v>9</v>
      </c>
    </row>
    <row r="16" spans="1:15" x14ac:dyDescent="0.3">
      <c r="B16" s="7">
        <v>5</v>
      </c>
      <c r="C16" s="7">
        <v>0</v>
      </c>
      <c r="F16" s="7" t="s">
        <v>38</v>
      </c>
      <c r="G16" s="7">
        <f>L6</f>
        <v>0</v>
      </c>
      <c r="H16" s="7">
        <f>L7</f>
        <v>0</v>
      </c>
    </row>
    <row r="17" spans="6:8" x14ac:dyDescent="0.3">
      <c r="F17" s="7" t="s">
        <v>45</v>
      </c>
      <c r="G17" s="7">
        <f>M6</f>
        <v>0</v>
      </c>
      <c r="H17" s="7">
        <f>M7</f>
        <v>0</v>
      </c>
    </row>
    <row r="18" spans="6:8" ht="29.25" customHeight="1" x14ac:dyDescent="0.3">
      <c r="F18" s="11" t="s">
        <v>132</v>
      </c>
      <c r="G18" s="7">
        <f>N6</f>
        <v>0</v>
      </c>
      <c r="H18" s="7">
        <f>N7</f>
        <v>0</v>
      </c>
    </row>
    <row r="19" spans="6:8" x14ac:dyDescent="0.3">
      <c r="F19" s="7" t="s">
        <v>46</v>
      </c>
      <c r="G19" s="7">
        <f>O6</f>
        <v>0</v>
      </c>
      <c r="H19" s="7">
        <f>O7</f>
        <v>0</v>
      </c>
    </row>
    <row r="20" spans="6:8" x14ac:dyDescent="0.3">
      <c r="F20" s="7" t="s">
        <v>141</v>
      </c>
      <c r="G20" s="7">
        <f>G13+G14+G15+G16+G17+G18+G19</f>
        <v>51</v>
      </c>
      <c r="H20" s="7">
        <f>H13+H14+H15+H16+H17+H18+H19</f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0"/>
  <sheetViews>
    <sheetView workbookViewId="0">
      <selection activeCell="C10" sqref="C10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121</v>
      </c>
      <c r="B2" s="8" t="s">
        <v>122</v>
      </c>
      <c r="C2" s="8">
        <v>4</v>
      </c>
    </row>
    <row r="3" spans="1:15" x14ac:dyDescent="0.3">
      <c r="B3" t="s">
        <v>123</v>
      </c>
      <c r="C3" t="s">
        <v>124</v>
      </c>
    </row>
    <row r="4" spans="1:15" x14ac:dyDescent="0.3">
      <c r="A4" t="s">
        <v>125</v>
      </c>
      <c r="B4" s="7">
        <v>10</v>
      </c>
      <c r="C4" s="7">
        <v>10</v>
      </c>
      <c r="E4" s="12">
        <f>(100/B4)*C4</f>
        <v>100</v>
      </c>
    </row>
    <row r="5" spans="1:15" x14ac:dyDescent="0.3">
      <c r="A5" t="s">
        <v>126</v>
      </c>
      <c r="B5" t="s">
        <v>127</v>
      </c>
      <c r="C5" t="s">
        <v>128</v>
      </c>
      <c r="E5" s="12">
        <f>(100/B6)*C6</f>
        <v>80</v>
      </c>
      <c r="I5" s="7" t="s">
        <v>129</v>
      </c>
      <c r="J5" s="7" t="s">
        <v>130</v>
      </c>
      <c r="K5" s="7" t="s">
        <v>131</v>
      </c>
      <c r="L5" s="7" t="s">
        <v>38</v>
      </c>
      <c r="M5" s="7" t="s">
        <v>45</v>
      </c>
      <c r="N5" s="7" t="s">
        <v>132</v>
      </c>
      <c r="O5" s="7" t="s">
        <v>46</v>
      </c>
    </row>
    <row r="6" spans="1:15" x14ac:dyDescent="0.3">
      <c r="B6" s="7">
        <f>C2+1</f>
        <v>5</v>
      </c>
      <c r="C6" s="7">
        <v>4</v>
      </c>
      <c r="E6" s="12">
        <f>(100/B8)*C8</f>
        <v>60</v>
      </c>
      <c r="F6" s="9" t="s">
        <v>133</v>
      </c>
      <c r="I6" s="9">
        <f>C4</f>
        <v>10</v>
      </c>
      <c r="J6" s="9">
        <f>40/B6*C6</f>
        <v>32</v>
      </c>
      <c r="K6" s="9">
        <f>15/B8*C8</f>
        <v>9</v>
      </c>
      <c r="L6" s="9">
        <f>10/B10*C10</f>
        <v>1</v>
      </c>
      <c r="M6" s="9">
        <f>10/B12*C12</f>
        <v>0</v>
      </c>
      <c r="N6" s="9">
        <f>5/B14*C14</f>
        <v>0</v>
      </c>
      <c r="O6" s="9">
        <f>5/B16*C16</f>
        <v>0</v>
      </c>
    </row>
    <row r="7" spans="1:15" x14ac:dyDescent="0.3">
      <c r="A7" t="s">
        <v>134</v>
      </c>
      <c r="B7" t="s">
        <v>135</v>
      </c>
      <c r="C7" t="s">
        <v>136</v>
      </c>
      <c r="E7" s="12">
        <f>(100/B10)*C10</f>
        <v>10</v>
      </c>
      <c r="F7" s="7" t="s">
        <v>137</v>
      </c>
      <c r="G7" s="7"/>
      <c r="H7" s="7"/>
      <c r="I7" s="7">
        <f>I6+20</f>
        <v>30</v>
      </c>
      <c r="J7" s="7">
        <f>30/B6*C6</f>
        <v>24</v>
      </c>
      <c r="K7" s="7">
        <f>15/B8*C8</f>
        <v>9</v>
      </c>
      <c r="L7" s="7">
        <f>10/B10*C10</f>
        <v>1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v>5</v>
      </c>
      <c r="C8" s="7">
        <v>3</v>
      </c>
      <c r="E8" s="12">
        <f>(100/B12)*C12</f>
        <v>0</v>
      </c>
    </row>
    <row r="9" spans="1:15" x14ac:dyDescent="0.3">
      <c r="A9" t="s">
        <v>138</v>
      </c>
      <c r="B9" t="s">
        <v>135</v>
      </c>
      <c r="C9" t="s">
        <v>136</v>
      </c>
      <c r="E9" s="12">
        <f>(100/B14)*C14</f>
        <v>0</v>
      </c>
    </row>
    <row r="10" spans="1:15" x14ac:dyDescent="0.3">
      <c r="B10" s="7">
        <v>5</v>
      </c>
      <c r="C10" s="7">
        <v>0.5</v>
      </c>
      <c r="E10" s="12">
        <f>(100/B16)*C16</f>
        <v>0</v>
      </c>
    </row>
    <row r="11" spans="1:15" x14ac:dyDescent="0.3">
      <c r="A11" t="s">
        <v>45</v>
      </c>
      <c r="B11" t="s">
        <v>135</v>
      </c>
      <c r="C11" t="s">
        <v>136</v>
      </c>
    </row>
    <row r="12" spans="1:15" x14ac:dyDescent="0.3">
      <c r="B12" s="7">
        <v>5</v>
      </c>
      <c r="C12" s="7">
        <v>0</v>
      </c>
      <c r="F12" s="7"/>
      <c r="G12" s="7" t="s">
        <v>133</v>
      </c>
      <c r="H12" s="7" t="s">
        <v>139</v>
      </c>
      <c r="L12" t="s">
        <v>140</v>
      </c>
    </row>
    <row r="13" spans="1:15" ht="31.5" customHeight="1" x14ac:dyDescent="0.3">
      <c r="A13" s="10" t="s">
        <v>132</v>
      </c>
      <c r="B13" t="s">
        <v>135</v>
      </c>
      <c r="C13" t="s">
        <v>136</v>
      </c>
      <c r="F13" s="7" t="s">
        <v>36</v>
      </c>
      <c r="G13" s="7">
        <f>I6</f>
        <v>10</v>
      </c>
      <c r="H13" s="7">
        <f>I7</f>
        <v>30</v>
      </c>
      <c r="L13" t="s">
        <v>140</v>
      </c>
    </row>
    <row r="14" spans="1:15" x14ac:dyDescent="0.3">
      <c r="B14" s="7">
        <v>5</v>
      </c>
      <c r="C14" s="7">
        <v>0</v>
      </c>
      <c r="F14" s="7" t="s">
        <v>37</v>
      </c>
      <c r="G14" s="7">
        <f>J6</f>
        <v>32</v>
      </c>
      <c r="H14" s="7">
        <f>J7</f>
        <v>24</v>
      </c>
    </row>
    <row r="15" spans="1:15" x14ac:dyDescent="0.3">
      <c r="A15" t="s">
        <v>46</v>
      </c>
      <c r="B15" t="s">
        <v>135</v>
      </c>
      <c r="C15" t="s">
        <v>136</v>
      </c>
      <c r="F15" s="7" t="s">
        <v>131</v>
      </c>
      <c r="G15" s="7">
        <f>K6</f>
        <v>9</v>
      </c>
      <c r="H15" s="7">
        <f>K7</f>
        <v>9</v>
      </c>
    </row>
    <row r="16" spans="1:15" x14ac:dyDescent="0.3">
      <c r="B16" s="7">
        <v>5</v>
      </c>
      <c r="C16" s="7">
        <v>0</v>
      </c>
      <c r="F16" s="7" t="s">
        <v>38</v>
      </c>
      <c r="G16" s="7">
        <f>L6</f>
        <v>1</v>
      </c>
      <c r="H16" s="7">
        <f>L7</f>
        <v>1</v>
      </c>
    </row>
    <row r="17" spans="6:8" x14ac:dyDescent="0.3">
      <c r="F17" s="7" t="s">
        <v>45</v>
      </c>
      <c r="G17" s="7">
        <f>M6</f>
        <v>0</v>
      </c>
      <c r="H17" s="7">
        <f>M7</f>
        <v>0</v>
      </c>
    </row>
    <row r="18" spans="6:8" ht="29.25" customHeight="1" x14ac:dyDescent="0.3">
      <c r="F18" s="11" t="s">
        <v>132</v>
      </c>
      <c r="G18" s="7">
        <f>N6</f>
        <v>0</v>
      </c>
      <c r="H18" s="7">
        <f>N7</f>
        <v>0</v>
      </c>
    </row>
    <row r="19" spans="6:8" x14ac:dyDescent="0.3">
      <c r="F19" s="7" t="s">
        <v>46</v>
      </c>
      <c r="G19" s="7">
        <f>O6</f>
        <v>0</v>
      </c>
      <c r="H19" s="7">
        <f>O7</f>
        <v>0</v>
      </c>
    </row>
    <row r="20" spans="6:8" x14ac:dyDescent="0.3">
      <c r="F20" s="7" t="s">
        <v>141</v>
      </c>
      <c r="G20" s="7">
        <f>G13+G14+G15+G16+G17+G18+G19</f>
        <v>52</v>
      </c>
      <c r="H20" s="7">
        <f>H13+H14+H15+H16+H17+H18+H19</f>
        <v>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topLeftCell="A10" workbookViewId="0">
      <selection activeCell="E34" sqref="E34"/>
    </sheetView>
  </sheetViews>
  <sheetFormatPr defaultRowHeight="14.4" x14ac:dyDescent="0.3"/>
  <cols>
    <col min="1" max="1" width="11.21875" customWidth="1"/>
    <col min="2" max="2" width="12" customWidth="1"/>
    <col min="3" max="3" width="14.5546875" customWidth="1"/>
    <col min="4" max="4" width="4" customWidth="1"/>
    <col min="5" max="5" width="15.21875" customWidth="1"/>
    <col min="6" max="7" width="9.21875" customWidth="1"/>
    <col min="9" max="9" width="12.77734375" customWidth="1"/>
    <col min="10" max="10" width="15.21875" customWidth="1"/>
    <col min="13" max="13" width="16.5546875" customWidth="1"/>
  </cols>
  <sheetData>
    <row r="2" spans="1:15" x14ac:dyDescent="0.3">
      <c r="A2" t="s">
        <v>121</v>
      </c>
      <c r="B2" s="8" t="s">
        <v>122</v>
      </c>
      <c r="C2" s="8">
        <v>4</v>
      </c>
    </row>
    <row r="3" spans="1:15" x14ac:dyDescent="0.3">
      <c r="B3" t="s">
        <v>123</v>
      </c>
      <c r="C3" t="s">
        <v>124</v>
      </c>
    </row>
    <row r="4" spans="1:15" x14ac:dyDescent="0.3">
      <c r="A4" t="s">
        <v>125</v>
      </c>
      <c r="B4" s="7">
        <v>10</v>
      </c>
      <c r="C4" s="7">
        <v>10</v>
      </c>
      <c r="E4" s="12">
        <f>(100/B4)*C4</f>
        <v>100</v>
      </c>
    </row>
    <row r="5" spans="1:15" x14ac:dyDescent="0.3">
      <c r="A5" t="s">
        <v>126</v>
      </c>
      <c r="B5" t="s">
        <v>127</v>
      </c>
      <c r="C5" t="s">
        <v>128</v>
      </c>
      <c r="E5" s="12">
        <f>(100/B6)*C6</f>
        <v>80</v>
      </c>
      <c r="I5" s="7" t="s">
        <v>129</v>
      </c>
      <c r="J5" s="7" t="s">
        <v>130</v>
      </c>
      <c r="K5" s="7" t="s">
        <v>131</v>
      </c>
      <c r="L5" s="7" t="s">
        <v>38</v>
      </c>
      <c r="M5" s="7" t="s">
        <v>45</v>
      </c>
      <c r="N5" s="7" t="s">
        <v>132</v>
      </c>
      <c r="O5" s="7" t="s">
        <v>46</v>
      </c>
    </row>
    <row r="6" spans="1:15" x14ac:dyDescent="0.3">
      <c r="B6" s="7">
        <f>C2+1</f>
        <v>5</v>
      </c>
      <c r="C6" s="7">
        <v>4</v>
      </c>
      <c r="E6" s="12">
        <f>(100/B8)*C8</f>
        <v>20</v>
      </c>
      <c r="F6" s="9" t="s">
        <v>133</v>
      </c>
      <c r="I6" s="9">
        <f>C4</f>
        <v>10</v>
      </c>
      <c r="J6" s="9">
        <f>40/B6*C6</f>
        <v>32</v>
      </c>
      <c r="K6" s="9">
        <f>15/B8*C8</f>
        <v>3</v>
      </c>
      <c r="L6" s="9">
        <f>10/B10*C10</f>
        <v>0</v>
      </c>
      <c r="M6" s="9">
        <f>10/B12*C12</f>
        <v>0</v>
      </c>
      <c r="N6" s="9">
        <f>5/B14*C14</f>
        <v>0</v>
      </c>
      <c r="O6" s="9">
        <f>5/B16*C16</f>
        <v>0</v>
      </c>
    </row>
    <row r="7" spans="1:15" x14ac:dyDescent="0.3">
      <c r="A7" t="s">
        <v>134</v>
      </c>
      <c r="B7" t="s">
        <v>135</v>
      </c>
      <c r="C7" t="s">
        <v>136</v>
      </c>
      <c r="E7" s="12">
        <f>(100/B10)*C10</f>
        <v>0</v>
      </c>
      <c r="F7" s="7" t="s">
        <v>137</v>
      </c>
      <c r="G7" s="7"/>
      <c r="H7" s="7"/>
      <c r="I7" s="7">
        <f>I6+20</f>
        <v>30</v>
      </c>
      <c r="J7" s="7">
        <f>30/B6*C6</f>
        <v>24</v>
      </c>
      <c r="K7" s="7">
        <f>15/B8*C8</f>
        <v>3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3">
      <c r="B8" s="7">
        <v>5</v>
      </c>
      <c r="C8" s="7">
        <v>1</v>
      </c>
      <c r="E8" s="12">
        <f>(100/B12)*C12</f>
        <v>0</v>
      </c>
    </row>
    <row r="9" spans="1:15" x14ac:dyDescent="0.3">
      <c r="A9" t="s">
        <v>138</v>
      </c>
      <c r="B9" t="s">
        <v>135</v>
      </c>
      <c r="C9" t="s">
        <v>136</v>
      </c>
      <c r="E9" s="12">
        <f>(100/B14)*C14</f>
        <v>0</v>
      </c>
    </row>
    <row r="10" spans="1:15" x14ac:dyDescent="0.3">
      <c r="B10" s="7">
        <v>5</v>
      </c>
      <c r="C10" s="7">
        <v>0</v>
      </c>
      <c r="E10" s="12">
        <f>(100/B16)*C16</f>
        <v>0</v>
      </c>
    </row>
    <row r="11" spans="1:15" x14ac:dyDescent="0.3">
      <c r="A11" t="s">
        <v>45</v>
      </c>
      <c r="B11" t="s">
        <v>135</v>
      </c>
      <c r="C11" t="s">
        <v>136</v>
      </c>
    </row>
    <row r="12" spans="1:15" x14ac:dyDescent="0.3">
      <c r="B12" s="7">
        <v>5</v>
      </c>
      <c r="C12" s="7">
        <v>0</v>
      </c>
      <c r="F12" s="7"/>
      <c r="G12" s="7" t="s">
        <v>133</v>
      </c>
      <c r="H12" s="7" t="s">
        <v>139</v>
      </c>
      <c r="L12" t="s">
        <v>140</v>
      </c>
    </row>
    <row r="13" spans="1:15" ht="31.5" customHeight="1" x14ac:dyDescent="0.3">
      <c r="A13" s="10" t="s">
        <v>132</v>
      </c>
      <c r="B13" t="s">
        <v>135</v>
      </c>
      <c r="C13" t="s">
        <v>136</v>
      </c>
      <c r="F13" s="7" t="s">
        <v>36</v>
      </c>
      <c r="G13" s="7">
        <f>I6</f>
        <v>10</v>
      </c>
      <c r="H13" s="7">
        <f>I7</f>
        <v>30</v>
      </c>
      <c r="L13" t="s">
        <v>140</v>
      </c>
    </row>
    <row r="14" spans="1:15" x14ac:dyDescent="0.3">
      <c r="B14" s="7">
        <v>5</v>
      </c>
      <c r="C14" s="7">
        <v>0</v>
      </c>
      <c r="F14" s="7" t="s">
        <v>37</v>
      </c>
      <c r="G14" s="7">
        <f>J6</f>
        <v>32</v>
      </c>
      <c r="H14" s="7">
        <f>J7</f>
        <v>24</v>
      </c>
    </row>
    <row r="15" spans="1:15" x14ac:dyDescent="0.3">
      <c r="A15" t="s">
        <v>46</v>
      </c>
      <c r="B15" t="s">
        <v>135</v>
      </c>
      <c r="C15" t="s">
        <v>136</v>
      </c>
      <c r="F15" s="7" t="s">
        <v>131</v>
      </c>
      <c r="G15" s="7">
        <f>K6</f>
        <v>3</v>
      </c>
      <c r="H15" s="7">
        <f>K7</f>
        <v>3</v>
      </c>
    </row>
    <row r="16" spans="1:15" x14ac:dyDescent="0.3">
      <c r="B16" s="7">
        <v>5</v>
      </c>
      <c r="C16" s="7">
        <v>0</v>
      </c>
      <c r="F16" s="7" t="s">
        <v>38</v>
      </c>
      <c r="G16" s="7">
        <f>L6</f>
        <v>0</v>
      </c>
      <c r="H16" s="7">
        <f>L7</f>
        <v>0</v>
      </c>
    </row>
    <row r="17" spans="6:8" x14ac:dyDescent="0.3">
      <c r="F17" s="7" t="s">
        <v>45</v>
      </c>
      <c r="G17" s="7">
        <f>M6</f>
        <v>0</v>
      </c>
      <c r="H17" s="7">
        <f>M7</f>
        <v>0</v>
      </c>
    </row>
    <row r="18" spans="6:8" ht="29.25" customHeight="1" x14ac:dyDescent="0.3">
      <c r="F18" s="11" t="s">
        <v>132</v>
      </c>
      <c r="G18" s="7">
        <f>N6</f>
        <v>0</v>
      </c>
      <c r="H18" s="7">
        <f>N7</f>
        <v>0</v>
      </c>
    </row>
    <row r="19" spans="6:8" x14ac:dyDescent="0.3">
      <c r="F19" s="7" t="s">
        <v>46</v>
      </c>
      <c r="G19" s="7">
        <f>O6</f>
        <v>0</v>
      </c>
      <c r="H19" s="7">
        <f>O7</f>
        <v>0</v>
      </c>
    </row>
    <row r="20" spans="6:8" x14ac:dyDescent="0.3">
      <c r="F20" s="7" t="s">
        <v>141</v>
      </c>
      <c r="G20" s="7">
        <f>G13+G14+G15+G16+G17+G18+G19</f>
        <v>45</v>
      </c>
      <c r="H20" s="7">
        <f>H13+H14+H15+H16+H17+H18+H19</f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 (3)</vt:lpstr>
      <vt:lpstr>VALUATION</vt:lpstr>
      <vt:lpstr>Note</vt:lpstr>
      <vt:lpstr>Ground - C % 3A,B</vt:lpstr>
      <vt:lpstr>Ground - C % 3A,B (2)</vt:lpstr>
      <vt:lpstr>Ground - C % 3C</vt:lpstr>
      <vt:lpstr>Ground - C % 3D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2025-09-17T09:22:57Z</cp:lastPrinted>
  <dcterms:created xsi:type="dcterms:W3CDTF">2013-11-23T05:32:33Z</dcterms:created>
  <dcterms:modified xsi:type="dcterms:W3CDTF">2025-09-17T09:24:27Z</dcterms:modified>
</cp:coreProperties>
</file>