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D:\Kunal\Sept 25\Axis\Dump\"/>
    </mc:Choice>
  </mc:AlternateContent>
  <xr:revisionPtr revIDLastSave="0" documentId="13_ncr:1_{3B39EA77-F0DB-46FD-B194-FF1C775A6636}" xr6:coauthVersionLast="47" xr6:coauthVersionMax="47" xr10:uidLastSave="{00000000-0000-0000-0000-000000000000}"/>
  <bookViews>
    <workbookView xWindow="-108" yWindow="-108" windowWidth="23256" windowHeight="12456" xr2:uid="{00000000-000D-0000-FFFF-FFFF00000000}"/>
  </bookViews>
  <sheets>
    <sheet name="Report" sheetId="1" r:id="rId1"/>
    <sheet name="Flat detail" sheetId="3" r:id="rId2"/>
    <sheet name="Note" sheetId="4" r:id="rId3"/>
  </sheets>
  <definedNames>
    <definedName name="_xlnm.Print_Area" localSheetId="0">Report!$A$1:$H$754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2" i="1" l="1"/>
  <c r="D611" i="1"/>
  <c r="D615" i="1"/>
  <c r="D614" i="1"/>
  <c r="D613" i="1"/>
  <c r="D612" i="1"/>
  <c r="D610" i="1"/>
  <c r="D609" i="1"/>
  <c r="D608" i="1"/>
  <c r="D607" i="1"/>
  <c r="D598" i="1"/>
  <c r="D599" i="1"/>
  <c r="D600" i="1"/>
  <c r="D601" i="1"/>
  <c r="D602" i="1"/>
  <c r="D603" i="1"/>
  <c r="D604" i="1"/>
  <c r="D605" i="1"/>
  <c r="D606" i="1"/>
  <c r="D597" i="1"/>
  <c r="D596" i="1"/>
  <c r="D594" i="1"/>
  <c r="D593" i="1"/>
  <c r="D592" i="1"/>
  <c r="D591" i="1"/>
  <c r="D590" i="1"/>
  <c r="D589" i="1"/>
  <c r="D588" i="1"/>
  <c r="D587" i="1"/>
  <c r="D586" i="1"/>
  <c r="D579" i="1"/>
  <c r="D580" i="1"/>
  <c r="D581" i="1"/>
  <c r="D582" i="1"/>
  <c r="D583" i="1"/>
  <c r="D584" i="1"/>
  <c r="D585" i="1"/>
  <c r="D578" i="1"/>
  <c r="D577" i="1"/>
  <c r="D576" i="1"/>
  <c r="D575" i="1"/>
  <c r="D545" i="1"/>
  <c r="D542" i="1"/>
  <c r="D544" i="1"/>
  <c r="D543" i="1"/>
  <c r="D539" i="1"/>
  <c r="D540" i="1"/>
  <c r="D541" i="1"/>
  <c r="D538" i="1"/>
  <c r="D536" i="1"/>
  <c r="D535" i="1"/>
  <c r="D534" i="1"/>
  <c r="D533" i="1"/>
  <c r="D531" i="1"/>
  <c r="D532" i="1"/>
  <c r="D530" i="1"/>
  <c r="D529" i="1"/>
  <c r="I506" i="1"/>
  <c r="K504" i="1"/>
  <c r="D572" i="1" l="1"/>
  <c r="D571" i="1"/>
  <c r="D570" i="1"/>
  <c r="D569" i="1"/>
  <c r="D568" i="1"/>
  <c r="D567" i="1"/>
  <c r="D566" i="1"/>
  <c r="D565" i="1"/>
  <c r="D564" i="1"/>
  <c r="D563" i="1"/>
  <c r="D562" i="1"/>
  <c r="D561" i="1"/>
  <c r="D559" i="1"/>
  <c r="D558" i="1"/>
  <c r="D557" i="1"/>
  <c r="D556" i="1"/>
  <c r="D555" i="1"/>
  <c r="D554" i="1"/>
  <c r="D553" i="1"/>
  <c r="D552" i="1"/>
  <c r="D551" i="1"/>
  <c r="D550" i="1"/>
  <c r="D549" i="1"/>
  <c r="D548" i="1"/>
  <c r="D526" i="1"/>
  <c r="D525" i="1"/>
  <c r="D524" i="1"/>
  <c r="D523" i="1"/>
  <c r="D521" i="1"/>
  <c r="D522" i="1"/>
  <c r="D520" i="1"/>
  <c r="D519" i="1"/>
  <c r="D518" i="1"/>
  <c r="D516" i="1"/>
  <c r="D517" i="1"/>
  <c r="D515" i="1"/>
  <c r="D506" i="1"/>
  <c r="D505" i="1"/>
  <c r="D504" i="1"/>
  <c r="D503" i="1"/>
  <c r="D502" i="1"/>
  <c r="D513" i="1"/>
  <c r="D512" i="1"/>
  <c r="D511" i="1"/>
  <c r="D510" i="1"/>
  <c r="D509" i="1"/>
  <c r="D508" i="1"/>
  <c r="D507" i="1"/>
  <c r="D291" i="1" l="1"/>
  <c r="F291" i="1" s="1"/>
  <c r="H291" i="1" s="1"/>
  <c r="D289" i="1"/>
  <c r="F289" i="1" s="1"/>
  <c r="H289" i="1" s="1"/>
  <c r="D288" i="1"/>
  <c r="D287" i="1"/>
  <c r="F287" i="1" s="1"/>
  <c r="H287" i="1" s="1"/>
  <c r="D286" i="1"/>
  <c r="F286" i="1" s="1"/>
  <c r="H286" i="1" s="1"/>
  <c r="D285" i="1"/>
  <c r="F285" i="1" s="1"/>
  <c r="H285" i="1" s="1"/>
  <c r="D284" i="1"/>
  <c r="F284" i="1"/>
  <c r="H284" i="1" s="1"/>
  <c r="D283" i="1"/>
  <c r="F283" i="1" s="1"/>
  <c r="H283" i="1" s="1"/>
  <c r="D282" i="1"/>
  <c r="C217" i="1" s="1"/>
  <c r="F288" i="1"/>
  <c r="H288" i="1" s="1"/>
  <c r="F282" i="1"/>
  <c r="H282" i="1" s="1"/>
  <c r="F217" i="1" l="1"/>
  <c r="D217" i="1"/>
  <c r="D280" i="1"/>
  <c r="D279" i="1"/>
  <c r="D278" i="1"/>
  <c r="D277" i="1"/>
  <c r="F277" i="1" s="1"/>
  <c r="H277" i="1" s="1"/>
  <c r="D276" i="1"/>
  <c r="D275" i="1"/>
  <c r="F275" i="1" s="1"/>
  <c r="H275" i="1" s="1"/>
  <c r="D274" i="1"/>
  <c r="F274" i="1" s="1"/>
  <c r="H274" i="1" s="1"/>
  <c r="D273" i="1"/>
  <c r="F273" i="1" s="1"/>
  <c r="H273" i="1" s="1"/>
  <c r="D272" i="1"/>
  <c r="F272" i="1" s="1"/>
  <c r="H272" i="1" s="1"/>
  <c r="D271" i="1"/>
  <c r="F271" i="1" s="1"/>
  <c r="H271" i="1" s="1"/>
  <c r="D270" i="1"/>
  <c r="F270" i="1" s="1"/>
  <c r="H270" i="1" s="1"/>
  <c r="D269" i="1"/>
  <c r="F269" i="1" s="1"/>
  <c r="H269" i="1" s="1"/>
  <c r="D268" i="1"/>
  <c r="F268" i="1" s="1"/>
  <c r="H268" i="1" s="1"/>
  <c r="D267" i="1"/>
  <c r="F267" i="1" s="1"/>
  <c r="H267" i="1" s="1"/>
  <c r="D266" i="1"/>
  <c r="F266" i="1" s="1"/>
  <c r="H266" i="1" s="1"/>
  <c r="D265" i="1"/>
  <c r="F265" i="1" s="1"/>
  <c r="H265" i="1" s="1"/>
  <c r="D264" i="1"/>
  <c r="D263" i="1"/>
  <c r="F263" i="1" s="1"/>
  <c r="H263" i="1" s="1"/>
  <c r="D262" i="1"/>
  <c r="D261" i="1"/>
  <c r="F261" i="1" s="1"/>
  <c r="H261" i="1" s="1"/>
  <c r="D260" i="1"/>
  <c r="F260" i="1" s="1"/>
  <c r="H260" i="1" s="1"/>
  <c r="D259" i="1"/>
  <c r="F259" i="1" s="1"/>
  <c r="H259" i="1" s="1"/>
  <c r="D258" i="1"/>
  <c r="F258" i="1" s="1"/>
  <c r="H258" i="1" s="1"/>
  <c r="D257" i="1"/>
  <c r="F257" i="1" s="1"/>
  <c r="H257" i="1" s="1"/>
  <c r="D256" i="1"/>
  <c r="D255" i="1"/>
  <c r="D254" i="1"/>
  <c r="D253" i="1"/>
  <c r="F253" i="1" s="1"/>
  <c r="H253" i="1" s="1"/>
  <c r="D252" i="1"/>
  <c r="F252" i="1" s="1"/>
  <c r="H252" i="1" s="1"/>
  <c r="D251" i="1"/>
  <c r="F251" i="1" s="1"/>
  <c r="H251" i="1" s="1"/>
  <c r="D250" i="1"/>
  <c r="F250" i="1" s="1"/>
  <c r="H250" i="1" s="1"/>
  <c r="D249" i="1"/>
  <c r="F249" i="1" s="1"/>
  <c r="H249" i="1" s="1"/>
  <c r="D248" i="1"/>
  <c r="D247" i="1"/>
  <c r="F247" i="1" s="1"/>
  <c r="H247" i="1" s="1"/>
  <c r="D246" i="1"/>
  <c r="F246" i="1" s="1"/>
  <c r="H246" i="1" s="1"/>
  <c r="D245" i="1"/>
  <c r="F245" i="1" s="1"/>
  <c r="H245" i="1" s="1"/>
  <c r="D244" i="1"/>
  <c r="F244" i="1" s="1"/>
  <c r="H244" i="1" s="1"/>
  <c r="D243" i="1"/>
  <c r="F243" i="1" s="1"/>
  <c r="H243" i="1" s="1"/>
  <c r="D242" i="1"/>
  <c r="F242" i="1" s="1"/>
  <c r="H242" i="1" s="1"/>
  <c r="D241" i="1"/>
  <c r="F241" i="1" s="1"/>
  <c r="H241" i="1" s="1"/>
  <c r="D240" i="1"/>
  <c r="F240" i="1" s="1"/>
  <c r="H240" i="1" s="1"/>
  <c r="D239" i="1"/>
  <c r="F239" i="1" s="1"/>
  <c r="H239" i="1" s="1"/>
  <c r="D238" i="1"/>
  <c r="F238" i="1" s="1"/>
  <c r="H238" i="1" s="1"/>
  <c r="D237" i="1"/>
  <c r="F237" i="1" s="1"/>
  <c r="F276" i="1"/>
  <c r="H276" i="1" s="1"/>
  <c r="F264" i="1"/>
  <c r="H264" i="1" s="1"/>
  <c r="F262" i="1"/>
  <c r="H262" i="1" s="1"/>
  <c r="I232" i="1"/>
  <c r="F280" i="1"/>
  <c r="H280" i="1" s="1"/>
  <c r="F279" i="1"/>
  <c r="H279" i="1" s="1"/>
  <c r="F278" i="1"/>
  <c r="H278" i="1" s="1"/>
  <c r="F256" i="1"/>
  <c r="H256" i="1" s="1"/>
  <c r="F255" i="1"/>
  <c r="H255" i="1" s="1"/>
  <c r="F254" i="1"/>
  <c r="H254" i="1" s="1"/>
  <c r="F248" i="1"/>
  <c r="H248" i="1" s="1"/>
  <c r="F615" i="1"/>
  <c r="F614" i="1"/>
  <c r="F613" i="1"/>
  <c r="F612" i="1"/>
  <c r="F611" i="1"/>
  <c r="F610" i="1"/>
  <c r="F609" i="1"/>
  <c r="F598" i="1"/>
  <c r="F599" i="1"/>
  <c r="F600" i="1"/>
  <c r="F601" i="1"/>
  <c r="F602" i="1"/>
  <c r="F603" i="1"/>
  <c r="F604" i="1"/>
  <c r="F605" i="1"/>
  <c r="F606" i="1"/>
  <c r="F608" i="1"/>
  <c r="F607" i="1"/>
  <c r="F597" i="1"/>
  <c r="F596" i="1"/>
  <c r="G596" i="1"/>
  <c r="F592" i="1"/>
  <c r="F593" i="1"/>
  <c r="F594" i="1"/>
  <c r="F590" i="1"/>
  <c r="F589" i="1"/>
  <c r="F587" i="1"/>
  <c r="F586" i="1"/>
  <c r="F582" i="1"/>
  <c r="F583" i="1"/>
  <c r="F584" i="1"/>
  <c r="F585" i="1"/>
  <c r="F577" i="1"/>
  <c r="F578" i="1"/>
  <c r="F579" i="1"/>
  <c r="F580" i="1"/>
  <c r="F591" i="1"/>
  <c r="F588" i="1"/>
  <c r="F581" i="1"/>
  <c r="F576" i="1"/>
  <c r="G575" i="1"/>
  <c r="F575" i="1"/>
  <c r="F572" i="1"/>
  <c r="F571" i="1"/>
  <c r="F570" i="1"/>
  <c r="F569" i="1"/>
  <c r="F568" i="1"/>
  <c r="F567" i="1"/>
  <c r="F566" i="1"/>
  <c r="F565" i="1"/>
  <c r="F564" i="1"/>
  <c r="F563" i="1"/>
  <c r="F562" i="1"/>
  <c r="G561" i="1"/>
  <c r="F561" i="1"/>
  <c r="F559" i="1"/>
  <c r="F558" i="1"/>
  <c r="F557" i="1"/>
  <c r="F556" i="1"/>
  <c r="F555" i="1"/>
  <c r="F554" i="1"/>
  <c r="F553" i="1"/>
  <c r="F552" i="1"/>
  <c r="F551" i="1"/>
  <c r="F550" i="1"/>
  <c r="F549" i="1"/>
  <c r="G548" i="1"/>
  <c r="F548" i="1"/>
  <c r="F540" i="1"/>
  <c r="F541" i="1"/>
  <c r="F538" i="1"/>
  <c r="F545" i="1"/>
  <c r="F544" i="1"/>
  <c r="F543" i="1"/>
  <c r="F542" i="1"/>
  <c r="F539" i="1"/>
  <c r="G538" i="1"/>
  <c r="F536" i="1"/>
  <c r="F534" i="1"/>
  <c r="F530" i="1"/>
  <c r="F531" i="1"/>
  <c r="F532" i="1"/>
  <c r="F535" i="1"/>
  <c r="F533" i="1"/>
  <c r="G529" i="1"/>
  <c r="F526" i="1"/>
  <c r="F525" i="1"/>
  <c r="F524" i="1"/>
  <c r="F522" i="1"/>
  <c r="F520" i="1"/>
  <c r="F519" i="1"/>
  <c r="F518" i="1"/>
  <c r="F516" i="1"/>
  <c r="F517" i="1"/>
  <c r="F515" i="1"/>
  <c r="F523" i="1"/>
  <c r="F521" i="1"/>
  <c r="G515" i="1"/>
  <c r="F513" i="1"/>
  <c r="F512" i="1"/>
  <c r="F511" i="1"/>
  <c r="F510" i="1"/>
  <c r="F509" i="1"/>
  <c r="F507" i="1"/>
  <c r="F506" i="1"/>
  <c r="F505" i="1"/>
  <c r="F504" i="1"/>
  <c r="F503" i="1"/>
  <c r="F502" i="1"/>
  <c r="I293" i="1"/>
  <c r="J169" i="1"/>
  <c r="J168" i="1"/>
  <c r="J167" i="1"/>
  <c r="J166" i="1"/>
  <c r="C192" i="1"/>
  <c r="F508" i="1"/>
  <c r="G502" i="1"/>
  <c r="J197" i="1"/>
  <c r="J196" i="1"/>
  <c r="J195" i="1"/>
  <c r="J194" i="1"/>
  <c r="J183" i="1"/>
  <c r="J182" i="1"/>
  <c r="J181" i="1"/>
  <c r="J180" i="1"/>
  <c r="J155" i="1"/>
  <c r="J154" i="1"/>
  <c r="J153" i="1"/>
  <c r="J152" i="1"/>
  <c r="J141" i="1"/>
  <c r="J140" i="1"/>
  <c r="J139" i="1"/>
  <c r="J138" i="1"/>
  <c r="H187" i="1"/>
  <c r="H145" i="1"/>
  <c r="H173" i="1"/>
  <c r="H131" i="1"/>
  <c r="H159" i="1"/>
  <c r="C216" i="1" l="1"/>
  <c r="C218" i="1" s="1"/>
  <c r="H237" i="1"/>
  <c r="D216" i="1"/>
  <c r="D218" i="1" s="1"/>
  <c r="D228" i="1"/>
  <c r="F228" i="1"/>
  <c r="D227" i="1"/>
  <c r="D226" i="1"/>
  <c r="C228" i="1"/>
  <c r="F227" i="1"/>
  <c r="F529" i="1"/>
  <c r="F226" i="1" s="1"/>
  <c r="C227" i="1"/>
  <c r="F225" i="1"/>
  <c r="C225" i="1"/>
  <c r="D225" i="1"/>
  <c r="J163" i="1"/>
  <c r="J161" i="1"/>
  <c r="C162" i="1" s="1"/>
  <c r="D171" i="1"/>
  <c r="D169" i="1"/>
  <c r="D167" i="1"/>
  <c r="D165" i="1"/>
  <c r="J162" i="1"/>
  <c r="J164" i="1"/>
  <c r="J165" i="1" s="1"/>
  <c r="J170" i="1" s="1"/>
  <c r="J171" i="1" s="1"/>
  <c r="D170" i="1"/>
  <c r="D168" i="1"/>
  <c r="D166" i="1"/>
  <c r="D164" i="1"/>
  <c r="D180" i="1"/>
  <c r="J175" i="1"/>
  <c r="C176" i="1" s="1"/>
  <c r="D176" i="1" s="1"/>
  <c r="D184" i="1"/>
  <c r="J176" i="1"/>
  <c r="J177" i="1"/>
  <c r="D185" i="1"/>
  <c r="D183" i="1"/>
  <c r="D181" i="1"/>
  <c r="D179" i="1"/>
  <c r="J178" i="1"/>
  <c r="J179" i="1" s="1"/>
  <c r="J184" i="1" s="1"/>
  <c r="J185" i="1" s="1"/>
  <c r="D182" i="1"/>
  <c r="D178" i="1"/>
  <c r="D139" i="1"/>
  <c r="D141" i="1"/>
  <c r="J136" i="1"/>
  <c r="J137" i="1" s="1"/>
  <c r="J142" i="1" s="1"/>
  <c r="J143" i="1" s="1"/>
  <c r="C135" i="1" s="1"/>
  <c r="E134" i="1" s="1"/>
  <c r="D142" i="1"/>
  <c r="D140" i="1"/>
  <c r="D138" i="1"/>
  <c r="D136" i="1"/>
  <c r="J134" i="1"/>
  <c r="J135" i="1"/>
  <c r="C134" i="1" s="1"/>
  <c r="J133" i="1"/>
  <c r="D143" i="1"/>
  <c r="D137" i="1"/>
  <c r="D157" i="1"/>
  <c r="D155" i="1"/>
  <c r="D153" i="1"/>
  <c r="D151" i="1"/>
  <c r="J150" i="1"/>
  <c r="J151" i="1" s="1"/>
  <c r="J156" i="1" s="1"/>
  <c r="J157" i="1" s="1"/>
  <c r="C149" i="1" s="1"/>
  <c r="D148" i="1"/>
  <c r="D156" i="1"/>
  <c r="D154" i="1"/>
  <c r="D152" i="1"/>
  <c r="D150" i="1"/>
  <c r="J148" i="1"/>
  <c r="J147" i="1"/>
  <c r="J149" i="1"/>
  <c r="D199" i="1"/>
  <c r="D197" i="1"/>
  <c r="D195" i="1"/>
  <c r="D193" i="1"/>
  <c r="J192" i="1"/>
  <c r="J193" i="1" s="1"/>
  <c r="J198" i="1" s="1"/>
  <c r="J199" i="1" s="1"/>
  <c r="C191" i="1" s="1"/>
  <c r="D198" i="1"/>
  <c r="D196" i="1"/>
  <c r="D194" i="1"/>
  <c r="D192" i="1"/>
  <c r="J190" i="1"/>
  <c r="J189" i="1"/>
  <c r="J191" i="1"/>
  <c r="C190" i="1" s="1"/>
  <c r="D190" i="1" s="1"/>
  <c r="D162" i="1" l="1"/>
  <c r="F216" i="1"/>
  <c r="F218" i="1" s="1"/>
  <c r="C226" i="1"/>
  <c r="E162" i="1"/>
  <c r="D163" i="1"/>
  <c r="G162" i="1"/>
  <c r="E176" i="1"/>
  <c r="I172" i="1" s="1"/>
  <c r="C174" i="1" s="1"/>
  <c r="G176" i="1"/>
  <c r="D177" i="1"/>
  <c r="E148" i="1"/>
  <c r="I144" i="1" s="1"/>
  <c r="C146" i="1" s="1"/>
  <c r="G148" i="1"/>
  <c r="D149" i="1"/>
  <c r="E190" i="1"/>
  <c r="I186" i="1" s="1"/>
  <c r="C188" i="1" s="1"/>
  <c r="D191" i="1"/>
  <c r="G190" i="1"/>
  <c r="D135" i="1"/>
  <c r="G134" i="1"/>
  <c r="D134" i="1"/>
  <c r="I130" i="1" s="1"/>
  <c r="C132" i="1" s="1"/>
  <c r="I158" i="1" l="1"/>
  <c r="C160" i="1" s="1"/>
  <c r="E40" i="1"/>
  <c r="I41" i="1"/>
  <c r="I52" i="1"/>
  <c r="J127" i="1" l="1"/>
  <c r="J126" i="1"/>
  <c r="J125" i="1"/>
  <c r="J124" i="1"/>
  <c r="H117" i="1"/>
  <c r="J121" i="1" l="1"/>
  <c r="D129" i="1"/>
  <c r="D125" i="1"/>
  <c r="D122" i="1"/>
  <c r="D128" i="1"/>
  <c r="D124" i="1"/>
  <c r="J120" i="1"/>
  <c r="D123" i="1"/>
  <c r="D126" i="1"/>
  <c r="J119" i="1"/>
  <c r="J122" i="1"/>
  <c r="J123" i="1" s="1"/>
  <c r="J128" i="1" s="1"/>
  <c r="J129" i="1" s="1"/>
  <c r="C121" i="1" s="1"/>
  <c r="D127" i="1"/>
  <c r="D120" i="1"/>
  <c r="G430" i="1"/>
  <c r="G365" i="1"/>
  <c r="G339" i="1"/>
  <c r="G297" i="1"/>
  <c r="E3" i="1"/>
  <c r="J113" i="1"/>
  <c r="J112" i="1"/>
  <c r="J111" i="1"/>
  <c r="J110" i="1"/>
  <c r="J99" i="1"/>
  <c r="J98" i="1"/>
  <c r="J97" i="1"/>
  <c r="J96" i="1"/>
  <c r="H89" i="1"/>
  <c r="H103" i="1"/>
  <c r="E120" i="1" l="1"/>
  <c r="I116" i="1" s="1"/>
  <c r="C118" i="1" s="1"/>
  <c r="G120" i="1"/>
  <c r="D121" i="1"/>
  <c r="J108" i="1"/>
  <c r="J109" i="1" s="1"/>
  <c r="J114" i="1" s="1"/>
  <c r="J115" i="1" s="1"/>
  <c r="C107" i="1" s="1"/>
  <c r="J107" i="1"/>
  <c r="D106" i="1"/>
  <c r="D115" i="1"/>
  <c r="D114" i="1"/>
  <c r="D113" i="1"/>
  <c r="D112" i="1"/>
  <c r="D111" i="1"/>
  <c r="D110" i="1"/>
  <c r="D109" i="1"/>
  <c r="D108" i="1"/>
  <c r="J106" i="1"/>
  <c r="J105" i="1"/>
  <c r="J94" i="1"/>
  <c r="J95" i="1" s="1"/>
  <c r="J100" i="1" s="1"/>
  <c r="J101" i="1" s="1"/>
  <c r="C93" i="1" s="1"/>
  <c r="J93" i="1"/>
  <c r="D92" i="1"/>
  <c r="D101" i="1"/>
  <c r="D100" i="1"/>
  <c r="D99" i="1"/>
  <c r="D98" i="1"/>
  <c r="D97" i="1"/>
  <c r="D96" i="1"/>
  <c r="D95" i="1"/>
  <c r="D94" i="1"/>
  <c r="J92" i="1"/>
  <c r="J91" i="1"/>
  <c r="J85" i="1"/>
  <c r="J84" i="1"/>
  <c r="J83" i="1"/>
  <c r="J82" i="1"/>
  <c r="H75" i="1"/>
  <c r="E106" i="1" l="1"/>
  <c r="I102" i="1" s="1"/>
  <c r="C104" i="1" s="1"/>
  <c r="G106" i="1"/>
  <c r="D107" i="1"/>
  <c r="E92" i="1"/>
  <c r="I88" i="1" s="1"/>
  <c r="C90" i="1" s="1"/>
  <c r="G92" i="1"/>
  <c r="D93" i="1"/>
  <c r="J80" i="1"/>
  <c r="J81" i="1" s="1"/>
  <c r="J86" i="1" s="1"/>
  <c r="J79" i="1"/>
  <c r="J78" i="1"/>
  <c r="J77" i="1"/>
  <c r="D87" i="1"/>
  <c r="D86" i="1"/>
  <c r="D85" i="1"/>
  <c r="D84" i="1"/>
  <c r="D83" i="1"/>
  <c r="D82" i="1"/>
  <c r="D81" i="1"/>
  <c r="D80" i="1"/>
  <c r="D78" i="1"/>
  <c r="J71" i="1"/>
  <c r="J70" i="1"/>
  <c r="H61" i="1"/>
  <c r="J87" i="1" l="1"/>
  <c r="C79" i="1" s="1"/>
  <c r="D66" i="1"/>
  <c r="D67" i="1"/>
  <c r="D73" i="1"/>
  <c r="D69" i="1"/>
  <c r="J65" i="1"/>
  <c r="C64" i="1" s="1"/>
  <c r="J63" i="1"/>
  <c r="J64" i="1"/>
  <c r="D71" i="1"/>
  <c r="J66" i="1"/>
  <c r="J67" i="1" s="1"/>
  <c r="J72" i="1" s="1"/>
  <c r="D72" i="1"/>
  <c r="D68" i="1"/>
  <c r="D70" i="1"/>
  <c r="G78" i="1" l="1"/>
  <c r="E78" i="1"/>
  <c r="I74" i="1" s="1"/>
  <c r="C76" i="1" s="1"/>
  <c r="D79" i="1"/>
  <c r="D64" i="1"/>
  <c r="J68" i="1"/>
  <c r="J69" i="1" s="1"/>
  <c r="D494" i="1"/>
  <c r="F494" i="1" s="1"/>
  <c r="D495" i="1"/>
  <c r="F495" i="1" s="1"/>
  <c r="D496" i="1"/>
  <c r="F496" i="1" s="1"/>
  <c r="G464" i="1"/>
  <c r="G396" i="1"/>
  <c r="D468" i="1"/>
  <c r="F468" i="1" s="1"/>
  <c r="D467" i="1"/>
  <c r="F467" i="1" s="1"/>
  <c r="D466" i="1"/>
  <c r="F466" i="1" s="1"/>
  <c r="D465" i="1"/>
  <c r="F465" i="1" s="1"/>
  <c r="D464" i="1"/>
  <c r="F464" i="1" s="1"/>
  <c r="D459" i="1"/>
  <c r="F459" i="1" s="1"/>
  <c r="D460" i="1"/>
  <c r="F460" i="1" s="1"/>
  <c r="D461" i="1"/>
  <c r="F461" i="1" s="1"/>
  <c r="D434" i="1"/>
  <c r="F434" i="1" s="1"/>
  <c r="D433" i="1"/>
  <c r="F433" i="1" s="1"/>
  <c r="I433" i="1" s="1"/>
  <c r="D498" i="1"/>
  <c r="F498" i="1" s="1"/>
  <c r="D497" i="1"/>
  <c r="F497" i="1" s="1"/>
  <c r="D493" i="1"/>
  <c r="F493" i="1" s="1"/>
  <c r="D492" i="1"/>
  <c r="F492" i="1" s="1"/>
  <c r="D491" i="1"/>
  <c r="F491" i="1" s="1"/>
  <c r="D490" i="1"/>
  <c r="F490" i="1" s="1"/>
  <c r="D489" i="1"/>
  <c r="F489" i="1" s="1"/>
  <c r="D488" i="1"/>
  <c r="F488" i="1" s="1"/>
  <c r="D487" i="1"/>
  <c r="F487" i="1" s="1"/>
  <c r="D486" i="1"/>
  <c r="F486" i="1" s="1"/>
  <c r="D485" i="1"/>
  <c r="F485" i="1" s="1"/>
  <c r="D484" i="1"/>
  <c r="F484" i="1" s="1"/>
  <c r="D483" i="1"/>
  <c r="F483" i="1" s="1"/>
  <c r="D482" i="1"/>
  <c r="F482" i="1" s="1"/>
  <c r="D481" i="1"/>
  <c r="F481" i="1" s="1"/>
  <c r="D480" i="1"/>
  <c r="F480" i="1" s="1"/>
  <c r="D479" i="1"/>
  <c r="F479" i="1" s="1"/>
  <c r="D478" i="1"/>
  <c r="F478" i="1" s="1"/>
  <c r="D477" i="1"/>
  <c r="F477" i="1" s="1"/>
  <c r="D476" i="1"/>
  <c r="F476" i="1" s="1"/>
  <c r="D475" i="1"/>
  <c r="F475" i="1" s="1"/>
  <c r="D474" i="1"/>
  <c r="F474" i="1" s="1"/>
  <c r="D473" i="1"/>
  <c r="F473" i="1" s="1"/>
  <c r="D472" i="1"/>
  <c r="F472" i="1" s="1"/>
  <c r="D471" i="1"/>
  <c r="F471" i="1" s="1"/>
  <c r="D470" i="1"/>
  <c r="F470" i="1" s="1"/>
  <c r="D469" i="1"/>
  <c r="F469" i="1" s="1"/>
  <c r="D462" i="1"/>
  <c r="F462" i="1" s="1"/>
  <c r="D458" i="1"/>
  <c r="F458" i="1" s="1"/>
  <c r="D457" i="1"/>
  <c r="F457" i="1" s="1"/>
  <c r="D456" i="1"/>
  <c r="F456" i="1" s="1"/>
  <c r="D455" i="1"/>
  <c r="F455" i="1" s="1"/>
  <c r="D454" i="1"/>
  <c r="F454" i="1" s="1"/>
  <c r="D453" i="1"/>
  <c r="F453" i="1" s="1"/>
  <c r="D452" i="1"/>
  <c r="F452" i="1" s="1"/>
  <c r="D451" i="1"/>
  <c r="F451" i="1" s="1"/>
  <c r="D450" i="1"/>
  <c r="F450" i="1" s="1"/>
  <c r="D449" i="1"/>
  <c r="F449" i="1" s="1"/>
  <c r="D448" i="1"/>
  <c r="F448" i="1" s="1"/>
  <c r="D447" i="1"/>
  <c r="F447" i="1" s="1"/>
  <c r="D446" i="1"/>
  <c r="F446" i="1" s="1"/>
  <c r="D445" i="1"/>
  <c r="F445" i="1" s="1"/>
  <c r="D444" i="1"/>
  <c r="F444" i="1" s="1"/>
  <c r="D443" i="1"/>
  <c r="F443" i="1" s="1"/>
  <c r="D442" i="1"/>
  <c r="F442" i="1" s="1"/>
  <c r="D441" i="1"/>
  <c r="F441" i="1" s="1"/>
  <c r="D440" i="1"/>
  <c r="F440" i="1" s="1"/>
  <c r="D439" i="1"/>
  <c r="F439" i="1" s="1"/>
  <c r="D438" i="1"/>
  <c r="F438" i="1" s="1"/>
  <c r="D437" i="1"/>
  <c r="F437" i="1" s="1"/>
  <c r="D436" i="1"/>
  <c r="F436" i="1" s="1"/>
  <c r="D435" i="1"/>
  <c r="F435" i="1" s="1"/>
  <c r="D432" i="1"/>
  <c r="F432" i="1" s="1"/>
  <c r="D431" i="1"/>
  <c r="F431" i="1" s="1"/>
  <c r="D430" i="1"/>
  <c r="F430" i="1" s="1"/>
  <c r="D423" i="1"/>
  <c r="F423" i="1" s="1"/>
  <c r="D424" i="1"/>
  <c r="F424" i="1" s="1"/>
  <c r="D425" i="1"/>
  <c r="F425" i="1" s="1"/>
  <c r="D427" i="1"/>
  <c r="F427" i="1" s="1"/>
  <c r="D426" i="1"/>
  <c r="F426" i="1" s="1"/>
  <c r="D422" i="1"/>
  <c r="F422" i="1" s="1"/>
  <c r="D421" i="1"/>
  <c r="F421" i="1" s="1"/>
  <c r="D420" i="1"/>
  <c r="F420" i="1" s="1"/>
  <c r="D419" i="1"/>
  <c r="F419" i="1" s="1"/>
  <c r="D418" i="1"/>
  <c r="F418" i="1" s="1"/>
  <c r="D417" i="1"/>
  <c r="F417" i="1" s="1"/>
  <c r="D416" i="1"/>
  <c r="F416" i="1" s="1"/>
  <c r="D415" i="1"/>
  <c r="F415" i="1" s="1"/>
  <c r="D414" i="1"/>
  <c r="F414" i="1" s="1"/>
  <c r="D413" i="1"/>
  <c r="F413" i="1" s="1"/>
  <c r="D412" i="1"/>
  <c r="F412" i="1" s="1"/>
  <c r="D411" i="1"/>
  <c r="F411" i="1" s="1"/>
  <c r="D410" i="1"/>
  <c r="F410" i="1" s="1"/>
  <c r="D409" i="1"/>
  <c r="F409" i="1" s="1"/>
  <c r="D408" i="1"/>
  <c r="F408" i="1" s="1"/>
  <c r="D407" i="1"/>
  <c r="F407" i="1" s="1"/>
  <c r="D406" i="1"/>
  <c r="F406" i="1" s="1"/>
  <c r="D405" i="1"/>
  <c r="F405" i="1" s="1"/>
  <c r="D404" i="1"/>
  <c r="F404" i="1" s="1"/>
  <c r="D403" i="1"/>
  <c r="F403" i="1" s="1"/>
  <c r="D402" i="1"/>
  <c r="F402" i="1" s="1"/>
  <c r="D401" i="1"/>
  <c r="F401" i="1" s="1"/>
  <c r="D400" i="1"/>
  <c r="F400" i="1" s="1"/>
  <c r="D399" i="1"/>
  <c r="F399" i="1" s="1"/>
  <c r="D398" i="1"/>
  <c r="F398" i="1" s="1"/>
  <c r="D397" i="1"/>
  <c r="F397" i="1" s="1"/>
  <c r="D396" i="1"/>
  <c r="F396" i="1" s="1"/>
  <c r="D393" i="1"/>
  <c r="F393" i="1" s="1"/>
  <c r="D394" i="1"/>
  <c r="F394" i="1" s="1"/>
  <c r="D392" i="1"/>
  <c r="F392" i="1" s="1"/>
  <c r="D376" i="1"/>
  <c r="F376" i="1" s="1"/>
  <c r="D377" i="1"/>
  <c r="F377" i="1" s="1"/>
  <c r="D378" i="1"/>
  <c r="F378" i="1" s="1"/>
  <c r="D379" i="1"/>
  <c r="F379" i="1" s="1"/>
  <c r="D380" i="1"/>
  <c r="F380" i="1" s="1"/>
  <c r="D381" i="1"/>
  <c r="F381" i="1" s="1"/>
  <c r="D382" i="1"/>
  <c r="F382" i="1" s="1"/>
  <c r="D383" i="1"/>
  <c r="F383" i="1" s="1"/>
  <c r="D384" i="1"/>
  <c r="F384" i="1" s="1"/>
  <c r="D385" i="1"/>
  <c r="F385" i="1" s="1"/>
  <c r="D386" i="1"/>
  <c r="F386" i="1" s="1"/>
  <c r="D387" i="1"/>
  <c r="F387" i="1" s="1"/>
  <c r="D388" i="1"/>
  <c r="F388" i="1" s="1"/>
  <c r="D389" i="1"/>
  <c r="F389" i="1" s="1"/>
  <c r="D390" i="1"/>
  <c r="F390" i="1" s="1"/>
  <c r="D391" i="1"/>
  <c r="F391" i="1" s="1"/>
  <c r="D369" i="1"/>
  <c r="F369" i="1" s="1"/>
  <c r="D370" i="1"/>
  <c r="F370" i="1" s="1"/>
  <c r="D371" i="1"/>
  <c r="F371" i="1" s="1"/>
  <c r="D372" i="1"/>
  <c r="F372" i="1" s="1"/>
  <c r="D373" i="1"/>
  <c r="F373" i="1" s="1"/>
  <c r="D374" i="1"/>
  <c r="F374" i="1" s="1"/>
  <c r="D375" i="1"/>
  <c r="F375" i="1" s="1"/>
  <c r="D366" i="1"/>
  <c r="F366" i="1" s="1"/>
  <c r="D367" i="1"/>
  <c r="F367" i="1" s="1"/>
  <c r="D368" i="1"/>
  <c r="F368" i="1" s="1"/>
  <c r="D365" i="1"/>
  <c r="F365" i="1" s="1"/>
  <c r="J73" i="1" l="1"/>
  <c r="C65" i="1" s="1"/>
  <c r="F224" i="1"/>
  <c r="F223" i="1"/>
  <c r="C223" i="1"/>
  <c r="D224" i="1"/>
  <c r="C224" i="1"/>
  <c r="D223" i="1"/>
  <c r="D362" i="1"/>
  <c r="F362" i="1" s="1"/>
  <c r="D361" i="1"/>
  <c r="F361" i="1" s="1"/>
  <c r="D360" i="1"/>
  <c r="F360" i="1" s="1"/>
  <c r="D359" i="1"/>
  <c r="F359" i="1" s="1"/>
  <c r="D358" i="1"/>
  <c r="F358" i="1" s="1"/>
  <c r="D357" i="1"/>
  <c r="F357" i="1" s="1"/>
  <c r="D356" i="1"/>
  <c r="F356" i="1" s="1"/>
  <c r="D355" i="1"/>
  <c r="F355" i="1" s="1"/>
  <c r="D354" i="1"/>
  <c r="F354" i="1" s="1"/>
  <c r="D353" i="1"/>
  <c r="F353" i="1" s="1"/>
  <c r="D352" i="1"/>
  <c r="F352" i="1" s="1"/>
  <c r="G351" i="1"/>
  <c r="D351" i="1"/>
  <c r="F351" i="1" s="1"/>
  <c r="D349" i="1"/>
  <c r="F349" i="1" s="1"/>
  <c r="D348" i="1"/>
  <c r="F348" i="1" s="1"/>
  <c r="D347" i="1"/>
  <c r="F347" i="1" s="1"/>
  <c r="D346" i="1"/>
  <c r="F346" i="1" s="1"/>
  <c r="D345" i="1"/>
  <c r="F345" i="1" s="1"/>
  <c r="D344" i="1"/>
  <c r="F344" i="1" s="1"/>
  <c r="D343" i="1"/>
  <c r="F343" i="1" s="1"/>
  <c r="D342" i="1"/>
  <c r="F342" i="1" s="1"/>
  <c r="D341" i="1"/>
  <c r="F341" i="1" s="1"/>
  <c r="D340" i="1"/>
  <c r="F340" i="1" s="1"/>
  <c r="D339" i="1"/>
  <c r="D335" i="1"/>
  <c r="F335" i="1" s="1"/>
  <c r="D327" i="1"/>
  <c r="F327" i="1" s="1"/>
  <c r="D328" i="1"/>
  <c r="F328" i="1" s="1"/>
  <c r="D329" i="1"/>
  <c r="F329" i="1" s="1"/>
  <c r="D330" i="1"/>
  <c r="F330" i="1" s="1"/>
  <c r="D331" i="1"/>
  <c r="F331" i="1" s="1"/>
  <c r="D332" i="1"/>
  <c r="F332" i="1" s="1"/>
  <c r="D333" i="1"/>
  <c r="F333" i="1" s="1"/>
  <c r="D334" i="1"/>
  <c r="F334" i="1" s="1"/>
  <c r="D326" i="1"/>
  <c r="F326" i="1" s="1"/>
  <c r="D324" i="1"/>
  <c r="F324" i="1" s="1"/>
  <c r="D323" i="1"/>
  <c r="F323" i="1" s="1"/>
  <c r="D322" i="1"/>
  <c r="F322" i="1" s="1"/>
  <c r="D325" i="1"/>
  <c r="F325" i="1" s="1"/>
  <c r="D321" i="1"/>
  <c r="F321" i="1" s="1"/>
  <c r="D319" i="1"/>
  <c r="F319" i="1" s="1"/>
  <c r="D320" i="1"/>
  <c r="F320" i="1" s="1"/>
  <c r="D318" i="1"/>
  <c r="F318" i="1" s="1"/>
  <c r="D317" i="1"/>
  <c r="F317" i="1" s="1"/>
  <c r="G317" i="1"/>
  <c r="D307" i="1"/>
  <c r="F307" i="1" s="1"/>
  <c r="D308" i="1"/>
  <c r="F308" i="1" s="1"/>
  <c r="D309" i="1"/>
  <c r="F309" i="1" s="1"/>
  <c r="D310" i="1"/>
  <c r="F310" i="1" s="1"/>
  <c r="D311" i="1"/>
  <c r="F311" i="1" s="1"/>
  <c r="D312" i="1"/>
  <c r="F312" i="1" s="1"/>
  <c r="D313" i="1"/>
  <c r="F313" i="1" s="1"/>
  <c r="D314" i="1"/>
  <c r="F314" i="1" s="1"/>
  <c r="D306" i="1"/>
  <c r="F306" i="1" s="1"/>
  <c r="D315" i="1"/>
  <c r="F315" i="1" s="1"/>
  <c r="D305" i="1"/>
  <c r="F305" i="1" s="1"/>
  <c r="D303" i="1"/>
  <c r="F303" i="1" s="1"/>
  <c r="D304" i="1"/>
  <c r="F304" i="1" s="1"/>
  <c r="D302" i="1"/>
  <c r="F302" i="1" s="1"/>
  <c r="D301" i="1"/>
  <c r="F301" i="1" s="1"/>
  <c r="D299" i="1"/>
  <c r="F299" i="1" s="1"/>
  <c r="D300" i="1"/>
  <c r="F300" i="1" s="1"/>
  <c r="D298" i="1"/>
  <c r="F298" i="1" s="1"/>
  <c r="I298" i="1" s="1"/>
  <c r="D297" i="1"/>
  <c r="E64" i="1" l="1"/>
  <c r="I60" i="1" s="1"/>
  <c r="C62" i="1" s="1"/>
  <c r="D65" i="1"/>
  <c r="G64" i="1"/>
  <c r="F297" i="1"/>
  <c r="F221" i="1" s="1"/>
  <c r="C221" i="1"/>
  <c r="D221" i="1"/>
  <c r="F339" i="1"/>
  <c r="F222" i="1" s="1"/>
  <c r="D222" i="1"/>
  <c r="C222" i="1"/>
  <c r="C13" i="1"/>
  <c r="F229" i="1" l="1"/>
  <c r="D229" i="1"/>
  <c r="C229" i="1"/>
  <c r="E7" i="1"/>
  <c r="D629" i="1" l="1"/>
  <c r="F213" i="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 r="E41" i="1"/>
</calcChain>
</file>

<file path=xl/sharedStrings.xml><?xml version="1.0" encoding="utf-8"?>
<sst xmlns="http://schemas.openxmlformats.org/spreadsheetml/2006/main" count="1025" uniqueCount="265">
  <si>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</si>
  <si>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</si>
  <si>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</si>
  <si>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</si>
  <si>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</si>
  <si>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</si>
  <si>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</si>
  <si>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</si>
  <si>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</si>
  <si>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</si>
  <si>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</si>
  <si>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</si>
  <si>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</si>
  <si>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</si>
  <si>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</si>
  <si>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</si>
  <si>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</si>
  <si>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</si>
  <si>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</si>
  <si>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</si>
  <si>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</si>
  <si>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</si>
  <si>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</si>
  <si>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</si>
  <si>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</si>
  <si>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</si>
  <si>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</si>
  <si>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</si>
  <si>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</si>
  <si>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</si>
  <si>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</si>
  <si>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</si>
  <si>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</si>
  <si>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</si>
  <si>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</si>
  <si>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</si>
  <si>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</si>
  <si>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</si>
  <si>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</si>
  <si>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</si>
  <si>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</si>
  <si>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</si>
  <si>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</si>
  <si>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</si>
  <si>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</si>
  <si>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</si>
  <si>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</si>
  <si>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</si>
  <si>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</si>
  <si>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</si>
  <si>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</si>
  <si>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</si>
  <si>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</si>
  <si>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</si>
  <si>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</si>
  <si>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</si>
  <si>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</si>
  <si>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</si>
  <si>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</si>
  <si>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</si>
  <si>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</si>
  <si>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</si>
  <si>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</si>
  <si>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</si>
  <si>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</si>
  <si>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</si>
  <si>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</si>
  <si>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</si>
  <si>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</si>
  <si>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</si>
  <si>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</si>
  <si>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</si>
  <si>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</si>
  <si>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</si>
  <si>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</si>
  <si>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</si>
  <si>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</si>
  <si>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</si>
  <si>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</si>
  <si>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</si>
  <si>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</si>
  <si>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</si>
  <si>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</si>
  <si>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</si>
  <si>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</si>
  <si>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</si>
  <si>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</si>
  <si>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</si>
  <si>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</si>
  <si>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</si>
  <si>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</si>
  <si>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</si>
  <si>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</si>
  <si>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</si>
  <si>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</si>
  <si>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</si>
  <si>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</si>
  <si>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</si>
  <si>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</si>
  <si>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</si>
  <si>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</si>
  <si>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</si>
  <si>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</si>
  <si>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</si>
  <si>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</si>
  <si>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</si>
  <si>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</si>
  <si>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t>Recommended rate of the flat Per Sq. Ft. ( on Saleable area)</t>
  </si>
  <si>
    <t>Flat/Shop No.</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</si>
  <si>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</si>
  <si>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</si>
  <si>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</si>
  <si>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</si>
  <si>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</si>
  <si>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</si>
  <si>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</si>
  <si>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</si>
  <si>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</si>
  <si>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</si>
  <si>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</si>
  <si>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</si>
  <si>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</si>
  <si>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</si>
  <si>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</si>
  <si>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</si>
  <si>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</si>
  <si>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Restrictive Covenants in regard to Land Use</t>
  </si>
  <si>
    <t>Boundries</t>
  </si>
  <si>
    <t>Floor Rise Rate Per Sq.ft</t>
  </si>
  <si>
    <t>Development Charges</t>
  </si>
  <si>
    <t>Club Charges</t>
  </si>
  <si>
    <t>Legal Services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</si>
  <si>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</si>
  <si>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</si>
  <si>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</si>
  <si>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</si>
  <si>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</si>
  <si>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</si>
  <si>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</si>
  <si>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</si>
  <si>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in process</t>
  </si>
  <si>
    <t>Plinth completed</t>
  </si>
  <si>
    <t>All work Completed. OC Received.</t>
  </si>
  <si>
    <t>NA
Approved upto : NA</t>
  </si>
  <si>
    <t>Report By :</t>
  </si>
  <si>
    <t>Nandore</t>
  </si>
  <si>
    <t>Palghar</t>
  </si>
  <si>
    <t>M/s.Mahindra Happinest Developers Limited</t>
  </si>
  <si>
    <t>S.S.N.R./336</t>
  </si>
  <si>
    <t>6.4km from Palghar Railway Station</t>
  </si>
  <si>
    <t>Middle</t>
  </si>
  <si>
    <t>Developing</t>
  </si>
  <si>
    <t>Block 6</t>
  </si>
  <si>
    <t>Ground Floor for Residential</t>
  </si>
  <si>
    <t xml:space="preserve">1BHK </t>
  </si>
  <si>
    <t>1st to 4th Floor</t>
  </si>
  <si>
    <t xml:space="preserve">2BHK </t>
  </si>
  <si>
    <t>Block 5A &amp; 5B</t>
  </si>
  <si>
    <t>Block 7A &amp;7B</t>
  </si>
  <si>
    <t>1RK</t>
  </si>
  <si>
    <t>Block 8A &amp; 8B</t>
  </si>
  <si>
    <t>Block 6A</t>
  </si>
  <si>
    <t>Block7A &amp; 7B</t>
  </si>
  <si>
    <t xml:space="preserve">Total </t>
  </si>
  <si>
    <t>Approved Plans, CC, Cost Sheet</t>
  </si>
  <si>
    <t>Flats - 485</t>
  </si>
  <si>
    <t>MAHSUL/KS.1/T.1/NAP/SR-110/2019</t>
  </si>
  <si>
    <t xml:space="preserve">07 Wings </t>
  </si>
  <si>
    <t>Residential</t>
  </si>
  <si>
    <t>Axis Goregaon</t>
  </si>
  <si>
    <t>Gundecha Woods</t>
  </si>
  <si>
    <t>Baswat Pada</t>
  </si>
  <si>
    <t>Gr + 1st to 4th Floor</t>
  </si>
  <si>
    <t>Construction details:</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</si>
  <si>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</si>
  <si>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</si>
  <si>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</si>
  <si>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</si>
  <si>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</si>
  <si>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</si>
  <si>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</si>
  <si>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</si>
  <si>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</si>
  <si>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</si>
  <si>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</si>
  <si>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</si>
  <si>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</si>
  <si>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</si>
  <si>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</si>
  <si>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</si>
  <si>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</si>
  <si>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Block 5A, 5B = Gr + 1st to 4th Floor</t>
  </si>
  <si>
    <t>Cement, Aggregate, Steel, etc</t>
  </si>
  <si>
    <t>Wheather the construction is as per approved Building plan : Under Construction</t>
  </si>
  <si>
    <t>Block  6A = Gr + 1st to 4th Floor</t>
  </si>
  <si>
    <t>Block 7A, 7B = Gr + 1st to 4th Floor</t>
  </si>
  <si>
    <t>Latitude, Longitude</t>
  </si>
  <si>
    <t>Location Link</t>
  </si>
  <si>
    <t>https://goo.gl/maps/GAovZqtsKsbCKowZ8</t>
  </si>
  <si>
    <t>Contact Details ( Name &amp; Contact No.)</t>
  </si>
  <si>
    <t>Office No. 1031, Wing J, Akshar Business Park, Plot No. 03 Sector 25, Near APMC Market, 
Vashi, Navi Mumbai, Maharashtra 400703 TEL: 022-46090378/79/8
E mail : vsjcapf@gmail.com. Web site : www.vsjadon.com</t>
  </si>
  <si>
    <t xml:space="preserve">    Building No.6 &amp; 7 = Work is same as last visit (08/12/2023).</t>
  </si>
  <si>
    <t>Block 8A = Gr + 1st to 4th Floor</t>
  </si>
  <si>
    <t>Block 8B = Gr + 1st to 4th Floor</t>
  </si>
  <si>
    <t>Date 20/09/2024 Separate table given here after don’t change construction stage of Block 8B until it 8A construction matches with 8B</t>
  </si>
  <si>
    <t>Construction work of Building No 8 (Block 8A &amp; 8B) given combined in previous report Extra work given for  Block 8A</t>
  </si>
  <si>
    <t>Date 20/09/2024 Separate table given here after don’t change construction stage of Block 8B until it 8A construction matches with 8B also don’t put any remark</t>
  </si>
  <si>
    <t>022-67478600 /Stanley 8879541331</t>
  </si>
  <si>
    <t>MAHSUL/KS.1/MJ.1/NAP/SR/110/19</t>
  </si>
  <si>
    <t>Block 2 = Gr + 1st to 4th Floor</t>
  </si>
  <si>
    <t>Block 4 = Gr + 1st to 4th Floor</t>
  </si>
  <si>
    <t>Commercial Area Details :</t>
  </si>
  <si>
    <t>Phase I</t>
  </si>
  <si>
    <t>Phase II</t>
  </si>
  <si>
    <t>Block 3 = G + 1st to 4th Floor</t>
  </si>
  <si>
    <t>Block 1 = G + 1st to 4th Floor</t>
  </si>
  <si>
    <t>Block 1</t>
  </si>
  <si>
    <t>Ground Floor for Residential &amp; Meter Room</t>
  </si>
  <si>
    <t>1BHK</t>
  </si>
  <si>
    <t>2BHK</t>
  </si>
  <si>
    <t>Block 2</t>
  </si>
  <si>
    <t>Block 3</t>
  </si>
  <si>
    <t>Block 4</t>
  </si>
  <si>
    <t>OK</t>
  </si>
  <si>
    <t>Shop No. (Sale Plan)</t>
  </si>
  <si>
    <t>Carpet area</t>
  </si>
  <si>
    <t>Attached Loft area</t>
  </si>
  <si>
    <t>Saleable area Loading :</t>
  </si>
  <si>
    <t xml:space="preserve">CFC </t>
  </si>
  <si>
    <t>Ground Floor For Commercial</t>
  </si>
  <si>
    <t>Shop</t>
  </si>
  <si>
    <t>1st Floor For Commercial</t>
  </si>
  <si>
    <t>Shops</t>
  </si>
  <si>
    <t>2nd Floor For Commercial</t>
  </si>
  <si>
    <t>Block 5 to 8 = Gr + 1st to 4th Floor
Block 1 to 4 = Gr + 1st to 4th Floor
CFC = Gr + 1st to 2nd Floor</t>
  </si>
  <si>
    <r>
      <rPr>
        <sz val="12"/>
        <rFont val="Times New Roman"/>
        <family val="1"/>
      </rPr>
      <t>1.Vitrified tiles flooring 2. Granite Kitchen Platform  3. Decorative Entrance  etc.</t>
    </r>
    <r>
      <rPr>
        <b/>
        <sz val="12"/>
        <rFont val="Times New Roman"/>
        <family val="1"/>
      </rPr>
      <t xml:space="preserve">                                                                                                                                                                                                                                 </t>
    </r>
    <r>
      <rPr>
        <sz val="12"/>
        <rFont val="Times New Roman"/>
        <family val="1"/>
      </rPr>
      <t xml:space="preserve">   </t>
    </r>
    <r>
      <rPr>
        <b/>
        <sz val="12"/>
        <rFont val="Times New Roman"/>
        <family val="1"/>
      </rPr>
      <t xml:space="preserve">                                               </t>
    </r>
  </si>
  <si>
    <t>Added From Here</t>
  </si>
  <si>
    <t>Mr. Yadnesh Patil</t>
  </si>
  <si>
    <t>Layout :</t>
  </si>
  <si>
    <t>Mahindra Happinest Palghar Project 2 Phase I &amp; II</t>
  </si>
  <si>
    <t>158, 183P, 183P and Plot no 2</t>
  </si>
  <si>
    <t>12 M W Road</t>
  </si>
  <si>
    <t>Bullet Train Marking/12 M W Road</t>
  </si>
  <si>
    <t>Bullet Train Marking/ Road</t>
  </si>
  <si>
    <t>Other Plot</t>
  </si>
  <si>
    <t xml:space="preserve">12 Wings </t>
  </si>
  <si>
    <t>Approved Floor plan No.  (Phase 2)</t>
  </si>
  <si>
    <t>Block 5A, 5B, 6A, 7A, 7B, 8A, 8B = Gr + 4th Floor
Block 1,2,3,4 &amp; CFC = Gr + 4th Floor</t>
  </si>
  <si>
    <t xml:space="preserve">Commencement Certificate No.
Valid Up to: </t>
  </si>
  <si>
    <t>Approved Floor plan No. (Phase 1)</t>
  </si>
  <si>
    <r>
      <t xml:space="preserve">As per RERA - </t>
    </r>
    <r>
      <rPr>
        <sz val="12"/>
        <rFont val="Times New Roman"/>
        <family val="1"/>
      </rPr>
      <t>Phase 1 = 30/12/2024</t>
    </r>
    <r>
      <rPr>
        <sz val="12"/>
        <color indexed="8"/>
        <rFont val="Times New Roman"/>
        <family val="1"/>
      </rPr>
      <t xml:space="preserve">
                      Phase 2 = 28/02/2027</t>
    </r>
  </si>
  <si>
    <r>
      <t xml:space="preserve">Shop No.
</t>
    </r>
    <r>
      <rPr>
        <b/>
        <sz val="11"/>
        <rFont val="Times New Roman"/>
        <family val="1"/>
      </rPr>
      <t>(Approved Plan)</t>
    </r>
  </si>
  <si>
    <t>Plot 2 - Phase I = Block 5A, 5B, 6A, 7A, 7B, 8A, 8B
            Phase II = Block 1, 2, 3, 4 &amp; CFC</t>
  </si>
  <si>
    <t>Total Permisible Builtup area of the project (Sq.Mt)</t>
  </si>
  <si>
    <t>Phase I = P99000026225
Phase II = P99000053642</t>
  </si>
  <si>
    <t>Gut No</t>
  </si>
  <si>
    <t xml:space="preserve">Building </t>
  </si>
  <si>
    <t>19.7335762,72.7899632</t>
  </si>
  <si>
    <t>Unit</t>
  </si>
  <si>
    <t>Flats = 745, Shops = 44, Units = 09</t>
  </si>
  <si>
    <t>Units</t>
  </si>
  <si>
    <t>CFC Building = Gr + 2nd Floor</t>
  </si>
  <si>
    <r>
      <t xml:space="preserve">1. Building No. 5 to 8, Block 1 &amp; 2 = Construction work is in process at the time of Visit.(Internal Visit Not Allowed).
 Block 3, 4 &amp; CFC Building = Since internal visit were not permitted, we were unable to determine building progress from an external visit; so, we are maintaining the same progress as in the previous report.
2. We considered  Saleable area  as per our calculation.
3. We considered Carpet area as per Approved Plan.
4. We considered Gross carpet area = Net carpet + Enclose balcony + D.B Area + F.B Area.
5. Recommended rate should be considered as all inclusive rate if other charges are not mentioned. (Excluding GST &amp; other government Taxes)
6. We have considered rate by verifying it from market inquire.
7. Car parking is subjected to authentic documentation.
8. We have considered only RERA registered Buildings.
9.The project has received first CC on 28/08/2020, But construction work of project is not yet completed.
10. </t>
    </r>
    <r>
      <rPr>
        <b/>
        <sz val="12"/>
        <color rgb="FFFF0000"/>
        <rFont val="Times New Roman"/>
        <family val="1"/>
      </rPr>
      <t xml:space="preserve">As per RERA, completion period of project Happinest Palghar Project 2 Phase I is expired on 30/12/2024 but still project is under construction.
</t>
    </r>
    <r>
      <rPr>
        <b/>
        <sz val="12"/>
        <rFont val="Times New Roman"/>
        <family val="1"/>
      </rPr>
      <t>11. We have added Phase 2 on 23/07/2025.
12. Please provide unit nomenclature term for 1st &amp; 2nd floor of CFC Building .
13. Bullet train marking passing nearby the project Mahindra Happinest Palghar. Please provide the NHSRCL NOC.
14. As per the layout, few building lies in Bullet train projection area. please check before any disbursment.
15. Please provide the Environmental clearance certificate.</t>
    </r>
  </si>
  <si>
    <t>Kunal Kadam</t>
  </si>
  <si>
    <r>
      <t xml:space="preserve">1. Building No. 5 to 8, Block 1 &amp; 3 = Construction work is in process at the time of Visit. (Internal Visit Not Allowed).
    Block 3, 4 &amp; CFC Building = Since internal visit were not permitted, we were unable to determine building progress from an external visit; so, we are maintaining the same progress as in the previous report.
2. We considered  Saleable area  as per our calculation.
3. We considered Carpet area as per Approved Plan.
4. We considered Gross carpet area = Net carpet + Enclose balcony + D.B Area + F.B Area.
5. Recommended rate should be considered as all inclusive rate if other charges are not mentioned. (Excluding GST &amp; other government Taxes)
6. We have considered rate by verifying it from market inquire.
7. Car parking is subjected to authentic documentation.
8. We have considered only RERA registered Buildings.
9.The project has received first CC on 28/08/2020, But construction work of project is not yet completed.
10. </t>
    </r>
    <r>
      <rPr>
        <b/>
        <sz val="12"/>
        <color rgb="FFFF0000"/>
        <rFont val="Times New Roman"/>
        <family val="1"/>
      </rPr>
      <t xml:space="preserve">As per RERA, completion period of project Happinest Palghar Project 2 Phase I is expired on 30/12/2024 but still project is under construction.
</t>
    </r>
    <r>
      <rPr>
        <b/>
        <sz val="12"/>
        <rFont val="Times New Roman"/>
        <family val="1"/>
      </rPr>
      <t>11. We have added Phase 2 on 23/07/2025.
12. Please provide unit nomenclature term for 1st &amp; 2nd floor of CFC Building .
13. Bullet train marking passing nearby the project Mahindra Happinest Palghar. Please provide the NHSRCL NOC.
14. As per the layout, few building lies in Bullet train projection area. please check before any disbursment.
15. Please provide the Environmental clearance certificate.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</si>
</sst>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rgb="FF000000"/>
      <name val="Calibri"/>
      <family val="2"/>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u/>
      <sz val="11"/>
      <color theme="10"/>
      <name val="Calibri"/>
      <family val="2"/>
    </font>
    <font>
      <b/>
      <sz val="12"/>
      <color rgb="FFFF0000"/>
      <name val="Times New Roman"/>
      <family val="1"/>
    </font>
    <font>
      <sz val="11"/>
      <color rgb="FF000000"/>
      <name val="Calibri"/>
      <family val="2"/>
    </font>
    <font>
      <b/>
      <sz val="11"/>
      <name val="Times New Roman"/>
      <family val="1"/>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0" fontId="2" fillId="0" borderId="0"/>
    <xf numFmtId="0" fontId="4" fillId="0" borderId="0"/>
    <xf numFmtId="0" fontId="1" fillId="0" borderId="0"/>
    <xf numFmtId="0" fontId="17" fillId="0" borderId="0" applyNumberFormat="0" applyFill="0" applyBorder="0" applyAlignment="0" applyProtection="0"/>
    <xf numFmtId="9" fontId="19" fillId="0" borderId="0" applyFont="0" applyFill="0" applyBorder="0" applyAlignment="0" applyProtection="0"/>
  </cellStyleXfs>
  <cellXfs count="171">
    <xf numFmtId="0" fontId="0" fillId="0" borderId="0" xfId="0"/>
    <xf numFmtId="0" fontId="6" fillId="0" borderId="0" xfId="0" applyFont="1" applyAlignment="1">
      <alignment horizontal="center" vertical="center"/>
    </xf>
    <xf numFmtId="0" fontId="6" fillId="0" borderId="0" xfId="1" applyFont="1" applyAlignment="1">
      <alignment horizontal="center" vertical="center"/>
    </xf>
    <xf numFmtId="0" fontId="0" fillId="3" borderId="1" xfId="0" applyFill="1" applyBorder="1"/>
    <xf numFmtId="0" fontId="0" fillId="0" borderId="2" xfId="0" applyBorder="1"/>
    <xf numFmtId="0" fontId="8" fillId="0" borderId="1" xfId="0" applyFont="1" applyBorder="1"/>
    <xf numFmtId="0" fontId="8" fillId="0" borderId="1" xfId="0" applyFont="1" applyBorder="1" applyAlignment="1">
      <alignment horizontal="center"/>
    </xf>
    <xf numFmtId="0" fontId="0" fillId="0" borderId="1" xfId="0" applyBorder="1"/>
    <xf numFmtId="0" fontId="6" fillId="0" borderId="0" xfId="1" applyFont="1"/>
    <xf numFmtId="0" fontId="5" fillId="0" borderId="0" xfId="2" applyFont="1"/>
    <xf numFmtId="0" fontId="6" fillId="0" borderId="0" xfId="0" applyFont="1"/>
    <xf numFmtId="0" fontId="11" fillId="0" borderId="0" xfId="1" applyFont="1"/>
    <xf numFmtId="0" fontId="14" fillId="0" borderId="0" xfId="1" applyFont="1"/>
    <xf numFmtId="0" fontId="15" fillId="0" borderId="0" xfId="1" applyFont="1"/>
    <xf numFmtId="0" fontId="11" fillId="2" borderId="1" xfId="1" applyFont="1" applyFill="1" applyBorder="1" applyAlignment="1" applyProtection="1">
      <alignment vertical="top"/>
      <protection locked="0"/>
    </xf>
    <xf numFmtId="0" fontId="9" fillId="0" borderId="1" xfId="0" applyFont="1" applyBorder="1" applyAlignment="1" applyProtection="1">
      <alignment horizontal="center" vertical="center"/>
      <protection locked="0"/>
    </xf>
    <xf numFmtId="1" fontId="6" fillId="0" borderId="1" xfId="0" applyNumberFormat="1" applyFont="1" applyBorder="1" applyAlignment="1" applyProtection="1">
      <alignment horizontal="center" vertical="center"/>
      <protection locked="0"/>
    </xf>
    <xf numFmtId="1" fontId="3" fillId="0" borderId="1" xfId="1" applyNumberFormat="1" applyFont="1" applyBorder="1" applyAlignment="1" applyProtection="1">
      <alignment horizontal="center" vertical="top" wrapText="1"/>
      <protection locked="0"/>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0" fontId="6" fillId="0" borderId="0" xfId="1" applyFont="1" applyProtection="1">
      <protection hidden="1"/>
    </xf>
    <xf numFmtId="1" fontId="5" fillId="0" borderId="1"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top" wrapText="1"/>
      <protection locked="0"/>
    </xf>
    <xf numFmtId="0" fontId="11" fillId="0" borderId="5" xfId="1" applyFont="1" applyBorder="1" applyAlignment="1" applyProtection="1">
      <alignment horizontal="center" vertical="top"/>
      <protection locked="0"/>
    </xf>
    <xf numFmtId="0" fontId="6" fillId="0" borderId="13" xfId="1" applyFont="1" applyBorder="1" applyProtection="1">
      <protection hidden="1"/>
    </xf>
    <xf numFmtId="0" fontId="6" fillId="0" borderId="14" xfId="1" applyFont="1" applyBorder="1" applyProtection="1">
      <protection hidden="1"/>
    </xf>
    <xf numFmtId="0" fontId="6" fillId="0" borderId="14" xfId="1" applyFont="1" applyBorder="1"/>
    <xf numFmtId="0" fontId="6" fillId="0" borderId="0" xfId="1" applyFont="1" applyAlignment="1">
      <alignment wrapText="1"/>
    </xf>
    <xf numFmtId="0" fontId="11" fillId="2" borderId="1" xfId="1" applyFont="1" applyFill="1" applyBorder="1" applyAlignment="1" applyProtection="1">
      <alignment horizontal="left" vertical="top"/>
      <protection locked="0"/>
    </xf>
    <xf numFmtId="0" fontId="11" fillId="0" borderId="6" xfId="1" applyFont="1" applyBorder="1" applyAlignment="1" applyProtection="1">
      <alignment horizontal="center" vertical="top"/>
      <protection locked="0"/>
    </xf>
    <xf numFmtId="0" fontId="11" fillId="0" borderId="1" xfId="1" applyFont="1" applyBorder="1" applyAlignment="1" applyProtection="1">
      <alignment horizontal="center" vertical="top" wrapText="1"/>
      <protection locked="0"/>
    </xf>
    <xf numFmtId="0" fontId="11" fillId="0" borderId="1" xfId="1" applyFont="1" applyBorder="1" applyAlignment="1" applyProtection="1">
      <alignment horizontal="center" wrapText="1"/>
      <protection locked="0"/>
    </xf>
    <xf numFmtId="1" fontId="11" fillId="0" borderId="1" xfId="1" applyNumberFormat="1" applyFont="1" applyBorder="1" applyAlignment="1" applyProtection="1">
      <alignment horizontal="center" wrapText="1"/>
      <protection locked="0"/>
    </xf>
    <xf numFmtId="0" fontId="11" fillId="0" borderId="8" xfId="1" applyFont="1" applyBorder="1" applyAlignment="1" applyProtection="1">
      <alignment horizontal="center" wrapText="1"/>
      <protection locked="0"/>
    </xf>
    <xf numFmtId="1" fontId="9" fillId="0" borderId="1" xfId="0" applyNumberFormat="1" applyFont="1" applyBorder="1" applyAlignment="1" applyProtection="1">
      <alignment horizontal="center" vertical="center"/>
      <protection locked="0"/>
    </xf>
    <xf numFmtId="1" fontId="11" fillId="0" borderId="1"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9" fontId="11" fillId="2" borderId="1" xfId="1" applyNumberFormat="1" applyFont="1" applyFill="1" applyBorder="1" applyAlignment="1" applyProtection="1">
      <alignment horizontal="center" vertical="center" wrapText="1"/>
      <protection hidden="1"/>
    </xf>
    <xf numFmtId="9" fontId="11" fillId="2" borderId="8" xfId="1" applyNumberFormat="1" applyFont="1" applyFill="1" applyBorder="1" applyAlignment="1" applyProtection="1">
      <alignment horizontal="center" vertical="center" wrapText="1"/>
      <protection hidden="1"/>
    </xf>
    <xf numFmtId="0" fontId="16" fillId="0" borderId="0" xfId="0" applyFont="1" applyProtection="1">
      <protection hidden="1"/>
    </xf>
    <xf numFmtId="0" fontId="6" fillId="0" borderId="12" xfId="1" applyFont="1" applyBorder="1" applyProtection="1">
      <protection hidden="1"/>
    </xf>
    <xf numFmtId="0" fontId="16" fillId="0" borderId="14" xfId="0" applyFont="1" applyBorder="1" applyProtection="1">
      <protection hidden="1"/>
    </xf>
    <xf numFmtId="1" fontId="0" fillId="0" borderId="14" xfId="0" applyNumberFormat="1" applyBorder="1"/>
    <xf numFmtId="2" fontId="0" fillId="0" borderId="0" xfId="0" applyNumberFormat="1"/>
    <xf numFmtId="164" fontId="0" fillId="0" borderId="0" xfId="0" applyNumberFormat="1"/>
    <xf numFmtId="2" fontId="16" fillId="0" borderId="0" xfId="0" applyNumberFormat="1" applyFont="1" applyProtection="1">
      <protection hidden="1"/>
    </xf>
    <xf numFmtId="1" fontId="0" fillId="0" borderId="14" xfId="0" applyNumberFormat="1" applyBorder="1" applyAlignment="1">
      <alignment horizontal="right"/>
    </xf>
    <xf numFmtId="0" fontId="16" fillId="0" borderId="15" xfId="0" applyFont="1" applyBorder="1" applyProtection="1">
      <protection hidden="1"/>
    </xf>
    <xf numFmtId="1" fontId="0" fillId="0" borderId="16" xfId="0" applyNumberFormat="1" applyBorder="1"/>
    <xf numFmtId="0" fontId="6" fillId="0" borderId="0" xfId="1" applyFont="1" applyAlignment="1">
      <alignment vertical="top"/>
    </xf>
    <xf numFmtId="0" fontId="12" fillId="2" borderId="1" xfId="1" applyFont="1" applyFill="1" applyBorder="1" applyAlignment="1" applyProtection="1">
      <alignment horizontal="left" vertical="top"/>
      <protection locked="0"/>
    </xf>
    <xf numFmtId="0" fontId="11" fillId="0" borderId="3" xfId="1" applyFont="1" applyBorder="1" applyAlignment="1" applyProtection="1">
      <alignment horizontal="center" wrapText="1"/>
      <protection locked="0"/>
    </xf>
    <xf numFmtId="9" fontId="11" fillId="2" borderId="3" xfId="1" applyNumberFormat="1" applyFont="1" applyFill="1" applyBorder="1" applyAlignment="1" applyProtection="1">
      <alignment horizontal="center" vertical="center" wrapText="1"/>
      <protection hidden="1"/>
    </xf>
    <xf numFmtId="0" fontId="6" fillId="0" borderId="1" xfId="1" applyFont="1" applyBorder="1"/>
    <xf numFmtId="1" fontId="6" fillId="0" borderId="1" xfId="1" applyNumberFormat="1" applyFont="1" applyBorder="1" applyAlignment="1">
      <alignment horizontal="center"/>
    </xf>
    <xf numFmtId="0" fontId="14" fillId="0" borderId="0" xfId="0" applyFont="1" applyAlignment="1">
      <alignment horizontal="center" vertical="center"/>
    </xf>
    <xf numFmtId="1" fontId="6" fillId="0" borderId="0" xfId="1" applyNumberFormat="1" applyFont="1" applyAlignment="1">
      <alignment horizontal="center" vertical="center"/>
    </xf>
    <xf numFmtId="0" fontId="11" fillId="4" borderId="1" xfId="1" applyFont="1" applyFill="1" applyBorder="1" applyAlignment="1" applyProtection="1">
      <alignment horizontal="left" vertical="top"/>
      <protection locked="0"/>
    </xf>
    <xf numFmtId="0" fontId="11" fillId="5" borderId="1" xfId="1" applyFont="1" applyFill="1" applyBorder="1" applyAlignment="1" applyProtection="1">
      <alignment horizontal="left" vertical="top"/>
      <protection locked="0"/>
    </xf>
    <xf numFmtId="1" fontId="12" fillId="0" borderId="3" xfId="1" applyNumberFormat="1" applyFont="1" applyBorder="1" applyAlignment="1" applyProtection="1">
      <alignment horizontal="center" vertical="top" wrapText="1"/>
      <protection locked="0"/>
    </xf>
    <xf numFmtId="9" fontId="12" fillId="0" borderId="4" xfId="5" applyFont="1" applyFill="1" applyBorder="1" applyAlignment="1" applyProtection="1">
      <alignment horizontal="center" vertical="top" wrapText="1"/>
      <protection locked="0"/>
    </xf>
    <xf numFmtId="0" fontId="12" fillId="0" borderId="0" xfId="1" applyFont="1" applyAlignment="1">
      <alignment wrapText="1"/>
    </xf>
    <xf numFmtId="1" fontId="5" fillId="0" borderId="10" xfId="1" applyNumberFormat="1" applyFont="1" applyBorder="1" applyAlignment="1" applyProtection="1">
      <alignment horizontal="center" vertical="center" wrapText="1"/>
      <protection locked="0"/>
    </xf>
    <xf numFmtId="1" fontId="5" fillId="0" borderId="1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5" fillId="0" borderId="1" xfId="1" applyFont="1" applyBorder="1" applyAlignment="1" applyProtection="1">
      <alignment horizontal="left" vertical="top"/>
      <protection locked="0"/>
    </xf>
    <xf numFmtId="0" fontId="11" fillId="0" borderId="1" xfId="1" applyFont="1" applyBorder="1" applyAlignment="1" applyProtection="1">
      <alignment horizontal="left" vertical="top" wrapText="1"/>
      <protection locked="0"/>
    </xf>
    <xf numFmtId="0" fontId="11" fillId="0" borderId="1" xfId="1" applyFont="1" applyBorder="1" applyAlignment="1" applyProtection="1">
      <alignment horizontal="center"/>
      <protection locked="0"/>
    </xf>
    <xf numFmtId="0" fontId="11"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1" fillId="2" borderId="1" xfId="1" applyFont="1" applyFill="1" applyBorder="1" applyAlignment="1" applyProtection="1">
      <alignment horizontal="left" vertical="top"/>
      <protection locked="0"/>
    </xf>
    <xf numFmtId="1" fontId="7" fillId="0" borderId="10" xfId="1" applyNumberFormat="1" applyFont="1" applyBorder="1" applyAlignment="1" applyProtection="1">
      <alignment horizontal="center" vertical="center" wrapText="1"/>
      <protection locked="0"/>
    </xf>
    <xf numFmtId="1" fontId="7" fillId="0" borderId="17" xfId="1" applyNumberFormat="1" applyFont="1" applyBorder="1" applyAlignment="1" applyProtection="1">
      <alignment horizontal="center" vertical="center" wrapText="1"/>
      <protection locked="0"/>
    </xf>
    <xf numFmtId="1" fontId="7" fillId="0" borderId="11"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left" vertical="top"/>
      <protection locked="0"/>
    </xf>
    <xf numFmtId="1" fontId="5"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0" fontId="11" fillId="0" borderId="5"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11" fillId="0" borderId="31" xfId="1" applyFont="1" applyBorder="1" applyAlignment="1" applyProtection="1">
      <alignment horizontal="center" vertical="top" wrapText="1"/>
      <protection locked="0"/>
    </xf>
    <xf numFmtId="0" fontId="11" fillId="0" borderId="3" xfId="1" applyFont="1" applyBorder="1" applyAlignment="1" applyProtection="1">
      <alignment horizontal="center" vertical="top" wrapText="1"/>
      <protection locked="0"/>
    </xf>
    <xf numFmtId="0" fontId="5" fillId="0" borderId="1" xfId="1" applyFont="1" applyBorder="1" applyAlignment="1" applyProtection="1">
      <alignment horizontal="left" vertical="top" wrapText="1"/>
      <protection locked="0"/>
    </xf>
    <xf numFmtId="1" fontId="5" fillId="0" borderId="1" xfId="1" applyNumberFormat="1" applyFont="1" applyBorder="1" applyAlignment="1" applyProtection="1">
      <alignment horizontal="center" vertical="center" wrapText="1"/>
      <protection locked="0"/>
    </xf>
    <xf numFmtId="0" fontId="18" fillId="3" borderId="25" xfId="1" applyFont="1" applyFill="1" applyBorder="1" applyAlignment="1">
      <alignment horizontal="left" vertical="top" wrapText="1"/>
    </xf>
    <xf numFmtId="0" fontId="18" fillId="3" borderId="0" xfId="1" applyFont="1" applyFill="1" applyAlignment="1">
      <alignment horizontal="left" vertical="top" wrapText="1"/>
    </xf>
    <xf numFmtId="0" fontId="18" fillId="3" borderId="25" xfId="1" applyFont="1" applyFill="1" applyBorder="1" applyAlignment="1">
      <alignment horizontal="left" wrapText="1"/>
    </xf>
    <xf numFmtId="0" fontId="18" fillId="3" borderId="0" xfId="1" applyFont="1" applyFill="1" applyAlignment="1">
      <alignment horizontal="left" wrapText="1"/>
    </xf>
    <xf numFmtId="0" fontId="12" fillId="0" borderId="18"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2" fillId="0" borderId="21" xfId="1" applyFont="1" applyBorder="1" applyAlignment="1" applyProtection="1">
      <alignment horizontal="left" vertical="top" wrapText="1"/>
      <protection locked="0"/>
    </xf>
    <xf numFmtId="0" fontId="12" fillId="0" borderId="22" xfId="1" applyFont="1" applyBorder="1" applyAlignment="1" applyProtection="1">
      <alignment horizontal="left" vertical="top" wrapText="1"/>
      <protection locked="0"/>
    </xf>
    <xf numFmtId="0" fontId="12" fillId="0" borderId="5"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6" xfId="1" applyFont="1" applyBorder="1" applyAlignment="1" applyProtection="1">
      <alignment horizontal="left" vertical="top" wrapText="1"/>
      <protection locked="0"/>
    </xf>
    <xf numFmtId="0" fontId="11" fillId="0" borderId="6"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0" fontId="11" fillId="2" borderId="1" xfId="1" applyFont="1" applyFill="1" applyBorder="1" applyAlignment="1" applyProtection="1">
      <alignment horizontal="left" vertical="top" wrapText="1"/>
      <protection locked="0"/>
    </xf>
    <xf numFmtId="0" fontId="6" fillId="0" borderId="10" xfId="1" applyFont="1" applyBorder="1" applyAlignment="1" applyProtection="1">
      <alignment horizontal="left"/>
      <protection locked="0"/>
    </xf>
    <xf numFmtId="0" fontId="6" fillId="0" borderId="17" xfId="1" applyFont="1" applyBorder="1" applyAlignment="1" applyProtection="1">
      <alignment horizontal="left"/>
      <protection locked="0"/>
    </xf>
    <xf numFmtId="0" fontId="6" fillId="0" borderId="11" xfId="1" applyFont="1" applyBorder="1" applyAlignment="1" applyProtection="1">
      <alignment horizontal="left"/>
      <protection locked="0"/>
    </xf>
    <xf numFmtId="0" fontId="7" fillId="0" borderId="1" xfId="1" applyFont="1" applyBorder="1" applyAlignment="1" applyProtection="1">
      <alignment horizontal="center" vertical="top"/>
      <protection locked="0"/>
    </xf>
    <xf numFmtId="0" fontId="17" fillId="0" borderId="10" xfId="4" applyBorder="1" applyAlignment="1" applyProtection="1">
      <alignment horizontal="left"/>
      <protection locked="0"/>
    </xf>
    <xf numFmtId="1" fontId="7" fillId="0" borderId="1" xfId="1" applyNumberFormat="1" applyFont="1" applyBorder="1" applyAlignment="1" applyProtection="1">
      <alignment horizontal="center" vertical="center" wrapText="1"/>
      <protection locked="0"/>
    </xf>
    <xf numFmtId="1" fontId="5" fillId="0" borderId="23" xfId="1" applyNumberFormat="1" applyFont="1" applyBorder="1" applyAlignment="1" applyProtection="1">
      <alignment horizontal="center" vertical="center" wrapText="1"/>
      <protection locked="0"/>
    </xf>
    <xf numFmtId="1" fontId="5" fillId="0" borderId="24" xfId="1" applyNumberFormat="1" applyFont="1" applyBorder="1" applyAlignment="1" applyProtection="1">
      <alignment horizontal="center" vertical="center" wrapText="1"/>
      <protection locked="0"/>
    </xf>
    <xf numFmtId="1" fontId="5" fillId="0" borderId="25" xfId="1" applyNumberFormat="1" applyFont="1" applyBorder="1" applyAlignment="1" applyProtection="1">
      <alignment horizontal="center" vertical="center" wrapText="1"/>
      <protection locked="0"/>
    </xf>
    <xf numFmtId="1" fontId="5" fillId="0" borderId="26" xfId="1" applyNumberFormat="1" applyFont="1" applyBorder="1" applyAlignment="1" applyProtection="1">
      <alignment horizontal="center" vertical="center" wrapText="1"/>
      <protection locked="0"/>
    </xf>
    <xf numFmtId="1" fontId="5" fillId="0" borderId="27" xfId="1" applyNumberFormat="1" applyFont="1" applyBorder="1" applyAlignment="1" applyProtection="1">
      <alignment horizontal="center" vertical="center" wrapText="1"/>
      <protection locked="0"/>
    </xf>
    <xf numFmtId="1" fontId="5" fillId="0" borderId="28"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left" vertical="top" wrapText="1"/>
      <protection locked="0"/>
    </xf>
    <xf numFmtId="0" fontId="12" fillId="0" borderId="1" xfId="2" applyFont="1" applyBorder="1" applyAlignment="1" applyProtection="1">
      <alignment horizontal="left" vertical="top" wrapText="1"/>
      <protection locked="0"/>
    </xf>
    <xf numFmtId="0" fontId="5" fillId="0" borderId="1" xfId="1" applyFont="1" applyBorder="1" applyAlignment="1" applyProtection="1">
      <alignment vertical="top"/>
      <protection locked="0"/>
    </xf>
    <xf numFmtId="0" fontId="5" fillId="2" borderId="1" xfId="1" applyFont="1" applyFill="1" applyBorder="1" applyAlignment="1" applyProtection="1">
      <alignment horizontal="left" vertical="top" wrapText="1"/>
      <protection locked="0"/>
    </xf>
    <xf numFmtId="0" fontId="10" fillId="0" borderId="1" xfId="1" applyFont="1" applyBorder="1" applyAlignment="1" applyProtection="1">
      <alignment horizontal="center" vertical="top" wrapText="1"/>
      <protection locked="0"/>
    </xf>
    <xf numFmtId="14" fontId="5"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11" fillId="0" borderId="1" xfId="1" applyFont="1" applyBorder="1" applyAlignment="1" applyProtection="1">
      <alignment horizontal="left" vertical="center" wrapText="1"/>
      <protection locked="0"/>
    </xf>
    <xf numFmtId="14" fontId="11" fillId="0" borderId="1" xfId="1" applyNumberFormat="1" applyFont="1" applyBorder="1" applyAlignment="1" applyProtection="1">
      <alignment horizontal="left" vertical="top"/>
      <protection locked="0"/>
    </xf>
    <xf numFmtId="164" fontId="11"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wrapText="1"/>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9" fontId="11" fillId="2" borderId="1" xfId="1" applyNumberFormat="1" applyFont="1" applyFill="1" applyBorder="1" applyAlignment="1" applyProtection="1">
      <alignment horizontal="center" vertical="center" wrapText="1"/>
      <protection hidden="1"/>
    </xf>
    <xf numFmtId="9" fontId="11" fillId="2" borderId="8" xfId="1" applyNumberFormat="1" applyFont="1" applyFill="1" applyBorder="1" applyAlignment="1" applyProtection="1">
      <alignment horizontal="center" vertical="center" wrapText="1"/>
      <protection hidden="1"/>
    </xf>
    <xf numFmtId="9" fontId="11" fillId="2" borderId="6" xfId="1" applyNumberFormat="1" applyFont="1" applyFill="1" applyBorder="1" applyAlignment="1" applyProtection="1">
      <alignment horizontal="center" vertical="center" wrapText="1"/>
      <protection hidden="1"/>
    </xf>
    <xf numFmtId="9" fontId="11" fillId="2" borderId="9" xfId="1" applyNumberFormat="1" applyFont="1" applyFill="1" applyBorder="1" applyAlignment="1" applyProtection="1">
      <alignment horizontal="center" vertical="center" wrapText="1"/>
      <protection hidden="1"/>
    </xf>
    <xf numFmtId="0" fontId="11" fillId="0" borderId="7" xfId="1" applyFont="1" applyBorder="1" applyAlignment="1" applyProtection="1">
      <alignment horizontal="center" vertical="top" wrapText="1"/>
      <protection locked="0"/>
    </xf>
    <xf numFmtId="0" fontId="11" fillId="0" borderId="8" xfId="1" applyFont="1" applyBorder="1" applyAlignment="1" applyProtection="1">
      <alignment horizontal="center" vertical="top" wrapText="1"/>
      <protection locked="0"/>
    </xf>
    <xf numFmtId="14" fontId="11" fillId="2" borderId="1" xfId="1" applyNumberFormat="1" applyFont="1" applyFill="1" applyBorder="1" applyAlignment="1" applyProtection="1">
      <alignment horizontal="left" vertical="top"/>
      <protection locked="0"/>
    </xf>
    <xf numFmtId="0" fontId="12" fillId="2" borderId="1" xfId="1" applyFont="1" applyFill="1" applyBorder="1" applyAlignment="1" applyProtection="1">
      <alignment horizontal="left" vertical="top" wrapText="1"/>
      <protection locked="0"/>
    </xf>
    <xf numFmtId="0" fontId="12" fillId="2" borderId="1" xfId="1" applyFont="1" applyFill="1" applyBorder="1" applyAlignment="1" applyProtection="1">
      <alignment horizontal="left" vertical="top"/>
      <protection locked="0"/>
    </xf>
    <xf numFmtId="14" fontId="11" fillId="0" borderId="1" xfId="1" applyNumberFormat="1" applyFont="1" applyBorder="1" applyAlignment="1" applyProtection="1">
      <alignment horizontal="left" vertical="top" wrapText="1"/>
      <protection locked="0"/>
    </xf>
    <xf numFmtId="14" fontId="11" fillId="4" borderId="1" xfId="1" applyNumberFormat="1" applyFont="1" applyFill="1" applyBorder="1" applyAlignment="1" applyProtection="1">
      <alignment horizontal="left" vertical="top" wrapText="1"/>
      <protection locked="0"/>
    </xf>
    <xf numFmtId="0" fontId="11" fillId="4" borderId="1" xfId="1" applyFont="1" applyFill="1" applyBorder="1" applyAlignment="1" applyProtection="1">
      <alignment horizontal="left" vertical="top" wrapText="1"/>
      <protection locked="0"/>
    </xf>
    <xf numFmtId="2" fontId="11" fillId="0" borderId="1" xfId="1" applyNumberFormat="1" applyFont="1" applyBorder="1" applyAlignment="1" applyProtection="1">
      <alignment horizontal="left" vertical="top"/>
      <protection locked="0"/>
    </xf>
    <xf numFmtId="1" fontId="5" fillId="0" borderId="10" xfId="0" applyNumberFormat="1" applyFont="1" applyBorder="1" applyAlignment="1" applyProtection="1">
      <alignment horizontal="center" vertical="top" wrapText="1"/>
      <protection locked="0"/>
    </xf>
    <xf numFmtId="1" fontId="5" fillId="0" borderId="17" xfId="0" applyNumberFormat="1" applyFont="1" applyBorder="1" applyAlignment="1" applyProtection="1">
      <alignment horizontal="center" vertical="top" wrapText="1"/>
      <protection locked="0"/>
    </xf>
    <xf numFmtId="1" fontId="5" fillId="0" borderId="11" xfId="0" applyNumberFormat="1" applyFont="1" applyBorder="1" applyAlignment="1" applyProtection="1">
      <alignment horizontal="center" vertical="top" wrapText="1"/>
      <protection locked="0"/>
    </xf>
    <xf numFmtId="0" fontId="12" fillId="0" borderId="29" xfId="1" applyFont="1" applyBorder="1" applyAlignment="1" applyProtection="1">
      <alignment horizontal="left" vertical="top" wrapText="1"/>
      <protection locked="0"/>
    </xf>
    <xf numFmtId="0" fontId="12" fillId="0" borderId="28" xfId="1" applyFont="1" applyBorder="1" applyAlignment="1" applyProtection="1">
      <alignment horizontal="left" vertical="top" wrapText="1"/>
      <protection locked="0"/>
    </xf>
    <xf numFmtId="1" fontId="9" fillId="0" borderId="1" xfId="0" applyNumberFormat="1" applyFont="1" applyBorder="1" applyAlignment="1" applyProtection="1">
      <alignment horizontal="center" vertical="top" wrapText="1"/>
      <protection locked="0"/>
    </xf>
    <xf numFmtId="9" fontId="11" fillId="2" borderId="3" xfId="1" applyNumberFormat="1" applyFont="1" applyFill="1" applyBorder="1" applyAlignment="1" applyProtection="1">
      <alignment horizontal="center" vertical="center" wrapText="1"/>
      <protection hidden="1"/>
    </xf>
    <xf numFmtId="9" fontId="11" fillId="2" borderId="32" xfId="1" applyNumberFormat="1" applyFont="1" applyFill="1" applyBorder="1" applyAlignment="1" applyProtection="1">
      <alignment horizontal="center" vertical="center" wrapText="1"/>
      <protection hidden="1"/>
    </xf>
    <xf numFmtId="0" fontId="5" fillId="0" borderId="3" xfId="1" applyFont="1" applyBorder="1" applyAlignment="1" applyProtection="1">
      <alignment horizontal="left" vertical="top"/>
      <protection locked="0"/>
    </xf>
    <xf numFmtId="0" fontId="11" fillId="0" borderId="3" xfId="1" applyFont="1" applyBorder="1" applyAlignment="1" applyProtection="1">
      <alignment horizontal="left" vertical="top" wrapText="1"/>
      <protection locked="0"/>
    </xf>
    <xf numFmtId="0" fontId="11" fillId="0" borderId="4" xfId="1" applyFont="1" applyBorder="1" applyAlignment="1" applyProtection="1">
      <alignment horizontal="left" vertical="top"/>
      <protection locked="0"/>
    </xf>
    <xf numFmtId="0" fontId="12" fillId="0" borderId="27"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30" xfId="1" applyFont="1" applyBorder="1" applyAlignment="1" applyProtection="1">
      <alignment horizontal="left" vertical="top" wrapText="1"/>
      <protection locked="0"/>
    </xf>
    <xf numFmtId="0" fontId="11" fillId="5" borderId="1" xfId="1" applyFont="1" applyFill="1" applyBorder="1" applyAlignment="1" applyProtection="1">
      <alignment horizontal="left" vertical="top" wrapText="1"/>
      <protection locked="0"/>
    </xf>
    <xf numFmtId="14" fontId="11" fillId="5" borderId="1" xfId="1" applyNumberFormat="1" applyFont="1" applyFill="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1" fontId="12" fillId="0" borderId="3" xfId="1" applyNumberFormat="1" applyFont="1" applyBorder="1" applyAlignment="1" applyProtection="1">
      <alignment horizontal="center" vertical="top" wrapText="1"/>
      <protection locked="0"/>
    </xf>
    <xf numFmtId="1" fontId="12" fillId="0" borderId="4" xfId="1" applyNumberFormat="1" applyFont="1" applyBorder="1" applyAlignment="1" applyProtection="1">
      <alignment horizontal="center" vertical="top" wrapText="1"/>
      <protection locked="0"/>
    </xf>
    <xf numFmtId="1" fontId="20" fillId="0" borderId="3" xfId="1" applyNumberFormat="1" applyFont="1" applyBorder="1" applyAlignment="1" applyProtection="1">
      <alignment horizontal="center" vertical="top" wrapText="1"/>
      <protection locked="0"/>
    </xf>
    <xf numFmtId="1" fontId="20" fillId="0" borderId="4" xfId="1" applyNumberFormat="1" applyFont="1" applyBorder="1" applyAlignment="1" applyProtection="1">
      <alignment horizontal="center" vertical="top" wrapText="1"/>
      <protection locked="0"/>
    </xf>
    <xf numFmtId="1" fontId="5" fillId="0" borderId="17" xfId="1" applyNumberFormat="1" applyFont="1" applyBorder="1" applyAlignment="1" applyProtection="1">
      <alignment horizontal="center" vertical="center" wrapText="1"/>
      <protection locked="0"/>
    </xf>
    <xf numFmtId="0" fontId="0" fillId="3" borderId="1" xfId="0" applyFill="1" applyBorder="1" applyAlignment="1">
      <alignment horizontal="center" wrapText="1"/>
    </xf>
    <xf numFmtId="0" fontId="8" fillId="0" borderId="1" xfId="0" applyFont="1" applyBorder="1" applyAlignment="1">
      <alignment horizontal="center"/>
    </xf>
  </cellXfs>
  <cellStyles count="6">
    <cellStyle name="Excel Built-in Normal" xfId="2" xr:uid="{00000000-0005-0000-0000-000000000000}"/>
    <cellStyle name="Hyperlink" xfId="4" builtinId="8"/>
    <cellStyle name="Normal" xfId="0" builtinId="0"/>
    <cellStyle name="Normal 2" xfId="3" xr:uid="{00000000-0005-0000-0000-000003000000}"/>
    <cellStyle name="Normal 3" xfId="1" xr:uid="{00000000-0005-0000-0000-000004000000}"/>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g"/><Relationship Id="rId3" Type="http://schemas.openxmlformats.org/officeDocument/2006/relationships/image" Target="../media/image3.png"/><Relationship Id="rId21" Type="http://schemas.openxmlformats.org/officeDocument/2006/relationships/image" Target="../media/image21.jp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g"/><Relationship Id="rId2" Type="http://schemas.openxmlformats.org/officeDocument/2006/relationships/image" Target="../media/image2.png"/><Relationship Id="rId16" Type="http://schemas.openxmlformats.org/officeDocument/2006/relationships/image" Target="../media/image16.jpg"/><Relationship Id="rId20" Type="http://schemas.openxmlformats.org/officeDocument/2006/relationships/image" Target="../media/image20.jp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jpg"/><Relationship Id="rId15" Type="http://schemas.openxmlformats.org/officeDocument/2006/relationships/image" Target="../media/image15.png"/><Relationship Id="rId23" Type="http://schemas.openxmlformats.org/officeDocument/2006/relationships/image" Target="../media/image23.jpg"/><Relationship Id="rId10" Type="http://schemas.openxmlformats.org/officeDocument/2006/relationships/image" Target="../media/image10.jpeg"/><Relationship Id="rId19" Type="http://schemas.openxmlformats.org/officeDocument/2006/relationships/image" Target="../media/image19.jp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oneCellAnchor>
    <xdr:from>
      <xdr:col>16</xdr:col>
      <xdr:colOff>19050</xdr:colOff>
      <xdr:row>649</xdr:row>
      <xdr:rowOff>123825</xdr:rowOff>
    </xdr:from>
    <xdr:ext cx="332912"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3220700" y="81324450"/>
          <a:ext cx="33291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solidFill>
                <a:srgbClr val="FF0000"/>
              </a:solidFill>
            </a:rPr>
            <a:t>8B</a:t>
          </a:r>
        </a:p>
      </xdr:txBody>
    </xdr:sp>
    <xdr:clientData/>
  </xdr:oneCellAnchor>
  <xdr:oneCellAnchor>
    <xdr:from>
      <xdr:col>10</xdr:col>
      <xdr:colOff>314325</xdr:colOff>
      <xdr:row>640</xdr:row>
      <xdr:rowOff>184150</xdr:rowOff>
    </xdr:from>
    <xdr:ext cx="332912" cy="26456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858375" y="79584550"/>
          <a:ext cx="33291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a:t>B7</a:t>
          </a:r>
        </a:p>
      </xdr:txBody>
    </xdr:sp>
    <xdr:clientData/>
  </xdr:oneCellAnchor>
  <xdr:oneCellAnchor>
    <xdr:from>
      <xdr:col>8</xdr:col>
      <xdr:colOff>1266825</xdr:colOff>
      <xdr:row>641</xdr:row>
      <xdr:rowOff>22225</xdr:rowOff>
    </xdr:from>
    <xdr:ext cx="544316" cy="264560"/>
    <xdr:sp macro="" textlink="">
      <xdr:nvSpPr>
        <xdr:cNvPr id="47" name="TextBox 46">
          <a:extLst>
            <a:ext uri="{FF2B5EF4-FFF2-40B4-BE49-F238E27FC236}">
              <a16:creationId xmlns:a16="http://schemas.microsoft.com/office/drawing/2014/main" id="{00000000-0008-0000-0000-00002F000000}"/>
            </a:ext>
          </a:extLst>
        </xdr:cNvPr>
        <xdr:cNvSpPr txBox="1"/>
      </xdr:nvSpPr>
      <xdr:spPr>
        <a:xfrm>
          <a:off x="8791575" y="80518000"/>
          <a:ext cx="54431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Bldg</a:t>
          </a:r>
          <a:r>
            <a:rPr lang="en-IN" sz="1100" b="1" baseline="0"/>
            <a:t> 8</a:t>
          </a:r>
          <a:endParaRPr lang="en-IN" sz="1100" b="1"/>
        </a:p>
      </xdr:txBody>
    </xdr:sp>
    <xdr:clientData/>
  </xdr:oneCellAnchor>
  <xdr:oneCellAnchor>
    <xdr:from>
      <xdr:col>13</xdr:col>
      <xdr:colOff>488950</xdr:colOff>
      <xdr:row>647</xdr:row>
      <xdr:rowOff>95250</xdr:rowOff>
    </xdr:from>
    <xdr:ext cx="348878" cy="280205"/>
    <xdr:sp macro="" textlink="">
      <xdr:nvSpPr>
        <xdr:cNvPr id="48" name="TextBox 47">
          <a:extLst>
            <a:ext uri="{FF2B5EF4-FFF2-40B4-BE49-F238E27FC236}">
              <a16:creationId xmlns:a16="http://schemas.microsoft.com/office/drawing/2014/main" id="{00000000-0008-0000-0000-000030000000}"/>
            </a:ext>
          </a:extLst>
        </xdr:cNvPr>
        <xdr:cNvSpPr txBox="1"/>
      </xdr:nvSpPr>
      <xdr:spPr>
        <a:xfrm>
          <a:off x="11861800" y="80895825"/>
          <a:ext cx="34887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1">
              <a:solidFill>
                <a:srgbClr val="FFFF00"/>
              </a:solidFill>
            </a:rPr>
            <a:t>B8</a:t>
          </a:r>
        </a:p>
      </xdr:txBody>
    </xdr:sp>
    <xdr:clientData/>
  </xdr:oneCellAnchor>
  <xdr:twoCellAnchor editAs="oneCell">
    <xdr:from>
      <xdr:col>13</xdr:col>
      <xdr:colOff>32497</xdr:colOff>
      <xdr:row>34</xdr:row>
      <xdr:rowOff>140634</xdr:rowOff>
    </xdr:from>
    <xdr:to>
      <xdr:col>18</xdr:col>
      <xdr:colOff>121195</xdr:colOff>
      <xdr:row>45</xdr:row>
      <xdr:rowOff>250160</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11406468" y="8253693"/>
          <a:ext cx="3114286" cy="2328291"/>
        </a:xfrm>
        <a:prstGeom prst="rect">
          <a:avLst/>
        </a:prstGeom>
      </xdr:spPr>
    </xdr:pic>
    <xdr:clientData/>
  </xdr:twoCellAnchor>
  <xdr:twoCellAnchor editAs="oneCell">
    <xdr:from>
      <xdr:col>10</xdr:col>
      <xdr:colOff>9525</xdr:colOff>
      <xdr:row>6</xdr:row>
      <xdr:rowOff>72288</xdr:rowOff>
    </xdr:from>
    <xdr:to>
      <xdr:col>16</xdr:col>
      <xdr:colOff>55937</xdr:colOff>
      <xdr:row>12</xdr:row>
      <xdr:rowOff>313712</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a:stretch>
          <a:fillRect/>
        </a:stretch>
      </xdr:blipFill>
      <xdr:spPr>
        <a:xfrm>
          <a:off x="9553575" y="1672488"/>
          <a:ext cx="3704012" cy="1870199"/>
        </a:xfrm>
        <a:prstGeom prst="rect">
          <a:avLst/>
        </a:prstGeom>
      </xdr:spPr>
    </xdr:pic>
    <xdr:clientData/>
  </xdr:twoCellAnchor>
  <xdr:twoCellAnchor editAs="oneCell">
    <xdr:from>
      <xdr:col>10</xdr:col>
      <xdr:colOff>252488</xdr:colOff>
      <xdr:row>9</xdr:row>
      <xdr:rowOff>250752</xdr:rowOff>
    </xdr:from>
    <xdr:to>
      <xdr:col>19</xdr:col>
      <xdr:colOff>341706</xdr:colOff>
      <xdr:row>15</xdr:row>
      <xdr:rowOff>86481</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stretch>
          <a:fillRect/>
        </a:stretch>
      </xdr:blipFill>
      <xdr:spPr>
        <a:xfrm>
          <a:off x="9796538" y="2441502"/>
          <a:ext cx="5575618" cy="1712154"/>
        </a:xfrm>
        <a:prstGeom prst="rect">
          <a:avLst/>
        </a:prstGeom>
      </xdr:spPr>
    </xdr:pic>
    <xdr:clientData/>
  </xdr:twoCellAnchor>
  <xdr:twoCellAnchor>
    <xdr:from>
      <xdr:col>1</xdr:col>
      <xdr:colOff>685800</xdr:colOff>
      <xdr:row>670</xdr:row>
      <xdr:rowOff>19050</xdr:rowOff>
    </xdr:from>
    <xdr:to>
      <xdr:col>7</xdr:col>
      <xdr:colOff>1104206</xdr:colOff>
      <xdr:row>711</xdr:row>
      <xdr:rowOff>166569</xdr:rowOff>
    </xdr:to>
    <xdr:grpSp>
      <xdr:nvGrpSpPr>
        <xdr:cNvPr id="57" name="Group 56">
          <a:extLst>
            <a:ext uri="{FF2B5EF4-FFF2-40B4-BE49-F238E27FC236}">
              <a16:creationId xmlns:a16="http://schemas.microsoft.com/office/drawing/2014/main" id="{00000000-0008-0000-0000-000039000000}"/>
            </a:ext>
          </a:extLst>
        </xdr:cNvPr>
        <xdr:cNvGrpSpPr/>
      </xdr:nvGrpSpPr>
      <xdr:grpSpPr>
        <a:xfrm>
          <a:off x="1470660" y="141141450"/>
          <a:ext cx="5173286" cy="8270439"/>
          <a:chOff x="0" y="0"/>
          <a:chExt cx="5047556" cy="8348544"/>
        </a:xfrm>
      </xdr:grpSpPr>
      <xdr:pic>
        <xdr:nvPicPr>
          <xdr:cNvPr id="58" name="Picture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4"/>
          <a:stretch>
            <a:fillRect/>
          </a:stretch>
        </xdr:blipFill>
        <xdr:spPr>
          <a:xfrm>
            <a:off x="987751" y="5828544"/>
            <a:ext cx="3072055" cy="2520000"/>
          </a:xfrm>
          <a:prstGeom prst="rect">
            <a:avLst/>
          </a:prstGeom>
          <a:ln>
            <a:solidFill>
              <a:schemeClr val="tx1"/>
            </a:solidFill>
          </a:ln>
        </xdr:spPr>
      </xdr:pic>
      <xdr:grpSp>
        <xdr:nvGrpSpPr>
          <xdr:cNvPr id="59" name="Group 58">
            <a:extLst>
              <a:ext uri="{FF2B5EF4-FFF2-40B4-BE49-F238E27FC236}">
                <a16:creationId xmlns:a16="http://schemas.microsoft.com/office/drawing/2014/main" id="{00000000-0008-0000-0000-00003B000000}"/>
              </a:ext>
            </a:extLst>
          </xdr:cNvPr>
          <xdr:cNvGrpSpPr/>
        </xdr:nvGrpSpPr>
        <xdr:grpSpPr>
          <a:xfrm>
            <a:off x="0" y="0"/>
            <a:ext cx="5047556" cy="5660136"/>
            <a:chOff x="0" y="0"/>
            <a:chExt cx="5047556" cy="5660136"/>
          </a:xfrm>
        </xdr:grpSpPr>
        <xdr:pic>
          <xdr:nvPicPr>
            <xdr:cNvPr id="60" name="Picture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5017008" cy="5660136"/>
            </a:xfrm>
            <a:prstGeom prst="rect">
              <a:avLst/>
            </a:prstGeom>
            <a:ln>
              <a:solidFill>
                <a:schemeClr val="tx1"/>
              </a:solidFill>
            </a:ln>
          </xdr:spPr>
        </xdr:pic>
        <xdr:sp macro="" textlink="">
          <xdr:nvSpPr>
            <xdr:cNvPr id="61" name="Rectangle 60">
              <a:extLst>
                <a:ext uri="{FF2B5EF4-FFF2-40B4-BE49-F238E27FC236}">
                  <a16:creationId xmlns:a16="http://schemas.microsoft.com/office/drawing/2014/main" id="{00000000-0008-0000-0000-00003D000000}"/>
                </a:ext>
              </a:extLst>
            </xdr:cNvPr>
            <xdr:cNvSpPr/>
          </xdr:nvSpPr>
          <xdr:spPr>
            <a:xfrm rot="21419939">
              <a:off x="2080205" y="3571203"/>
              <a:ext cx="718664" cy="28491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ln>
                  <a:solidFill>
                    <a:srgbClr val="FF0000"/>
                  </a:solidFill>
                </a:ln>
              </a:endParaRPr>
            </a:p>
          </xdr:txBody>
        </xdr:sp>
        <xdr:sp macro="" textlink="">
          <xdr:nvSpPr>
            <xdr:cNvPr id="62" name="L-Shape 61">
              <a:extLst>
                <a:ext uri="{FF2B5EF4-FFF2-40B4-BE49-F238E27FC236}">
                  <a16:creationId xmlns:a16="http://schemas.microsoft.com/office/drawing/2014/main" id="{00000000-0008-0000-0000-00003E000000}"/>
                </a:ext>
              </a:extLst>
            </xdr:cNvPr>
            <xdr:cNvSpPr/>
          </xdr:nvSpPr>
          <xdr:spPr>
            <a:xfrm rot="10563552">
              <a:off x="1858738" y="4004919"/>
              <a:ext cx="800037" cy="588423"/>
            </a:xfrm>
            <a:prstGeom prst="corner">
              <a:avLst>
                <a:gd name="adj1" fmla="val 51844"/>
                <a:gd name="adj2" fmla="val 50000"/>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63" name="L-Shape 62">
              <a:extLst>
                <a:ext uri="{FF2B5EF4-FFF2-40B4-BE49-F238E27FC236}">
                  <a16:creationId xmlns:a16="http://schemas.microsoft.com/office/drawing/2014/main" id="{00000000-0008-0000-0000-00003F000000}"/>
                </a:ext>
              </a:extLst>
            </xdr:cNvPr>
            <xdr:cNvSpPr/>
          </xdr:nvSpPr>
          <xdr:spPr>
            <a:xfrm rot="5135898">
              <a:off x="2227477" y="2558731"/>
              <a:ext cx="686489" cy="1019826"/>
            </a:xfrm>
            <a:prstGeom prst="corner">
              <a:avLst>
                <a:gd name="adj1" fmla="val 38575"/>
                <a:gd name="adj2" fmla="val 44912"/>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64" name="L-Shape 63">
              <a:extLst>
                <a:ext uri="{FF2B5EF4-FFF2-40B4-BE49-F238E27FC236}">
                  <a16:creationId xmlns:a16="http://schemas.microsoft.com/office/drawing/2014/main" id="{00000000-0008-0000-0000-000040000000}"/>
                </a:ext>
              </a:extLst>
            </xdr:cNvPr>
            <xdr:cNvSpPr/>
          </xdr:nvSpPr>
          <xdr:spPr>
            <a:xfrm rot="15947359" flipV="1">
              <a:off x="1393661" y="4234768"/>
              <a:ext cx="891605" cy="525790"/>
            </a:xfrm>
            <a:prstGeom prst="corner">
              <a:avLst>
                <a:gd name="adj1" fmla="val 52038"/>
                <a:gd name="adj2" fmla="val 50000"/>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65" name="TextBox 8">
              <a:extLst>
                <a:ext uri="{FF2B5EF4-FFF2-40B4-BE49-F238E27FC236}">
                  <a16:creationId xmlns:a16="http://schemas.microsoft.com/office/drawing/2014/main" id="{00000000-0008-0000-0000-000041000000}"/>
                </a:ext>
              </a:extLst>
            </xdr:cNvPr>
            <xdr:cNvSpPr txBox="1"/>
          </xdr:nvSpPr>
          <xdr:spPr>
            <a:xfrm>
              <a:off x="1165217" y="2829592"/>
              <a:ext cx="87075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Block 5</a:t>
              </a:r>
              <a:endParaRPr lang="en-IN" b="1">
                <a:solidFill>
                  <a:srgbClr val="FF0000"/>
                </a:solidFill>
              </a:endParaRPr>
            </a:p>
          </xdr:txBody>
        </xdr:sp>
        <xdr:sp macro="" textlink="">
          <xdr:nvSpPr>
            <xdr:cNvPr id="66" name="TextBox 9">
              <a:extLst>
                <a:ext uri="{FF2B5EF4-FFF2-40B4-BE49-F238E27FC236}">
                  <a16:creationId xmlns:a16="http://schemas.microsoft.com/office/drawing/2014/main" id="{00000000-0008-0000-0000-000042000000}"/>
                </a:ext>
              </a:extLst>
            </xdr:cNvPr>
            <xdr:cNvSpPr txBox="1"/>
          </xdr:nvSpPr>
          <xdr:spPr>
            <a:xfrm>
              <a:off x="1109169" y="3528993"/>
              <a:ext cx="87075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Block 6</a:t>
              </a:r>
              <a:endParaRPr lang="en-IN" b="1">
                <a:solidFill>
                  <a:srgbClr val="FF0000"/>
                </a:solidFill>
              </a:endParaRPr>
            </a:p>
          </xdr:txBody>
        </xdr:sp>
        <xdr:sp macro="" textlink="">
          <xdr:nvSpPr>
            <xdr:cNvPr id="67" name="TextBox 10">
              <a:extLst>
                <a:ext uri="{FF2B5EF4-FFF2-40B4-BE49-F238E27FC236}">
                  <a16:creationId xmlns:a16="http://schemas.microsoft.com/office/drawing/2014/main" id="{00000000-0008-0000-0000-000043000000}"/>
                </a:ext>
              </a:extLst>
            </xdr:cNvPr>
            <xdr:cNvSpPr txBox="1"/>
          </xdr:nvSpPr>
          <xdr:spPr>
            <a:xfrm>
              <a:off x="1831333" y="3958867"/>
              <a:ext cx="87075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Block 7</a:t>
              </a:r>
              <a:endParaRPr lang="en-IN" b="1">
                <a:solidFill>
                  <a:srgbClr val="FF0000"/>
                </a:solidFill>
              </a:endParaRPr>
            </a:p>
          </xdr:txBody>
        </xdr:sp>
        <xdr:sp macro="" textlink="">
          <xdr:nvSpPr>
            <xdr:cNvPr id="68" name="TextBox 11">
              <a:extLst>
                <a:ext uri="{FF2B5EF4-FFF2-40B4-BE49-F238E27FC236}">
                  <a16:creationId xmlns:a16="http://schemas.microsoft.com/office/drawing/2014/main" id="{00000000-0008-0000-0000-000044000000}"/>
                </a:ext>
              </a:extLst>
            </xdr:cNvPr>
            <xdr:cNvSpPr txBox="1"/>
          </xdr:nvSpPr>
          <xdr:spPr>
            <a:xfrm>
              <a:off x="612699" y="4409898"/>
              <a:ext cx="87075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Block 8</a:t>
              </a:r>
              <a:endParaRPr lang="en-IN" b="1">
                <a:solidFill>
                  <a:srgbClr val="FF0000"/>
                </a:solidFill>
              </a:endParaRPr>
            </a:p>
          </xdr:txBody>
        </xdr:sp>
        <xdr:sp macro="" textlink="">
          <xdr:nvSpPr>
            <xdr:cNvPr id="69" name="L-Shape 68">
              <a:extLst>
                <a:ext uri="{FF2B5EF4-FFF2-40B4-BE49-F238E27FC236}">
                  <a16:creationId xmlns:a16="http://schemas.microsoft.com/office/drawing/2014/main" id="{00000000-0008-0000-0000-000045000000}"/>
                </a:ext>
              </a:extLst>
            </xdr:cNvPr>
            <xdr:cNvSpPr/>
          </xdr:nvSpPr>
          <xdr:spPr>
            <a:xfrm rot="21335898">
              <a:off x="1988634" y="1823442"/>
              <a:ext cx="1128131" cy="733520"/>
            </a:xfrm>
            <a:prstGeom prst="corner">
              <a:avLst>
                <a:gd name="adj1" fmla="val 38575"/>
                <a:gd name="adj2" fmla="val 44912"/>
              </a:avLst>
            </a:prstGeom>
            <a:noFill/>
            <a:ln w="381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70" name="Rectangle 69">
              <a:extLst>
                <a:ext uri="{FF2B5EF4-FFF2-40B4-BE49-F238E27FC236}">
                  <a16:creationId xmlns:a16="http://schemas.microsoft.com/office/drawing/2014/main" id="{00000000-0008-0000-0000-000046000000}"/>
                </a:ext>
              </a:extLst>
            </xdr:cNvPr>
            <xdr:cNvSpPr/>
          </xdr:nvSpPr>
          <xdr:spPr>
            <a:xfrm rot="21377522">
              <a:off x="2312022" y="1677576"/>
              <a:ext cx="940217" cy="238900"/>
            </a:xfrm>
            <a:prstGeom prst="rect">
              <a:avLst/>
            </a:prstGeom>
            <a:noFill/>
            <a:ln w="381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ln>
                  <a:solidFill>
                    <a:srgbClr val="FF0000"/>
                  </a:solidFill>
                </a:ln>
              </a:endParaRPr>
            </a:p>
          </xdr:txBody>
        </xdr:sp>
        <xdr:sp macro="" textlink="">
          <xdr:nvSpPr>
            <xdr:cNvPr id="71" name="Rectangle 70">
              <a:extLst>
                <a:ext uri="{FF2B5EF4-FFF2-40B4-BE49-F238E27FC236}">
                  <a16:creationId xmlns:a16="http://schemas.microsoft.com/office/drawing/2014/main" id="{00000000-0008-0000-0000-000047000000}"/>
                </a:ext>
              </a:extLst>
            </xdr:cNvPr>
            <xdr:cNvSpPr/>
          </xdr:nvSpPr>
          <xdr:spPr>
            <a:xfrm rot="21377522">
              <a:off x="2227239" y="1089179"/>
              <a:ext cx="978174" cy="282210"/>
            </a:xfrm>
            <a:prstGeom prst="rect">
              <a:avLst/>
            </a:prstGeom>
            <a:noFill/>
            <a:ln w="381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ln>
                  <a:solidFill>
                    <a:srgbClr val="FF0000"/>
                  </a:solidFill>
                </a:ln>
              </a:endParaRPr>
            </a:p>
          </xdr:txBody>
        </xdr:sp>
        <xdr:sp macro="" textlink="">
          <xdr:nvSpPr>
            <xdr:cNvPr id="72" name="Rectangle 71">
              <a:extLst>
                <a:ext uri="{FF2B5EF4-FFF2-40B4-BE49-F238E27FC236}">
                  <a16:creationId xmlns:a16="http://schemas.microsoft.com/office/drawing/2014/main" id="{00000000-0008-0000-0000-000048000000}"/>
                </a:ext>
              </a:extLst>
            </xdr:cNvPr>
            <xdr:cNvSpPr/>
          </xdr:nvSpPr>
          <xdr:spPr>
            <a:xfrm rot="21377522">
              <a:off x="1934728" y="1141510"/>
              <a:ext cx="261411" cy="673550"/>
            </a:xfrm>
            <a:prstGeom prst="rect">
              <a:avLst/>
            </a:prstGeom>
            <a:noFill/>
            <a:ln w="381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ln>
                  <a:solidFill>
                    <a:srgbClr val="FF0000"/>
                  </a:solidFill>
                </a:ln>
              </a:endParaRPr>
            </a:p>
          </xdr:txBody>
        </xdr:sp>
        <xdr:sp macro="" textlink="">
          <xdr:nvSpPr>
            <xdr:cNvPr id="73" name="Rectangle 72">
              <a:extLst>
                <a:ext uri="{FF2B5EF4-FFF2-40B4-BE49-F238E27FC236}">
                  <a16:creationId xmlns:a16="http://schemas.microsoft.com/office/drawing/2014/main" id="{00000000-0008-0000-0000-000049000000}"/>
                </a:ext>
              </a:extLst>
            </xdr:cNvPr>
            <xdr:cNvSpPr/>
          </xdr:nvSpPr>
          <xdr:spPr>
            <a:xfrm>
              <a:off x="2049698" y="2228371"/>
              <a:ext cx="870751" cy="342786"/>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solidFill>
                    <a:srgbClr val="002060"/>
                  </a:solidFill>
                </a:rPr>
                <a:t>Block 4</a:t>
              </a:r>
              <a:endParaRPr lang="en-IN" sz="1600" b="1">
                <a:solidFill>
                  <a:srgbClr val="002060"/>
                </a:solidFill>
              </a:endParaRPr>
            </a:p>
          </xdr:txBody>
        </xdr:sp>
        <xdr:sp macro="" textlink="">
          <xdr:nvSpPr>
            <xdr:cNvPr id="74" name="Rectangle 73">
              <a:extLst>
                <a:ext uri="{FF2B5EF4-FFF2-40B4-BE49-F238E27FC236}">
                  <a16:creationId xmlns:a16="http://schemas.microsoft.com/office/drawing/2014/main" id="{00000000-0008-0000-0000-00004A000000}"/>
                </a:ext>
              </a:extLst>
            </xdr:cNvPr>
            <xdr:cNvSpPr/>
          </xdr:nvSpPr>
          <xdr:spPr>
            <a:xfrm>
              <a:off x="2270291" y="1627447"/>
              <a:ext cx="870751" cy="342786"/>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solidFill>
                    <a:srgbClr val="002060"/>
                  </a:solidFill>
                </a:rPr>
                <a:t>Block 3</a:t>
              </a:r>
              <a:endParaRPr lang="en-IN" sz="1600" b="1">
                <a:solidFill>
                  <a:srgbClr val="002060"/>
                </a:solidFill>
              </a:endParaRPr>
            </a:p>
          </xdr:txBody>
        </xdr:sp>
        <xdr:sp macro="" textlink="">
          <xdr:nvSpPr>
            <xdr:cNvPr id="75" name="Rectangle 74">
              <a:extLst>
                <a:ext uri="{FF2B5EF4-FFF2-40B4-BE49-F238E27FC236}">
                  <a16:creationId xmlns:a16="http://schemas.microsoft.com/office/drawing/2014/main" id="{00000000-0008-0000-0000-00004B000000}"/>
                </a:ext>
              </a:extLst>
            </xdr:cNvPr>
            <xdr:cNvSpPr/>
          </xdr:nvSpPr>
          <xdr:spPr>
            <a:xfrm>
              <a:off x="1048074" y="1336528"/>
              <a:ext cx="870751"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002060"/>
                  </a:solidFill>
                </a:rPr>
                <a:t>Block 2</a:t>
              </a:r>
              <a:endParaRPr lang="en-IN" b="1">
                <a:solidFill>
                  <a:srgbClr val="002060"/>
                </a:solidFill>
              </a:endParaRPr>
            </a:p>
          </xdr:txBody>
        </xdr:sp>
        <xdr:sp macro="" textlink="">
          <xdr:nvSpPr>
            <xdr:cNvPr id="76" name="Rectangle 75">
              <a:extLst>
                <a:ext uri="{FF2B5EF4-FFF2-40B4-BE49-F238E27FC236}">
                  <a16:creationId xmlns:a16="http://schemas.microsoft.com/office/drawing/2014/main" id="{00000000-0008-0000-0000-00004C000000}"/>
                </a:ext>
              </a:extLst>
            </xdr:cNvPr>
            <xdr:cNvSpPr/>
          </xdr:nvSpPr>
          <xdr:spPr>
            <a:xfrm>
              <a:off x="2117323" y="625361"/>
              <a:ext cx="870751"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002060"/>
                  </a:solidFill>
                </a:rPr>
                <a:t>Block 1</a:t>
              </a:r>
              <a:endParaRPr lang="en-IN" b="1">
                <a:solidFill>
                  <a:srgbClr val="002060"/>
                </a:solidFill>
              </a:endParaRPr>
            </a:p>
          </xdr:txBody>
        </xdr:sp>
        <xdr:pic>
          <xdr:nvPicPr>
            <xdr:cNvPr id="77" name="Picture 76">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967556" y="4497663"/>
              <a:ext cx="1080000" cy="1080000"/>
            </a:xfrm>
            <a:prstGeom prst="rect">
              <a:avLst/>
            </a:prstGeom>
          </xdr:spPr>
        </xdr:pic>
        <xdr:cxnSp macro="">
          <xdr:nvCxnSpPr>
            <xdr:cNvPr id="78" name="Straight Connector 77">
              <a:extLst>
                <a:ext uri="{FF2B5EF4-FFF2-40B4-BE49-F238E27FC236}">
                  <a16:creationId xmlns:a16="http://schemas.microsoft.com/office/drawing/2014/main" id="{00000000-0008-0000-0000-00004E000000}"/>
                </a:ext>
              </a:extLst>
            </xdr:cNvPr>
            <xdr:cNvCxnSpPr/>
          </xdr:nvCxnSpPr>
          <xdr:spPr>
            <a:xfrm flipH="1">
              <a:off x="2136237" y="495300"/>
              <a:ext cx="1175288" cy="4943475"/>
            </a:xfrm>
            <a:prstGeom prst="line">
              <a:avLst/>
            </a:prstGeom>
            <a:ln w="38100">
              <a:solidFill>
                <a:srgbClr val="7030A0"/>
              </a:solidFill>
            </a:ln>
          </xdr:spPr>
          <xdr:style>
            <a:lnRef idx="1">
              <a:schemeClr val="accent1"/>
            </a:lnRef>
            <a:fillRef idx="0">
              <a:schemeClr val="accent1"/>
            </a:fillRef>
            <a:effectRef idx="0">
              <a:schemeClr val="accent1"/>
            </a:effectRef>
            <a:fontRef idx="minor">
              <a:schemeClr val="tx1"/>
            </a:fontRef>
          </xdr:style>
        </xdr:cxnSp>
        <xdr:cxnSp macro="">
          <xdr:nvCxnSpPr>
            <xdr:cNvPr id="79" name="Straight Connector 78">
              <a:extLst>
                <a:ext uri="{FF2B5EF4-FFF2-40B4-BE49-F238E27FC236}">
                  <a16:creationId xmlns:a16="http://schemas.microsoft.com/office/drawing/2014/main" id="{00000000-0008-0000-0000-00004F000000}"/>
                </a:ext>
              </a:extLst>
            </xdr:cNvPr>
            <xdr:cNvCxnSpPr/>
          </xdr:nvCxnSpPr>
          <xdr:spPr>
            <a:xfrm flipH="1">
              <a:off x="3315072" y="2371725"/>
              <a:ext cx="732533" cy="3177730"/>
            </a:xfrm>
            <a:prstGeom prst="line">
              <a:avLst/>
            </a:prstGeom>
            <a:ln w="38100">
              <a:solidFill>
                <a:srgbClr val="7030A0"/>
              </a:solidFill>
            </a:ln>
          </xdr:spPr>
          <xdr:style>
            <a:lnRef idx="1">
              <a:schemeClr val="accent1"/>
            </a:lnRef>
            <a:fillRef idx="0">
              <a:schemeClr val="accent1"/>
            </a:fillRef>
            <a:effectRef idx="0">
              <a:schemeClr val="accent1"/>
            </a:effectRef>
            <a:fontRef idx="minor">
              <a:schemeClr val="tx1"/>
            </a:fontRef>
          </xdr:style>
        </xdr:cxnSp>
        <xdr:sp macro="" textlink="">
          <xdr:nvSpPr>
            <xdr:cNvPr id="80" name="TextBox 64">
              <a:extLst>
                <a:ext uri="{FF2B5EF4-FFF2-40B4-BE49-F238E27FC236}">
                  <a16:creationId xmlns:a16="http://schemas.microsoft.com/office/drawing/2014/main" id="{00000000-0008-0000-0000-000050000000}"/>
                </a:ext>
              </a:extLst>
            </xdr:cNvPr>
            <xdr:cNvSpPr txBox="1"/>
          </xdr:nvSpPr>
          <xdr:spPr>
            <a:xfrm rot="17178398">
              <a:off x="2067589" y="3787204"/>
              <a:ext cx="1978858" cy="33855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t>Bullet Train Marking </a:t>
              </a:r>
              <a:endParaRPr lang="en-IN" sz="1600" b="1"/>
            </a:p>
          </xdr:txBody>
        </xdr:sp>
        <xdr:cxnSp macro="">
          <xdr:nvCxnSpPr>
            <xdr:cNvPr id="81" name="Straight Connector 80">
              <a:extLst>
                <a:ext uri="{FF2B5EF4-FFF2-40B4-BE49-F238E27FC236}">
                  <a16:creationId xmlns:a16="http://schemas.microsoft.com/office/drawing/2014/main" id="{00000000-0008-0000-0000-000051000000}"/>
                </a:ext>
              </a:extLst>
            </xdr:cNvPr>
            <xdr:cNvCxnSpPr/>
          </xdr:nvCxnSpPr>
          <xdr:spPr>
            <a:xfrm flipH="1">
              <a:off x="2880010" y="1843271"/>
              <a:ext cx="834990" cy="3547062"/>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2" name="Straight Connector 81">
              <a:extLst>
                <a:ext uri="{FF2B5EF4-FFF2-40B4-BE49-F238E27FC236}">
                  <a16:creationId xmlns:a16="http://schemas.microsoft.com/office/drawing/2014/main" id="{00000000-0008-0000-0000-000052000000}"/>
                </a:ext>
              </a:extLst>
            </xdr:cNvPr>
            <xdr:cNvCxnSpPr/>
          </xdr:nvCxnSpPr>
          <xdr:spPr>
            <a:xfrm flipH="1">
              <a:off x="2589269" y="1336528"/>
              <a:ext cx="978840" cy="4053805"/>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4" name="TextBox 72">
              <a:extLst>
                <a:ext uri="{FF2B5EF4-FFF2-40B4-BE49-F238E27FC236}">
                  <a16:creationId xmlns:a16="http://schemas.microsoft.com/office/drawing/2014/main" id="{00000000-0008-0000-0000-000054000000}"/>
                </a:ext>
              </a:extLst>
            </xdr:cNvPr>
            <xdr:cNvSpPr txBox="1"/>
          </xdr:nvSpPr>
          <xdr:spPr>
            <a:xfrm>
              <a:off x="2810383" y="76199"/>
              <a:ext cx="2210240" cy="293879"/>
            </a:xfrm>
            <a:prstGeom prst="rect">
              <a:avLst/>
            </a:prstGeom>
            <a:noFill/>
            <a:ln>
              <a:solidFill>
                <a:srgbClr val="FF0000"/>
              </a:solidFill>
            </a:ln>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solidFill>
                    <a:srgbClr val="FF0000"/>
                  </a:solidFill>
                </a:rPr>
                <a:t>Bullet Train Projection </a:t>
              </a:r>
              <a:endParaRPr lang="en-IN" sz="1600" b="1">
                <a:solidFill>
                  <a:srgbClr val="FF0000"/>
                </a:solidFill>
              </a:endParaRPr>
            </a:p>
          </xdr:txBody>
        </xdr:sp>
      </xdr:grpSp>
    </xdr:grpSp>
    <xdr:clientData/>
  </xdr:twoCellAnchor>
  <xdr:twoCellAnchor>
    <xdr:from>
      <xdr:col>8</xdr:col>
      <xdr:colOff>943423</xdr:colOff>
      <xdr:row>625</xdr:row>
      <xdr:rowOff>53340</xdr:rowOff>
    </xdr:from>
    <xdr:to>
      <xdr:col>18</xdr:col>
      <xdr:colOff>133033</xdr:colOff>
      <xdr:row>661</xdr:row>
      <xdr:rowOff>120863</xdr:rowOff>
    </xdr:to>
    <xdr:grpSp>
      <xdr:nvGrpSpPr>
        <xdr:cNvPr id="85" name="Group 84">
          <a:extLst>
            <a:ext uri="{FF2B5EF4-FFF2-40B4-BE49-F238E27FC236}">
              <a16:creationId xmlns:a16="http://schemas.microsoft.com/office/drawing/2014/main" id="{00000000-0008-0000-0000-000055000000}"/>
            </a:ext>
          </a:extLst>
        </xdr:cNvPr>
        <xdr:cNvGrpSpPr/>
      </xdr:nvGrpSpPr>
      <xdr:grpSpPr>
        <a:xfrm>
          <a:off x="8677723" y="132267960"/>
          <a:ext cx="6268590" cy="7192223"/>
          <a:chOff x="-141000" y="148939"/>
          <a:chExt cx="7304804" cy="7789576"/>
        </a:xfrm>
      </xdr:grpSpPr>
      <xdr:grpSp>
        <xdr:nvGrpSpPr>
          <xdr:cNvPr id="86" name="Group 85">
            <a:extLst>
              <a:ext uri="{FF2B5EF4-FFF2-40B4-BE49-F238E27FC236}">
                <a16:creationId xmlns:a16="http://schemas.microsoft.com/office/drawing/2014/main" id="{00000000-0008-0000-0000-000056000000}"/>
              </a:ext>
            </a:extLst>
          </xdr:cNvPr>
          <xdr:cNvGrpSpPr/>
        </xdr:nvGrpSpPr>
        <xdr:grpSpPr>
          <a:xfrm>
            <a:off x="249583" y="2766323"/>
            <a:ext cx="6062391" cy="2520000"/>
            <a:chOff x="-306512" y="3251128"/>
            <a:chExt cx="6062391" cy="2520000"/>
          </a:xfrm>
        </xdr:grpSpPr>
        <xdr:pic>
          <xdr:nvPicPr>
            <xdr:cNvPr id="97" name="Picture 96">
              <a:extLst>
                <a:ext uri="{FF2B5EF4-FFF2-40B4-BE49-F238E27FC236}">
                  <a16:creationId xmlns:a16="http://schemas.microsoft.com/office/drawing/2014/main" id="{00000000-0008-0000-0000-00006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06512" y="3251128"/>
              <a:ext cx="3884014" cy="2520000"/>
            </a:xfrm>
            <a:prstGeom prst="rect">
              <a:avLst/>
            </a:prstGeom>
            <a:ln>
              <a:solidFill>
                <a:schemeClr val="tx1"/>
              </a:solidFill>
            </a:ln>
          </xdr:spPr>
        </xdr:pic>
        <xdr:grpSp>
          <xdr:nvGrpSpPr>
            <xdr:cNvPr id="98" name="Group 97">
              <a:extLst>
                <a:ext uri="{FF2B5EF4-FFF2-40B4-BE49-F238E27FC236}">
                  <a16:creationId xmlns:a16="http://schemas.microsoft.com/office/drawing/2014/main" id="{00000000-0008-0000-0000-000062000000}"/>
                </a:ext>
              </a:extLst>
            </xdr:cNvPr>
            <xdr:cNvGrpSpPr/>
          </xdr:nvGrpSpPr>
          <xdr:grpSpPr>
            <a:xfrm>
              <a:off x="3653702" y="3251128"/>
              <a:ext cx="2102177" cy="2520000"/>
              <a:chOff x="-2958" y="2708542"/>
              <a:chExt cx="2102177" cy="2520000"/>
            </a:xfrm>
          </xdr:grpSpPr>
          <xdr:pic>
            <xdr:nvPicPr>
              <xdr:cNvPr id="99" name="Picture 98">
                <a:extLst>
                  <a:ext uri="{FF2B5EF4-FFF2-40B4-BE49-F238E27FC236}">
                    <a16:creationId xmlns:a16="http://schemas.microsoft.com/office/drawing/2014/main" id="{00000000-0008-0000-0000-000063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 y="2708542"/>
                <a:ext cx="2099221" cy="2520000"/>
              </a:xfrm>
              <a:prstGeom prst="rect">
                <a:avLst/>
              </a:prstGeom>
              <a:ln>
                <a:solidFill>
                  <a:schemeClr val="tx1"/>
                </a:solidFill>
              </a:ln>
            </xdr:spPr>
          </xdr:pic>
          <xdr:sp macro="" textlink="">
            <xdr:nvSpPr>
              <xdr:cNvPr id="100" name="TextBox 70">
                <a:extLst>
                  <a:ext uri="{FF2B5EF4-FFF2-40B4-BE49-F238E27FC236}">
                    <a16:creationId xmlns:a16="http://schemas.microsoft.com/office/drawing/2014/main" id="{00000000-0008-0000-0000-000064000000}"/>
                  </a:ext>
                </a:extLst>
              </xdr:cNvPr>
              <xdr:cNvSpPr txBox="1"/>
            </xdr:nvSpPr>
            <xdr:spPr>
              <a:xfrm>
                <a:off x="-2958" y="2778159"/>
                <a:ext cx="1450987" cy="28020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t>Building No. 6</a:t>
                </a:r>
                <a:endParaRPr lang="en-IN" sz="1200" b="1"/>
              </a:p>
            </xdr:txBody>
          </xdr:sp>
        </xdr:grpSp>
      </xdr:grpSp>
      <xdr:grpSp>
        <xdr:nvGrpSpPr>
          <xdr:cNvPr id="87" name="Group 86">
            <a:extLst>
              <a:ext uri="{FF2B5EF4-FFF2-40B4-BE49-F238E27FC236}">
                <a16:creationId xmlns:a16="http://schemas.microsoft.com/office/drawing/2014/main" id="{00000000-0008-0000-0000-000057000000}"/>
              </a:ext>
            </a:extLst>
          </xdr:cNvPr>
          <xdr:cNvGrpSpPr/>
        </xdr:nvGrpSpPr>
        <xdr:grpSpPr>
          <a:xfrm>
            <a:off x="-141000" y="5418515"/>
            <a:ext cx="7304804" cy="2520000"/>
            <a:chOff x="1298078" y="4336633"/>
            <a:chExt cx="7304804" cy="2520000"/>
          </a:xfrm>
        </xdr:grpSpPr>
        <xdr:pic>
          <xdr:nvPicPr>
            <xdr:cNvPr id="92" name="Picture 91">
              <a:extLst>
                <a:ext uri="{FF2B5EF4-FFF2-40B4-BE49-F238E27FC236}">
                  <a16:creationId xmlns:a16="http://schemas.microsoft.com/office/drawing/2014/main" id="{00000000-0008-0000-0000-00005C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714851" y="4336633"/>
              <a:ext cx="1888031" cy="2520000"/>
            </a:xfrm>
            <a:prstGeom prst="rect">
              <a:avLst/>
            </a:prstGeom>
            <a:ln>
              <a:solidFill>
                <a:schemeClr val="tx1"/>
              </a:solidFill>
            </a:ln>
          </xdr:spPr>
        </xdr:pic>
        <xdr:pic>
          <xdr:nvPicPr>
            <xdr:cNvPr id="93" name="Picture 92">
              <a:extLst>
                <a:ext uri="{FF2B5EF4-FFF2-40B4-BE49-F238E27FC236}">
                  <a16:creationId xmlns:a16="http://schemas.microsoft.com/office/drawing/2014/main" id="{00000000-0008-0000-0000-00005D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262309" y="4336633"/>
              <a:ext cx="3357291" cy="2520000"/>
            </a:xfrm>
            <a:prstGeom prst="rect">
              <a:avLst/>
            </a:prstGeom>
            <a:ln>
              <a:solidFill>
                <a:schemeClr val="tx1"/>
              </a:solidFill>
            </a:ln>
          </xdr:spPr>
        </xdr:pic>
        <xdr:grpSp>
          <xdr:nvGrpSpPr>
            <xdr:cNvPr id="94" name="Group 93">
              <a:extLst>
                <a:ext uri="{FF2B5EF4-FFF2-40B4-BE49-F238E27FC236}">
                  <a16:creationId xmlns:a16="http://schemas.microsoft.com/office/drawing/2014/main" id="{00000000-0008-0000-0000-00005E000000}"/>
                </a:ext>
              </a:extLst>
            </xdr:cNvPr>
            <xdr:cNvGrpSpPr/>
          </xdr:nvGrpSpPr>
          <xdr:grpSpPr>
            <a:xfrm>
              <a:off x="1298078" y="4336633"/>
              <a:ext cx="1888031" cy="2520000"/>
              <a:chOff x="1298078" y="4336633"/>
              <a:chExt cx="1888031" cy="2520000"/>
            </a:xfrm>
          </xdr:grpSpPr>
          <xdr:pic>
            <xdr:nvPicPr>
              <xdr:cNvPr id="95" name="Picture 94">
                <a:extLst>
                  <a:ext uri="{FF2B5EF4-FFF2-40B4-BE49-F238E27FC236}">
                    <a16:creationId xmlns:a16="http://schemas.microsoft.com/office/drawing/2014/main" id="{00000000-0008-0000-0000-00005F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98078" y="4336633"/>
                <a:ext cx="1888031" cy="2520000"/>
              </a:xfrm>
              <a:prstGeom prst="rect">
                <a:avLst/>
              </a:prstGeom>
              <a:ln>
                <a:solidFill>
                  <a:schemeClr val="tx1"/>
                </a:solidFill>
              </a:ln>
            </xdr:spPr>
          </xdr:pic>
          <xdr:sp macro="" textlink="">
            <xdr:nvSpPr>
              <xdr:cNvPr id="96" name="TextBox 76">
                <a:extLst>
                  <a:ext uri="{FF2B5EF4-FFF2-40B4-BE49-F238E27FC236}">
                    <a16:creationId xmlns:a16="http://schemas.microsoft.com/office/drawing/2014/main" id="{00000000-0008-0000-0000-000060000000}"/>
                  </a:ext>
                </a:extLst>
              </xdr:cNvPr>
              <xdr:cNvSpPr txBox="1"/>
            </xdr:nvSpPr>
            <xdr:spPr>
              <a:xfrm>
                <a:off x="1551791" y="4441059"/>
                <a:ext cx="1318804" cy="28020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t>Building No. 7</a:t>
                </a:r>
                <a:endParaRPr lang="en-IN" sz="1200" b="1"/>
              </a:p>
            </xdr:txBody>
          </xdr:sp>
        </xdr:grpSp>
      </xdr:grpSp>
      <xdr:grpSp>
        <xdr:nvGrpSpPr>
          <xdr:cNvPr id="88" name="Group 87">
            <a:extLst>
              <a:ext uri="{FF2B5EF4-FFF2-40B4-BE49-F238E27FC236}">
                <a16:creationId xmlns:a16="http://schemas.microsoft.com/office/drawing/2014/main" id="{00000000-0008-0000-0000-000058000000}"/>
              </a:ext>
            </a:extLst>
          </xdr:cNvPr>
          <xdr:cNvGrpSpPr/>
        </xdr:nvGrpSpPr>
        <xdr:grpSpPr>
          <a:xfrm>
            <a:off x="262937" y="148939"/>
            <a:ext cx="6049037" cy="2520000"/>
            <a:chOff x="-416522" y="535809"/>
            <a:chExt cx="6049037" cy="2520000"/>
          </a:xfrm>
        </xdr:grpSpPr>
        <xdr:pic>
          <xdr:nvPicPr>
            <xdr:cNvPr id="89" name="Picture 88">
              <a:extLst>
                <a:ext uri="{FF2B5EF4-FFF2-40B4-BE49-F238E27FC236}">
                  <a16:creationId xmlns:a16="http://schemas.microsoft.com/office/drawing/2014/main" id="{00000000-0008-0000-0000-000059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16522" y="535809"/>
              <a:ext cx="3851569" cy="2520000"/>
            </a:xfrm>
            <a:prstGeom prst="rect">
              <a:avLst/>
            </a:prstGeom>
            <a:ln>
              <a:solidFill>
                <a:schemeClr val="tx1"/>
              </a:solidFill>
            </a:ln>
          </xdr:spPr>
        </xdr:pic>
        <xdr:pic>
          <xdr:nvPicPr>
            <xdr:cNvPr id="90" name="Picture 89">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533295" y="535809"/>
              <a:ext cx="2099220" cy="2520000"/>
            </a:xfrm>
            <a:prstGeom prst="rect">
              <a:avLst/>
            </a:prstGeom>
            <a:ln>
              <a:solidFill>
                <a:schemeClr val="tx1"/>
              </a:solidFill>
            </a:ln>
          </xdr:spPr>
        </xdr:pic>
        <xdr:sp macro="" textlink="">
          <xdr:nvSpPr>
            <xdr:cNvPr id="91" name="TextBox 80">
              <a:extLst>
                <a:ext uri="{FF2B5EF4-FFF2-40B4-BE49-F238E27FC236}">
                  <a16:creationId xmlns:a16="http://schemas.microsoft.com/office/drawing/2014/main" id="{00000000-0008-0000-0000-00005B000000}"/>
                </a:ext>
              </a:extLst>
            </xdr:cNvPr>
            <xdr:cNvSpPr txBox="1"/>
          </xdr:nvSpPr>
          <xdr:spPr>
            <a:xfrm>
              <a:off x="3982487" y="1245808"/>
              <a:ext cx="1317167" cy="28020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t>Building No. 2</a:t>
              </a:r>
              <a:endParaRPr lang="en-IN" sz="1200" b="1"/>
            </a:p>
          </xdr:txBody>
        </xdr:sp>
      </xdr:grpSp>
    </xdr:grpSp>
    <xdr:clientData/>
  </xdr:twoCellAnchor>
  <xdr:twoCellAnchor>
    <xdr:from>
      <xdr:col>1</xdr:col>
      <xdr:colOff>729343</xdr:colOff>
      <xdr:row>713</xdr:row>
      <xdr:rowOff>129268</xdr:rowOff>
    </xdr:from>
    <xdr:to>
      <xdr:col>7</xdr:col>
      <xdr:colOff>838200</xdr:colOff>
      <xdr:row>753</xdr:row>
      <xdr:rowOff>14968</xdr:rowOff>
    </xdr:to>
    <xdr:grpSp>
      <xdr:nvGrpSpPr>
        <xdr:cNvPr id="30" name="Group 29">
          <a:extLst>
            <a:ext uri="{FF2B5EF4-FFF2-40B4-BE49-F238E27FC236}">
              <a16:creationId xmlns:a16="http://schemas.microsoft.com/office/drawing/2014/main" id="{00000000-0008-0000-0000-00001E000000}"/>
            </a:ext>
          </a:extLst>
        </xdr:cNvPr>
        <xdr:cNvGrpSpPr/>
      </xdr:nvGrpSpPr>
      <xdr:grpSpPr>
        <a:xfrm>
          <a:off x="1514203" y="149770828"/>
          <a:ext cx="4863737" cy="7810500"/>
          <a:chOff x="1491343" y="148280290"/>
          <a:chExt cx="4738835" cy="7837004"/>
        </a:xfrm>
      </xdr:grpSpPr>
      <xdr:grpSp>
        <xdr:nvGrpSpPr>
          <xdr:cNvPr id="51" name="Group 50">
            <a:extLst>
              <a:ext uri="{FF2B5EF4-FFF2-40B4-BE49-F238E27FC236}">
                <a16:creationId xmlns:a16="http://schemas.microsoft.com/office/drawing/2014/main" id="{00000000-0008-0000-0000-000033000000}"/>
              </a:ext>
            </a:extLst>
          </xdr:cNvPr>
          <xdr:cNvGrpSpPr/>
        </xdr:nvGrpSpPr>
        <xdr:grpSpPr>
          <a:xfrm>
            <a:off x="1491343" y="148280290"/>
            <a:ext cx="4738835" cy="7837004"/>
            <a:chOff x="1089000" y="733950"/>
            <a:chExt cx="4680000" cy="8087810"/>
          </a:xfrm>
        </xdr:grpSpPr>
        <xdr:pic>
          <xdr:nvPicPr>
            <xdr:cNvPr id="52" name="Picture 51">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a:ext>
              </a:extLst>
            </a:blip>
            <a:srcRect/>
            <a:stretch/>
          </xdr:blipFill>
          <xdr:spPr>
            <a:xfrm>
              <a:off x="1089000" y="733950"/>
              <a:ext cx="4680000" cy="3960000"/>
            </a:xfrm>
            <a:prstGeom prst="rect">
              <a:avLst/>
            </a:prstGeom>
            <a:ln>
              <a:solidFill>
                <a:schemeClr val="tx1"/>
              </a:solidFill>
            </a:ln>
          </xdr:spPr>
        </xdr:pic>
        <xdr:grpSp>
          <xdr:nvGrpSpPr>
            <xdr:cNvPr id="53" name="Group 52">
              <a:extLst>
                <a:ext uri="{FF2B5EF4-FFF2-40B4-BE49-F238E27FC236}">
                  <a16:creationId xmlns:a16="http://schemas.microsoft.com/office/drawing/2014/main" id="{00000000-0008-0000-0000-000035000000}"/>
                </a:ext>
              </a:extLst>
            </xdr:cNvPr>
            <xdr:cNvGrpSpPr/>
          </xdr:nvGrpSpPr>
          <xdr:grpSpPr>
            <a:xfrm>
              <a:off x="1089000" y="4861760"/>
              <a:ext cx="4680000" cy="3960000"/>
              <a:chOff x="1234231" y="4695964"/>
              <a:chExt cx="4680000" cy="3960000"/>
            </a:xfrm>
          </xdr:grpSpPr>
          <xdr:pic>
            <xdr:nvPicPr>
              <xdr:cNvPr id="54" name="Picture 53">
                <a:extLst>
                  <a:ext uri="{FF2B5EF4-FFF2-40B4-BE49-F238E27FC236}">
                    <a16:creationId xmlns:a16="http://schemas.microsoft.com/office/drawing/2014/main" id="{00000000-0008-0000-0000-000036000000}"/>
                  </a:ext>
                </a:extLst>
              </xdr:cNvPr>
              <xdr:cNvPicPr>
                <a:picLocks noChangeAspect="1"/>
              </xdr:cNvPicPr>
            </xdr:nvPicPr>
            <xdr:blipFill rotWithShape="1">
              <a:blip xmlns:r="http://schemas.openxmlformats.org/officeDocument/2006/relationships" r:embed="rId15"/>
              <a:srcRect l="21698" t="21327" r="23195" b="13793"/>
              <a:stretch/>
            </xdr:blipFill>
            <xdr:spPr>
              <a:xfrm>
                <a:off x="1234231" y="4695964"/>
                <a:ext cx="4680000" cy="3960000"/>
              </a:xfrm>
              <a:prstGeom prst="rect">
                <a:avLst/>
              </a:prstGeom>
              <a:ln>
                <a:solidFill>
                  <a:schemeClr val="tx1"/>
                </a:solidFill>
              </a:ln>
            </xdr:spPr>
          </xdr:pic>
          <xdr:sp macro="" textlink="">
            <xdr:nvSpPr>
              <xdr:cNvPr id="55" name="Rectangle 33">
                <a:extLst>
                  <a:ext uri="{FF2B5EF4-FFF2-40B4-BE49-F238E27FC236}">
                    <a16:creationId xmlns:a16="http://schemas.microsoft.com/office/drawing/2014/main" id="{00000000-0008-0000-0000-000037000000}"/>
                  </a:ext>
                </a:extLst>
              </xdr:cNvPr>
              <xdr:cNvSpPr/>
            </xdr:nvSpPr>
            <xdr:spPr>
              <a:xfrm>
                <a:off x="2528340" y="5393093"/>
                <a:ext cx="1327969" cy="2616200"/>
              </a:xfrm>
              <a:custGeom>
                <a:avLst/>
                <a:gdLst>
                  <a:gd name="connsiteX0" fmla="*/ 0 w 1232719"/>
                  <a:gd name="connsiteY0" fmla="*/ 0 h 2114550"/>
                  <a:gd name="connsiteX1" fmla="*/ 1232719 w 1232719"/>
                  <a:gd name="connsiteY1" fmla="*/ 0 h 2114550"/>
                  <a:gd name="connsiteX2" fmla="*/ 1232719 w 1232719"/>
                  <a:gd name="connsiteY2" fmla="*/ 2114550 h 2114550"/>
                  <a:gd name="connsiteX3" fmla="*/ 0 w 1232719"/>
                  <a:gd name="connsiteY3" fmla="*/ 2114550 h 2114550"/>
                  <a:gd name="connsiteX4" fmla="*/ 0 w 1232719"/>
                  <a:gd name="connsiteY4" fmla="*/ 0 h 2114550"/>
                  <a:gd name="connsiteX0" fmla="*/ 0 w 1277169"/>
                  <a:gd name="connsiteY0" fmla="*/ 469900 h 2584450"/>
                  <a:gd name="connsiteX1" fmla="*/ 1277169 w 1277169"/>
                  <a:gd name="connsiteY1" fmla="*/ 0 h 2584450"/>
                  <a:gd name="connsiteX2" fmla="*/ 1232719 w 1277169"/>
                  <a:gd name="connsiteY2" fmla="*/ 2584450 h 2584450"/>
                  <a:gd name="connsiteX3" fmla="*/ 0 w 1277169"/>
                  <a:gd name="connsiteY3" fmla="*/ 2584450 h 2584450"/>
                  <a:gd name="connsiteX4" fmla="*/ 0 w 1277169"/>
                  <a:gd name="connsiteY4" fmla="*/ 469900 h 2584450"/>
                  <a:gd name="connsiteX0" fmla="*/ 0 w 1277169"/>
                  <a:gd name="connsiteY0" fmla="*/ 469900 h 2641600"/>
                  <a:gd name="connsiteX1" fmla="*/ 1277169 w 1277169"/>
                  <a:gd name="connsiteY1" fmla="*/ 0 h 2641600"/>
                  <a:gd name="connsiteX2" fmla="*/ 1232719 w 1277169"/>
                  <a:gd name="connsiteY2" fmla="*/ 2584450 h 2641600"/>
                  <a:gd name="connsiteX3" fmla="*/ 292100 w 1277169"/>
                  <a:gd name="connsiteY3" fmla="*/ 2641600 h 2641600"/>
                  <a:gd name="connsiteX4" fmla="*/ 0 w 1277169"/>
                  <a:gd name="connsiteY4" fmla="*/ 469900 h 2641600"/>
                  <a:gd name="connsiteX0" fmla="*/ 0 w 1327969"/>
                  <a:gd name="connsiteY0" fmla="*/ 469900 h 2641600"/>
                  <a:gd name="connsiteX1" fmla="*/ 1327969 w 1327969"/>
                  <a:gd name="connsiteY1" fmla="*/ 0 h 2641600"/>
                  <a:gd name="connsiteX2" fmla="*/ 1283519 w 1327969"/>
                  <a:gd name="connsiteY2" fmla="*/ 2584450 h 2641600"/>
                  <a:gd name="connsiteX3" fmla="*/ 342900 w 1327969"/>
                  <a:gd name="connsiteY3" fmla="*/ 2641600 h 2641600"/>
                  <a:gd name="connsiteX4" fmla="*/ 0 w 1327969"/>
                  <a:gd name="connsiteY4" fmla="*/ 469900 h 2641600"/>
                  <a:gd name="connsiteX0" fmla="*/ 0 w 1327969"/>
                  <a:gd name="connsiteY0" fmla="*/ 469900 h 2616200"/>
                  <a:gd name="connsiteX1" fmla="*/ 1327969 w 1327969"/>
                  <a:gd name="connsiteY1" fmla="*/ 0 h 2616200"/>
                  <a:gd name="connsiteX2" fmla="*/ 1283519 w 1327969"/>
                  <a:gd name="connsiteY2" fmla="*/ 2584450 h 2616200"/>
                  <a:gd name="connsiteX3" fmla="*/ 355600 w 1327969"/>
                  <a:gd name="connsiteY3" fmla="*/ 2616200 h 2616200"/>
                  <a:gd name="connsiteX4" fmla="*/ 0 w 1327969"/>
                  <a:gd name="connsiteY4" fmla="*/ 469900 h 2616200"/>
                  <a:gd name="connsiteX0" fmla="*/ 0 w 1327969"/>
                  <a:gd name="connsiteY0" fmla="*/ 469900 h 2616200"/>
                  <a:gd name="connsiteX1" fmla="*/ 1327969 w 1327969"/>
                  <a:gd name="connsiteY1" fmla="*/ 0 h 2616200"/>
                  <a:gd name="connsiteX2" fmla="*/ 1289869 w 1327969"/>
                  <a:gd name="connsiteY2" fmla="*/ 2362200 h 2616200"/>
                  <a:gd name="connsiteX3" fmla="*/ 355600 w 1327969"/>
                  <a:gd name="connsiteY3" fmla="*/ 2616200 h 2616200"/>
                  <a:gd name="connsiteX4" fmla="*/ 0 w 1327969"/>
                  <a:gd name="connsiteY4" fmla="*/ 469900 h 26162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27969" h="2616200">
                    <a:moveTo>
                      <a:pt x="0" y="469900"/>
                    </a:moveTo>
                    <a:lnTo>
                      <a:pt x="1327969" y="0"/>
                    </a:lnTo>
                    <a:lnTo>
                      <a:pt x="1289869" y="2362200"/>
                    </a:lnTo>
                    <a:lnTo>
                      <a:pt x="355600" y="2616200"/>
                    </a:lnTo>
                    <a:lnTo>
                      <a:pt x="0" y="469900"/>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56" name="TextBox 34">
                <a:extLst>
                  <a:ext uri="{FF2B5EF4-FFF2-40B4-BE49-F238E27FC236}">
                    <a16:creationId xmlns:a16="http://schemas.microsoft.com/office/drawing/2014/main" id="{00000000-0008-0000-0000-000038000000}"/>
                  </a:ext>
                </a:extLst>
              </xdr:cNvPr>
              <xdr:cNvSpPr txBox="1"/>
            </xdr:nvSpPr>
            <xdr:spPr>
              <a:xfrm>
                <a:off x="1602505" y="4846191"/>
                <a:ext cx="3943452"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Happinest Palghar Project 2 Phase I &amp; 2</a:t>
                </a:r>
                <a:endParaRPr lang="en-IN" b="1">
                  <a:solidFill>
                    <a:srgbClr val="FFFF00"/>
                  </a:solidFill>
                </a:endParaRPr>
              </a:p>
            </xdr:txBody>
          </xdr:sp>
        </xdr:grpSp>
      </xdr:grpSp>
      <xdr:cxnSp macro="">
        <xdr:nvCxnSpPr>
          <xdr:cNvPr id="101" name="Straight Connector 100">
            <a:extLst>
              <a:ext uri="{FF2B5EF4-FFF2-40B4-BE49-F238E27FC236}">
                <a16:creationId xmlns:a16="http://schemas.microsoft.com/office/drawing/2014/main" id="{00000000-0008-0000-0000-000065000000}"/>
              </a:ext>
            </a:extLst>
          </xdr:cNvPr>
          <xdr:cNvCxnSpPr/>
        </xdr:nvCxnSpPr>
        <xdr:spPr>
          <a:xfrm flipH="1">
            <a:off x="4250753" y="152289960"/>
            <a:ext cx="136071" cy="3825973"/>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02" name="Straight Connector 101">
            <a:extLst>
              <a:ext uri="{FF2B5EF4-FFF2-40B4-BE49-F238E27FC236}">
                <a16:creationId xmlns:a16="http://schemas.microsoft.com/office/drawing/2014/main" id="{00000000-0008-0000-0000-000066000000}"/>
              </a:ext>
            </a:extLst>
          </xdr:cNvPr>
          <xdr:cNvCxnSpPr/>
        </xdr:nvCxnSpPr>
        <xdr:spPr>
          <a:xfrm flipH="1">
            <a:off x="4141895" y="152262745"/>
            <a:ext cx="95251" cy="3839581"/>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105" name="TextBox 64">
            <a:extLst>
              <a:ext uri="{FF2B5EF4-FFF2-40B4-BE49-F238E27FC236}">
                <a16:creationId xmlns:a16="http://schemas.microsoft.com/office/drawing/2014/main" id="{00000000-0008-0000-0000-000069000000}"/>
              </a:ext>
            </a:extLst>
          </xdr:cNvPr>
          <xdr:cNvSpPr txBox="1"/>
        </xdr:nvSpPr>
        <xdr:spPr>
          <a:xfrm rot="16385043">
            <a:off x="3557098" y="154149094"/>
            <a:ext cx="1970608" cy="338371"/>
          </a:xfrm>
          <a:prstGeom prst="rect">
            <a:avLst/>
          </a:prstGeom>
          <a:solidFill>
            <a:schemeClr val="bg2"/>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solidFill>
                  <a:srgbClr val="FF0000"/>
                </a:solidFill>
              </a:rPr>
              <a:t>Bullet Train Marking </a:t>
            </a:r>
            <a:endParaRPr lang="en-IN" sz="1600" b="1">
              <a:solidFill>
                <a:srgbClr val="FF0000"/>
              </a:solidFill>
            </a:endParaRPr>
          </a:p>
        </xdr:txBody>
      </xdr:sp>
    </xdr:grpSp>
    <xdr:clientData/>
  </xdr:twoCellAnchor>
  <xdr:twoCellAnchor>
    <xdr:from>
      <xdr:col>5</xdr:col>
      <xdr:colOff>714376</xdr:colOff>
      <xdr:row>671</xdr:row>
      <xdr:rowOff>189103</xdr:rowOff>
    </xdr:from>
    <xdr:to>
      <xdr:col>6</xdr:col>
      <xdr:colOff>591278</xdr:colOff>
      <xdr:row>673</xdr:row>
      <xdr:rowOff>161925</xdr:rowOff>
    </xdr:to>
    <xdr:cxnSp macro="">
      <xdr:nvCxnSpPr>
        <xdr:cNvPr id="33" name="Elbow Connector 32">
          <a:extLst>
            <a:ext uri="{FF2B5EF4-FFF2-40B4-BE49-F238E27FC236}">
              <a16:creationId xmlns:a16="http://schemas.microsoft.com/office/drawing/2014/main" id="{00000000-0008-0000-0000-000021000000}"/>
            </a:ext>
          </a:extLst>
        </xdr:cNvPr>
        <xdr:cNvCxnSpPr>
          <a:stCxn id="84" idx="2"/>
        </xdr:cNvCxnSpPr>
      </xdr:nvCxnSpPr>
      <xdr:spPr>
        <a:xfrm rot="5400000">
          <a:off x="4847891" y="141197538"/>
          <a:ext cx="372872" cy="65795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114300</xdr:colOff>
      <xdr:row>671</xdr:row>
      <xdr:rowOff>180975</xdr:rowOff>
    </xdr:from>
    <xdr:to>
      <xdr:col>7</xdr:col>
      <xdr:colOff>171450</xdr:colOff>
      <xdr:row>681</xdr:row>
      <xdr:rowOff>180975</xdr:rowOff>
    </xdr:to>
    <xdr:cxnSp macro="">
      <xdr:nvCxnSpPr>
        <xdr:cNvPr id="37" name="Straight Arrow Connector 36">
          <a:extLst>
            <a:ext uri="{FF2B5EF4-FFF2-40B4-BE49-F238E27FC236}">
              <a16:creationId xmlns:a16="http://schemas.microsoft.com/office/drawing/2014/main" id="{00000000-0008-0000-0000-000025000000}"/>
            </a:ext>
          </a:extLst>
        </xdr:cNvPr>
        <xdr:cNvCxnSpPr/>
      </xdr:nvCxnSpPr>
      <xdr:spPr>
        <a:xfrm flipH="1">
          <a:off x="5505450" y="141331950"/>
          <a:ext cx="57150" cy="200025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121921</xdr:colOff>
      <xdr:row>630</xdr:row>
      <xdr:rowOff>30480</xdr:rowOff>
    </xdr:from>
    <xdr:to>
      <xdr:col>7</xdr:col>
      <xdr:colOff>2019301</xdr:colOff>
      <xdr:row>662</xdr:row>
      <xdr:rowOff>45720</xdr:rowOff>
    </xdr:to>
    <xdr:grpSp>
      <xdr:nvGrpSpPr>
        <xdr:cNvPr id="3" name="Group 2">
          <a:extLst>
            <a:ext uri="{FF2B5EF4-FFF2-40B4-BE49-F238E27FC236}">
              <a16:creationId xmlns:a16="http://schemas.microsoft.com/office/drawing/2014/main" id="{1CA36322-13EB-6EB9-EC52-4FA19D0693B4}"/>
            </a:ext>
          </a:extLst>
        </xdr:cNvPr>
        <xdr:cNvGrpSpPr/>
      </xdr:nvGrpSpPr>
      <xdr:grpSpPr>
        <a:xfrm>
          <a:off x="121921" y="133228080"/>
          <a:ext cx="7437120" cy="6355080"/>
          <a:chOff x="197623" y="0"/>
          <a:chExt cx="8912457" cy="7819567"/>
        </a:xfrm>
      </xdr:grpSpPr>
      <xdr:grpSp>
        <xdr:nvGrpSpPr>
          <xdr:cNvPr id="4" name="Group 3">
            <a:extLst>
              <a:ext uri="{FF2B5EF4-FFF2-40B4-BE49-F238E27FC236}">
                <a16:creationId xmlns:a16="http://schemas.microsoft.com/office/drawing/2014/main" id="{82033F73-D5CB-6ACA-8893-580A1C5B10D5}"/>
              </a:ext>
            </a:extLst>
          </xdr:cNvPr>
          <xdr:cNvGrpSpPr/>
        </xdr:nvGrpSpPr>
        <xdr:grpSpPr>
          <a:xfrm>
            <a:off x="197623" y="5299567"/>
            <a:ext cx="8912457" cy="2520000"/>
            <a:chOff x="197623" y="5299567"/>
            <a:chExt cx="8912457" cy="2520000"/>
          </a:xfrm>
        </xdr:grpSpPr>
        <xdr:pic>
          <xdr:nvPicPr>
            <xdr:cNvPr id="16" name="Picture 15">
              <a:extLst>
                <a:ext uri="{FF2B5EF4-FFF2-40B4-BE49-F238E27FC236}">
                  <a16:creationId xmlns:a16="http://schemas.microsoft.com/office/drawing/2014/main" id="{58E129B4-44EA-D053-5218-D661D6344495}"/>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3709836" y="5299567"/>
              <a:ext cx="3357291" cy="2520000"/>
            </a:xfrm>
            <a:prstGeom prst="rect">
              <a:avLst/>
            </a:prstGeom>
            <a:ln>
              <a:solidFill>
                <a:schemeClr val="tx1"/>
              </a:solidFill>
            </a:ln>
          </xdr:spPr>
        </xdr:pic>
        <xdr:pic>
          <xdr:nvPicPr>
            <xdr:cNvPr id="17" name="Picture 16">
              <a:extLst>
                <a:ext uri="{FF2B5EF4-FFF2-40B4-BE49-F238E27FC236}">
                  <a16:creationId xmlns:a16="http://schemas.microsoft.com/office/drawing/2014/main" id="{946E33FF-321E-A526-0A43-6E26CFA326EC}"/>
                </a:ext>
              </a:extLst>
            </xdr:cNvPr>
            <xdr:cNvPicPr>
              <a:picLocks noChangeAspect="1"/>
            </xdr:cNvPicPr>
          </xdr:nvPicPr>
          <xdr:blipFill>
            <a:blip xmlns:r="http://schemas.openxmlformats.org/officeDocument/2006/relationships" r:embed="rId17" cstate="hqprint">
              <a:extLst>
                <a:ext uri="{28A0092B-C50C-407E-A947-70E740481C1C}">
                  <a14:useLocalDpi xmlns:a14="http://schemas.microsoft.com/office/drawing/2010/main"/>
                </a:ext>
              </a:extLst>
            </a:blip>
            <a:stretch>
              <a:fillRect/>
            </a:stretch>
          </xdr:blipFill>
          <xdr:spPr>
            <a:xfrm>
              <a:off x="7222049" y="5299567"/>
              <a:ext cx="1888031" cy="2520000"/>
            </a:xfrm>
            <a:prstGeom prst="rect">
              <a:avLst/>
            </a:prstGeom>
            <a:ln>
              <a:solidFill>
                <a:schemeClr val="tx1"/>
              </a:solidFill>
            </a:ln>
          </xdr:spPr>
        </xdr:pic>
        <xdr:pic>
          <xdr:nvPicPr>
            <xdr:cNvPr id="18" name="Picture 17">
              <a:extLst>
                <a:ext uri="{FF2B5EF4-FFF2-40B4-BE49-F238E27FC236}">
                  <a16:creationId xmlns:a16="http://schemas.microsoft.com/office/drawing/2014/main" id="{7D374BC6-9276-5EB7-558A-8275C3C2FF68}"/>
                </a:ext>
              </a:extLst>
            </xdr:cNvPr>
            <xdr:cNvPicPr>
              <a:picLocks noChangeAspect="1"/>
            </xdr:cNvPicPr>
          </xdr:nvPicPr>
          <xdr:blipFill>
            <a:blip xmlns:r="http://schemas.openxmlformats.org/officeDocument/2006/relationships" r:embed="rId18" cstate="hqprint">
              <a:extLst>
                <a:ext uri="{28A0092B-C50C-407E-A947-70E740481C1C}">
                  <a14:useLocalDpi xmlns:a14="http://schemas.microsoft.com/office/drawing/2010/main"/>
                </a:ext>
              </a:extLst>
            </a:blip>
            <a:stretch>
              <a:fillRect/>
            </a:stretch>
          </xdr:blipFill>
          <xdr:spPr>
            <a:xfrm>
              <a:off x="197623" y="5299567"/>
              <a:ext cx="3357291" cy="2520000"/>
            </a:xfrm>
            <a:prstGeom prst="rect">
              <a:avLst/>
            </a:prstGeom>
            <a:ln>
              <a:solidFill>
                <a:schemeClr val="tx1"/>
              </a:solidFill>
            </a:ln>
          </xdr:spPr>
        </xdr:pic>
      </xdr:grpSp>
      <xdr:grpSp>
        <xdr:nvGrpSpPr>
          <xdr:cNvPr id="6" name="Group 5">
            <a:extLst>
              <a:ext uri="{FF2B5EF4-FFF2-40B4-BE49-F238E27FC236}">
                <a16:creationId xmlns:a16="http://schemas.microsoft.com/office/drawing/2014/main" id="{BBCC6963-4C3A-4E3C-8D3D-8D44CE6E37D6}"/>
              </a:ext>
            </a:extLst>
          </xdr:cNvPr>
          <xdr:cNvGrpSpPr/>
        </xdr:nvGrpSpPr>
        <xdr:grpSpPr>
          <a:xfrm>
            <a:off x="1219099" y="0"/>
            <a:ext cx="6869504" cy="2520000"/>
            <a:chOff x="197623" y="0"/>
            <a:chExt cx="6869504" cy="2520000"/>
          </a:xfrm>
        </xdr:grpSpPr>
        <xdr:pic>
          <xdr:nvPicPr>
            <xdr:cNvPr id="14" name="Picture 13">
              <a:extLst>
                <a:ext uri="{FF2B5EF4-FFF2-40B4-BE49-F238E27FC236}">
                  <a16:creationId xmlns:a16="http://schemas.microsoft.com/office/drawing/2014/main" id="{04E052BA-701A-A3C4-93EE-1661F8DEEAB6}"/>
                </a:ext>
              </a:extLst>
            </xdr:cNvPr>
            <xdr:cNvPicPr>
              <a:picLocks noChangeAspect="1"/>
            </xdr:cNvPicPr>
          </xdr:nvPicPr>
          <xdr:blipFill>
            <a:blip xmlns:r="http://schemas.openxmlformats.org/officeDocument/2006/relationships" r:embed="rId19" cstate="hqprint">
              <a:extLst>
                <a:ext uri="{28A0092B-C50C-407E-A947-70E740481C1C}">
                  <a14:useLocalDpi xmlns:a14="http://schemas.microsoft.com/office/drawing/2010/main"/>
                </a:ext>
              </a:extLst>
            </a:blip>
            <a:stretch>
              <a:fillRect/>
            </a:stretch>
          </xdr:blipFill>
          <xdr:spPr>
            <a:xfrm>
              <a:off x="197623" y="0"/>
              <a:ext cx="3357291" cy="2520000"/>
            </a:xfrm>
            <a:prstGeom prst="rect">
              <a:avLst/>
            </a:prstGeom>
            <a:ln>
              <a:solidFill>
                <a:schemeClr val="tx1"/>
              </a:solidFill>
            </a:ln>
          </xdr:spPr>
        </xdr:pic>
        <xdr:pic>
          <xdr:nvPicPr>
            <xdr:cNvPr id="15" name="Picture 14">
              <a:extLst>
                <a:ext uri="{FF2B5EF4-FFF2-40B4-BE49-F238E27FC236}">
                  <a16:creationId xmlns:a16="http://schemas.microsoft.com/office/drawing/2014/main" id="{99FC5366-CF1D-09F4-929E-9ADFB8AB1A5B}"/>
                </a:ext>
              </a:extLst>
            </xdr:cNvPr>
            <xdr:cNvPicPr>
              <a:picLocks noChangeAspect="1"/>
            </xdr:cNvPicPr>
          </xdr:nvPicPr>
          <xdr:blipFill>
            <a:blip xmlns:r="http://schemas.openxmlformats.org/officeDocument/2006/relationships" r:embed="rId20" cstate="hqprint">
              <a:extLst>
                <a:ext uri="{28A0092B-C50C-407E-A947-70E740481C1C}">
                  <a14:useLocalDpi xmlns:a14="http://schemas.microsoft.com/office/drawing/2010/main"/>
                </a:ext>
              </a:extLst>
            </a:blip>
            <a:stretch>
              <a:fillRect/>
            </a:stretch>
          </xdr:blipFill>
          <xdr:spPr>
            <a:xfrm>
              <a:off x="3709836" y="0"/>
              <a:ext cx="3357291" cy="2520000"/>
            </a:xfrm>
            <a:prstGeom prst="rect">
              <a:avLst/>
            </a:prstGeom>
            <a:ln>
              <a:solidFill>
                <a:schemeClr val="tx1"/>
              </a:solidFill>
            </a:ln>
          </xdr:spPr>
        </xdr:pic>
      </xdr:grpSp>
      <xdr:grpSp>
        <xdr:nvGrpSpPr>
          <xdr:cNvPr id="8" name="Group 7">
            <a:extLst>
              <a:ext uri="{FF2B5EF4-FFF2-40B4-BE49-F238E27FC236}">
                <a16:creationId xmlns:a16="http://schemas.microsoft.com/office/drawing/2014/main" id="{5F520E2C-9B37-465E-4527-024D44DD32BC}"/>
              </a:ext>
            </a:extLst>
          </xdr:cNvPr>
          <xdr:cNvGrpSpPr/>
        </xdr:nvGrpSpPr>
        <xdr:grpSpPr>
          <a:xfrm>
            <a:off x="197623" y="2670518"/>
            <a:ext cx="8912457" cy="2520000"/>
            <a:chOff x="197623" y="2670518"/>
            <a:chExt cx="8912457" cy="2520000"/>
          </a:xfrm>
        </xdr:grpSpPr>
        <xdr:pic>
          <xdr:nvPicPr>
            <xdr:cNvPr id="11" name="Picture 10">
              <a:extLst>
                <a:ext uri="{FF2B5EF4-FFF2-40B4-BE49-F238E27FC236}">
                  <a16:creationId xmlns:a16="http://schemas.microsoft.com/office/drawing/2014/main" id="{2FF95038-11F0-09EF-99AB-C798F9BA741E}"/>
                </a:ext>
              </a:extLst>
            </xdr:cNvPr>
            <xdr:cNvPicPr>
              <a:picLocks noChangeAspect="1"/>
            </xdr:cNvPicPr>
          </xdr:nvPicPr>
          <xdr:blipFill>
            <a:blip xmlns:r="http://schemas.openxmlformats.org/officeDocument/2006/relationships" r:embed="rId21" cstate="hqprint">
              <a:extLst>
                <a:ext uri="{28A0092B-C50C-407E-A947-70E740481C1C}">
                  <a14:useLocalDpi xmlns:a14="http://schemas.microsoft.com/office/drawing/2010/main"/>
                </a:ext>
              </a:extLst>
            </a:blip>
            <a:stretch>
              <a:fillRect/>
            </a:stretch>
          </xdr:blipFill>
          <xdr:spPr>
            <a:xfrm>
              <a:off x="5752789" y="2670518"/>
              <a:ext cx="3357291" cy="2520000"/>
            </a:xfrm>
            <a:prstGeom prst="rect">
              <a:avLst/>
            </a:prstGeom>
            <a:ln>
              <a:solidFill>
                <a:schemeClr val="tx1"/>
              </a:solidFill>
            </a:ln>
          </xdr:spPr>
        </xdr:pic>
        <xdr:pic>
          <xdr:nvPicPr>
            <xdr:cNvPr id="12" name="Picture 11">
              <a:extLst>
                <a:ext uri="{FF2B5EF4-FFF2-40B4-BE49-F238E27FC236}">
                  <a16:creationId xmlns:a16="http://schemas.microsoft.com/office/drawing/2014/main" id="{E3E7A4C9-F526-CE52-1B85-806B6FB60B5A}"/>
                </a:ext>
              </a:extLst>
            </xdr:cNvPr>
            <xdr:cNvPicPr>
              <a:picLocks noChangeAspect="1"/>
            </xdr:cNvPicPr>
          </xdr:nvPicPr>
          <xdr:blipFill>
            <a:blip xmlns:r="http://schemas.openxmlformats.org/officeDocument/2006/relationships" r:embed="rId22" cstate="hqprint">
              <a:extLst>
                <a:ext uri="{28A0092B-C50C-407E-A947-70E740481C1C}">
                  <a14:useLocalDpi xmlns:a14="http://schemas.microsoft.com/office/drawing/2010/main"/>
                </a:ext>
              </a:extLst>
            </a:blip>
            <a:stretch>
              <a:fillRect/>
            </a:stretch>
          </xdr:blipFill>
          <xdr:spPr>
            <a:xfrm>
              <a:off x="197623" y="2670518"/>
              <a:ext cx="3357291" cy="2520000"/>
            </a:xfrm>
            <a:prstGeom prst="rect">
              <a:avLst/>
            </a:prstGeom>
            <a:ln>
              <a:solidFill>
                <a:schemeClr val="tx1"/>
              </a:solidFill>
            </a:ln>
          </xdr:spPr>
        </xdr:pic>
        <xdr:pic>
          <xdr:nvPicPr>
            <xdr:cNvPr id="13" name="Picture 12">
              <a:extLst>
                <a:ext uri="{FF2B5EF4-FFF2-40B4-BE49-F238E27FC236}">
                  <a16:creationId xmlns:a16="http://schemas.microsoft.com/office/drawing/2014/main" id="{8540A622-4439-79A2-DEB6-1AEB34C1F9B8}"/>
                </a:ext>
              </a:extLst>
            </xdr:cNvPr>
            <xdr:cNvPicPr>
              <a:picLocks noChangeAspect="1"/>
            </xdr:cNvPicPr>
          </xdr:nvPicPr>
          <xdr:blipFill>
            <a:blip xmlns:r="http://schemas.openxmlformats.org/officeDocument/2006/relationships" r:embed="rId23" cstate="hqprint">
              <a:extLst>
                <a:ext uri="{28A0092B-C50C-407E-A947-70E740481C1C}">
                  <a14:useLocalDpi xmlns:a14="http://schemas.microsoft.com/office/drawing/2010/main"/>
                </a:ext>
              </a:extLst>
            </a:blip>
            <a:stretch>
              <a:fillRect/>
            </a:stretch>
          </xdr:blipFill>
          <xdr:spPr>
            <a:xfrm>
              <a:off x="3709836" y="2670518"/>
              <a:ext cx="1888031" cy="2520000"/>
            </a:xfrm>
            <a:prstGeom prst="rect">
              <a:avLst/>
            </a:prstGeom>
            <a:ln>
              <a:solidFill>
                <a:schemeClr val="tx1"/>
              </a:solidFill>
            </a:ln>
          </xdr:spPr>
        </xdr:pic>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GAovZqtsKsbCKowZ8"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14"/>
  <sheetViews>
    <sheetView tabSelected="1" view="pageBreakPreview" topLeftCell="A648" zoomScaleNormal="100" zoomScaleSheetLayoutView="100" zoomScalePageLayoutView="85" workbookViewId="0">
      <selection activeCell="I625" sqref="I625"/>
    </sheetView>
  </sheetViews>
  <sheetFormatPr defaultColWidth="9.109375" defaultRowHeight="15.6" x14ac:dyDescent="0.3"/>
  <cols>
    <col min="1" max="1" width="11.44140625" style="20" customWidth="1"/>
    <col min="2" max="2" width="11.109375" style="20" customWidth="1"/>
    <col min="3" max="3" width="12.6640625" style="20" customWidth="1"/>
    <col min="4" max="4" width="12.88671875" style="20" customWidth="1"/>
    <col min="5" max="6" width="11.6640625" style="20" customWidth="1"/>
    <col min="7" max="7" width="9.33203125" style="20" customWidth="1"/>
    <col min="8" max="8" width="32" style="20" customWidth="1"/>
    <col min="9" max="9" width="20.44140625" style="8" customWidth="1"/>
    <col min="10" max="10" width="9.88671875" style="8" bestFit="1" customWidth="1"/>
    <col min="11" max="252" width="9.109375" style="8"/>
    <col min="253" max="253" width="8.6640625" style="8" customWidth="1"/>
    <col min="254" max="254" width="9.88671875" style="8" customWidth="1"/>
    <col min="255" max="255" width="14.44140625" style="8" customWidth="1"/>
    <col min="256" max="256" width="7.33203125" style="8" customWidth="1"/>
    <col min="257" max="257" width="5.5546875" style="8" customWidth="1"/>
    <col min="258" max="258" width="9" style="8" customWidth="1"/>
    <col min="259" max="260" width="9.88671875" style="8" customWidth="1"/>
    <col min="261" max="261" width="11.109375" style="8" customWidth="1"/>
    <col min="262" max="262" width="2.88671875" style="8" customWidth="1"/>
    <col min="263" max="263" width="3.5546875" style="8" customWidth="1"/>
    <col min="264" max="508" width="9.109375" style="8"/>
    <col min="509" max="509" width="8.6640625" style="8" customWidth="1"/>
    <col min="510" max="510" width="9.88671875" style="8" customWidth="1"/>
    <col min="511" max="511" width="14.44140625" style="8" customWidth="1"/>
    <col min="512" max="512" width="7.33203125" style="8" customWidth="1"/>
    <col min="513" max="513" width="5.5546875" style="8" customWidth="1"/>
    <col min="514" max="514" width="9" style="8" customWidth="1"/>
    <col min="515" max="516" width="9.88671875" style="8" customWidth="1"/>
    <col min="517" max="517" width="11.109375" style="8" customWidth="1"/>
    <col min="518" max="518" width="2.88671875" style="8" customWidth="1"/>
    <col min="519" max="519" width="3.5546875" style="8" customWidth="1"/>
    <col min="520" max="764" width="9.109375" style="8"/>
    <col min="765" max="765" width="8.6640625" style="8" customWidth="1"/>
    <col min="766" max="766" width="9.88671875" style="8" customWidth="1"/>
    <col min="767" max="767" width="14.44140625" style="8" customWidth="1"/>
    <col min="768" max="768" width="7.33203125" style="8" customWidth="1"/>
    <col min="769" max="769" width="5.5546875" style="8" customWidth="1"/>
    <col min="770" max="770" width="9" style="8" customWidth="1"/>
    <col min="771" max="772" width="9.88671875" style="8" customWidth="1"/>
    <col min="773" max="773" width="11.109375" style="8" customWidth="1"/>
    <col min="774" max="774" width="2.88671875" style="8" customWidth="1"/>
    <col min="775" max="775" width="3.5546875" style="8" customWidth="1"/>
    <col min="776" max="1020" width="9.109375" style="8"/>
    <col min="1021" max="1021" width="8.6640625" style="8" customWidth="1"/>
    <col min="1022" max="1022" width="9.88671875" style="8" customWidth="1"/>
    <col min="1023" max="1023" width="14.44140625" style="8" customWidth="1"/>
    <col min="1024" max="1024" width="7.33203125" style="8" customWidth="1"/>
    <col min="1025" max="1025" width="5.5546875" style="8" customWidth="1"/>
    <col min="1026" max="1026" width="9" style="8" customWidth="1"/>
    <col min="1027" max="1028" width="9.88671875" style="8" customWidth="1"/>
    <col min="1029" max="1029" width="11.109375" style="8" customWidth="1"/>
    <col min="1030" max="1030" width="2.88671875" style="8" customWidth="1"/>
    <col min="1031" max="1031" width="3.5546875" style="8" customWidth="1"/>
    <col min="1032" max="1276" width="9.109375" style="8"/>
    <col min="1277" max="1277" width="8.6640625" style="8" customWidth="1"/>
    <col min="1278" max="1278" width="9.88671875" style="8" customWidth="1"/>
    <col min="1279" max="1279" width="14.44140625" style="8" customWidth="1"/>
    <col min="1280" max="1280" width="7.33203125" style="8" customWidth="1"/>
    <col min="1281" max="1281" width="5.5546875" style="8" customWidth="1"/>
    <col min="1282" max="1282" width="9" style="8" customWidth="1"/>
    <col min="1283" max="1284" width="9.88671875" style="8" customWidth="1"/>
    <col min="1285" max="1285" width="11.109375" style="8" customWidth="1"/>
    <col min="1286" max="1286" width="2.88671875" style="8" customWidth="1"/>
    <col min="1287" max="1287" width="3.5546875" style="8" customWidth="1"/>
    <col min="1288" max="1532" width="9.109375" style="8"/>
    <col min="1533" max="1533" width="8.6640625" style="8" customWidth="1"/>
    <col min="1534" max="1534" width="9.88671875" style="8" customWidth="1"/>
    <col min="1535" max="1535" width="14.44140625" style="8" customWidth="1"/>
    <col min="1536" max="1536" width="7.33203125" style="8" customWidth="1"/>
    <col min="1537" max="1537" width="5.5546875" style="8" customWidth="1"/>
    <col min="1538" max="1538" width="9" style="8" customWidth="1"/>
    <col min="1539" max="1540" width="9.88671875" style="8" customWidth="1"/>
    <col min="1541" max="1541" width="11.109375" style="8" customWidth="1"/>
    <col min="1542" max="1542" width="2.88671875" style="8" customWidth="1"/>
    <col min="1543" max="1543" width="3.5546875" style="8" customWidth="1"/>
    <col min="1544" max="1788" width="9.109375" style="8"/>
    <col min="1789" max="1789" width="8.6640625" style="8" customWidth="1"/>
    <col min="1790" max="1790" width="9.88671875" style="8" customWidth="1"/>
    <col min="1791" max="1791" width="14.44140625" style="8" customWidth="1"/>
    <col min="1792" max="1792" width="7.33203125" style="8" customWidth="1"/>
    <col min="1793" max="1793" width="5.5546875" style="8" customWidth="1"/>
    <col min="1794" max="1794" width="9" style="8" customWidth="1"/>
    <col min="1795" max="1796" width="9.88671875" style="8" customWidth="1"/>
    <col min="1797" max="1797" width="11.109375" style="8" customWidth="1"/>
    <col min="1798" max="1798" width="2.88671875" style="8" customWidth="1"/>
    <col min="1799" max="1799" width="3.5546875" style="8" customWidth="1"/>
    <col min="1800" max="2044" width="9.109375" style="8"/>
    <col min="2045" max="2045" width="8.6640625" style="8" customWidth="1"/>
    <col min="2046" max="2046" width="9.88671875" style="8" customWidth="1"/>
    <col min="2047" max="2047" width="14.44140625" style="8" customWidth="1"/>
    <col min="2048" max="2048" width="7.33203125" style="8" customWidth="1"/>
    <col min="2049" max="2049" width="5.5546875" style="8" customWidth="1"/>
    <col min="2050" max="2050" width="9" style="8" customWidth="1"/>
    <col min="2051" max="2052" width="9.88671875" style="8" customWidth="1"/>
    <col min="2053" max="2053" width="11.109375" style="8" customWidth="1"/>
    <col min="2054" max="2054" width="2.88671875" style="8" customWidth="1"/>
    <col min="2055" max="2055" width="3.5546875" style="8" customWidth="1"/>
    <col min="2056" max="2300" width="9.109375" style="8"/>
    <col min="2301" max="2301" width="8.6640625" style="8" customWidth="1"/>
    <col min="2302" max="2302" width="9.88671875" style="8" customWidth="1"/>
    <col min="2303" max="2303" width="14.44140625" style="8" customWidth="1"/>
    <col min="2304" max="2304" width="7.33203125" style="8" customWidth="1"/>
    <col min="2305" max="2305" width="5.5546875" style="8" customWidth="1"/>
    <col min="2306" max="2306" width="9" style="8" customWidth="1"/>
    <col min="2307" max="2308" width="9.88671875" style="8" customWidth="1"/>
    <col min="2309" max="2309" width="11.109375" style="8" customWidth="1"/>
    <col min="2310" max="2310" width="2.88671875" style="8" customWidth="1"/>
    <col min="2311" max="2311" width="3.5546875" style="8" customWidth="1"/>
    <col min="2312" max="2556" width="9.109375" style="8"/>
    <col min="2557" max="2557" width="8.6640625" style="8" customWidth="1"/>
    <col min="2558" max="2558" width="9.88671875" style="8" customWidth="1"/>
    <col min="2559" max="2559" width="14.44140625" style="8" customWidth="1"/>
    <col min="2560" max="2560" width="7.33203125" style="8" customWidth="1"/>
    <col min="2561" max="2561" width="5.5546875" style="8" customWidth="1"/>
    <col min="2562" max="2562" width="9" style="8" customWidth="1"/>
    <col min="2563" max="2564" width="9.88671875" style="8" customWidth="1"/>
    <col min="2565" max="2565" width="11.109375" style="8" customWidth="1"/>
    <col min="2566" max="2566" width="2.88671875" style="8" customWidth="1"/>
    <col min="2567" max="2567" width="3.5546875" style="8" customWidth="1"/>
    <col min="2568" max="2812" width="9.109375" style="8"/>
    <col min="2813" max="2813" width="8.6640625" style="8" customWidth="1"/>
    <col min="2814" max="2814" width="9.88671875" style="8" customWidth="1"/>
    <col min="2815" max="2815" width="14.44140625" style="8" customWidth="1"/>
    <col min="2816" max="2816" width="7.33203125" style="8" customWidth="1"/>
    <col min="2817" max="2817" width="5.5546875" style="8" customWidth="1"/>
    <col min="2818" max="2818" width="9" style="8" customWidth="1"/>
    <col min="2819" max="2820" width="9.88671875" style="8" customWidth="1"/>
    <col min="2821" max="2821" width="11.109375" style="8" customWidth="1"/>
    <col min="2822" max="2822" width="2.88671875" style="8" customWidth="1"/>
    <col min="2823" max="2823" width="3.5546875" style="8" customWidth="1"/>
    <col min="2824" max="3068" width="9.109375" style="8"/>
    <col min="3069" max="3069" width="8.6640625" style="8" customWidth="1"/>
    <col min="3070" max="3070" width="9.88671875" style="8" customWidth="1"/>
    <col min="3071" max="3071" width="14.44140625" style="8" customWidth="1"/>
    <col min="3072" max="3072" width="7.33203125" style="8" customWidth="1"/>
    <col min="3073" max="3073" width="5.5546875" style="8" customWidth="1"/>
    <col min="3074" max="3074" width="9" style="8" customWidth="1"/>
    <col min="3075" max="3076" width="9.88671875" style="8" customWidth="1"/>
    <col min="3077" max="3077" width="11.109375" style="8" customWidth="1"/>
    <col min="3078" max="3078" width="2.88671875" style="8" customWidth="1"/>
    <col min="3079" max="3079" width="3.5546875" style="8" customWidth="1"/>
    <col min="3080" max="3324" width="9.109375" style="8"/>
    <col min="3325" max="3325" width="8.6640625" style="8" customWidth="1"/>
    <col min="3326" max="3326" width="9.88671875" style="8" customWidth="1"/>
    <col min="3327" max="3327" width="14.44140625" style="8" customWidth="1"/>
    <col min="3328" max="3328" width="7.33203125" style="8" customWidth="1"/>
    <col min="3329" max="3329" width="5.5546875" style="8" customWidth="1"/>
    <col min="3330" max="3330" width="9" style="8" customWidth="1"/>
    <col min="3331" max="3332" width="9.88671875" style="8" customWidth="1"/>
    <col min="3333" max="3333" width="11.109375" style="8" customWidth="1"/>
    <col min="3334" max="3334" width="2.88671875" style="8" customWidth="1"/>
    <col min="3335" max="3335" width="3.5546875" style="8" customWidth="1"/>
    <col min="3336" max="3580" width="9.109375" style="8"/>
    <col min="3581" max="3581" width="8.6640625" style="8" customWidth="1"/>
    <col min="3582" max="3582" width="9.88671875" style="8" customWidth="1"/>
    <col min="3583" max="3583" width="14.44140625" style="8" customWidth="1"/>
    <col min="3584" max="3584" width="7.33203125" style="8" customWidth="1"/>
    <col min="3585" max="3585" width="5.5546875" style="8" customWidth="1"/>
    <col min="3586" max="3586" width="9" style="8" customWidth="1"/>
    <col min="3587" max="3588" width="9.88671875" style="8" customWidth="1"/>
    <col min="3589" max="3589" width="11.109375" style="8" customWidth="1"/>
    <col min="3590" max="3590" width="2.88671875" style="8" customWidth="1"/>
    <col min="3591" max="3591" width="3.5546875" style="8" customWidth="1"/>
    <col min="3592" max="3836" width="9.109375" style="8"/>
    <col min="3837" max="3837" width="8.6640625" style="8" customWidth="1"/>
    <col min="3838" max="3838" width="9.88671875" style="8" customWidth="1"/>
    <col min="3839" max="3839" width="14.44140625" style="8" customWidth="1"/>
    <col min="3840" max="3840" width="7.33203125" style="8" customWidth="1"/>
    <col min="3841" max="3841" width="5.5546875" style="8" customWidth="1"/>
    <col min="3842" max="3842" width="9" style="8" customWidth="1"/>
    <col min="3843" max="3844" width="9.88671875" style="8" customWidth="1"/>
    <col min="3845" max="3845" width="11.109375" style="8" customWidth="1"/>
    <col min="3846" max="3846" width="2.88671875" style="8" customWidth="1"/>
    <col min="3847" max="3847" width="3.5546875" style="8" customWidth="1"/>
    <col min="3848" max="4092" width="9.109375" style="8"/>
    <col min="4093" max="4093" width="8.6640625" style="8" customWidth="1"/>
    <col min="4094" max="4094" width="9.88671875" style="8" customWidth="1"/>
    <col min="4095" max="4095" width="14.44140625" style="8" customWidth="1"/>
    <col min="4096" max="4096" width="7.33203125" style="8" customWidth="1"/>
    <col min="4097" max="4097" width="5.5546875" style="8" customWidth="1"/>
    <col min="4098" max="4098" width="9" style="8" customWidth="1"/>
    <col min="4099" max="4100" width="9.88671875" style="8" customWidth="1"/>
    <col min="4101" max="4101" width="11.109375" style="8" customWidth="1"/>
    <col min="4102" max="4102" width="2.88671875" style="8" customWidth="1"/>
    <col min="4103" max="4103" width="3.5546875" style="8" customWidth="1"/>
    <col min="4104" max="4348" width="9.109375" style="8"/>
    <col min="4349" max="4349" width="8.6640625" style="8" customWidth="1"/>
    <col min="4350" max="4350" width="9.88671875" style="8" customWidth="1"/>
    <col min="4351" max="4351" width="14.44140625" style="8" customWidth="1"/>
    <col min="4352" max="4352" width="7.33203125" style="8" customWidth="1"/>
    <col min="4353" max="4353" width="5.5546875" style="8" customWidth="1"/>
    <col min="4354" max="4354" width="9" style="8" customWidth="1"/>
    <col min="4355" max="4356" width="9.88671875" style="8" customWidth="1"/>
    <col min="4357" max="4357" width="11.109375" style="8" customWidth="1"/>
    <col min="4358" max="4358" width="2.88671875" style="8" customWidth="1"/>
    <col min="4359" max="4359" width="3.5546875" style="8" customWidth="1"/>
    <col min="4360" max="4604" width="9.109375" style="8"/>
    <col min="4605" max="4605" width="8.6640625" style="8" customWidth="1"/>
    <col min="4606" max="4606" width="9.88671875" style="8" customWidth="1"/>
    <col min="4607" max="4607" width="14.44140625" style="8" customWidth="1"/>
    <col min="4608" max="4608" width="7.33203125" style="8" customWidth="1"/>
    <col min="4609" max="4609" width="5.5546875" style="8" customWidth="1"/>
    <col min="4610" max="4610" width="9" style="8" customWidth="1"/>
    <col min="4611" max="4612" width="9.88671875" style="8" customWidth="1"/>
    <col min="4613" max="4613" width="11.109375" style="8" customWidth="1"/>
    <col min="4614" max="4614" width="2.88671875" style="8" customWidth="1"/>
    <col min="4615" max="4615" width="3.5546875" style="8" customWidth="1"/>
    <col min="4616" max="4860" width="9.109375" style="8"/>
    <col min="4861" max="4861" width="8.6640625" style="8" customWidth="1"/>
    <col min="4862" max="4862" width="9.88671875" style="8" customWidth="1"/>
    <col min="4863" max="4863" width="14.44140625" style="8" customWidth="1"/>
    <col min="4864" max="4864" width="7.33203125" style="8" customWidth="1"/>
    <col min="4865" max="4865" width="5.5546875" style="8" customWidth="1"/>
    <col min="4866" max="4866" width="9" style="8" customWidth="1"/>
    <col min="4867" max="4868" width="9.88671875" style="8" customWidth="1"/>
    <col min="4869" max="4869" width="11.109375" style="8" customWidth="1"/>
    <col min="4870" max="4870" width="2.88671875" style="8" customWidth="1"/>
    <col min="4871" max="4871" width="3.5546875" style="8" customWidth="1"/>
    <col min="4872" max="5116" width="9.109375" style="8"/>
    <col min="5117" max="5117" width="8.6640625" style="8" customWidth="1"/>
    <col min="5118" max="5118" width="9.88671875" style="8" customWidth="1"/>
    <col min="5119" max="5119" width="14.44140625" style="8" customWidth="1"/>
    <col min="5120" max="5120" width="7.33203125" style="8" customWidth="1"/>
    <col min="5121" max="5121" width="5.5546875" style="8" customWidth="1"/>
    <col min="5122" max="5122" width="9" style="8" customWidth="1"/>
    <col min="5123" max="5124" width="9.88671875" style="8" customWidth="1"/>
    <col min="5125" max="5125" width="11.109375" style="8" customWidth="1"/>
    <col min="5126" max="5126" width="2.88671875" style="8" customWidth="1"/>
    <col min="5127" max="5127" width="3.5546875" style="8" customWidth="1"/>
    <col min="5128" max="5372" width="9.109375" style="8"/>
    <col min="5373" max="5373" width="8.6640625" style="8" customWidth="1"/>
    <col min="5374" max="5374" width="9.88671875" style="8" customWidth="1"/>
    <col min="5375" max="5375" width="14.44140625" style="8" customWidth="1"/>
    <col min="5376" max="5376" width="7.33203125" style="8" customWidth="1"/>
    <col min="5377" max="5377" width="5.5546875" style="8" customWidth="1"/>
    <col min="5378" max="5378" width="9" style="8" customWidth="1"/>
    <col min="5379" max="5380" width="9.88671875" style="8" customWidth="1"/>
    <col min="5381" max="5381" width="11.109375" style="8" customWidth="1"/>
    <col min="5382" max="5382" width="2.88671875" style="8" customWidth="1"/>
    <col min="5383" max="5383" width="3.5546875" style="8" customWidth="1"/>
    <col min="5384" max="5628" width="9.109375" style="8"/>
    <col min="5629" max="5629" width="8.6640625" style="8" customWidth="1"/>
    <col min="5630" max="5630" width="9.88671875" style="8" customWidth="1"/>
    <col min="5631" max="5631" width="14.44140625" style="8" customWidth="1"/>
    <col min="5632" max="5632" width="7.33203125" style="8" customWidth="1"/>
    <col min="5633" max="5633" width="5.5546875" style="8" customWidth="1"/>
    <col min="5634" max="5634" width="9" style="8" customWidth="1"/>
    <col min="5635" max="5636" width="9.88671875" style="8" customWidth="1"/>
    <col min="5637" max="5637" width="11.109375" style="8" customWidth="1"/>
    <col min="5638" max="5638" width="2.88671875" style="8" customWidth="1"/>
    <col min="5639" max="5639" width="3.5546875" style="8" customWidth="1"/>
    <col min="5640" max="5884" width="9.109375" style="8"/>
    <col min="5885" max="5885" width="8.6640625" style="8" customWidth="1"/>
    <col min="5886" max="5886" width="9.88671875" style="8" customWidth="1"/>
    <col min="5887" max="5887" width="14.44140625" style="8" customWidth="1"/>
    <col min="5888" max="5888" width="7.33203125" style="8" customWidth="1"/>
    <col min="5889" max="5889" width="5.5546875" style="8" customWidth="1"/>
    <col min="5890" max="5890" width="9" style="8" customWidth="1"/>
    <col min="5891" max="5892" width="9.88671875" style="8" customWidth="1"/>
    <col min="5893" max="5893" width="11.109375" style="8" customWidth="1"/>
    <col min="5894" max="5894" width="2.88671875" style="8" customWidth="1"/>
    <col min="5895" max="5895" width="3.5546875" style="8" customWidth="1"/>
    <col min="5896" max="6140" width="9.109375" style="8"/>
    <col min="6141" max="6141" width="8.6640625" style="8" customWidth="1"/>
    <col min="6142" max="6142" width="9.88671875" style="8" customWidth="1"/>
    <col min="6143" max="6143" width="14.44140625" style="8" customWidth="1"/>
    <col min="6144" max="6144" width="7.33203125" style="8" customWidth="1"/>
    <col min="6145" max="6145" width="5.5546875" style="8" customWidth="1"/>
    <col min="6146" max="6146" width="9" style="8" customWidth="1"/>
    <col min="6147" max="6148" width="9.88671875" style="8" customWidth="1"/>
    <col min="6149" max="6149" width="11.109375" style="8" customWidth="1"/>
    <col min="6150" max="6150" width="2.88671875" style="8" customWidth="1"/>
    <col min="6151" max="6151" width="3.5546875" style="8" customWidth="1"/>
    <col min="6152" max="6396" width="9.109375" style="8"/>
    <col min="6397" max="6397" width="8.6640625" style="8" customWidth="1"/>
    <col min="6398" max="6398" width="9.88671875" style="8" customWidth="1"/>
    <col min="6399" max="6399" width="14.44140625" style="8" customWidth="1"/>
    <col min="6400" max="6400" width="7.33203125" style="8" customWidth="1"/>
    <col min="6401" max="6401" width="5.5546875" style="8" customWidth="1"/>
    <col min="6402" max="6402" width="9" style="8" customWidth="1"/>
    <col min="6403" max="6404" width="9.88671875" style="8" customWidth="1"/>
    <col min="6405" max="6405" width="11.109375" style="8" customWidth="1"/>
    <col min="6406" max="6406" width="2.88671875" style="8" customWidth="1"/>
    <col min="6407" max="6407" width="3.5546875" style="8" customWidth="1"/>
    <col min="6408" max="6652" width="9.109375" style="8"/>
    <col min="6653" max="6653" width="8.6640625" style="8" customWidth="1"/>
    <col min="6654" max="6654" width="9.88671875" style="8" customWidth="1"/>
    <col min="6655" max="6655" width="14.44140625" style="8" customWidth="1"/>
    <col min="6656" max="6656" width="7.33203125" style="8" customWidth="1"/>
    <col min="6657" max="6657" width="5.5546875" style="8" customWidth="1"/>
    <col min="6658" max="6658" width="9" style="8" customWidth="1"/>
    <col min="6659" max="6660" width="9.88671875" style="8" customWidth="1"/>
    <col min="6661" max="6661" width="11.109375" style="8" customWidth="1"/>
    <col min="6662" max="6662" width="2.88671875" style="8" customWidth="1"/>
    <col min="6663" max="6663" width="3.5546875" style="8" customWidth="1"/>
    <col min="6664" max="6908" width="9.109375" style="8"/>
    <col min="6909" max="6909" width="8.6640625" style="8" customWidth="1"/>
    <col min="6910" max="6910" width="9.88671875" style="8" customWidth="1"/>
    <col min="6911" max="6911" width="14.44140625" style="8" customWidth="1"/>
    <col min="6912" max="6912" width="7.33203125" style="8" customWidth="1"/>
    <col min="6913" max="6913" width="5.5546875" style="8" customWidth="1"/>
    <col min="6914" max="6914" width="9" style="8" customWidth="1"/>
    <col min="6915" max="6916" width="9.88671875" style="8" customWidth="1"/>
    <col min="6917" max="6917" width="11.109375" style="8" customWidth="1"/>
    <col min="6918" max="6918" width="2.88671875" style="8" customWidth="1"/>
    <col min="6919" max="6919" width="3.5546875" style="8" customWidth="1"/>
    <col min="6920" max="7164" width="9.109375" style="8"/>
    <col min="7165" max="7165" width="8.6640625" style="8" customWidth="1"/>
    <col min="7166" max="7166" width="9.88671875" style="8" customWidth="1"/>
    <col min="7167" max="7167" width="14.44140625" style="8" customWidth="1"/>
    <col min="7168" max="7168" width="7.33203125" style="8" customWidth="1"/>
    <col min="7169" max="7169" width="5.5546875" style="8" customWidth="1"/>
    <col min="7170" max="7170" width="9" style="8" customWidth="1"/>
    <col min="7171" max="7172" width="9.88671875" style="8" customWidth="1"/>
    <col min="7173" max="7173" width="11.109375" style="8" customWidth="1"/>
    <col min="7174" max="7174" width="2.88671875" style="8" customWidth="1"/>
    <col min="7175" max="7175" width="3.5546875" style="8" customWidth="1"/>
    <col min="7176" max="7420" width="9.109375" style="8"/>
    <col min="7421" max="7421" width="8.6640625" style="8" customWidth="1"/>
    <col min="7422" max="7422" width="9.88671875" style="8" customWidth="1"/>
    <col min="7423" max="7423" width="14.44140625" style="8" customWidth="1"/>
    <col min="7424" max="7424" width="7.33203125" style="8" customWidth="1"/>
    <col min="7425" max="7425" width="5.5546875" style="8" customWidth="1"/>
    <col min="7426" max="7426" width="9" style="8" customWidth="1"/>
    <col min="7427" max="7428" width="9.88671875" style="8" customWidth="1"/>
    <col min="7429" max="7429" width="11.109375" style="8" customWidth="1"/>
    <col min="7430" max="7430" width="2.88671875" style="8" customWidth="1"/>
    <col min="7431" max="7431" width="3.5546875" style="8" customWidth="1"/>
    <col min="7432" max="7676" width="9.109375" style="8"/>
    <col min="7677" max="7677" width="8.6640625" style="8" customWidth="1"/>
    <col min="7678" max="7678" width="9.88671875" style="8" customWidth="1"/>
    <col min="7679" max="7679" width="14.44140625" style="8" customWidth="1"/>
    <col min="7680" max="7680" width="7.33203125" style="8" customWidth="1"/>
    <col min="7681" max="7681" width="5.5546875" style="8" customWidth="1"/>
    <col min="7682" max="7682" width="9" style="8" customWidth="1"/>
    <col min="7683" max="7684" width="9.88671875" style="8" customWidth="1"/>
    <col min="7685" max="7685" width="11.109375" style="8" customWidth="1"/>
    <col min="7686" max="7686" width="2.88671875" style="8" customWidth="1"/>
    <col min="7687" max="7687" width="3.5546875" style="8" customWidth="1"/>
    <col min="7688" max="7932" width="9.109375" style="8"/>
    <col min="7933" max="7933" width="8.6640625" style="8" customWidth="1"/>
    <col min="7934" max="7934" width="9.88671875" style="8" customWidth="1"/>
    <col min="7935" max="7935" width="14.44140625" style="8" customWidth="1"/>
    <col min="7936" max="7936" width="7.33203125" style="8" customWidth="1"/>
    <col min="7937" max="7937" width="5.5546875" style="8" customWidth="1"/>
    <col min="7938" max="7938" width="9" style="8" customWidth="1"/>
    <col min="7939" max="7940" width="9.88671875" style="8" customWidth="1"/>
    <col min="7941" max="7941" width="11.109375" style="8" customWidth="1"/>
    <col min="7942" max="7942" width="2.88671875" style="8" customWidth="1"/>
    <col min="7943" max="7943" width="3.5546875" style="8" customWidth="1"/>
    <col min="7944" max="8188" width="9.109375" style="8"/>
    <col min="8189" max="8189" width="8.6640625" style="8" customWidth="1"/>
    <col min="8190" max="8190" width="9.88671875" style="8" customWidth="1"/>
    <col min="8191" max="8191" width="14.44140625" style="8" customWidth="1"/>
    <col min="8192" max="8192" width="7.33203125" style="8" customWidth="1"/>
    <col min="8193" max="8193" width="5.5546875" style="8" customWidth="1"/>
    <col min="8194" max="8194" width="9" style="8" customWidth="1"/>
    <col min="8195" max="8196" width="9.88671875" style="8" customWidth="1"/>
    <col min="8197" max="8197" width="11.109375" style="8" customWidth="1"/>
    <col min="8198" max="8198" width="2.88671875" style="8" customWidth="1"/>
    <col min="8199" max="8199" width="3.5546875" style="8" customWidth="1"/>
    <col min="8200" max="8444" width="9.109375" style="8"/>
    <col min="8445" max="8445" width="8.6640625" style="8" customWidth="1"/>
    <col min="8446" max="8446" width="9.88671875" style="8" customWidth="1"/>
    <col min="8447" max="8447" width="14.44140625" style="8" customWidth="1"/>
    <col min="8448" max="8448" width="7.33203125" style="8" customWidth="1"/>
    <col min="8449" max="8449" width="5.5546875" style="8" customWidth="1"/>
    <col min="8450" max="8450" width="9" style="8" customWidth="1"/>
    <col min="8451" max="8452" width="9.88671875" style="8" customWidth="1"/>
    <col min="8453" max="8453" width="11.109375" style="8" customWidth="1"/>
    <col min="8454" max="8454" width="2.88671875" style="8" customWidth="1"/>
    <col min="8455" max="8455" width="3.5546875" style="8" customWidth="1"/>
    <col min="8456" max="8700" width="9.109375" style="8"/>
    <col min="8701" max="8701" width="8.6640625" style="8" customWidth="1"/>
    <col min="8702" max="8702" width="9.88671875" style="8" customWidth="1"/>
    <col min="8703" max="8703" width="14.44140625" style="8" customWidth="1"/>
    <col min="8704" max="8704" width="7.33203125" style="8" customWidth="1"/>
    <col min="8705" max="8705" width="5.5546875" style="8" customWidth="1"/>
    <col min="8706" max="8706" width="9" style="8" customWidth="1"/>
    <col min="8707" max="8708" width="9.88671875" style="8" customWidth="1"/>
    <col min="8709" max="8709" width="11.109375" style="8" customWidth="1"/>
    <col min="8710" max="8710" width="2.88671875" style="8" customWidth="1"/>
    <col min="8711" max="8711" width="3.5546875" style="8" customWidth="1"/>
    <col min="8712" max="8956" width="9.109375" style="8"/>
    <col min="8957" max="8957" width="8.6640625" style="8" customWidth="1"/>
    <col min="8958" max="8958" width="9.88671875" style="8" customWidth="1"/>
    <col min="8959" max="8959" width="14.44140625" style="8" customWidth="1"/>
    <col min="8960" max="8960" width="7.33203125" style="8" customWidth="1"/>
    <col min="8961" max="8961" width="5.5546875" style="8" customWidth="1"/>
    <col min="8962" max="8962" width="9" style="8" customWidth="1"/>
    <col min="8963" max="8964" width="9.88671875" style="8" customWidth="1"/>
    <col min="8965" max="8965" width="11.109375" style="8" customWidth="1"/>
    <col min="8966" max="8966" width="2.88671875" style="8" customWidth="1"/>
    <col min="8967" max="8967" width="3.5546875" style="8" customWidth="1"/>
    <col min="8968" max="9212" width="9.109375" style="8"/>
    <col min="9213" max="9213" width="8.6640625" style="8" customWidth="1"/>
    <col min="9214" max="9214" width="9.88671875" style="8" customWidth="1"/>
    <col min="9215" max="9215" width="14.44140625" style="8" customWidth="1"/>
    <col min="9216" max="9216" width="7.33203125" style="8" customWidth="1"/>
    <col min="9217" max="9217" width="5.5546875" style="8" customWidth="1"/>
    <col min="9218" max="9218" width="9" style="8" customWidth="1"/>
    <col min="9219" max="9220" width="9.88671875" style="8" customWidth="1"/>
    <col min="9221" max="9221" width="11.109375" style="8" customWidth="1"/>
    <col min="9222" max="9222" width="2.88671875" style="8" customWidth="1"/>
    <col min="9223" max="9223" width="3.5546875" style="8" customWidth="1"/>
    <col min="9224" max="9468" width="9.109375" style="8"/>
    <col min="9469" max="9469" width="8.6640625" style="8" customWidth="1"/>
    <col min="9470" max="9470" width="9.88671875" style="8" customWidth="1"/>
    <col min="9471" max="9471" width="14.44140625" style="8" customWidth="1"/>
    <col min="9472" max="9472" width="7.33203125" style="8" customWidth="1"/>
    <col min="9473" max="9473" width="5.5546875" style="8" customWidth="1"/>
    <col min="9474" max="9474" width="9" style="8" customWidth="1"/>
    <col min="9475" max="9476" width="9.88671875" style="8" customWidth="1"/>
    <col min="9477" max="9477" width="11.109375" style="8" customWidth="1"/>
    <col min="9478" max="9478" width="2.88671875" style="8" customWidth="1"/>
    <col min="9479" max="9479" width="3.5546875" style="8" customWidth="1"/>
    <col min="9480" max="9724" width="9.109375" style="8"/>
    <col min="9725" max="9725" width="8.6640625" style="8" customWidth="1"/>
    <col min="9726" max="9726" width="9.88671875" style="8" customWidth="1"/>
    <col min="9727" max="9727" width="14.44140625" style="8" customWidth="1"/>
    <col min="9728" max="9728" width="7.33203125" style="8" customWidth="1"/>
    <col min="9729" max="9729" width="5.5546875" style="8" customWidth="1"/>
    <col min="9730" max="9730" width="9" style="8" customWidth="1"/>
    <col min="9731" max="9732" width="9.88671875" style="8" customWidth="1"/>
    <col min="9733" max="9733" width="11.109375" style="8" customWidth="1"/>
    <col min="9734" max="9734" width="2.88671875" style="8" customWidth="1"/>
    <col min="9735" max="9735" width="3.5546875" style="8" customWidth="1"/>
    <col min="9736" max="9980" width="9.109375" style="8"/>
    <col min="9981" max="9981" width="8.6640625" style="8" customWidth="1"/>
    <col min="9982" max="9982" width="9.88671875" style="8" customWidth="1"/>
    <col min="9983" max="9983" width="14.44140625" style="8" customWidth="1"/>
    <col min="9984" max="9984" width="7.33203125" style="8" customWidth="1"/>
    <col min="9985" max="9985" width="5.5546875" style="8" customWidth="1"/>
    <col min="9986" max="9986" width="9" style="8" customWidth="1"/>
    <col min="9987" max="9988" width="9.88671875" style="8" customWidth="1"/>
    <col min="9989" max="9989" width="11.109375" style="8" customWidth="1"/>
    <col min="9990" max="9990" width="2.88671875" style="8" customWidth="1"/>
    <col min="9991" max="9991" width="3.5546875" style="8" customWidth="1"/>
    <col min="9992" max="10236" width="9.109375" style="8"/>
    <col min="10237" max="10237" width="8.6640625" style="8" customWidth="1"/>
    <col min="10238" max="10238" width="9.88671875" style="8" customWidth="1"/>
    <col min="10239" max="10239" width="14.44140625" style="8" customWidth="1"/>
    <col min="10240" max="10240" width="7.33203125" style="8" customWidth="1"/>
    <col min="10241" max="10241" width="5.5546875" style="8" customWidth="1"/>
    <col min="10242" max="10242" width="9" style="8" customWidth="1"/>
    <col min="10243" max="10244" width="9.88671875" style="8" customWidth="1"/>
    <col min="10245" max="10245" width="11.109375" style="8" customWidth="1"/>
    <col min="10246" max="10246" width="2.88671875" style="8" customWidth="1"/>
    <col min="10247" max="10247" width="3.5546875" style="8" customWidth="1"/>
    <col min="10248" max="10492" width="9.109375" style="8"/>
    <col min="10493" max="10493" width="8.6640625" style="8" customWidth="1"/>
    <col min="10494" max="10494" width="9.88671875" style="8" customWidth="1"/>
    <col min="10495" max="10495" width="14.44140625" style="8" customWidth="1"/>
    <col min="10496" max="10496" width="7.33203125" style="8" customWidth="1"/>
    <col min="10497" max="10497" width="5.5546875" style="8" customWidth="1"/>
    <col min="10498" max="10498" width="9" style="8" customWidth="1"/>
    <col min="10499" max="10500" width="9.88671875" style="8" customWidth="1"/>
    <col min="10501" max="10501" width="11.109375" style="8" customWidth="1"/>
    <col min="10502" max="10502" width="2.88671875" style="8" customWidth="1"/>
    <col min="10503" max="10503" width="3.5546875" style="8" customWidth="1"/>
    <col min="10504" max="10748" width="9.109375" style="8"/>
    <col min="10749" max="10749" width="8.6640625" style="8" customWidth="1"/>
    <col min="10750" max="10750" width="9.88671875" style="8" customWidth="1"/>
    <col min="10751" max="10751" width="14.44140625" style="8" customWidth="1"/>
    <col min="10752" max="10752" width="7.33203125" style="8" customWidth="1"/>
    <col min="10753" max="10753" width="5.5546875" style="8" customWidth="1"/>
    <col min="10754" max="10754" width="9" style="8" customWidth="1"/>
    <col min="10755" max="10756" width="9.88671875" style="8" customWidth="1"/>
    <col min="10757" max="10757" width="11.109375" style="8" customWidth="1"/>
    <col min="10758" max="10758" width="2.88671875" style="8" customWidth="1"/>
    <col min="10759" max="10759" width="3.5546875" style="8" customWidth="1"/>
    <col min="10760" max="11004" width="9.109375" style="8"/>
    <col min="11005" max="11005" width="8.6640625" style="8" customWidth="1"/>
    <col min="11006" max="11006" width="9.88671875" style="8" customWidth="1"/>
    <col min="11007" max="11007" width="14.44140625" style="8" customWidth="1"/>
    <col min="11008" max="11008" width="7.33203125" style="8" customWidth="1"/>
    <col min="11009" max="11009" width="5.5546875" style="8" customWidth="1"/>
    <col min="11010" max="11010" width="9" style="8" customWidth="1"/>
    <col min="11011" max="11012" width="9.88671875" style="8" customWidth="1"/>
    <col min="11013" max="11013" width="11.109375" style="8" customWidth="1"/>
    <col min="11014" max="11014" width="2.88671875" style="8" customWidth="1"/>
    <col min="11015" max="11015" width="3.5546875" style="8" customWidth="1"/>
    <col min="11016" max="11260" width="9.109375" style="8"/>
    <col min="11261" max="11261" width="8.6640625" style="8" customWidth="1"/>
    <col min="11262" max="11262" width="9.88671875" style="8" customWidth="1"/>
    <col min="11263" max="11263" width="14.44140625" style="8" customWidth="1"/>
    <col min="11264" max="11264" width="7.33203125" style="8" customWidth="1"/>
    <col min="11265" max="11265" width="5.5546875" style="8" customWidth="1"/>
    <col min="11266" max="11266" width="9" style="8" customWidth="1"/>
    <col min="11267" max="11268" width="9.88671875" style="8" customWidth="1"/>
    <col min="11269" max="11269" width="11.109375" style="8" customWidth="1"/>
    <col min="11270" max="11270" width="2.88671875" style="8" customWidth="1"/>
    <col min="11271" max="11271" width="3.5546875" style="8" customWidth="1"/>
    <col min="11272" max="11516" width="9.109375" style="8"/>
    <col min="11517" max="11517" width="8.6640625" style="8" customWidth="1"/>
    <col min="11518" max="11518" width="9.88671875" style="8" customWidth="1"/>
    <col min="11519" max="11519" width="14.44140625" style="8" customWidth="1"/>
    <col min="11520" max="11520" width="7.33203125" style="8" customWidth="1"/>
    <col min="11521" max="11521" width="5.5546875" style="8" customWidth="1"/>
    <col min="11522" max="11522" width="9" style="8" customWidth="1"/>
    <col min="11523" max="11524" width="9.88671875" style="8" customWidth="1"/>
    <col min="11525" max="11525" width="11.109375" style="8" customWidth="1"/>
    <col min="11526" max="11526" width="2.88671875" style="8" customWidth="1"/>
    <col min="11527" max="11527" width="3.5546875" style="8" customWidth="1"/>
    <col min="11528" max="11772" width="9.109375" style="8"/>
    <col min="11773" max="11773" width="8.6640625" style="8" customWidth="1"/>
    <col min="11774" max="11774" width="9.88671875" style="8" customWidth="1"/>
    <col min="11775" max="11775" width="14.44140625" style="8" customWidth="1"/>
    <col min="11776" max="11776" width="7.33203125" style="8" customWidth="1"/>
    <col min="11777" max="11777" width="5.5546875" style="8" customWidth="1"/>
    <col min="11778" max="11778" width="9" style="8" customWidth="1"/>
    <col min="11779" max="11780" width="9.88671875" style="8" customWidth="1"/>
    <col min="11781" max="11781" width="11.109375" style="8" customWidth="1"/>
    <col min="11782" max="11782" width="2.88671875" style="8" customWidth="1"/>
    <col min="11783" max="11783" width="3.5546875" style="8" customWidth="1"/>
    <col min="11784" max="12028" width="9.109375" style="8"/>
    <col min="12029" max="12029" width="8.6640625" style="8" customWidth="1"/>
    <col min="12030" max="12030" width="9.88671875" style="8" customWidth="1"/>
    <col min="12031" max="12031" width="14.44140625" style="8" customWidth="1"/>
    <col min="12032" max="12032" width="7.33203125" style="8" customWidth="1"/>
    <col min="12033" max="12033" width="5.5546875" style="8" customWidth="1"/>
    <col min="12034" max="12034" width="9" style="8" customWidth="1"/>
    <col min="12035" max="12036" width="9.88671875" style="8" customWidth="1"/>
    <col min="12037" max="12037" width="11.109375" style="8" customWidth="1"/>
    <col min="12038" max="12038" width="2.88671875" style="8" customWidth="1"/>
    <col min="12039" max="12039" width="3.5546875" style="8" customWidth="1"/>
    <col min="12040" max="12284" width="9.109375" style="8"/>
    <col min="12285" max="12285" width="8.6640625" style="8" customWidth="1"/>
    <col min="12286" max="12286" width="9.88671875" style="8" customWidth="1"/>
    <col min="12287" max="12287" width="14.44140625" style="8" customWidth="1"/>
    <col min="12288" max="12288" width="7.33203125" style="8" customWidth="1"/>
    <col min="12289" max="12289" width="5.5546875" style="8" customWidth="1"/>
    <col min="12290" max="12290" width="9" style="8" customWidth="1"/>
    <col min="12291" max="12292" width="9.88671875" style="8" customWidth="1"/>
    <col min="12293" max="12293" width="11.109375" style="8" customWidth="1"/>
    <col min="12294" max="12294" width="2.88671875" style="8" customWidth="1"/>
    <col min="12295" max="12295" width="3.5546875" style="8" customWidth="1"/>
    <col min="12296" max="12540" width="9.109375" style="8"/>
    <col min="12541" max="12541" width="8.6640625" style="8" customWidth="1"/>
    <col min="12542" max="12542" width="9.88671875" style="8" customWidth="1"/>
    <col min="12543" max="12543" width="14.44140625" style="8" customWidth="1"/>
    <col min="12544" max="12544" width="7.33203125" style="8" customWidth="1"/>
    <col min="12545" max="12545" width="5.5546875" style="8" customWidth="1"/>
    <col min="12546" max="12546" width="9" style="8" customWidth="1"/>
    <col min="12547" max="12548" width="9.88671875" style="8" customWidth="1"/>
    <col min="12549" max="12549" width="11.109375" style="8" customWidth="1"/>
    <col min="12550" max="12550" width="2.88671875" style="8" customWidth="1"/>
    <col min="12551" max="12551" width="3.5546875" style="8" customWidth="1"/>
    <col min="12552" max="12796" width="9.109375" style="8"/>
    <col min="12797" max="12797" width="8.6640625" style="8" customWidth="1"/>
    <col min="12798" max="12798" width="9.88671875" style="8" customWidth="1"/>
    <col min="12799" max="12799" width="14.44140625" style="8" customWidth="1"/>
    <col min="12800" max="12800" width="7.33203125" style="8" customWidth="1"/>
    <col min="12801" max="12801" width="5.5546875" style="8" customWidth="1"/>
    <col min="12802" max="12802" width="9" style="8" customWidth="1"/>
    <col min="12803" max="12804" width="9.88671875" style="8" customWidth="1"/>
    <col min="12805" max="12805" width="11.109375" style="8" customWidth="1"/>
    <col min="12806" max="12806" width="2.88671875" style="8" customWidth="1"/>
    <col min="12807" max="12807" width="3.5546875" style="8" customWidth="1"/>
    <col min="12808" max="13052" width="9.109375" style="8"/>
    <col min="13053" max="13053" width="8.6640625" style="8" customWidth="1"/>
    <col min="13054" max="13054" width="9.88671875" style="8" customWidth="1"/>
    <col min="13055" max="13055" width="14.44140625" style="8" customWidth="1"/>
    <col min="13056" max="13056" width="7.33203125" style="8" customWidth="1"/>
    <col min="13057" max="13057" width="5.5546875" style="8" customWidth="1"/>
    <col min="13058" max="13058" width="9" style="8" customWidth="1"/>
    <col min="13059" max="13060" width="9.88671875" style="8" customWidth="1"/>
    <col min="13061" max="13061" width="11.109375" style="8" customWidth="1"/>
    <col min="13062" max="13062" width="2.88671875" style="8" customWidth="1"/>
    <col min="13063" max="13063" width="3.5546875" style="8" customWidth="1"/>
    <col min="13064" max="13308" width="9.109375" style="8"/>
    <col min="13309" max="13309" width="8.6640625" style="8" customWidth="1"/>
    <col min="13310" max="13310" width="9.88671875" style="8" customWidth="1"/>
    <col min="13311" max="13311" width="14.44140625" style="8" customWidth="1"/>
    <col min="13312" max="13312" width="7.33203125" style="8" customWidth="1"/>
    <col min="13313" max="13313" width="5.5546875" style="8" customWidth="1"/>
    <col min="13314" max="13314" width="9" style="8" customWidth="1"/>
    <col min="13315" max="13316" width="9.88671875" style="8" customWidth="1"/>
    <col min="13317" max="13317" width="11.109375" style="8" customWidth="1"/>
    <col min="13318" max="13318" width="2.88671875" style="8" customWidth="1"/>
    <col min="13319" max="13319" width="3.5546875" style="8" customWidth="1"/>
    <col min="13320" max="13564" width="9.109375" style="8"/>
    <col min="13565" max="13565" width="8.6640625" style="8" customWidth="1"/>
    <col min="13566" max="13566" width="9.88671875" style="8" customWidth="1"/>
    <col min="13567" max="13567" width="14.44140625" style="8" customWidth="1"/>
    <col min="13568" max="13568" width="7.33203125" style="8" customWidth="1"/>
    <col min="13569" max="13569" width="5.5546875" style="8" customWidth="1"/>
    <col min="13570" max="13570" width="9" style="8" customWidth="1"/>
    <col min="13571" max="13572" width="9.88671875" style="8" customWidth="1"/>
    <col min="13573" max="13573" width="11.109375" style="8" customWidth="1"/>
    <col min="13574" max="13574" width="2.88671875" style="8" customWidth="1"/>
    <col min="13575" max="13575" width="3.5546875" style="8" customWidth="1"/>
    <col min="13576" max="13820" width="9.109375" style="8"/>
    <col min="13821" max="13821" width="8.6640625" style="8" customWidth="1"/>
    <col min="13822" max="13822" width="9.88671875" style="8" customWidth="1"/>
    <col min="13823" max="13823" width="14.44140625" style="8" customWidth="1"/>
    <col min="13824" max="13824" width="7.33203125" style="8" customWidth="1"/>
    <col min="13825" max="13825" width="5.5546875" style="8" customWidth="1"/>
    <col min="13826" max="13826" width="9" style="8" customWidth="1"/>
    <col min="13827" max="13828" width="9.88671875" style="8" customWidth="1"/>
    <col min="13829" max="13829" width="11.109375" style="8" customWidth="1"/>
    <col min="13830" max="13830" width="2.88671875" style="8" customWidth="1"/>
    <col min="13831" max="13831" width="3.5546875" style="8" customWidth="1"/>
    <col min="13832" max="14076" width="9.109375" style="8"/>
    <col min="14077" max="14077" width="8.6640625" style="8" customWidth="1"/>
    <col min="14078" max="14078" width="9.88671875" style="8" customWidth="1"/>
    <col min="14079" max="14079" width="14.44140625" style="8" customWidth="1"/>
    <col min="14080" max="14080" width="7.33203125" style="8" customWidth="1"/>
    <col min="14081" max="14081" width="5.5546875" style="8" customWidth="1"/>
    <col min="14082" max="14082" width="9" style="8" customWidth="1"/>
    <col min="14083" max="14084" width="9.88671875" style="8" customWidth="1"/>
    <col min="14085" max="14085" width="11.109375" style="8" customWidth="1"/>
    <col min="14086" max="14086" width="2.88671875" style="8" customWidth="1"/>
    <col min="14087" max="14087" width="3.5546875" style="8" customWidth="1"/>
    <col min="14088" max="14332" width="9.109375" style="8"/>
    <col min="14333" max="14333" width="8.6640625" style="8" customWidth="1"/>
    <col min="14334" max="14334" width="9.88671875" style="8" customWidth="1"/>
    <col min="14335" max="14335" width="14.44140625" style="8" customWidth="1"/>
    <col min="14336" max="14336" width="7.33203125" style="8" customWidth="1"/>
    <col min="14337" max="14337" width="5.5546875" style="8" customWidth="1"/>
    <col min="14338" max="14338" width="9" style="8" customWidth="1"/>
    <col min="14339" max="14340" width="9.88671875" style="8" customWidth="1"/>
    <col min="14341" max="14341" width="11.109375" style="8" customWidth="1"/>
    <col min="14342" max="14342" width="2.88671875" style="8" customWidth="1"/>
    <col min="14343" max="14343" width="3.5546875" style="8" customWidth="1"/>
    <col min="14344" max="14588" width="9.109375" style="8"/>
    <col min="14589" max="14589" width="8.6640625" style="8" customWidth="1"/>
    <col min="14590" max="14590" width="9.88671875" style="8" customWidth="1"/>
    <col min="14591" max="14591" width="14.44140625" style="8" customWidth="1"/>
    <col min="14592" max="14592" width="7.33203125" style="8" customWidth="1"/>
    <col min="14593" max="14593" width="5.5546875" style="8" customWidth="1"/>
    <col min="14594" max="14594" width="9" style="8" customWidth="1"/>
    <col min="14595" max="14596" width="9.88671875" style="8" customWidth="1"/>
    <col min="14597" max="14597" width="11.109375" style="8" customWidth="1"/>
    <col min="14598" max="14598" width="2.88671875" style="8" customWidth="1"/>
    <col min="14599" max="14599" width="3.5546875" style="8" customWidth="1"/>
    <col min="14600" max="14844" width="9.109375" style="8"/>
    <col min="14845" max="14845" width="8.6640625" style="8" customWidth="1"/>
    <col min="14846" max="14846" width="9.88671875" style="8" customWidth="1"/>
    <col min="14847" max="14847" width="14.44140625" style="8" customWidth="1"/>
    <col min="14848" max="14848" width="7.33203125" style="8" customWidth="1"/>
    <col min="14849" max="14849" width="5.5546875" style="8" customWidth="1"/>
    <col min="14850" max="14850" width="9" style="8" customWidth="1"/>
    <col min="14851" max="14852" width="9.88671875" style="8" customWidth="1"/>
    <col min="14853" max="14853" width="11.109375" style="8" customWidth="1"/>
    <col min="14854" max="14854" width="2.88671875" style="8" customWidth="1"/>
    <col min="14855" max="14855" width="3.5546875" style="8" customWidth="1"/>
    <col min="14856" max="15100" width="9.109375" style="8"/>
    <col min="15101" max="15101" width="8.6640625" style="8" customWidth="1"/>
    <col min="15102" max="15102" width="9.88671875" style="8" customWidth="1"/>
    <col min="15103" max="15103" width="14.44140625" style="8" customWidth="1"/>
    <col min="15104" max="15104" width="7.33203125" style="8" customWidth="1"/>
    <col min="15105" max="15105" width="5.5546875" style="8" customWidth="1"/>
    <col min="15106" max="15106" width="9" style="8" customWidth="1"/>
    <col min="15107" max="15108" width="9.88671875" style="8" customWidth="1"/>
    <col min="15109" max="15109" width="11.109375" style="8" customWidth="1"/>
    <col min="15110" max="15110" width="2.88671875" style="8" customWidth="1"/>
    <col min="15111" max="15111" width="3.5546875" style="8" customWidth="1"/>
    <col min="15112" max="15356" width="9.109375" style="8"/>
    <col min="15357" max="15357" width="8.6640625" style="8" customWidth="1"/>
    <col min="15358" max="15358" width="9.88671875" style="8" customWidth="1"/>
    <col min="15359" max="15359" width="14.44140625" style="8" customWidth="1"/>
    <col min="15360" max="15360" width="7.33203125" style="8" customWidth="1"/>
    <col min="15361" max="15361" width="5.5546875" style="8" customWidth="1"/>
    <col min="15362" max="15362" width="9" style="8" customWidth="1"/>
    <col min="15363" max="15364" width="9.88671875" style="8" customWidth="1"/>
    <col min="15365" max="15365" width="11.109375" style="8" customWidth="1"/>
    <col min="15366" max="15366" width="2.88671875" style="8" customWidth="1"/>
    <col min="15367" max="15367" width="3.5546875" style="8" customWidth="1"/>
    <col min="15368" max="15612" width="9.109375" style="8"/>
    <col min="15613" max="15613" width="8.6640625" style="8" customWidth="1"/>
    <col min="15614" max="15614" width="9.88671875" style="8" customWidth="1"/>
    <col min="15615" max="15615" width="14.44140625" style="8" customWidth="1"/>
    <col min="15616" max="15616" width="7.33203125" style="8" customWidth="1"/>
    <col min="15617" max="15617" width="5.5546875" style="8" customWidth="1"/>
    <col min="15618" max="15618" width="9" style="8" customWidth="1"/>
    <col min="15619" max="15620" width="9.88671875" style="8" customWidth="1"/>
    <col min="15621" max="15621" width="11.109375" style="8" customWidth="1"/>
    <col min="15622" max="15622" width="2.88671875" style="8" customWidth="1"/>
    <col min="15623" max="15623" width="3.5546875" style="8" customWidth="1"/>
    <col min="15624" max="15868" width="9.109375" style="8"/>
    <col min="15869" max="15869" width="8.6640625" style="8" customWidth="1"/>
    <col min="15870" max="15870" width="9.88671875" style="8" customWidth="1"/>
    <col min="15871" max="15871" width="14.44140625" style="8" customWidth="1"/>
    <col min="15872" max="15872" width="7.33203125" style="8" customWidth="1"/>
    <col min="15873" max="15873" width="5.5546875" style="8" customWidth="1"/>
    <col min="15874" max="15874" width="9" style="8" customWidth="1"/>
    <col min="15875" max="15876" width="9.88671875" style="8" customWidth="1"/>
    <col min="15877" max="15877" width="11.109375" style="8" customWidth="1"/>
    <col min="15878" max="15878" width="2.88671875" style="8" customWidth="1"/>
    <col min="15879" max="15879" width="3.5546875" style="8" customWidth="1"/>
    <col min="15880" max="16124" width="9.109375" style="8"/>
    <col min="16125" max="16125" width="8.6640625" style="8" customWidth="1"/>
    <col min="16126" max="16126" width="9.88671875" style="8" customWidth="1"/>
    <col min="16127" max="16127" width="14.44140625" style="8" customWidth="1"/>
    <col min="16128" max="16128" width="7.33203125" style="8" customWidth="1"/>
    <col min="16129" max="16129" width="5.5546875" style="8" customWidth="1"/>
    <col min="16130" max="16130" width="9" style="8" customWidth="1"/>
    <col min="16131" max="16132" width="9.88671875" style="8" customWidth="1"/>
    <col min="16133" max="16133" width="11.109375" style="8" customWidth="1"/>
    <col min="16134" max="16134" width="2.88671875" style="8" customWidth="1"/>
    <col min="16135" max="16135" width="3.5546875" style="8" customWidth="1"/>
    <col min="16136" max="16384" width="9.109375" style="8"/>
  </cols>
  <sheetData>
    <row r="1" spans="1:15" ht="46.5" customHeight="1" x14ac:dyDescent="0.3">
      <c r="A1" s="118" t="s">
        <v>200</v>
      </c>
      <c r="B1" s="118"/>
      <c r="C1" s="118"/>
      <c r="D1" s="118"/>
      <c r="E1" s="118"/>
      <c r="F1" s="118"/>
      <c r="G1" s="118"/>
      <c r="H1" s="118"/>
      <c r="I1" s="88" t="s">
        <v>205</v>
      </c>
      <c r="J1" s="89"/>
      <c r="K1" s="89"/>
      <c r="L1" s="89"/>
      <c r="M1" s="89"/>
      <c r="N1" s="89"/>
      <c r="O1" s="89"/>
    </row>
    <row r="2" spans="1:15" ht="16.5" customHeight="1" x14ac:dyDescent="0.3">
      <c r="A2" s="105" t="s">
        <v>0</v>
      </c>
      <c r="B2" s="105"/>
      <c r="C2" s="105"/>
      <c r="D2" s="105"/>
      <c r="E2" s="105"/>
      <c r="F2" s="105"/>
      <c r="G2" s="105"/>
      <c r="H2" s="105"/>
      <c r="I2" s="86" t="s">
        <v>206</v>
      </c>
      <c r="J2" s="87"/>
      <c r="K2" s="87"/>
      <c r="L2" s="87"/>
      <c r="M2" s="87"/>
      <c r="N2" s="87"/>
      <c r="O2" s="87"/>
    </row>
    <row r="3" spans="1:15" x14ac:dyDescent="0.3">
      <c r="A3" s="67" t="s">
        <v>1</v>
      </c>
      <c r="B3" s="67"/>
      <c r="C3" s="67"/>
      <c r="D3" s="67"/>
      <c r="E3" s="119" t="str">
        <f ca="1">TEXT(TODAY(),"DD/MM/YYYY")</f>
        <v>17/09/2025</v>
      </c>
      <c r="F3" s="119"/>
      <c r="G3" s="119"/>
      <c r="H3" s="119"/>
      <c r="I3" s="86"/>
      <c r="J3" s="87"/>
      <c r="K3" s="87"/>
      <c r="L3" s="87"/>
      <c r="M3" s="87"/>
      <c r="N3" s="87"/>
      <c r="O3" s="87"/>
    </row>
    <row r="4" spans="1:15" ht="15" customHeight="1" x14ac:dyDescent="0.3">
      <c r="A4" s="67" t="s">
        <v>2</v>
      </c>
      <c r="B4" s="67"/>
      <c r="C4" s="67"/>
      <c r="D4" s="67"/>
      <c r="E4" s="122" t="s">
        <v>169</v>
      </c>
      <c r="F4" s="122"/>
      <c r="G4" s="122"/>
      <c r="H4" s="122"/>
      <c r="I4" s="86"/>
      <c r="J4" s="87"/>
      <c r="K4" s="87"/>
      <c r="L4" s="87"/>
      <c r="M4" s="87"/>
      <c r="N4" s="87"/>
      <c r="O4" s="87"/>
    </row>
    <row r="5" spans="1:15" x14ac:dyDescent="0.3">
      <c r="A5" s="67" t="s">
        <v>3</v>
      </c>
      <c r="B5" s="67"/>
      <c r="C5" s="67"/>
      <c r="D5" s="67"/>
      <c r="E5" s="123">
        <v>45908</v>
      </c>
      <c r="F5" s="123"/>
      <c r="G5" s="123"/>
      <c r="H5" s="123"/>
    </row>
    <row r="6" spans="1:15" ht="16.5" customHeight="1" x14ac:dyDescent="0.3">
      <c r="A6" s="67" t="s">
        <v>4</v>
      </c>
      <c r="B6" s="67"/>
      <c r="C6" s="67"/>
      <c r="D6" s="67"/>
      <c r="E6" s="84" t="s">
        <v>147</v>
      </c>
      <c r="F6" s="84"/>
      <c r="G6" s="84"/>
      <c r="H6" s="84"/>
    </row>
    <row r="7" spans="1:15" ht="15" customHeight="1" x14ac:dyDescent="0.3">
      <c r="A7" s="67" t="s">
        <v>5</v>
      </c>
      <c r="B7" s="67"/>
      <c r="C7" s="67"/>
      <c r="D7" s="67"/>
      <c r="E7" s="84" t="str">
        <f>E6</f>
        <v>M/s.Mahindra Happinest Developers Limited</v>
      </c>
      <c r="F7" s="84"/>
      <c r="G7" s="84"/>
      <c r="H7" s="84"/>
    </row>
    <row r="8" spans="1:15" x14ac:dyDescent="0.3">
      <c r="A8" s="67" t="s">
        <v>6</v>
      </c>
      <c r="B8" s="67"/>
      <c r="C8" s="67"/>
      <c r="D8" s="67"/>
      <c r="E8" s="120" t="s">
        <v>239</v>
      </c>
      <c r="F8" s="121"/>
      <c r="G8" s="121"/>
      <c r="H8" s="121"/>
    </row>
    <row r="9" spans="1:15" x14ac:dyDescent="0.3">
      <c r="A9" s="67" t="s">
        <v>199</v>
      </c>
      <c r="B9" s="67"/>
      <c r="C9" s="67"/>
      <c r="D9" s="67"/>
      <c r="E9" s="67" t="s">
        <v>207</v>
      </c>
      <c r="F9" s="67"/>
      <c r="G9" s="67"/>
      <c r="H9" s="67"/>
    </row>
    <row r="10" spans="1:15" ht="33" customHeight="1" x14ac:dyDescent="0.3">
      <c r="A10" s="76" t="s">
        <v>7</v>
      </c>
      <c r="B10" s="76"/>
      <c r="C10" s="76"/>
      <c r="D10" s="76"/>
      <c r="E10" s="68" t="s">
        <v>252</v>
      </c>
      <c r="F10" s="76"/>
      <c r="G10" s="76"/>
      <c r="H10" s="76"/>
    </row>
    <row r="11" spans="1:15" x14ac:dyDescent="0.3">
      <c r="A11" s="67" t="s">
        <v>8</v>
      </c>
      <c r="B11" s="67"/>
      <c r="C11" s="67"/>
      <c r="D11" s="67"/>
      <c r="E11" s="68" t="s">
        <v>164</v>
      </c>
      <c r="F11" s="68"/>
      <c r="G11" s="68"/>
      <c r="H11" s="68"/>
    </row>
    <row r="12" spans="1:15" ht="33" customHeight="1" x14ac:dyDescent="0.3">
      <c r="A12" s="67" t="s">
        <v>9</v>
      </c>
      <c r="B12" s="67"/>
      <c r="C12" s="67"/>
      <c r="D12" s="67"/>
      <c r="E12" s="68" t="s">
        <v>254</v>
      </c>
      <c r="F12" s="76"/>
      <c r="G12" s="76"/>
      <c r="H12" s="76"/>
    </row>
    <row r="13" spans="1:15" ht="34.5" customHeight="1" x14ac:dyDescent="0.3">
      <c r="A13" s="84" t="s">
        <v>10</v>
      </c>
      <c r="B13" s="84"/>
      <c r="C13" s="84" t="str">
        <f>CONCATENATE((IF(OR(E8="",E8="NA"),"",E8)),", ",(IF(OR(A14="",A14="NA"),"",A14)),".",(IF(OR(C14="",C14="NA"),"",C14)),", ",(IF(OR(C15="",C15="NA"),"",C15)),", ",(IF(OR(G15="",G15="NA"),"",G15)),", ",(IF(OR(C16="",C16="NA"),"",C16)),", ",(IF(OR(C17="",C17="NA"),"",C17)),", ",(IF(OR(G16="",G16="NA"),"",G16)),".")</f>
        <v>Mahindra Happinest Palghar Project 2 Phase I &amp; II, Gut No.158, 183P, 183P and Plot no 2, Baswat Pada, Nandore, Palghar, Palghar, Palghar.</v>
      </c>
      <c r="D13" s="84"/>
      <c r="E13" s="84"/>
      <c r="F13" s="84"/>
      <c r="G13" s="84"/>
      <c r="H13" s="84"/>
    </row>
    <row r="14" spans="1:15" ht="15.75" customHeight="1" x14ac:dyDescent="0.3">
      <c r="A14" s="68" t="s">
        <v>255</v>
      </c>
      <c r="B14" s="68"/>
      <c r="C14" s="68" t="s">
        <v>240</v>
      </c>
      <c r="D14" s="68"/>
      <c r="E14" s="68"/>
      <c r="F14" s="68"/>
      <c r="G14" s="68"/>
      <c r="H14" s="68"/>
      <c r="I14" s="29"/>
    </row>
    <row r="15" spans="1:15" ht="15.75" customHeight="1" x14ac:dyDescent="0.3">
      <c r="A15" s="84" t="s">
        <v>11</v>
      </c>
      <c r="B15" s="84"/>
      <c r="C15" s="76" t="s">
        <v>171</v>
      </c>
      <c r="D15" s="76"/>
      <c r="E15" s="84" t="s">
        <v>104</v>
      </c>
      <c r="F15" s="84"/>
      <c r="G15" s="68" t="s">
        <v>145</v>
      </c>
      <c r="H15" s="68"/>
    </row>
    <row r="16" spans="1:15" x14ac:dyDescent="0.3">
      <c r="A16" s="67" t="s">
        <v>13</v>
      </c>
      <c r="B16" s="67"/>
      <c r="C16" s="68" t="s">
        <v>146</v>
      </c>
      <c r="D16" s="68"/>
      <c r="E16" s="84" t="s">
        <v>12</v>
      </c>
      <c r="F16" s="84"/>
      <c r="G16" s="68" t="s">
        <v>146</v>
      </c>
      <c r="H16" s="68"/>
    </row>
    <row r="17" spans="1:8" x14ac:dyDescent="0.3">
      <c r="A17" s="67" t="s">
        <v>105</v>
      </c>
      <c r="B17" s="67"/>
      <c r="C17" s="68" t="s">
        <v>146</v>
      </c>
      <c r="D17" s="68"/>
      <c r="E17" s="84" t="s">
        <v>14</v>
      </c>
      <c r="F17" s="84"/>
      <c r="G17" s="68">
        <v>401404</v>
      </c>
      <c r="H17" s="68"/>
    </row>
    <row r="18" spans="1:8" ht="32.25" customHeight="1" x14ac:dyDescent="0.3">
      <c r="A18" s="67" t="s">
        <v>15</v>
      </c>
      <c r="B18" s="67"/>
      <c r="C18" s="117" t="s">
        <v>170</v>
      </c>
      <c r="D18" s="117"/>
      <c r="E18" s="84" t="s">
        <v>16</v>
      </c>
      <c r="F18" s="84"/>
      <c r="G18" s="68" t="s">
        <v>149</v>
      </c>
      <c r="H18" s="68"/>
    </row>
    <row r="19" spans="1:8" ht="15" customHeight="1" x14ac:dyDescent="0.3">
      <c r="A19" s="84" t="s">
        <v>109</v>
      </c>
      <c r="B19" s="84"/>
      <c r="C19" s="84"/>
      <c r="D19" s="84"/>
      <c r="E19" s="76" t="s">
        <v>17</v>
      </c>
      <c r="F19" s="76"/>
      <c r="G19" s="76"/>
      <c r="H19" s="76"/>
    </row>
    <row r="20" spans="1:8" ht="18.75" customHeight="1" x14ac:dyDescent="0.3">
      <c r="A20" s="84"/>
      <c r="B20" s="84"/>
      <c r="C20" s="84"/>
      <c r="D20" s="84"/>
      <c r="E20" s="76"/>
      <c r="F20" s="76"/>
      <c r="G20" s="76"/>
      <c r="H20" s="76"/>
    </row>
    <row r="21" spans="1:8" ht="15" customHeight="1" x14ac:dyDescent="0.3">
      <c r="A21" s="84" t="s">
        <v>18</v>
      </c>
      <c r="B21" s="84"/>
      <c r="C21" s="84"/>
      <c r="D21" s="84"/>
      <c r="E21" s="68" t="s">
        <v>19</v>
      </c>
      <c r="F21" s="68"/>
      <c r="G21" s="68"/>
      <c r="H21" s="68"/>
    </row>
    <row r="22" spans="1:8" ht="15" customHeight="1" x14ac:dyDescent="0.3">
      <c r="A22" s="67" t="s">
        <v>20</v>
      </c>
      <c r="B22" s="67"/>
      <c r="C22" s="67"/>
      <c r="D22" s="67"/>
      <c r="E22" s="68" t="s">
        <v>150</v>
      </c>
      <c r="F22" s="68"/>
      <c r="G22" s="68"/>
      <c r="H22" s="68"/>
    </row>
    <row r="23" spans="1:8" x14ac:dyDescent="0.3">
      <c r="A23" s="67" t="s">
        <v>21</v>
      </c>
      <c r="B23" s="67"/>
      <c r="C23" s="67"/>
      <c r="D23" s="67"/>
      <c r="E23" s="68" t="s">
        <v>22</v>
      </c>
      <c r="F23" s="68"/>
      <c r="G23" s="68"/>
      <c r="H23" s="68"/>
    </row>
    <row r="24" spans="1:8" x14ac:dyDescent="0.3">
      <c r="A24" s="67" t="s">
        <v>23</v>
      </c>
      <c r="B24" s="67"/>
      <c r="C24" s="67"/>
      <c r="D24" s="67"/>
      <c r="E24" s="68" t="s">
        <v>151</v>
      </c>
      <c r="F24" s="68"/>
      <c r="G24" s="68"/>
      <c r="H24" s="68"/>
    </row>
    <row r="25" spans="1:8" x14ac:dyDescent="0.3">
      <c r="A25" s="67" t="s">
        <v>24</v>
      </c>
      <c r="B25" s="67"/>
      <c r="C25" s="67"/>
      <c r="D25" s="67"/>
      <c r="E25" s="68" t="s">
        <v>25</v>
      </c>
      <c r="F25" s="68"/>
      <c r="G25" s="68"/>
      <c r="H25" s="68"/>
    </row>
    <row r="26" spans="1:8" x14ac:dyDescent="0.3">
      <c r="A26" s="67" t="s">
        <v>114</v>
      </c>
      <c r="B26" s="67"/>
      <c r="C26" s="67"/>
      <c r="D26" s="67"/>
      <c r="E26" s="68" t="s">
        <v>115</v>
      </c>
      <c r="F26" s="68"/>
      <c r="G26" s="68"/>
      <c r="H26" s="68"/>
    </row>
    <row r="27" spans="1:8" ht="15" customHeight="1" x14ac:dyDescent="0.3">
      <c r="A27" s="84" t="s">
        <v>34</v>
      </c>
      <c r="B27" s="84"/>
      <c r="C27" s="84"/>
      <c r="D27" s="84"/>
      <c r="E27" s="122" t="s">
        <v>168</v>
      </c>
      <c r="F27" s="122"/>
      <c r="G27" s="122"/>
      <c r="H27" s="122"/>
    </row>
    <row r="28" spans="1:8" x14ac:dyDescent="0.3">
      <c r="A28" s="84" t="s">
        <v>126</v>
      </c>
      <c r="B28" s="84"/>
      <c r="C28" s="84"/>
      <c r="D28" s="84"/>
      <c r="E28" s="84" t="s">
        <v>35</v>
      </c>
      <c r="F28" s="84"/>
      <c r="G28" s="84"/>
      <c r="H28" s="84"/>
    </row>
    <row r="29" spans="1:8" s="12" customFormat="1" x14ac:dyDescent="0.3">
      <c r="A29" s="71" t="s">
        <v>127</v>
      </c>
      <c r="B29" s="71"/>
      <c r="C29" s="126" t="s">
        <v>30</v>
      </c>
      <c r="D29" s="126"/>
      <c r="E29" s="126"/>
      <c r="F29" s="126" t="s">
        <v>32</v>
      </c>
      <c r="G29" s="126"/>
      <c r="H29" s="126"/>
    </row>
    <row r="30" spans="1:8" s="12" customFormat="1" x14ac:dyDescent="0.3">
      <c r="A30" s="69" t="s">
        <v>26</v>
      </c>
      <c r="B30" s="69" t="s">
        <v>31</v>
      </c>
      <c r="C30" s="70" t="s">
        <v>242</v>
      </c>
      <c r="D30" s="70"/>
      <c r="E30" s="70"/>
      <c r="F30" s="70" t="s">
        <v>243</v>
      </c>
      <c r="G30" s="70"/>
      <c r="H30" s="70"/>
    </row>
    <row r="31" spans="1:8" x14ac:dyDescent="0.3">
      <c r="A31" s="69" t="s">
        <v>27</v>
      </c>
      <c r="B31" s="69" t="s">
        <v>31</v>
      </c>
      <c r="C31" s="70" t="s">
        <v>244</v>
      </c>
      <c r="D31" s="70"/>
      <c r="E31" s="70"/>
      <c r="F31" s="70" t="s">
        <v>256</v>
      </c>
      <c r="G31" s="70"/>
      <c r="H31" s="70"/>
    </row>
    <row r="32" spans="1:8" s="12" customFormat="1" x14ac:dyDescent="0.3">
      <c r="A32" s="69" t="s">
        <v>29</v>
      </c>
      <c r="B32" s="69" t="s">
        <v>31</v>
      </c>
      <c r="C32" s="70" t="s">
        <v>241</v>
      </c>
      <c r="D32" s="70"/>
      <c r="E32" s="70"/>
      <c r="F32" s="70" t="s">
        <v>11</v>
      </c>
      <c r="G32" s="70"/>
      <c r="H32" s="70"/>
    </row>
    <row r="33" spans="1:12" x14ac:dyDescent="0.3">
      <c r="A33" s="69" t="s">
        <v>28</v>
      </c>
      <c r="B33" s="69" t="s">
        <v>31</v>
      </c>
      <c r="C33" s="70" t="s">
        <v>244</v>
      </c>
      <c r="D33" s="70"/>
      <c r="E33" s="70"/>
      <c r="F33" s="70" t="s">
        <v>256</v>
      </c>
      <c r="G33" s="70"/>
      <c r="H33" s="70"/>
    </row>
    <row r="34" spans="1:12" x14ac:dyDescent="0.3">
      <c r="A34" s="67" t="s">
        <v>33</v>
      </c>
      <c r="B34" s="67"/>
      <c r="C34" s="67"/>
      <c r="D34" s="67"/>
      <c r="E34" s="67"/>
      <c r="F34" s="67"/>
      <c r="G34" s="67"/>
      <c r="H34" s="67"/>
    </row>
    <row r="35" spans="1:12" ht="15.75" customHeight="1" x14ac:dyDescent="0.3">
      <c r="A35" s="105" t="s">
        <v>196</v>
      </c>
      <c r="B35" s="105"/>
      <c r="C35" s="102" t="s">
        <v>257</v>
      </c>
      <c r="D35" s="103"/>
      <c r="E35" s="103"/>
      <c r="F35" s="103"/>
      <c r="G35" s="103"/>
      <c r="H35" s="104"/>
    </row>
    <row r="36" spans="1:12" ht="15.75" customHeight="1" x14ac:dyDescent="0.3">
      <c r="A36" s="105" t="s">
        <v>197</v>
      </c>
      <c r="B36" s="105"/>
      <c r="C36" s="106" t="s">
        <v>198</v>
      </c>
      <c r="D36" s="103"/>
      <c r="E36" s="103"/>
      <c r="F36" s="103"/>
      <c r="G36" s="103"/>
      <c r="H36" s="104"/>
    </row>
    <row r="37" spans="1:12" x14ac:dyDescent="0.3">
      <c r="A37" s="121" t="s">
        <v>36</v>
      </c>
      <c r="B37" s="121"/>
      <c r="C37" s="121"/>
      <c r="D37" s="121"/>
      <c r="E37" s="121"/>
      <c r="F37" s="121"/>
      <c r="G37" s="121"/>
      <c r="H37" s="121"/>
    </row>
    <row r="38" spans="1:12" x14ac:dyDescent="0.3">
      <c r="A38" s="67" t="s">
        <v>37</v>
      </c>
      <c r="B38" s="67"/>
      <c r="C38" s="67"/>
      <c r="D38" s="67"/>
      <c r="E38" s="125">
        <v>53878.3</v>
      </c>
      <c r="F38" s="125"/>
      <c r="G38" s="125"/>
      <c r="H38" s="125"/>
      <c r="I38" s="125">
        <v>19296.150000000001</v>
      </c>
      <c r="J38" s="125"/>
      <c r="K38" s="125"/>
      <c r="L38" s="125"/>
    </row>
    <row r="39" spans="1:12" x14ac:dyDescent="0.3">
      <c r="A39" s="67" t="s">
        <v>38</v>
      </c>
      <c r="B39" s="67"/>
      <c r="C39" s="67"/>
      <c r="D39" s="67"/>
      <c r="E39" s="124">
        <v>1.288</v>
      </c>
      <c r="F39" s="124"/>
      <c r="G39" s="124"/>
      <c r="H39" s="124"/>
      <c r="I39" s="162">
        <v>1.288</v>
      </c>
      <c r="J39" s="162"/>
      <c r="K39" s="162"/>
      <c r="L39" s="162"/>
    </row>
    <row r="40" spans="1:12" x14ac:dyDescent="0.3">
      <c r="A40" s="67" t="s">
        <v>39</v>
      </c>
      <c r="B40" s="67"/>
      <c r="C40" s="67"/>
      <c r="D40" s="67"/>
      <c r="E40" s="124">
        <f>E42/E38-E39</f>
        <v>-2.5446979581777995E-4</v>
      </c>
      <c r="F40" s="124"/>
      <c r="G40" s="124"/>
      <c r="H40" s="124"/>
      <c r="I40" s="162">
        <v>24853.439999999999</v>
      </c>
      <c r="J40" s="162"/>
      <c r="K40" s="162"/>
      <c r="L40" s="162"/>
    </row>
    <row r="41" spans="1:12" x14ac:dyDescent="0.3">
      <c r="A41" s="67" t="s">
        <v>40</v>
      </c>
      <c r="B41" s="67"/>
      <c r="C41" s="67"/>
      <c r="D41" s="67"/>
      <c r="E41" s="124">
        <f>E39+E40</f>
        <v>1.2877455302041823</v>
      </c>
      <c r="F41" s="124"/>
      <c r="G41" s="124"/>
      <c r="H41" s="124"/>
      <c r="I41" s="162">
        <f>I39+I40</f>
        <v>24854.727999999999</v>
      </c>
      <c r="J41" s="162"/>
      <c r="K41" s="162"/>
      <c r="L41" s="162"/>
    </row>
    <row r="42" spans="1:12" x14ac:dyDescent="0.3">
      <c r="A42" s="84" t="s">
        <v>253</v>
      </c>
      <c r="B42" s="84"/>
      <c r="C42" s="84"/>
      <c r="D42" s="84"/>
      <c r="E42" s="145">
        <v>69381.539999999994</v>
      </c>
      <c r="F42" s="145"/>
      <c r="G42" s="145"/>
      <c r="H42" s="145"/>
      <c r="I42" s="163">
        <v>29824.13</v>
      </c>
      <c r="J42" s="163"/>
      <c r="K42" s="163"/>
      <c r="L42" s="163"/>
    </row>
    <row r="43" spans="1:12" x14ac:dyDescent="0.3">
      <c r="A43" s="76" t="s">
        <v>41</v>
      </c>
      <c r="B43" s="76"/>
      <c r="C43" s="76"/>
      <c r="D43" s="76"/>
      <c r="E43" s="76" t="s">
        <v>245</v>
      </c>
      <c r="F43" s="76"/>
      <c r="G43" s="76"/>
      <c r="H43" s="76"/>
      <c r="I43" s="76" t="s">
        <v>167</v>
      </c>
      <c r="J43" s="76"/>
      <c r="K43" s="76"/>
      <c r="L43" s="76"/>
    </row>
    <row r="44" spans="1:12" x14ac:dyDescent="0.3">
      <c r="A44" s="96" t="s">
        <v>42</v>
      </c>
      <c r="B44" s="96"/>
      <c r="C44" s="96"/>
      <c r="D44" s="96"/>
      <c r="E44" s="96"/>
      <c r="F44" s="96"/>
      <c r="G44" s="96"/>
      <c r="H44" s="96"/>
    </row>
    <row r="45" spans="1:12" x14ac:dyDescent="0.3">
      <c r="A45" s="68" t="s">
        <v>43</v>
      </c>
      <c r="B45" s="68"/>
      <c r="C45" s="101" t="s">
        <v>208</v>
      </c>
      <c r="D45" s="101"/>
      <c r="E45" s="101"/>
      <c r="F45" s="30" t="s">
        <v>44</v>
      </c>
      <c r="G45" s="142">
        <v>44071</v>
      </c>
      <c r="H45" s="68"/>
    </row>
    <row r="46" spans="1:12" ht="33" customHeight="1" x14ac:dyDescent="0.3">
      <c r="A46" s="144" t="s">
        <v>249</v>
      </c>
      <c r="B46" s="144"/>
      <c r="C46" s="144" t="s">
        <v>148</v>
      </c>
      <c r="D46" s="144"/>
      <c r="E46" s="144"/>
      <c r="F46" s="59" t="s">
        <v>44</v>
      </c>
      <c r="G46" s="143">
        <v>43881</v>
      </c>
      <c r="H46" s="144"/>
    </row>
    <row r="47" spans="1:12" ht="48" customHeight="1" x14ac:dyDescent="0.3">
      <c r="A47" s="160" t="s">
        <v>246</v>
      </c>
      <c r="B47" s="160"/>
      <c r="C47" s="160" t="s">
        <v>208</v>
      </c>
      <c r="D47" s="160"/>
      <c r="E47" s="160"/>
      <c r="F47" s="60" t="s">
        <v>44</v>
      </c>
      <c r="G47" s="161">
        <v>44071</v>
      </c>
      <c r="H47" s="160"/>
    </row>
    <row r="48" spans="1:12" s="11" customFormat="1" ht="33.75" customHeight="1" x14ac:dyDescent="0.3">
      <c r="A48" s="68" t="s">
        <v>248</v>
      </c>
      <c r="B48" s="68"/>
      <c r="C48" s="101" t="s">
        <v>166</v>
      </c>
      <c r="D48" s="72"/>
      <c r="E48" s="72"/>
      <c r="F48" s="14" t="s">
        <v>44</v>
      </c>
      <c r="G48" s="139">
        <v>44071</v>
      </c>
      <c r="H48" s="72"/>
    </row>
    <row r="49" spans="1:13" s="11" customFormat="1" ht="33.75" customHeight="1" x14ac:dyDescent="0.3">
      <c r="A49" s="68"/>
      <c r="B49" s="68"/>
      <c r="C49" s="101" t="s">
        <v>247</v>
      </c>
      <c r="D49" s="101"/>
      <c r="E49" s="101"/>
      <c r="F49" s="101"/>
      <c r="G49" s="101"/>
      <c r="H49" s="101"/>
    </row>
    <row r="50" spans="1:13" x14ac:dyDescent="0.3">
      <c r="A50" s="97" t="s">
        <v>45</v>
      </c>
      <c r="B50" s="97"/>
      <c r="C50" s="140" t="s">
        <v>143</v>
      </c>
      <c r="D50" s="141"/>
      <c r="E50" s="141" t="s">
        <v>46</v>
      </c>
      <c r="F50" s="52" t="s">
        <v>44</v>
      </c>
      <c r="G50" s="97" t="s">
        <v>31</v>
      </c>
      <c r="H50" s="97"/>
    </row>
    <row r="51" spans="1:13" x14ac:dyDescent="0.3">
      <c r="A51" s="100" t="s">
        <v>48</v>
      </c>
      <c r="B51" s="100"/>
      <c r="C51" s="100"/>
      <c r="D51" s="100"/>
      <c r="E51" s="100"/>
      <c r="F51" s="100"/>
      <c r="G51" s="100"/>
      <c r="H51" s="100"/>
    </row>
    <row r="52" spans="1:13" x14ac:dyDescent="0.3">
      <c r="A52" s="84" t="s">
        <v>125</v>
      </c>
      <c r="B52" s="84"/>
      <c r="C52" s="84"/>
      <c r="D52" s="76">
        <f>27298.3</f>
        <v>27298.3</v>
      </c>
      <c r="E52" s="76"/>
      <c r="F52" s="76"/>
      <c r="G52" s="76"/>
      <c r="H52" s="76"/>
      <c r="I52" s="76">
        <f>4478.71+2143.45+3908.51+4274.85</f>
        <v>14805.52</v>
      </c>
      <c r="J52" s="76"/>
      <c r="K52" s="76"/>
      <c r="L52" s="76"/>
      <c r="M52" s="76"/>
    </row>
    <row r="53" spans="1:13" x14ac:dyDescent="0.3">
      <c r="A53" s="68" t="s">
        <v>49</v>
      </c>
      <c r="B53" s="76"/>
      <c r="C53" s="76"/>
      <c r="D53" s="76" t="s">
        <v>259</v>
      </c>
      <c r="E53" s="76"/>
      <c r="F53" s="76"/>
      <c r="G53" s="76"/>
      <c r="H53" s="76"/>
      <c r="I53" s="76" t="s">
        <v>165</v>
      </c>
      <c r="J53" s="76"/>
      <c r="K53" s="76"/>
      <c r="L53" s="76"/>
      <c r="M53" s="76"/>
    </row>
    <row r="54" spans="1:13" ht="47.25" customHeight="1" x14ac:dyDescent="0.3">
      <c r="A54" s="68" t="s">
        <v>50</v>
      </c>
      <c r="B54" s="76"/>
      <c r="C54" s="76"/>
      <c r="D54" s="68" t="s">
        <v>234</v>
      </c>
      <c r="E54" s="76"/>
      <c r="F54" s="76"/>
      <c r="G54" s="76"/>
      <c r="H54" s="76"/>
      <c r="I54" s="76" t="s">
        <v>172</v>
      </c>
      <c r="J54" s="76"/>
      <c r="K54" s="76"/>
      <c r="L54" s="76"/>
      <c r="M54" s="76"/>
    </row>
    <row r="55" spans="1:13" ht="46.5" customHeight="1" x14ac:dyDescent="0.3">
      <c r="A55" s="68" t="s">
        <v>123</v>
      </c>
      <c r="B55" s="76"/>
      <c r="C55" s="76"/>
      <c r="D55" s="68" t="s">
        <v>234</v>
      </c>
      <c r="E55" s="76"/>
      <c r="F55" s="76"/>
      <c r="G55" s="76"/>
      <c r="H55" s="76"/>
      <c r="I55" s="76" t="s">
        <v>172</v>
      </c>
      <c r="J55" s="76"/>
      <c r="K55" s="76"/>
      <c r="L55" s="76"/>
      <c r="M55" s="76"/>
    </row>
    <row r="56" spans="1:13" ht="32.25" customHeight="1" x14ac:dyDescent="0.3">
      <c r="A56" s="67" t="s">
        <v>47</v>
      </c>
      <c r="B56" s="67"/>
      <c r="C56" s="67"/>
      <c r="D56" s="84" t="s">
        <v>250</v>
      </c>
      <c r="E56" s="84"/>
      <c r="F56" s="84"/>
      <c r="G56" s="84"/>
      <c r="H56" s="84"/>
    </row>
    <row r="57" spans="1:13" ht="15.75" customHeight="1" x14ac:dyDescent="0.3">
      <c r="A57" s="67" t="s">
        <v>120</v>
      </c>
      <c r="B57" s="67"/>
      <c r="C57" s="67"/>
      <c r="D57" s="84" t="s">
        <v>121</v>
      </c>
      <c r="E57" s="84"/>
      <c r="F57" s="84"/>
      <c r="G57" s="84"/>
      <c r="H57" s="84"/>
    </row>
    <row r="58" spans="1:13" ht="15.75" customHeight="1" x14ac:dyDescent="0.3">
      <c r="A58" s="67" t="s">
        <v>122</v>
      </c>
      <c r="B58" s="67"/>
      <c r="C58" s="67"/>
      <c r="D58" s="84" t="s">
        <v>25</v>
      </c>
      <c r="E58" s="84"/>
      <c r="F58" s="84"/>
      <c r="G58" s="84"/>
      <c r="H58" s="84"/>
      <c r="J58" s="22"/>
      <c r="K58" s="22"/>
    </row>
    <row r="59" spans="1:13" ht="15.75" customHeight="1" thickBot="1" x14ac:dyDescent="0.35">
      <c r="A59" s="154" t="s">
        <v>119</v>
      </c>
      <c r="B59" s="154"/>
      <c r="C59" s="154"/>
      <c r="D59" s="155" t="s">
        <v>192</v>
      </c>
      <c r="E59" s="155"/>
      <c r="F59" s="155"/>
      <c r="G59" s="155"/>
      <c r="H59" s="155"/>
      <c r="J59" s="22"/>
      <c r="K59" s="22"/>
    </row>
    <row r="60" spans="1:13" customFormat="1" ht="15.75" customHeight="1" x14ac:dyDescent="0.3">
      <c r="A60" s="90" t="s">
        <v>173</v>
      </c>
      <c r="B60" s="91"/>
      <c r="C60" s="92" t="s">
        <v>191</v>
      </c>
      <c r="D60" s="93"/>
      <c r="E60" s="93"/>
      <c r="F60" s="93"/>
      <c r="G60" s="93"/>
      <c r="H60" s="94"/>
      <c r="I60" s="42" t="str">
        <f ca="1">(IF(E64&gt;99%,"All work completed. Please provide OC.",IF(E64&gt;89.8%,"Plinth, RCC, Brick, Plaster, Flooring, Painting work Completed. Finishing work is in process.",IF(E64&lt;94%,(IF(C64=0,"Work not yet Started.",IF(D64=25%,"Piling work in process",IF(D64=50%,"Excavation work in process",IF(D64=100%,"Excavation work Completed. ","0")))&amp;(IF(C65=0%,"",IF(C65=J66,"Footing work is process",IF(C65=J67,"Footing work Completed",IF(C65=J68,"1st Basement Completed",IF(C65=J69,"1st &amp; 2nd Basement Completed",IF(C65=J70,"1st to 3rd Basement Completed",IF(C65=J71,"1st to 4th Basement Completed",IF(C65=J72,"Plinth work is process",IF(C65=J73,"Plinth work completed","0")))))))))))&amp;(IF(C66=(D61+F61+H61),", RCC Slab",IF(C66&gt;0,", RCC upto "&amp;C66&amp;" Slab",""))&amp;(IF(C67=H61,", Brickwork",IF(C67&gt;0,", Brickwork upto "&amp;C67&amp;" Floor",""))&amp;(IF(C68=H61,", Internal Plaster",IF(C68&gt;0,", Internal Plaster upto "&amp;C68&amp;" Floor",""))&amp;(IF(C69=H61,", External Plaster",IF(C69&gt;0,", External Plaster upto "&amp;C69&amp;" Floor",""))&amp;(IF(C70=H61,", Flooring",IF(C70&gt;0,", Flooring upto "&amp;C70&amp;" Floor",""))&amp;(IF(C71=H61,", Painting",IF(C71&gt;0,", Painting upto "&amp;C71&amp;" Floor",""))&amp;(IF(C72&gt;0,", Finishing upto "&amp;C72&amp;" Floor","")&amp;(IF(C66&gt;0.5," Completed",""))))))))))))))</f>
        <v>Plinth, RCC, Brick, Plaster, Flooring, Painting work Completed. Finishing work is in process.</v>
      </c>
      <c r="J60" s="26"/>
    </row>
    <row r="61" spans="1:13" customFormat="1" x14ac:dyDescent="0.3">
      <c r="A61" s="25" t="s">
        <v>101</v>
      </c>
      <c r="B61" s="38">
        <v>0</v>
      </c>
      <c r="C61" s="38" t="s">
        <v>103</v>
      </c>
      <c r="D61" s="38">
        <v>1</v>
      </c>
      <c r="E61" s="38" t="s">
        <v>102</v>
      </c>
      <c r="F61" s="38">
        <v>0</v>
      </c>
      <c r="G61" s="38" t="s">
        <v>113</v>
      </c>
      <c r="H61" s="31">
        <f ca="1">--TRIM(RIGHT(SUBSTITUTE(LEFT(C60,_xlfn.AGGREGATE(16,6,FIND({0,1,2,3,4,5,6,7,8,9},C60,ROW(INDIRECT("1:"&amp;LEN(C60)))),1))," ",REPT(" ",LEN(C60))),LEN(C60)))</f>
        <v>4</v>
      </c>
      <c r="I61" s="22"/>
      <c r="J61" s="27"/>
    </row>
    <row r="62" spans="1:13" customFormat="1" x14ac:dyDescent="0.3">
      <c r="A62" s="95" t="s">
        <v>124</v>
      </c>
      <c r="B62" s="96"/>
      <c r="C62" s="97" t="str">
        <f ca="1">I60</f>
        <v>Plinth, RCC, Brick, Plaster, Flooring, Painting work Completed. Finishing work is in process.</v>
      </c>
      <c r="D62" s="97"/>
      <c r="E62" s="97"/>
      <c r="F62" s="97"/>
      <c r="G62" s="97"/>
      <c r="H62" s="98"/>
      <c r="I62" s="22" t="s">
        <v>142</v>
      </c>
      <c r="J62" s="27"/>
    </row>
    <row r="63" spans="1:13" customFormat="1" ht="31.2" x14ac:dyDescent="0.3">
      <c r="A63" s="80" t="s">
        <v>51</v>
      </c>
      <c r="B63" s="81"/>
      <c r="C63" s="32" t="s">
        <v>174</v>
      </c>
      <c r="D63" s="32" t="s">
        <v>116</v>
      </c>
      <c r="E63" s="81" t="s">
        <v>118</v>
      </c>
      <c r="F63" s="81"/>
      <c r="G63" s="81" t="s">
        <v>117</v>
      </c>
      <c r="H63" s="99"/>
      <c r="I63" s="41" t="s">
        <v>175</v>
      </c>
      <c r="J63" s="28">
        <f ca="1">H61*25%</f>
        <v>1</v>
      </c>
    </row>
    <row r="64" spans="1:13" customFormat="1" x14ac:dyDescent="0.3">
      <c r="A64" s="80" t="s">
        <v>176</v>
      </c>
      <c r="B64" s="81"/>
      <c r="C64" s="33">
        <f ca="1">J65</f>
        <v>4</v>
      </c>
      <c r="D64" s="39">
        <f ca="1">((100/H61)*C64)/100</f>
        <v>1</v>
      </c>
      <c r="E64" s="133">
        <f ca="1">(((C65/H61*10)+(40/(D61+F61+H61)*C66)+(7.5/(H61)*C67)+(7.5/(H61)*C68)+(10/H61*C69)+(10/H61*C70)+(5/H61*C71)+(5/H61*C72)+(5/H61*C73))/100)</f>
        <v>0.92500000000000004</v>
      </c>
      <c r="F64" s="133"/>
      <c r="G64" s="133">
        <f ca="1">((((C64/H61)*20)+((C65/H61)*25)+(30/(H61+F61+D61)*C66)+(5/H61*C67)+(5/H61*C68)+(5/H61*C69)+(5/H61*C70)+(0/H61*C71)+(0/H61*C72)+(5/H61*C73))/100)</f>
        <v>0.95</v>
      </c>
      <c r="H64" s="135"/>
      <c r="I64" s="41" t="s">
        <v>136</v>
      </c>
      <c r="J64" s="43">
        <f ca="1">H61*50%</f>
        <v>2</v>
      </c>
    </row>
    <row r="65" spans="1:14" customFormat="1" x14ac:dyDescent="0.3">
      <c r="A65" s="80" t="s">
        <v>52</v>
      </c>
      <c r="B65" s="81"/>
      <c r="C65" s="34">
        <f ca="1">J73</f>
        <v>4</v>
      </c>
      <c r="D65" s="39">
        <f ca="1">((100/H61)*C65)/100</f>
        <v>1</v>
      </c>
      <c r="E65" s="133"/>
      <c r="F65" s="133"/>
      <c r="G65" s="133"/>
      <c r="H65" s="135"/>
      <c r="I65" s="41" t="s">
        <v>137</v>
      </c>
      <c r="J65" s="43">
        <f ca="1">H61</f>
        <v>4</v>
      </c>
    </row>
    <row r="66" spans="1:14" customFormat="1" x14ac:dyDescent="0.3">
      <c r="A66" s="80" t="s">
        <v>177</v>
      </c>
      <c r="B66" s="81"/>
      <c r="C66" s="34">
        <v>5</v>
      </c>
      <c r="D66" s="39">
        <f ca="1">((100/(D61+F61+H61))*C66)/100</f>
        <v>1</v>
      </c>
      <c r="E66" s="133"/>
      <c r="F66" s="133"/>
      <c r="G66" s="133"/>
      <c r="H66" s="135"/>
      <c r="I66" s="41" t="s">
        <v>138</v>
      </c>
      <c r="J66" s="44">
        <f ca="1">(IF(B61&gt;1,(H61/(B61+2)),H61/4))</f>
        <v>1</v>
      </c>
      <c r="L66" s="45"/>
    </row>
    <row r="67" spans="1:14" customFormat="1" ht="15.75" customHeight="1" x14ac:dyDescent="0.3">
      <c r="A67" s="80" t="s">
        <v>178</v>
      </c>
      <c r="B67" s="81" t="s">
        <v>179</v>
      </c>
      <c r="C67" s="33">
        <v>4</v>
      </c>
      <c r="D67" s="39">
        <f ca="1">((100/H61)*C67)/100</f>
        <v>1</v>
      </c>
      <c r="E67" s="133"/>
      <c r="F67" s="133"/>
      <c r="G67" s="133"/>
      <c r="H67" s="135"/>
      <c r="I67" s="41" t="s">
        <v>139</v>
      </c>
      <c r="J67" s="44">
        <f ca="1">(IF(B61&gt;1,(H61/(B61+2)+J66),H61/4+J66))</f>
        <v>2</v>
      </c>
      <c r="L67" s="45"/>
    </row>
    <row r="68" spans="1:14" customFormat="1" ht="15.75" customHeight="1" x14ac:dyDescent="0.3">
      <c r="A68" s="80" t="s">
        <v>180</v>
      </c>
      <c r="B68" s="81" t="s">
        <v>179</v>
      </c>
      <c r="C68" s="33">
        <v>4</v>
      </c>
      <c r="D68" s="39">
        <f ca="1">((100/H61)*C68)/100</f>
        <v>1</v>
      </c>
      <c r="E68" s="133"/>
      <c r="F68" s="133"/>
      <c r="G68" s="133"/>
      <c r="H68" s="135"/>
      <c r="I68" s="41" t="s">
        <v>181</v>
      </c>
      <c r="J68" s="44">
        <f>(IF(B61&gt;1,(H61/(B61+2)+J67),0))</f>
        <v>0</v>
      </c>
      <c r="L68" s="46"/>
      <c r="N68" s="45"/>
    </row>
    <row r="69" spans="1:14" customFormat="1" ht="15.75" customHeight="1" x14ac:dyDescent="0.3">
      <c r="A69" s="80" t="s">
        <v>182</v>
      </c>
      <c r="B69" s="81" t="s">
        <v>183</v>
      </c>
      <c r="C69" s="33">
        <v>4</v>
      </c>
      <c r="D69" s="39">
        <f ca="1">((100/(H61))*C69)/100</f>
        <v>1</v>
      </c>
      <c r="E69" s="133"/>
      <c r="F69" s="133"/>
      <c r="G69" s="133"/>
      <c r="H69" s="135"/>
      <c r="I69" s="41" t="s">
        <v>184</v>
      </c>
      <c r="J69" s="44">
        <f>(IF(B61&gt;2,(H61/(B61+2)+J68),0))</f>
        <v>0</v>
      </c>
      <c r="K69" s="47"/>
      <c r="L69" s="46"/>
    </row>
    <row r="70" spans="1:14" customFormat="1" ht="15.75" customHeight="1" x14ac:dyDescent="0.3">
      <c r="A70" s="80" t="s">
        <v>185</v>
      </c>
      <c r="B70" s="81" t="s">
        <v>185</v>
      </c>
      <c r="C70" s="33">
        <v>4</v>
      </c>
      <c r="D70" s="39">
        <f ca="1">((100/H61)*C70)/100</f>
        <v>1</v>
      </c>
      <c r="E70" s="133"/>
      <c r="F70" s="133"/>
      <c r="G70" s="133"/>
      <c r="H70" s="135"/>
      <c r="I70" s="41" t="s">
        <v>186</v>
      </c>
      <c r="J70" s="48">
        <f>(IF(B61&gt;3,(H61/(B61+2)+J69),0))</f>
        <v>0</v>
      </c>
      <c r="K70" s="47"/>
      <c r="L70" s="46"/>
    </row>
    <row r="71" spans="1:14" customFormat="1" ht="15.75" customHeight="1" x14ac:dyDescent="0.3">
      <c r="A71" s="80" t="s">
        <v>187</v>
      </c>
      <c r="B71" s="81"/>
      <c r="C71" s="33">
        <v>3</v>
      </c>
      <c r="D71" s="39">
        <f ca="1">((100/H61)*C71)/100</f>
        <v>0.75</v>
      </c>
      <c r="E71" s="133"/>
      <c r="F71" s="133"/>
      <c r="G71" s="133"/>
      <c r="H71" s="135"/>
      <c r="I71" s="41" t="s">
        <v>188</v>
      </c>
      <c r="J71" s="44">
        <f>(IF(B61&gt;4,(H61/(B61+2)+J70),0))</f>
        <v>0</v>
      </c>
      <c r="K71" s="45"/>
      <c r="L71" s="46"/>
    </row>
    <row r="72" spans="1:14" customFormat="1" ht="15.75" customHeight="1" x14ac:dyDescent="0.3">
      <c r="A72" s="80" t="s">
        <v>189</v>
      </c>
      <c r="B72" s="81" t="s">
        <v>189</v>
      </c>
      <c r="C72" s="33">
        <v>3</v>
      </c>
      <c r="D72" s="39">
        <f ca="1">((100/(H61))*C72)/100</f>
        <v>0.75</v>
      </c>
      <c r="E72" s="133"/>
      <c r="F72" s="133"/>
      <c r="G72" s="133"/>
      <c r="H72" s="135"/>
      <c r="I72" s="41" t="s">
        <v>140</v>
      </c>
      <c r="J72" s="44">
        <f ca="1">(IF(B61=1,(H61/(B61+3)+J67),IF(B61=0,(H61/4+J67),IF(B61&gt;1,0))))</f>
        <v>3</v>
      </c>
      <c r="K72" s="47"/>
      <c r="L72" s="46"/>
    </row>
    <row r="73" spans="1:14" customFormat="1" ht="16.2" thickBot="1" x14ac:dyDescent="0.35">
      <c r="A73" s="82" t="s">
        <v>190</v>
      </c>
      <c r="B73" s="83"/>
      <c r="C73" s="53">
        <v>0</v>
      </c>
      <c r="D73" s="54">
        <f ca="1">((100/(H61))*C73)/100</f>
        <v>0</v>
      </c>
      <c r="E73" s="152"/>
      <c r="F73" s="152"/>
      <c r="G73" s="152"/>
      <c r="H73" s="153"/>
      <c r="I73" s="49" t="s">
        <v>141</v>
      </c>
      <c r="J73" s="50">
        <f ca="1">(IF(B61&gt;1.5,(H61/(B61+2)+J67+MAX(0,J68-J67)+MAX(0,J69-J68)+MAX(0,J70-J69)+MAX(0,J71-J70)+MAX(0,J72-J71)),IF(B61=1,(H61/(B61+3)+J72),IF(B61=0,H61/4+J72))))</f>
        <v>4</v>
      </c>
      <c r="K73" s="47"/>
      <c r="L73" s="46"/>
    </row>
    <row r="74" spans="1:14" customFormat="1" ht="15.75" customHeight="1" x14ac:dyDescent="0.3">
      <c r="A74" s="97" t="s">
        <v>173</v>
      </c>
      <c r="B74" s="97"/>
      <c r="C74" s="97" t="s">
        <v>194</v>
      </c>
      <c r="D74" s="97"/>
      <c r="E74" s="97"/>
      <c r="F74" s="97"/>
      <c r="G74" s="97"/>
      <c r="H74" s="97"/>
      <c r="I74" s="42" t="str">
        <f ca="1">(IF(E78&gt;99%,"All work completed. Please provide OC.",IF(E78&gt;89.8%,"Plinth, RCC, Brick, Plaster, Flooring, Painting work Completed. Finishing work is in process.",IF(E78&lt;94%,(IF(C78=0,"Work not yet Started.",IF(D78=25%,"Piling work in process",IF(D78=50%,"Excavation work in process",IF(D78=100%,"Excavation work Completed. ","0")))&amp;(IF(C79=0%,"",IF(C79=J80,"Footing work is process",IF(C79=J81,"Footing work Completed",IF(C79=J82,"1st Basement Completed",IF(C79=J83,"1st &amp; 2nd Basement Completed",IF(C79=J84,"1st to 3rd Basement Completed",IF(C79=J85,"1st to 4th Basement Completed",IF(C79=J86,"Plinth work is process",IF(C79=J87,"Plinth work completed","0")))))))))))&amp;(IF(C80=(D75+F75+H75),", RCC Slab",IF(C80&gt;0,", RCC upto "&amp;C80&amp;" Slab",""))&amp;(IF(C81=H75,", Brickwork",IF(C81&gt;0,", Brickwork upto "&amp;C81&amp;" Floor",""))&amp;(IF(C82=H75,", Internal Plaster",IF(C82&gt;0,", Internal Plaster upto "&amp;C82&amp;" Floor",""))&amp;(IF(C83=H75,", External Plaster",IF(C83&gt;0,", External Plaster upto "&amp;C83&amp;" Floor",""))&amp;(IF(C84=H75,", Flooring",IF(C84&gt;0,", Flooring upto "&amp;C84&amp;" Floor",""))&amp;(IF(C85=H75,", Painting",IF(C85&gt;0,", Painting upto "&amp;C85&amp;" Floor",""))&amp;(IF(C86&gt;0,", Finishing upto "&amp;C86&amp;" Floor","")&amp;(IF(C80&gt;0.5," Completed",""))))))))))))))</f>
        <v>Plinth, RCC, Brick, Plaster, Flooring, Painting work Completed. Finishing work is in process.</v>
      </c>
      <c r="J74" s="26"/>
    </row>
    <row r="75" spans="1:14" customFormat="1" x14ac:dyDescent="0.3">
      <c r="A75" s="38" t="s">
        <v>101</v>
      </c>
      <c r="B75" s="38">
        <v>0</v>
      </c>
      <c r="C75" s="38" t="s">
        <v>103</v>
      </c>
      <c r="D75" s="38">
        <v>1</v>
      </c>
      <c r="E75" s="38" t="s">
        <v>102</v>
      </c>
      <c r="F75" s="38">
        <v>0</v>
      </c>
      <c r="G75" s="38" t="s">
        <v>113</v>
      </c>
      <c r="H75" s="38">
        <f ca="1">--TRIM(RIGHT(SUBSTITUTE(LEFT(C74,_xlfn.AGGREGATE(16,6,FIND({0,1,2,3,4,5,6,7,8,9},C74,ROW(INDIRECT("1:"&amp;LEN(C74)))),1))," ",REPT(" ",LEN(C74))),LEN(C74)))</f>
        <v>4</v>
      </c>
      <c r="I75" s="22"/>
      <c r="J75" s="27"/>
    </row>
    <row r="76" spans="1:14" customFormat="1" x14ac:dyDescent="0.3">
      <c r="A76" s="96" t="s">
        <v>124</v>
      </c>
      <c r="B76" s="96"/>
      <c r="C76" s="97" t="str">
        <f ca="1">I74</f>
        <v>Plinth, RCC, Brick, Plaster, Flooring, Painting work Completed. Finishing work is in process.</v>
      </c>
      <c r="D76" s="97"/>
      <c r="E76" s="97"/>
      <c r="F76" s="97"/>
      <c r="G76" s="97"/>
      <c r="H76" s="97"/>
      <c r="I76" s="22" t="s">
        <v>142</v>
      </c>
      <c r="J76" s="27"/>
    </row>
    <row r="77" spans="1:14" customFormat="1" ht="31.2" x14ac:dyDescent="0.3">
      <c r="A77" s="81" t="s">
        <v>51</v>
      </c>
      <c r="B77" s="81"/>
      <c r="C77" s="32" t="s">
        <v>174</v>
      </c>
      <c r="D77" s="32" t="s">
        <v>116</v>
      </c>
      <c r="E77" s="81" t="s">
        <v>118</v>
      </c>
      <c r="F77" s="81"/>
      <c r="G77" s="81" t="s">
        <v>117</v>
      </c>
      <c r="H77" s="81"/>
      <c r="I77" s="41" t="s">
        <v>175</v>
      </c>
      <c r="J77" s="28">
        <f ca="1">H75*25%</f>
        <v>1</v>
      </c>
    </row>
    <row r="78" spans="1:14" customFormat="1" x14ac:dyDescent="0.3">
      <c r="A78" s="81" t="s">
        <v>176</v>
      </c>
      <c r="B78" s="81"/>
      <c r="C78" s="33">
        <v>4</v>
      </c>
      <c r="D78" s="39">
        <f ca="1">((100/H75)*C78)/100</f>
        <v>1</v>
      </c>
      <c r="E78" s="133">
        <f ca="1">(((C79/H75*10)+(40/(D75+F75+H75)*C80)+(7.5/(H75)*C81)+(7.5/(H75)*C82)+(10/H75*C83)+(10/H75*C84)+(5/H75*C85)+(5/H75*C86)+(5/H75*C87))/100)</f>
        <v>0.91249999999999998</v>
      </c>
      <c r="F78" s="133"/>
      <c r="G78" s="133">
        <f ca="1">((((C78/H75)*20)+((C79/H75)*25)+(30/(H75+F75+D75)*C80)+(5/H75*C81)+(5/H75*C82)+(5/H75*C83)+(5/H75*C84)+(0/H75*C85)+(0/H75*C86)+(5/H75*C87))/100)</f>
        <v>0.95</v>
      </c>
      <c r="H78" s="133"/>
      <c r="I78" s="41" t="s">
        <v>136</v>
      </c>
      <c r="J78" s="43">
        <f ca="1">H75*50%</f>
        <v>2</v>
      </c>
    </row>
    <row r="79" spans="1:14" customFormat="1" x14ac:dyDescent="0.3">
      <c r="A79" s="81" t="s">
        <v>52</v>
      </c>
      <c r="B79" s="81"/>
      <c r="C79" s="34">
        <f ca="1">J87</f>
        <v>4</v>
      </c>
      <c r="D79" s="39">
        <f ca="1">((100/H75)*C79)/100</f>
        <v>1</v>
      </c>
      <c r="E79" s="133"/>
      <c r="F79" s="133"/>
      <c r="G79" s="133"/>
      <c r="H79" s="133"/>
      <c r="I79" s="41" t="s">
        <v>137</v>
      </c>
      <c r="J79" s="43">
        <f ca="1">H75</f>
        <v>4</v>
      </c>
    </row>
    <row r="80" spans="1:14" customFormat="1" x14ac:dyDescent="0.3">
      <c r="A80" s="81" t="s">
        <v>177</v>
      </c>
      <c r="B80" s="81"/>
      <c r="C80" s="34">
        <v>5</v>
      </c>
      <c r="D80" s="39">
        <f ca="1">((100/(D75+F75+H75))*C80)/100</f>
        <v>1</v>
      </c>
      <c r="E80" s="133"/>
      <c r="F80" s="133"/>
      <c r="G80" s="133"/>
      <c r="H80" s="133"/>
      <c r="I80" s="41" t="s">
        <v>138</v>
      </c>
      <c r="J80" s="44">
        <f ca="1">(IF(B75&gt;1,(H75/(B75+2)),H75/4))</f>
        <v>1</v>
      </c>
      <c r="L80" s="45"/>
    </row>
    <row r="81" spans="1:14" customFormat="1" ht="15.75" customHeight="1" x14ac:dyDescent="0.3">
      <c r="A81" s="81" t="s">
        <v>178</v>
      </c>
      <c r="B81" s="81" t="s">
        <v>179</v>
      </c>
      <c r="C81" s="33">
        <v>4</v>
      </c>
      <c r="D81" s="39">
        <f ca="1">((100/H75)*C81)/100</f>
        <v>1</v>
      </c>
      <c r="E81" s="133"/>
      <c r="F81" s="133"/>
      <c r="G81" s="133"/>
      <c r="H81" s="133"/>
      <c r="I81" s="41" t="s">
        <v>139</v>
      </c>
      <c r="J81" s="44">
        <f ca="1">(IF(B75&gt;1,(H75/(B75+2)+J80),H75/4+J80))</f>
        <v>2</v>
      </c>
      <c r="L81" s="45"/>
    </row>
    <row r="82" spans="1:14" customFormat="1" ht="15.75" customHeight="1" x14ac:dyDescent="0.3">
      <c r="A82" s="81" t="s">
        <v>180</v>
      </c>
      <c r="B82" s="81" t="s">
        <v>179</v>
      </c>
      <c r="C82" s="33">
        <v>4</v>
      </c>
      <c r="D82" s="39">
        <f ca="1">((100/H75)*C82)/100</f>
        <v>1</v>
      </c>
      <c r="E82" s="133"/>
      <c r="F82" s="133"/>
      <c r="G82" s="133"/>
      <c r="H82" s="133"/>
      <c r="I82" s="41" t="s">
        <v>181</v>
      </c>
      <c r="J82" s="44">
        <f>(IF(B75&gt;1,(H75/(B75+2)+J81),0))</f>
        <v>0</v>
      </c>
      <c r="L82" s="46"/>
      <c r="N82" s="45"/>
    </row>
    <row r="83" spans="1:14" customFormat="1" ht="15.75" customHeight="1" x14ac:dyDescent="0.3">
      <c r="A83" s="81" t="s">
        <v>182</v>
      </c>
      <c r="B83" s="81" t="s">
        <v>183</v>
      </c>
      <c r="C83" s="33">
        <v>4</v>
      </c>
      <c r="D83" s="39">
        <f ca="1">((100/(H75))*C83)/100</f>
        <v>1</v>
      </c>
      <c r="E83" s="133"/>
      <c r="F83" s="133"/>
      <c r="G83" s="133"/>
      <c r="H83" s="133"/>
      <c r="I83" s="41" t="s">
        <v>184</v>
      </c>
      <c r="J83" s="44">
        <f>(IF(B75&gt;2,(H75/(B75+2)+J82),0))</f>
        <v>0</v>
      </c>
      <c r="K83" s="47"/>
      <c r="L83" s="46"/>
    </row>
    <row r="84" spans="1:14" customFormat="1" ht="15.75" customHeight="1" x14ac:dyDescent="0.3">
      <c r="A84" s="81" t="s">
        <v>185</v>
      </c>
      <c r="B84" s="81" t="s">
        <v>185</v>
      </c>
      <c r="C84" s="33">
        <v>4</v>
      </c>
      <c r="D84" s="39">
        <f ca="1">((100/H75)*C84)/100</f>
        <v>1</v>
      </c>
      <c r="E84" s="133"/>
      <c r="F84" s="133"/>
      <c r="G84" s="133"/>
      <c r="H84" s="133"/>
      <c r="I84" s="41" t="s">
        <v>186</v>
      </c>
      <c r="J84" s="48">
        <f>(IF(B75&gt;3,(H75/(B75+2)+J83),0))</f>
        <v>0</v>
      </c>
      <c r="K84" s="47"/>
      <c r="L84" s="46"/>
    </row>
    <row r="85" spans="1:14" customFormat="1" ht="15.75" customHeight="1" x14ac:dyDescent="0.3">
      <c r="A85" s="81" t="s">
        <v>187</v>
      </c>
      <c r="B85" s="81"/>
      <c r="C85" s="33">
        <v>3</v>
      </c>
      <c r="D85" s="39">
        <f ca="1">((100/H75)*C85)/100</f>
        <v>0.75</v>
      </c>
      <c r="E85" s="133"/>
      <c r="F85" s="133"/>
      <c r="G85" s="133"/>
      <c r="H85" s="133"/>
      <c r="I85" s="41" t="s">
        <v>188</v>
      </c>
      <c r="J85" s="44">
        <f>(IF(B75&gt;4,(H75/(B75+2)+J84),0))</f>
        <v>0</v>
      </c>
      <c r="K85" s="45"/>
      <c r="L85" s="46"/>
    </row>
    <row r="86" spans="1:14" customFormat="1" ht="15.75" customHeight="1" x14ac:dyDescent="0.3">
      <c r="A86" s="81" t="s">
        <v>189</v>
      </c>
      <c r="B86" s="81" t="s">
        <v>189</v>
      </c>
      <c r="C86" s="33">
        <v>2</v>
      </c>
      <c r="D86" s="39">
        <f ca="1">((100/(H75))*C86)/100</f>
        <v>0.5</v>
      </c>
      <c r="E86" s="133"/>
      <c r="F86" s="133"/>
      <c r="G86" s="133"/>
      <c r="H86" s="133"/>
      <c r="I86" s="41" t="s">
        <v>140</v>
      </c>
      <c r="J86" s="44">
        <f ca="1">(IF(B75=1,(H75/(B75+3)+J81),IF(B75=0,(H75/4+J81),IF(B75&gt;1,0))))</f>
        <v>3</v>
      </c>
      <c r="K86" s="47"/>
      <c r="L86" s="46"/>
    </row>
    <row r="87" spans="1:14" customFormat="1" ht="16.2" thickBot="1" x14ac:dyDescent="0.35">
      <c r="A87" s="81" t="s">
        <v>190</v>
      </c>
      <c r="B87" s="81"/>
      <c r="C87" s="33">
        <v>0</v>
      </c>
      <c r="D87" s="39">
        <f ca="1">((100/(H75))*C87)/100</f>
        <v>0</v>
      </c>
      <c r="E87" s="133"/>
      <c r="F87" s="133"/>
      <c r="G87" s="133"/>
      <c r="H87" s="133"/>
      <c r="I87" s="49" t="s">
        <v>141</v>
      </c>
      <c r="J87" s="50">
        <f ca="1">(IF(B75&gt;1.5,(H75/(B75+2)+J81+MAX(0,J82-J81)+MAX(0,J83-J82)+MAX(0,J84-J83)+MAX(0,J85-J84)+MAX(0,J86-J85)),IF(B75=1,(H75/(B75+3)+J86),IF(B75=0,H75/4+J86))))</f>
        <v>4</v>
      </c>
      <c r="K87" s="47"/>
      <c r="L87" s="46"/>
    </row>
    <row r="88" spans="1:14" customFormat="1" ht="15.75" customHeight="1" x14ac:dyDescent="0.3">
      <c r="A88" s="97" t="s">
        <v>173</v>
      </c>
      <c r="B88" s="97"/>
      <c r="C88" s="97" t="s">
        <v>195</v>
      </c>
      <c r="D88" s="97"/>
      <c r="E88" s="97"/>
      <c r="F88" s="97"/>
      <c r="G88" s="97"/>
      <c r="H88" s="97"/>
      <c r="I88" s="42" t="str">
        <f ca="1">(IF(E92&gt;99%,"All work completed. Please provide OC.",IF(E92&gt;89.8%,"Plinth, RCC, Brick, Plaster, Flooring, Painting work Completed. Finishing work is in process.",IF(E92&lt;94%,(IF(C92=0,"Work not yet Started.",IF(D92=25%,"Piling work in process",IF(D92=50%,"Excavation work in process",IF(D92=100%,"Excavation work Completed. ","0")))&amp;(IF(C93=0%,"",IF(C93=J94,"Footing work is process",IF(C93=J95,"Footing work Completed",IF(C93=J96,"1st Basement Completed",IF(C93=J97,"1st &amp; 2nd Basement Completed",IF(C93=J98,"1st to 3rd Basement Completed",IF(C93=J99,"1st to 4th Basement Completed",IF(C93=J100,"Plinth work is process",IF(C93=J101,"Plinth work completed","0")))))))))))&amp;(IF(C94=(D89+F89+H89),", RCC Slab",IF(C94&gt;0,", RCC upto "&amp;C94&amp;" Slab",""))&amp;(IF(C95=H89,", Brickwork",IF(C95&gt;0,", Brickwork upto "&amp;C95&amp;" Floor",""))&amp;(IF(C96=H89,", Internal Plaster",IF(C96&gt;0,", Internal Plaster upto "&amp;C96&amp;" Floor",""))&amp;(IF(C97=H89,", External Plaster",IF(C97&gt;0,", External Plaster upto "&amp;C97&amp;" Floor",""))&amp;(IF(C98=H89,", Flooring",IF(C98&gt;0,", Flooring upto "&amp;C98&amp;" Floor",""))&amp;(IF(C99=H89,", Painting",IF(C99&gt;0,", Painting upto "&amp;C99&amp;" Floor",""))&amp;(IF(C100&gt;0,", Finishing upto "&amp;C100&amp;" Floor","")&amp;(IF(C94&gt;0.5," Completed",""))))))))))))))</f>
        <v>Plinth, RCC, Brick, Plaster, Flooring, Painting work Completed. Finishing work is in process.</v>
      </c>
      <c r="J88" s="26"/>
    </row>
    <row r="89" spans="1:14" customFormat="1" x14ac:dyDescent="0.3">
      <c r="A89" s="38" t="s">
        <v>101</v>
      </c>
      <c r="B89" s="38">
        <v>0</v>
      </c>
      <c r="C89" s="38" t="s">
        <v>103</v>
      </c>
      <c r="D89" s="38">
        <v>1</v>
      </c>
      <c r="E89" s="38" t="s">
        <v>102</v>
      </c>
      <c r="F89" s="38">
        <v>0</v>
      </c>
      <c r="G89" s="38" t="s">
        <v>113</v>
      </c>
      <c r="H89" s="38">
        <f ca="1">--TRIM(RIGHT(SUBSTITUTE(LEFT(C88,_xlfn.AGGREGATE(16,6,FIND({0,1,2,3,4,5,6,7,8,9},C88,ROW(INDIRECT("1:"&amp;LEN(C88)))),1))," ",REPT(" ",LEN(C88))),LEN(C88)))</f>
        <v>4</v>
      </c>
      <c r="I89" s="22"/>
      <c r="J89" s="27"/>
    </row>
    <row r="90" spans="1:14" customFormat="1" x14ac:dyDescent="0.3">
      <c r="A90" s="96" t="s">
        <v>124</v>
      </c>
      <c r="B90" s="96"/>
      <c r="C90" s="97" t="str">
        <f ca="1">I88</f>
        <v>Plinth, RCC, Brick, Plaster, Flooring, Painting work Completed. Finishing work is in process.</v>
      </c>
      <c r="D90" s="97"/>
      <c r="E90" s="97"/>
      <c r="F90" s="97"/>
      <c r="G90" s="97"/>
      <c r="H90" s="97"/>
      <c r="I90" s="22" t="s">
        <v>142</v>
      </c>
      <c r="J90" s="27"/>
    </row>
    <row r="91" spans="1:14" customFormat="1" ht="31.2" x14ac:dyDescent="0.3">
      <c r="A91" s="81" t="s">
        <v>51</v>
      </c>
      <c r="B91" s="81"/>
      <c r="C91" s="32" t="s">
        <v>174</v>
      </c>
      <c r="D91" s="32" t="s">
        <v>116</v>
      </c>
      <c r="E91" s="81" t="s">
        <v>118</v>
      </c>
      <c r="F91" s="81"/>
      <c r="G91" s="81" t="s">
        <v>117</v>
      </c>
      <c r="H91" s="81"/>
      <c r="I91" s="41" t="s">
        <v>175</v>
      </c>
      <c r="J91" s="28">
        <f ca="1">H89*25%</f>
        <v>1</v>
      </c>
    </row>
    <row r="92" spans="1:14" customFormat="1" x14ac:dyDescent="0.3">
      <c r="A92" s="81" t="s">
        <v>176</v>
      </c>
      <c r="B92" s="81"/>
      <c r="C92" s="33">
        <v>4</v>
      </c>
      <c r="D92" s="39">
        <f ca="1">((100/H89)*C92)/100</f>
        <v>1</v>
      </c>
      <c r="E92" s="133">
        <f ca="1">(((C93/H89*10)+(40/(D89+F89+H89)*C94)+(7.5/(H89)*C95)+(7.5/(H89)*C96)+(10/H89*C97)+(10/H89*C98)+(5/H89*C99)+(5/H89*C100)+(5/H89*C101))/100)</f>
        <v>0.91249999999999998</v>
      </c>
      <c r="F92" s="133"/>
      <c r="G92" s="133">
        <f ca="1">((((C92/H89)*20)+((C93/H89)*25)+(30/(H89+F89+D89)*C94)+(5/H89*C95)+(5/H89*C96)+(5/H89*C97)+(5/H89*C98)+(0/H89*C99)+(0/H89*C100)+(5/H89*C101))/100)</f>
        <v>0.95</v>
      </c>
      <c r="H92" s="133"/>
      <c r="I92" s="41" t="s">
        <v>136</v>
      </c>
      <c r="J92" s="43">
        <f ca="1">H89*50%</f>
        <v>2</v>
      </c>
    </row>
    <row r="93" spans="1:14" customFormat="1" x14ac:dyDescent="0.3">
      <c r="A93" s="81" t="s">
        <v>52</v>
      </c>
      <c r="B93" s="81"/>
      <c r="C93" s="34">
        <f ca="1">J101</f>
        <v>4</v>
      </c>
      <c r="D93" s="39">
        <f ca="1">((100/H89)*C93)/100</f>
        <v>1</v>
      </c>
      <c r="E93" s="133"/>
      <c r="F93" s="133"/>
      <c r="G93" s="133"/>
      <c r="H93" s="133"/>
      <c r="I93" s="41" t="s">
        <v>137</v>
      </c>
      <c r="J93" s="43">
        <f ca="1">H89</f>
        <v>4</v>
      </c>
    </row>
    <row r="94" spans="1:14" customFormat="1" x14ac:dyDescent="0.3">
      <c r="A94" s="81" t="s">
        <v>177</v>
      </c>
      <c r="B94" s="81"/>
      <c r="C94" s="34">
        <v>5</v>
      </c>
      <c r="D94" s="39">
        <f ca="1">((100/(D89+F89+H89))*C94)/100</f>
        <v>1</v>
      </c>
      <c r="E94" s="133"/>
      <c r="F94" s="133"/>
      <c r="G94" s="133"/>
      <c r="H94" s="133"/>
      <c r="I94" s="41" t="s">
        <v>138</v>
      </c>
      <c r="J94" s="44">
        <f ca="1">(IF(B89&gt;1,(H89/(B89+2)),H89/4))</f>
        <v>1</v>
      </c>
      <c r="L94" s="45"/>
    </row>
    <row r="95" spans="1:14" customFormat="1" ht="15.75" customHeight="1" x14ac:dyDescent="0.3">
      <c r="A95" s="81" t="s">
        <v>178</v>
      </c>
      <c r="B95" s="81" t="s">
        <v>179</v>
      </c>
      <c r="C95" s="33">
        <v>4</v>
      </c>
      <c r="D95" s="39">
        <f ca="1">((100/H89)*C95)/100</f>
        <v>1</v>
      </c>
      <c r="E95" s="133"/>
      <c r="F95" s="133"/>
      <c r="G95" s="133"/>
      <c r="H95" s="133"/>
      <c r="I95" s="41" t="s">
        <v>139</v>
      </c>
      <c r="J95" s="44">
        <f ca="1">(IF(B89&gt;1,(H89/(B89+2)+J94),H89/4+J94))</f>
        <v>2</v>
      </c>
      <c r="L95" s="45"/>
    </row>
    <row r="96" spans="1:14" customFormat="1" ht="15.75" customHeight="1" x14ac:dyDescent="0.3">
      <c r="A96" s="81" t="s">
        <v>180</v>
      </c>
      <c r="B96" s="81" t="s">
        <v>179</v>
      </c>
      <c r="C96" s="33">
        <v>4</v>
      </c>
      <c r="D96" s="39">
        <f ca="1">((100/H89)*C96)/100</f>
        <v>1</v>
      </c>
      <c r="E96" s="133"/>
      <c r="F96" s="133"/>
      <c r="G96" s="133"/>
      <c r="H96" s="133"/>
      <c r="I96" s="41" t="s">
        <v>181</v>
      </c>
      <c r="J96" s="44">
        <f>(IF(B89&gt;1,(H89/(B89+2)+J95),0))</f>
        <v>0</v>
      </c>
      <c r="L96" s="46"/>
      <c r="N96" s="45"/>
    </row>
    <row r="97" spans="1:17" customFormat="1" ht="15.75" customHeight="1" x14ac:dyDescent="0.3">
      <c r="A97" s="81" t="s">
        <v>182</v>
      </c>
      <c r="B97" s="81" t="s">
        <v>183</v>
      </c>
      <c r="C97" s="33">
        <v>4</v>
      </c>
      <c r="D97" s="39">
        <f ca="1">((100/(H89))*C97)/100</f>
        <v>1</v>
      </c>
      <c r="E97" s="133"/>
      <c r="F97" s="133"/>
      <c r="G97" s="133"/>
      <c r="H97" s="133"/>
      <c r="I97" s="41" t="s">
        <v>184</v>
      </c>
      <c r="J97" s="44">
        <f>(IF(B89&gt;2,(H89/(B89+2)+J96),0))</f>
        <v>0</v>
      </c>
      <c r="K97" s="47"/>
      <c r="L97" s="46"/>
    </row>
    <row r="98" spans="1:17" customFormat="1" ht="15.75" customHeight="1" x14ac:dyDescent="0.3">
      <c r="A98" s="81" t="s">
        <v>185</v>
      </c>
      <c r="B98" s="81" t="s">
        <v>185</v>
      </c>
      <c r="C98" s="33">
        <v>4</v>
      </c>
      <c r="D98" s="39">
        <f ca="1">((100/H89)*C98)/100</f>
        <v>1</v>
      </c>
      <c r="E98" s="133"/>
      <c r="F98" s="133"/>
      <c r="G98" s="133"/>
      <c r="H98" s="133"/>
      <c r="I98" s="41" t="s">
        <v>186</v>
      </c>
      <c r="J98" s="48">
        <f>(IF(B89&gt;3,(H89/(B89+2)+J97),0))</f>
        <v>0</v>
      </c>
      <c r="K98" s="47"/>
      <c r="L98" s="46"/>
    </row>
    <row r="99" spans="1:17" customFormat="1" ht="15.75" customHeight="1" x14ac:dyDescent="0.3">
      <c r="A99" s="81" t="s">
        <v>187</v>
      </c>
      <c r="B99" s="81"/>
      <c r="C99" s="33">
        <v>3</v>
      </c>
      <c r="D99" s="39">
        <f ca="1">((100/H89)*C99)/100</f>
        <v>0.75</v>
      </c>
      <c r="E99" s="133"/>
      <c r="F99" s="133"/>
      <c r="G99" s="133"/>
      <c r="H99" s="133"/>
      <c r="I99" s="41" t="s">
        <v>188</v>
      </c>
      <c r="J99" s="44">
        <f>(IF(B89&gt;4,(H89/(B89+2)+J98),0))</f>
        <v>0</v>
      </c>
      <c r="K99" s="45"/>
      <c r="L99" s="46"/>
    </row>
    <row r="100" spans="1:17" customFormat="1" ht="15.75" customHeight="1" x14ac:dyDescent="0.3">
      <c r="A100" s="81" t="s">
        <v>189</v>
      </c>
      <c r="B100" s="81" t="s">
        <v>189</v>
      </c>
      <c r="C100" s="33">
        <v>2</v>
      </c>
      <c r="D100" s="39">
        <f ca="1">((100/(H89))*C100)/100</f>
        <v>0.5</v>
      </c>
      <c r="E100" s="133"/>
      <c r="F100" s="133"/>
      <c r="G100" s="133"/>
      <c r="H100" s="133"/>
      <c r="I100" s="41" t="s">
        <v>140</v>
      </c>
      <c r="J100" s="44">
        <f ca="1">(IF(B89=1,(H89/(B89+3)+J95),IF(B89=0,(H89/4+J95),IF(B89&gt;1,0))))</f>
        <v>3</v>
      </c>
      <c r="K100" s="47"/>
      <c r="L100" s="46"/>
    </row>
    <row r="101" spans="1:17" customFormat="1" ht="16.2" thickBot="1" x14ac:dyDescent="0.35">
      <c r="A101" s="81" t="s">
        <v>190</v>
      </c>
      <c r="B101" s="81"/>
      <c r="C101" s="33">
        <v>0</v>
      </c>
      <c r="D101" s="39">
        <f ca="1">((100/(H89))*C101)/100</f>
        <v>0</v>
      </c>
      <c r="E101" s="133"/>
      <c r="F101" s="133"/>
      <c r="G101" s="133"/>
      <c r="H101" s="133"/>
      <c r="I101" s="49" t="s">
        <v>141</v>
      </c>
      <c r="J101" s="50">
        <f ca="1">(IF(B89&gt;1.5,(H89/(B89+2)+J95+MAX(0,J96-J95)+MAX(0,J97-J96)+MAX(0,J98-J97)+MAX(0,J99-J98)+MAX(0,J100-J99)),IF(B89=1,(H89/(B89+3)+J100),IF(B89=0,H89/4+J100))))</f>
        <v>4</v>
      </c>
      <c r="K101" s="47"/>
      <c r="L101" s="46"/>
    </row>
    <row r="102" spans="1:17" customFormat="1" ht="15.75" customHeight="1" x14ac:dyDescent="0.3">
      <c r="A102" s="149" t="s">
        <v>173</v>
      </c>
      <c r="B102" s="150"/>
      <c r="C102" s="157" t="s">
        <v>202</v>
      </c>
      <c r="D102" s="158"/>
      <c r="E102" s="158"/>
      <c r="F102" s="158"/>
      <c r="G102" s="158"/>
      <c r="H102" s="159"/>
      <c r="I102" s="42" t="str">
        <f ca="1">(IF(E106&gt;99%,"All work completed. Please provide OC.",IF(E106&gt;89.8%,"Plinth, RCC, Brick, Plaster, Flooring, Painting work Completed. Finishing work is in process.",IF(E106&lt;94%,(IF(C106=0,"Work not yet Started.",IF(D106=25%,"Piling work in process",IF(D106=50%,"Excavation work in process",IF(D106=100%,"Excavation work Completed. ","0")))&amp;(IF(C107=0%,"",IF(C107=J108,"Footing work is process",IF(C107=J109,"Footing work Completed",IF(C107=J110,"1st Basement Completed",IF(C107=J111,"1st &amp; 2nd Basement Completed",IF(C107=J112,"1st to 3rd Basement Completed",IF(C107=J113,"1st to 4th Basement Completed",IF(C107=J114,"Plinth work is process",IF(C107=J115,"Plinth work completed","0")))))))))))&amp;(IF(C108=(D103+F103+H103),", RCC Slab",IF(C108&gt;0,", RCC upto "&amp;C108&amp;" Slab",""))&amp;(IF(C109=H103,", Brickwork",IF(C109&gt;0,", Brickwork upto "&amp;C109&amp;" Floor",""))&amp;(IF(C110=H103,", Internal Plaster",IF(C110&gt;0,", Internal Plaster upto "&amp;C110&amp;" Floor",""))&amp;(IF(C111=H103,", External Plaster",IF(C111&gt;0,", External Plaster upto "&amp;C111&amp;" Floor",""))&amp;(IF(C112=H103,", Flooring",IF(C112&gt;0,", Flooring upto "&amp;C112&amp;" Floor",""))&amp;(IF(C113=H103,", Painting",IF(C113&gt;0,", Painting upto "&amp;C113&amp;" Floor",""))&amp;(IF(C114&gt;0,", Finishing upto "&amp;C114&amp;" Floor","")&amp;(IF(C108&gt;0.5," Completed",""))))))))))))))</f>
        <v>Excavation work Completed. Plinth work completed, RCC Slab, Brickwork Completed</v>
      </c>
      <c r="J102" s="26"/>
    </row>
    <row r="103" spans="1:17" customFormat="1" x14ac:dyDescent="0.3">
      <c r="A103" s="25" t="s">
        <v>101</v>
      </c>
      <c r="B103" s="38">
        <v>0</v>
      </c>
      <c r="C103" s="38" t="s">
        <v>103</v>
      </c>
      <c r="D103" s="38">
        <v>1</v>
      </c>
      <c r="E103" s="38" t="s">
        <v>102</v>
      </c>
      <c r="F103" s="38">
        <v>0</v>
      </c>
      <c r="G103" s="38" t="s">
        <v>113</v>
      </c>
      <c r="H103" s="31">
        <f ca="1">--TRIM(RIGHT(SUBSTITUTE(LEFT(C102,_xlfn.AGGREGATE(16,6,FIND({0,1,2,3,4,5,6,7,8,9},C102,ROW(INDIRECT("1:"&amp;LEN(C102)))),1))," ",REPT(" ",LEN(C102))),LEN(C102)))</f>
        <v>4</v>
      </c>
      <c r="I103" s="22"/>
      <c r="J103" s="27"/>
    </row>
    <row r="104" spans="1:17" customFormat="1" x14ac:dyDescent="0.3">
      <c r="A104" s="95" t="s">
        <v>124</v>
      </c>
      <c r="B104" s="96"/>
      <c r="C104" s="97" t="str">
        <f ca="1">I102</f>
        <v>Excavation work Completed. Plinth work completed, RCC Slab, Brickwork Completed</v>
      </c>
      <c r="D104" s="97"/>
      <c r="E104" s="97"/>
      <c r="F104" s="97"/>
      <c r="G104" s="97"/>
      <c r="H104" s="98"/>
      <c r="I104" s="22" t="s">
        <v>142</v>
      </c>
      <c r="J104" s="27"/>
    </row>
    <row r="105" spans="1:17" customFormat="1" ht="31.2" x14ac:dyDescent="0.3">
      <c r="A105" s="80" t="s">
        <v>51</v>
      </c>
      <c r="B105" s="81"/>
      <c r="C105" s="32" t="s">
        <v>174</v>
      </c>
      <c r="D105" s="32" t="s">
        <v>116</v>
      </c>
      <c r="E105" s="81" t="s">
        <v>118</v>
      </c>
      <c r="F105" s="81"/>
      <c r="G105" s="81" t="s">
        <v>117</v>
      </c>
      <c r="H105" s="99"/>
      <c r="I105" s="41" t="s">
        <v>175</v>
      </c>
      <c r="J105" s="28">
        <f ca="1">H103*25%</f>
        <v>1</v>
      </c>
    </row>
    <row r="106" spans="1:17" customFormat="1" x14ac:dyDescent="0.3">
      <c r="A106" s="80" t="s">
        <v>176</v>
      </c>
      <c r="B106" s="81"/>
      <c r="C106" s="33">
        <v>4</v>
      </c>
      <c r="D106" s="39">
        <f ca="1">((100/H103)*C106)/100</f>
        <v>1</v>
      </c>
      <c r="E106" s="133">
        <f ca="1">(((C107/H103*10)+(40/(D103+F103+H103)*C108)+(7.5/(H103)*C109)+(7.5/(H103)*C110)+(10/H103*C111)+(10/H103*C112)+(5/H103*C113)+(5/H103*C114)+(5/H103*C115))/100)</f>
        <v>0.57499999999999996</v>
      </c>
      <c r="F106" s="133"/>
      <c r="G106" s="133">
        <f ca="1">((((C106/H103)*20)+((C107/H103)*25)+(30/(H103+F103+D103)*C108)+(5/H103*C109)+(5/H103*C110)+(5/H103*C111)+(5/H103*C112)+(0/H103*C113)+(0/H103*C114)+(5/H103*C115))/100)</f>
        <v>0.8</v>
      </c>
      <c r="H106" s="135"/>
      <c r="I106" s="41" t="s">
        <v>136</v>
      </c>
      <c r="J106" s="43">
        <f ca="1">H103*50%</f>
        <v>2</v>
      </c>
      <c r="K106" s="88" t="s">
        <v>205</v>
      </c>
      <c r="L106" s="89"/>
      <c r="M106" s="89"/>
      <c r="N106" s="89"/>
      <c r="O106" s="89"/>
      <c r="P106" s="89"/>
      <c r="Q106" s="89"/>
    </row>
    <row r="107" spans="1:17" customFormat="1" x14ac:dyDescent="0.3">
      <c r="A107" s="80" t="s">
        <v>52</v>
      </c>
      <c r="B107" s="81"/>
      <c r="C107" s="34">
        <f ca="1">J115</f>
        <v>4</v>
      </c>
      <c r="D107" s="39">
        <f ca="1">((100/H103)*C107)/100</f>
        <v>1</v>
      </c>
      <c r="E107" s="133"/>
      <c r="F107" s="133"/>
      <c r="G107" s="133"/>
      <c r="H107" s="135"/>
      <c r="I107" s="41" t="s">
        <v>137</v>
      </c>
      <c r="J107" s="43">
        <f ca="1">H103</f>
        <v>4</v>
      </c>
      <c r="K107" s="86" t="s">
        <v>204</v>
      </c>
      <c r="L107" s="87"/>
      <c r="M107" s="87"/>
      <c r="N107" s="87"/>
      <c r="O107" s="87"/>
      <c r="P107" s="87"/>
      <c r="Q107" s="87"/>
    </row>
    <row r="108" spans="1:17" customFormat="1" x14ac:dyDescent="0.3">
      <c r="A108" s="80" t="s">
        <v>177</v>
      </c>
      <c r="B108" s="81"/>
      <c r="C108" s="34">
        <v>5</v>
      </c>
      <c r="D108" s="39">
        <f ca="1">((100/(D103+F103+H103))*C108)/100</f>
        <v>1</v>
      </c>
      <c r="E108" s="133"/>
      <c r="F108" s="133"/>
      <c r="G108" s="133"/>
      <c r="H108" s="135"/>
      <c r="I108" s="41" t="s">
        <v>138</v>
      </c>
      <c r="J108" s="44">
        <f ca="1">(IF(B103&gt;1,(H103/(B103+2)),H103/4))</f>
        <v>1</v>
      </c>
      <c r="K108" s="86"/>
      <c r="L108" s="87"/>
      <c r="M108" s="87"/>
      <c r="N108" s="87"/>
      <c r="O108" s="87"/>
      <c r="P108" s="87"/>
      <c r="Q108" s="87"/>
    </row>
    <row r="109" spans="1:17" customFormat="1" ht="15.75" customHeight="1" x14ac:dyDescent="0.3">
      <c r="A109" s="80" t="s">
        <v>178</v>
      </c>
      <c r="B109" s="81" t="s">
        <v>179</v>
      </c>
      <c r="C109" s="33">
        <v>4</v>
      </c>
      <c r="D109" s="39">
        <f ca="1">((100/H103)*C109)/100</f>
        <v>1</v>
      </c>
      <c r="E109" s="133"/>
      <c r="F109" s="133"/>
      <c r="G109" s="133"/>
      <c r="H109" s="135"/>
      <c r="I109" s="41" t="s">
        <v>139</v>
      </c>
      <c r="J109" s="44">
        <f ca="1">(IF(B103&gt;1,(H103/(B103+2)+J108),H103/4+J108))</f>
        <v>2</v>
      </c>
      <c r="K109" s="86"/>
      <c r="L109" s="87"/>
      <c r="M109" s="87"/>
      <c r="N109" s="87"/>
      <c r="O109" s="87"/>
      <c r="P109" s="87"/>
      <c r="Q109" s="87"/>
    </row>
    <row r="110" spans="1:17" customFormat="1" ht="15.75" customHeight="1" x14ac:dyDescent="0.3">
      <c r="A110" s="80" t="s">
        <v>180</v>
      </c>
      <c r="B110" s="81" t="s">
        <v>179</v>
      </c>
      <c r="C110" s="33">
        <v>0</v>
      </c>
      <c r="D110" s="39">
        <f ca="1">((100/H103)*C110)/100</f>
        <v>0</v>
      </c>
      <c r="E110" s="133"/>
      <c r="F110" s="133"/>
      <c r="G110" s="133"/>
      <c r="H110" s="135"/>
      <c r="I110" s="41" t="s">
        <v>181</v>
      </c>
      <c r="J110" s="44">
        <f>(IF(B103&gt;1,(H103/(B103+2)+J109),0))</f>
        <v>0</v>
      </c>
      <c r="L110" s="46"/>
      <c r="N110" s="45"/>
    </row>
    <row r="111" spans="1:17" customFormat="1" ht="15.75" customHeight="1" x14ac:dyDescent="0.3">
      <c r="A111" s="80" t="s">
        <v>182</v>
      </c>
      <c r="B111" s="81" t="s">
        <v>183</v>
      </c>
      <c r="C111" s="33">
        <v>0</v>
      </c>
      <c r="D111" s="39">
        <f ca="1">((100/(H103))*C111)/100</f>
        <v>0</v>
      </c>
      <c r="E111" s="133"/>
      <c r="F111" s="133"/>
      <c r="G111" s="133"/>
      <c r="H111" s="135"/>
      <c r="I111" s="41" t="s">
        <v>184</v>
      </c>
      <c r="J111" s="44">
        <f>(IF(B103&gt;2,(H103/(B103+2)+J110),0))</f>
        <v>0</v>
      </c>
      <c r="K111" s="47"/>
      <c r="L111" s="46"/>
    </row>
    <row r="112" spans="1:17" customFormat="1" ht="15.75" customHeight="1" x14ac:dyDescent="0.3">
      <c r="A112" s="80" t="s">
        <v>185</v>
      </c>
      <c r="B112" s="81" t="s">
        <v>185</v>
      </c>
      <c r="C112" s="33">
        <v>0</v>
      </c>
      <c r="D112" s="39">
        <f ca="1">((100/H103)*C112)/100</f>
        <v>0</v>
      </c>
      <c r="E112" s="133"/>
      <c r="F112" s="133"/>
      <c r="G112" s="133"/>
      <c r="H112" s="135"/>
      <c r="I112" s="41" t="s">
        <v>186</v>
      </c>
      <c r="J112" s="48">
        <f>(IF(B103&gt;3,(H103/(B103+2)+J111),0))</f>
        <v>0</v>
      </c>
      <c r="K112" s="47"/>
      <c r="L112" s="46"/>
    </row>
    <row r="113" spans="1:14" customFormat="1" ht="15.75" customHeight="1" x14ac:dyDescent="0.3">
      <c r="A113" s="80" t="s">
        <v>187</v>
      </c>
      <c r="B113" s="81"/>
      <c r="C113" s="33">
        <v>0</v>
      </c>
      <c r="D113" s="39">
        <f ca="1">((100/H103)*C113)/100</f>
        <v>0</v>
      </c>
      <c r="E113" s="133"/>
      <c r="F113" s="133"/>
      <c r="G113" s="133"/>
      <c r="H113" s="135"/>
      <c r="I113" s="41" t="s">
        <v>188</v>
      </c>
      <c r="J113" s="44">
        <f>(IF(B103&gt;4,(H103/(B103+2)+J112),0))</f>
        <v>0</v>
      </c>
      <c r="K113" s="45"/>
      <c r="L113" s="46"/>
    </row>
    <row r="114" spans="1:14" customFormat="1" ht="15.75" customHeight="1" x14ac:dyDescent="0.3">
      <c r="A114" s="80" t="s">
        <v>189</v>
      </c>
      <c r="B114" s="81" t="s">
        <v>189</v>
      </c>
      <c r="C114" s="33">
        <v>0</v>
      </c>
      <c r="D114" s="39">
        <f ca="1">((100/(H103))*C114)/100</f>
        <v>0</v>
      </c>
      <c r="E114" s="133"/>
      <c r="F114" s="133"/>
      <c r="G114" s="133"/>
      <c r="H114" s="135"/>
      <c r="I114" s="41" t="s">
        <v>140</v>
      </c>
      <c r="J114" s="44">
        <f ca="1">(IF(B103=1,(H103/(B103+3)+J109),IF(B103=0,(H103/4+J109),IF(B103&gt;1,0))))</f>
        <v>3</v>
      </c>
      <c r="K114" s="47"/>
      <c r="L114" s="46"/>
    </row>
    <row r="115" spans="1:14" customFormat="1" ht="16.2" thickBot="1" x14ac:dyDescent="0.35">
      <c r="A115" s="137" t="s">
        <v>190</v>
      </c>
      <c r="B115" s="138"/>
      <c r="C115" s="35">
        <v>0</v>
      </c>
      <c r="D115" s="40">
        <f ca="1">((100/(H103))*C115)/100</f>
        <v>0</v>
      </c>
      <c r="E115" s="134"/>
      <c r="F115" s="134"/>
      <c r="G115" s="134"/>
      <c r="H115" s="136"/>
      <c r="I115" s="49" t="s">
        <v>141</v>
      </c>
      <c r="J115" s="50">
        <f ca="1">(IF(B103&gt;1.5,(H103/(B103+2)+J109+MAX(0,J110-J109)+MAX(0,J111-J110)+MAX(0,J112-J111)+MAX(0,J113-J112)+MAX(0,J114-J113)),IF(B103=1,(H103/(B103+3)+J114),IF(B103=0,H103/4+J114))))</f>
        <v>4</v>
      </c>
      <c r="K115" s="47"/>
      <c r="L115" s="46"/>
    </row>
    <row r="116" spans="1:14" customFormat="1" ht="15.75" customHeight="1" x14ac:dyDescent="0.3">
      <c r="A116" s="90" t="s">
        <v>173</v>
      </c>
      <c r="B116" s="91"/>
      <c r="C116" s="92" t="s">
        <v>203</v>
      </c>
      <c r="D116" s="93"/>
      <c r="E116" s="93"/>
      <c r="F116" s="93"/>
      <c r="G116" s="93"/>
      <c r="H116" s="94"/>
      <c r="I116" s="42" t="str">
        <f ca="1">(IF(E120&gt;99%,"All work completed. Please provide OC.",IF(E120&gt;89.8%,"Plinth, RCC, Brick, Plaster, Flooring, Painting work Completed. Finishing work is in process.",IF(E120&lt;94%,(IF(C120=0,"Work not yet Started.",IF(D120=25%,"Piling work in process",IF(D120=50%,"Excavation work in process",IF(D120=100%,"Excavation work Completed. ","0")))&amp;(IF(C121=0%,"",IF(C121=J122,"Footing work is process",IF(C121=J123,"Footing work Completed",IF(C121=J124,"1st Basement Completed",IF(C121=J125,"1st &amp; 2nd Basement Completed",IF(C121=J126,"1st to 3rd Basement Completed",IF(C121=J127,"1st to 4th Basement Completed",IF(C121=J128,"Plinth work is process",IF(C121=J129,"Plinth work completed","0")))))))))))&amp;(IF(C122=(D117+F117+H117),", RCC Slab",IF(C122&gt;0,", RCC upto "&amp;C122&amp;" Slab",""))&amp;(IF(C123=H117,", Brickwork",IF(C123&gt;0,", Brickwork upto "&amp;C123&amp;" Floor",""))&amp;(IF(C124=H117,", Internal Plaster",IF(C124&gt;0,", Internal Plaster upto "&amp;C124&amp;" Floor",""))&amp;(IF(C125=H117,", External Plaster",IF(C125&gt;0,", External Plaster upto "&amp;C125&amp;" Floor",""))&amp;(IF(C126=H117,", Flooring",IF(C126&gt;0,", Flooring upto "&amp;C126&amp;" Floor",""))&amp;(IF(C127=H117,", Painting",IF(C127&gt;0,", Painting upto "&amp;C127&amp;" Floor",""))&amp;(IF(C128&gt;0,", Finishing upto "&amp;C128&amp;" Floor","")&amp;(IF(C122&gt;0.5," Completed",""))))))))))))))</f>
        <v>Excavation work Completed. Plinth work completed, RCC Slab, Brickwork, Internal Plaster, External Plaster upto 3 Floor, Flooring upto 3 Floor, Painting upto 2 Floor Completed</v>
      </c>
      <c r="J116" s="26"/>
    </row>
    <row r="117" spans="1:14" customFormat="1" x14ac:dyDescent="0.3">
      <c r="A117" s="25" t="s">
        <v>101</v>
      </c>
      <c r="B117" s="38">
        <v>0</v>
      </c>
      <c r="C117" s="38" t="s">
        <v>103</v>
      </c>
      <c r="D117" s="38">
        <v>1</v>
      </c>
      <c r="E117" s="38" t="s">
        <v>102</v>
      </c>
      <c r="F117" s="38">
        <v>0</v>
      </c>
      <c r="G117" s="38" t="s">
        <v>113</v>
      </c>
      <c r="H117" s="31">
        <f ca="1">--TRIM(RIGHT(SUBSTITUTE(LEFT(C116,_xlfn.AGGREGATE(16,6,FIND({0,1,2,3,4,5,6,7,8,9},C116,ROW(INDIRECT("1:"&amp;LEN(C116)))),1))," ",REPT(" ",LEN(C116))),LEN(C116)))</f>
        <v>4</v>
      </c>
      <c r="I117" s="22"/>
      <c r="J117" s="27"/>
    </row>
    <row r="118" spans="1:14" customFormat="1" ht="35.25" customHeight="1" x14ac:dyDescent="0.3">
      <c r="A118" s="95" t="s">
        <v>124</v>
      </c>
      <c r="B118" s="96"/>
      <c r="C118" s="97" t="str">
        <f ca="1">I116</f>
        <v>Excavation work Completed. Plinth work completed, RCC Slab, Brickwork, Internal Plaster, External Plaster upto 3 Floor, Flooring upto 3 Floor, Painting upto 2 Floor Completed</v>
      </c>
      <c r="D118" s="97"/>
      <c r="E118" s="97"/>
      <c r="F118" s="97"/>
      <c r="G118" s="97"/>
      <c r="H118" s="98"/>
      <c r="I118" s="22" t="s">
        <v>142</v>
      </c>
      <c r="J118" s="27"/>
    </row>
    <row r="119" spans="1:14" customFormat="1" ht="31.2" x14ac:dyDescent="0.3">
      <c r="A119" s="80" t="s">
        <v>51</v>
      </c>
      <c r="B119" s="81"/>
      <c r="C119" s="32" t="s">
        <v>174</v>
      </c>
      <c r="D119" s="32" t="s">
        <v>116</v>
      </c>
      <c r="E119" s="81" t="s">
        <v>118</v>
      </c>
      <c r="F119" s="81"/>
      <c r="G119" s="81" t="s">
        <v>117</v>
      </c>
      <c r="H119" s="99"/>
      <c r="I119" s="41" t="s">
        <v>175</v>
      </c>
      <c r="J119" s="28">
        <f ca="1">H117*25%</f>
        <v>1</v>
      </c>
    </row>
    <row r="120" spans="1:14" customFormat="1" x14ac:dyDescent="0.3">
      <c r="A120" s="80" t="s">
        <v>176</v>
      </c>
      <c r="B120" s="81"/>
      <c r="C120" s="33">
        <v>4</v>
      </c>
      <c r="D120" s="39">
        <f ca="1">((100/H117)*C120)/100</f>
        <v>1</v>
      </c>
      <c r="E120" s="133">
        <f ca="1">(((C121/H117*10)+(40/(D117+F117+H117)*C122)+(7.5/(H117)*C123)+(7.5/(H117)*C124)+(10/H117*C125)+(10/H117*C126)+(5/H117*C127)+(5/H117*C128)+(5/H117*C129))/100)</f>
        <v>0.82499999999999996</v>
      </c>
      <c r="F120" s="133"/>
      <c r="G120" s="133">
        <f ca="1">((((C120/H117)*20)+((C121/H117)*25)+(30/(H117+F117+D117)*C122)+(5/H117*C123)+(5/H117*C124)+(5/H117*C125)+(5/H117*C126)+(0/H117*C127)+(0/H117*C128)+(5/H117*C129))/100)</f>
        <v>0.92500000000000004</v>
      </c>
      <c r="H120" s="135"/>
      <c r="I120" s="41" t="s">
        <v>136</v>
      </c>
      <c r="J120" s="43">
        <f ca="1">H117*50%</f>
        <v>2</v>
      </c>
    </row>
    <row r="121" spans="1:14" customFormat="1" x14ac:dyDescent="0.3">
      <c r="A121" s="80" t="s">
        <v>52</v>
      </c>
      <c r="B121" s="81"/>
      <c r="C121" s="34">
        <f ca="1">J129</f>
        <v>4</v>
      </c>
      <c r="D121" s="39">
        <f ca="1">((100/H117)*C121)/100</f>
        <v>1</v>
      </c>
      <c r="E121" s="133"/>
      <c r="F121" s="133"/>
      <c r="G121" s="133"/>
      <c r="H121" s="135"/>
      <c r="I121" s="41" t="s">
        <v>137</v>
      </c>
      <c r="J121" s="43">
        <f ca="1">H117</f>
        <v>4</v>
      </c>
    </row>
    <row r="122" spans="1:14" customFormat="1" x14ac:dyDescent="0.3">
      <c r="A122" s="80" t="s">
        <v>177</v>
      </c>
      <c r="B122" s="81"/>
      <c r="C122" s="34">
        <v>5</v>
      </c>
      <c r="D122" s="39">
        <f ca="1">((100/(D117+F117+H117))*C122)/100</f>
        <v>1</v>
      </c>
      <c r="E122" s="133"/>
      <c r="F122" s="133"/>
      <c r="G122" s="133"/>
      <c r="H122" s="135"/>
      <c r="I122" s="41" t="s">
        <v>138</v>
      </c>
      <c r="J122" s="44">
        <f ca="1">(IF(B117&gt;1,(H117/(B117+2)),H117/4))</f>
        <v>1</v>
      </c>
      <c r="L122" s="45"/>
    </row>
    <row r="123" spans="1:14" customFormat="1" ht="15.75" customHeight="1" x14ac:dyDescent="0.3">
      <c r="A123" s="80" t="s">
        <v>178</v>
      </c>
      <c r="B123" s="81" t="s">
        <v>179</v>
      </c>
      <c r="C123" s="33">
        <v>4</v>
      </c>
      <c r="D123" s="39">
        <f ca="1">((100/H117)*C123)/100</f>
        <v>1</v>
      </c>
      <c r="E123" s="133"/>
      <c r="F123" s="133"/>
      <c r="G123" s="133"/>
      <c r="H123" s="135"/>
      <c r="I123" s="41" t="s">
        <v>139</v>
      </c>
      <c r="J123" s="44">
        <f ca="1">(IF(B117&gt;1,(H117/(B117+2)+J122),H117/4+J122))</f>
        <v>2</v>
      </c>
      <c r="L123" s="45"/>
    </row>
    <row r="124" spans="1:14" customFormat="1" ht="15.75" customHeight="1" x14ac:dyDescent="0.3">
      <c r="A124" s="80" t="s">
        <v>180</v>
      </c>
      <c r="B124" s="81" t="s">
        <v>179</v>
      </c>
      <c r="C124" s="33">
        <v>4</v>
      </c>
      <c r="D124" s="39">
        <f ca="1">((100/H117)*C124)/100</f>
        <v>1</v>
      </c>
      <c r="E124" s="133"/>
      <c r="F124" s="133"/>
      <c r="G124" s="133"/>
      <c r="H124" s="135"/>
      <c r="I124" s="41" t="s">
        <v>181</v>
      </c>
      <c r="J124" s="44">
        <f>(IF(B117&gt;1,(H117/(B117+2)+J123),0))</f>
        <v>0</v>
      </c>
      <c r="L124" s="46"/>
      <c r="N124" s="45"/>
    </row>
    <row r="125" spans="1:14" customFormat="1" ht="15.75" customHeight="1" x14ac:dyDescent="0.3">
      <c r="A125" s="80" t="s">
        <v>182</v>
      </c>
      <c r="B125" s="81" t="s">
        <v>183</v>
      </c>
      <c r="C125" s="33">
        <v>3</v>
      </c>
      <c r="D125" s="39">
        <f ca="1">((100/(H117))*C125)/100</f>
        <v>0.75</v>
      </c>
      <c r="E125" s="133"/>
      <c r="F125" s="133"/>
      <c r="G125" s="133"/>
      <c r="H125" s="135"/>
      <c r="I125" s="41" t="s">
        <v>184</v>
      </c>
      <c r="J125" s="44">
        <f>(IF(B117&gt;2,(H117/(B117+2)+J124),0))</f>
        <v>0</v>
      </c>
      <c r="K125" s="47"/>
      <c r="L125" s="46"/>
    </row>
    <row r="126" spans="1:14" customFormat="1" ht="15.75" customHeight="1" x14ac:dyDescent="0.3">
      <c r="A126" s="80" t="s">
        <v>185</v>
      </c>
      <c r="B126" s="81" t="s">
        <v>185</v>
      </c>
      <c r="C126" s="33">
        <v>3</v>
      </c>
      <c r="D126" s="39">
        <f ca="1">((100/H117)*C126)/100</f>
        <v>0.75</v>
      </c>
      <c r="E126" s="133"/>
      <c r="F126" s="133"/>
      <c r="G126" s="133"/>
      <c r="H126" s="135"/>
      <c r="I126" s="41" t="s">
        <v>186</v>
      </c>
      <c r="J126" s="48">
        <f>(IF(B117&gt;3,(H117/(B117+2)+J125),0))</f>
        <v>0</v>
      </c>
      <c r="K126" s="47"/>
      <c r="L126" s="46"/>
    </row>
    <row r="127" spans="1:14" customFormat="1" ht="15.75" customHeight="1" x14ac:dyDescent="0.3">
      <c r="A127" s="80" t="s">
        <v>187</v>
      </c>
      <c r="B127" s="81"/>
      <c r="C127" s="33">
        <v>2</v>
      </c>
      <c r="D127" s="39">
        <f ca="1">((100/H117)*C127)/100</f>
        <v>0.5</v>
      </c>
      <c r="E127" s="133"/>
      <c r="F127" s="133"/>
      <c r="G127" s="133"/>
      <c r="H127" s="135"/>
      <c r="I127" s="41" t="s">
        <v>188</v>
      </c>
      <c r="J127" s="44">
        <f>(IF(B117&gt;4,(H117/(B117+2)+J126),0))</f>
        <v>0</v>
      </c>
      <c r="K127" s="45"/>
      <c r="L127" s="46"/>
    </row>
    <row r="128" spans="1:14" customFormat="1" ht="15.75" customHeight="1" x14ac:dyDescent="0.3">
      <c r="A128" s="80" t="s">
        <v>189</v>
      </c>
      <c r="B128" s="81" t="s">
        <v>189</v>
      </c>
      <c r="C128" s="33">
        <v>0</v>
      </c>
      <c r="D128" s="39">
        <f ca="1">((100/(H117))*C128)/100</f>
        <v>0</v>
      </c>
      <c r="E128" s="133"/>
      <c r="F128" s="133"/>
      <c r="G128" s="133"/>
      <c r="H128" s="135"/>
      <c r="I128" s="41" t="s">
        <v>140</v>
      </c>
      <c r="J128" s="44">
        <f ca="1">(IF(B117=1,(H117/(B117+3)+J123),IF(B117=0,(H117/4+J123),IF(B117&gt;1,0))))</f>
        <v>3</v>
      </c>
      <c r="K128" s="47"/>
      <c r="L128" s="46"/>
    </row>
    <row r="129" spans="1:14" customFormat="1" ht="16.2" thickBot="1" x14ac:dyDescent="0.35">
      <c r="A129" s="137" t="s">
        <v>190</v>
      </c>
      <c r="B129" s="138"/>
      <c r="C129" s="35">
        <v>0</v>
      </c>
      <c r="D129" s="40">
        <f ca="1">((100/(H117))*C129)/100</f>
        <v>0</v>
      </c>
      <c r="E129" s="134"/>
      <c r="F129" s="134"/>
      <c r="G129" s="134"/>
      <c r="H129" s="136"/>
      <c r="I129" s="49" t="s">
        <v>141</v>
      </c>
      <c r="J129" s="50">
        <f ca="1">(IF(B117&gt;1.5,(H117/(B117+2)+J123+MAX(0,J124-J123)+MAX(0,J125-J124)+MAX(0,J126-J125)+MAX(0,J127-J126)+MAX(0,J128-J127)),IF(B117=1,(H117/(B117+3)+J128),IF(B117=0,H117/4+J128))))</f>
        <v>4</v>
      </c>
      <c r="K129" s="47"/>
      <c r="L129" s="46"/>
    </row>
    <row r="130" spans="1:14" customFormat="1" ht="15.75" customHeight="1" x14ac:dyDescent="0.3">
      <c r="A130" s="90" t="s">
        <v>173</v>
      </c>
      <c r="B130" s="91"/>
      <c r="C130" s="92" t="s">
        <v>215</v>
      </c>
      <c r="D130" s="93"/>
      <c r="E130" s="93"/>
      <c r="F130" s="93"/>
      <c r="G130" s="93"/>
      <c r="H130" s="94"/>
      <c r="I130" s="42" t="str">
        <f ca="1">(IF(E134&gt;99%,"All work completed. Please provide OC.",IF(E134&gt;89.8%,"Plinth, RCC, Brick, Plaster, Flooring, Painting work Completed. Finishing work is in process.",IF(E134&lt;94%,(IF(C134=0,"Work not yet Started.",IF(D134=25%,"Piling work in process",IF(D134=50%,"Excavation work in process",IF(D134=100%,"Excavation work Completed. ","0")))&amp;(IF(C135=0%,"",IF(C135=J136,"Footing work is process",IF(C135=J137,"Footing work Completed",IF(C135=J138,"1st Basement Completed",IF(C135=J139,"1st &amp; 2nd Basement Completed",IF(C135=J140,"1st to 3rd Basement Completed",IF(C135=J141,"1st to 4th Basement Completed",IF(C135=J142,"Plinth work is process",IF(C135=J143,"Plinth work completed","0")))))))))))&amp;(IF(C136=(D131+F131+H131),", RCC Slab",IF(C136&gt;0,", RCC upto "&amp;C136&amp;" Slab",""))&amp;(IF(C137=H131,", Brickwork",IF(C137&gt;0,", Brickwork upto "&amp;C137&amp;" Floor",""))&amp;(IF(C138=H131,", Internal Plaster",IF(C138&gt;0,", Internal Plaster upto "&amp;C138&amp;" Floor",""))&amp;(IF(C139=H131,", External Plaster",IF(C139&gt;0,", External Plaster upto "&amp;C139&amp;" Floor",""))&amp;(IF(C140=H131,", Flooring",IF(C140&gt;0,", Flooring upto "&amp;C140&amp;" Floor",""))&amp;(IF(C141=H131,", Painting",IF(C141&gt;0,", Painting upto "&amp;C141&amp;" Floor",""))&amp;(IF(C142&gt;0,", Finishing upto "&amp;C142&amp;" Floor","")&amp;(IF(C136&gt;0.5," Completed",""))))))))))))))</f>
        <v>Excavation work Completed. Plinth work completed, RCC upto 2 Slab Completed</v>
      </c>
      <c r="J130" s="26"/>
    </row>
    <row r="131" spans="1:14" customFormat="1" x14ac:dyDescent="0.3">
      <c r="A131" s="25" t="s">
        <v>101</v>
      </c>
      <c r="B131" s="38">
        <v>0</v>
      </c>
      <c r="C131" s="38" t="s">
        <v>103</v>
      </c>
      <c r="D131" s="38">
        <v>1</v>
      </c>
      <c r="E131" s="38" t="s">
        <v>102</v>
      </c>
      <c r="F131" s="38">
        <v>0</v>
      </c>
      <c r="G131" s="38" t="s">
        <v>113</v>
      </c>
      <c r="H131" s="31">
        <f ca="1">--TRIM(RIGHT(SUBSTITUTE(LEFT(C130,_xlfn.AGGREGATE(16,6,FIND({0,1,2,3,4,5,6,7,8,9},C130,ROW(INDIRECT("1:"&amp;LEN(C130)))),1))," ",REPT(" ",LEN(C130))),LEN(C130)))</f>
        <v>4</v>
      </c>
      <c r="I131" s="22"/>
      <c r="J131" s="27"/>
    </row>
    <row r="132" spans="1:14" customFormat="1" x14ac:dyDescent="0.3">
      <c r="A132" s="95" t="s">
        <v>124</v>
      </c>
      <c r="B132" s="96"/>
      <c r="C132" s="97" t="str">
        <f ca="1">I130</f>
        <v>Excavation work Completed. Plinth work completed, RCC upto 2 Slab Completed</v>
      </c>
      <c r="D132" s="97"/>
      <c r="E132" s="97"/>
      <c r="F132" s="97"/>
      <c r="G132" s="97"/>
      <c r="H132" s="98"/>
      <c r="I132" s="22" t="s">
        <v>142</v>
      </c>
      <c r="J132" s="27"/>
    </row>
    <row r="133" spans="1:14" customFormat="1" ht="31.2" x14ac:dyDescent="0.3">
      <c r="A133" s="80" t="s">
        <v>51</v>
      </c>
      <c r="B133" s="81"/>
      <c r="C133" s="32" t="s">
        <v>174</v>
      </c>
      <c r="D133" s="32" t="s">
        <v>116</v>
      </c>
      <c r="E133" s="81" t="s">
        <v>118</v>
      </c>
      <c r="F133" s="81"/>
      <c r="G133" s="81" t="s">
        <v>117</v>
      </c>
      <c r="H133" s="99"/>
      <c r="I133" s="41" t="s">
        <v>175</v>
      </c>
      <c r="J133" s="28">
        <f ca="1">H131*25%</f>
        <v>1</v>
      </c>
    </row>
    <row r="134" spans="1:14" customFormat="1" x14ac:dyDescent="0.3">
      <c r="A134" s="80" t="s">
        <v>176</v>
      </c>
      <c r="B134" s="81"/>
      <c r="C134" s="33">
        <f ca="1">J135</f>
        <v>4</v>
      </c>
      <c r="D134" s="39">
        <f ca="1">((100/H131)*C134)/100</f>
        <v>1</v>
      </c>
      <c r="E134" s="133">
        <f ca="1">(((C135/H131*10)+(40/(D131+F131+H131)*C136)+(7.5/(H131)*C137)+(7.5/(H131)*C138)+(10/H131*C139)+(10/H131*C140)+(5/H131*C141)+(5/H131*C142)+(5/H131*C143))/100)</f>
        <v>0.26</v>
      </c>
      <c r="F134" s="133"/>
      <c r="G134" s="133">
        <f ca="1">((((C134/H131)*20)+((C135/H131)*25)+(30/(H131+F131+D131)*C136)+(5/H131*C137)+(5/H131*C138)+(5/H131*C139)+(5/H131*C140)+(0/H131*C141)+(0/H131*C142)+(5/H131*C143))/100)</f>
        <v>0.56999999999999995</v>
      </c>
      <c r="H134" s="135"/>
      <c r="I134" s="41" t="s">
        <v>136</v>
      </c>
      <c r="J134" s="43">
        <f ca="1">H131*50%</f>
        <v>2</v>
      </c>
    </row>
    <row r="135" spans="1:14" customFormat="1" x14ac:dyDescent="0.3">
      <c r="A135" s="80" t="s">
        <v>52</v>
      </c>
      <c r="B135" s="81"/>
      <c r="C135" s="34">
        <f ca="1">J143</f>
        <v>4</v>
      </c>
      <c r="D135" s="39">
        <f ca="1">((100/H131)*C135)/100</f>
        <v>1</v>
      </c>
      <c r="E135" s="133"/>
      <c r="F135" s="133"/>
      <c r="G135" s="133"/>
      <c r="H135" s="135"/>
      <c r="I135" s="41" t="s">
        <v>137</v>
      </c>
      <c r="J135" s="43">
        <f ca="1">H131</f>
        <v>4</v>
      </c>
    </row>
    <row r="136" spans="1:14" customFormat="1" x14ac:dyDescent="0.3">
      <c r="A136" s="80" t="s">
        <v>177</v>
      </c>
      <c r="B136" s="81"/>
      <c r="C136" s="34">
        <v>2</v>
      </c>
      <c r="D136" s="39">
        <f ca="1">((100/(D131+F131+H131))*C136)/100</f>
        <v>0.4</v>
      </c>
      <c r="E136" s="133"/>
      <c r="F136" s="133"/>
      <c r="G136" s="133"/>
      <c r="H136" s="135"/>
      <c r="I136" s="41" t="s">
        <v>138</v>
      </c>
      <c r="J136" s="44">
        <f ca="1">(IF(B131&gt;1,(H131/(B131+2)),H131/4))</f>
        <v>1</v>
      </c>
      <c r="L136" s="45"/>
    </row>
    <row r="137" spans="1:14" customFormat="1" ht="15.75" customHeight="1" x14ac:dyDescent="0.3">
      <c r="A137" s="80" t="s">
        <v>178</v>
      </c>
      <c r="B137" s="81" t="s">
        <v>179</v>
      </c>
      <c r="C137" s="33">
        <v>0</v>
      </c>
      <c r="D137" s="39">
        <f ca="1">((100/H131)*C137)/100</f>
        <v>0</v>
      </c>
      <c r="E137" s="133"/>
      <c r="F137" s="133"/>
      <c r="G137" s="133"/>
      <c r="H137" s="135"/>
      <c r="I137" s="41" t="s">
        <v>139</v>
      </c>
      <c r="J137" s="44">
        <f ca="1">(IF(B131&gt;1,(H131/(B131+2)+J136),H131/4+J136))</f>
        <v>2</v>
      </c>
      <c r="L137" s="45"/>
    </row>
    <row r="138" spans="1:14" customFormat="1" ht="15.75" customHeight="1" x14ac:dyDescent="0.3">
      <c r="A138" s="80" t="s">
        <v>180</v>
      </c>
      <c r="B138" s="81" t="s">
        <v>179</v>
      </c>
      <c r="C138" s="33">
        <v>0</v>
      </c>
      <c r="D138" s="39">
        <f ca="1">((100/H131)*C138)/100</f>
        <v>0</v>
      </c>
      <c r="E138" s="133"/>
      <c r="F138" s="133"/>
      <c r="G138" s="133"/>
      <c r="H138" s="135"/>
      <c r="I138" s="41" t="s">
        <v>181</v>
      </c>
      <c r="J138" s="44">
        <f>(IF(B131&gt;1,(H131/(B131+2)+J137),0))</f>
        <v>0</v>
      </c>
      <c r="L138" s="46"/>
      <c r="N138" s="45"/>
    </row>
    <row r="139" spans="1:14" customFormat="1" ht="15.75" customHeight="1" x14ac:dyDescent="0.3">
      <c r="A139" s="80" t="s">
        <v>182</v>
      </c>
      <c r="B139" s="81" t="s">
        <v>183</v>
      </c>
      <c r="C139" s="33">
        <v>0</v>
      </c>
      <c r="D139" s="39">
        <f ca="1">((100/(H131))*C139)/100</f>
        <v>0</v>
      </c>
      <c r="E139" s="133"/>
      <c r="F139" s="133"/>
      <c r="G139" s="133"/>
      <c r="H139" s="135"/>
      <c r="I139" s="41" t="s">
        <v>184</v>
      </c>
      <c r="J139" s="44">
        <f>(IF(B131&gt;2,(H131/(B131+2)+J138),0))</f>
        <v>0</v>
      </c>
      <c r="K139" s="47"/>
      <c r="L139" s="46"/>
    </row>
    <row r="140" spans="1:14" customFormat="1" ht="15.75" customHeight="1" x14ac:dyDescent="0.3">
      <c r="A140" s="80" t="s">
        <v>185</v>
      </c>
      <c r="B140" s="81" t="s">
        <v>185</v>
      </c>
      <c r="C140" s="33">
        <v>0</v>
      </c>
      <c r="D140" s="39">
        <f ca="1">((100/H131)*C140)/100</f>
        <v>0</v>
      </c>
      <c r="E140" s="133"/>
      <c r="F140" s="133"/>
      <c r="G140" s="133"/>
      <c r="H140" s="135"/>
      <c r="I140" s="41" t="s">
        <v>186</v>
      </c>
      <c r="J140" s="48">
        <f>(IF(B131&gt;3,(H131/(B131+2)+J139),0))</f>
        <v>0</v>
      </c>
      <c r="K140" s="47"/>
      <c r="L140" s="46"/>
    </row>
    <row r="141" spans="1:14" customFormat="1" ht="15.75" customHeight="1" x14ac:dyDescent="0.3">
      <c r="A141" s="80" t="s">
        <v>187</v>
      </c>
      <c r="B141" s="81"/>
      <c r="C141" s="33">
        <v>0</v>
      </c>
      <c r="D141" s="39">
        <f ca="1">((100/H131)*C141)/100</f>
        <v>0</v>
      </c>
      <c r="E141" s="133"/>
      <c r="F141" s="133"/>
      <c r="G141" s="133"/>
      <c r="H141" s="135"/>
      <c r="I141" s="41" t="s">
        <v>188</v>
      </c>
      <c r="J141" s="44">
        <f>(IF(B131&gt;4,(H131/(B131+2)+J140),0))</f>
        <v>0</v>
      </c>
      <c r="K141" s="45"/>
      <c r="L141" s="46"/>
    </row>
    <row r="142" spans="1:14" customFormat="1" ht="15.75" customHeight="1" x14ac:dyDescent="0.3">
      <c r="A142" s="80" t="s">
        <v>189</v>
      </c>
      <c r="B142" s="81" t="s">
        <v>189</v>
      </c>
      <c r="C142" s="33">
        <v>0</v>
      </c>
      <c r="D142" s="39">
        <f ca="1">((100/(H131))*C142)/100</f>
        <v>0</v>
      </c>
      <c r="E142" s="133"/>
      <c r="F142" s="133"/>
      <c r="G142" s="133"/>
      <c r="H142" s="135"/>
      <c r="I142" s="41" t="s">
        <v>140</v>
      </c>
      <c r="J142" s="44">
        <f ca="1">(IF(B131=1,(H131/(B131+3)+J137),IF(B131=0,(H131/4+J137),IF(B131&gt;1,0))))</f>
        <v>3</v>
      </c>
      <c r="K142" s="47"/>
      <c r="L142" s="46"/>
    </row>
    <row r="143" spans="1:14" customFormat="1" ht="16.2" thickBot="1" x14ac:dyDescent="0.35">
      <c r="A143" s="82" t="s">
        <v>190</v>
      </c>
      <c r="B143" s="83"/>
      <c r="C143" s="53">
        <v>0</v>
      </c>
      <c r="D143" s="54">
        <f ca="1">((100/(H131))*C143)/100</f>
        <v>0</v>
      </c>
      <c r="E143" s="152"/>
      <c r="F143" s="152"/>
      <c r="G143" s="152"/>
      <c r="H143" s="153"/>
      <c r="I143" s="49" t="s">
        <v>141</v>
      </c>
      <c r="J143" s="50">
        <f ca="1">(IF(B131&gt;1.5,(H131/(B131+2)+J137+MAX(0,J138-J137)+MAX(0,J139-J138)+MAX(0,J140-J139)+MAX(0,J141-J140)+MAX(0,J142-J141)),IF(B131=1,(H131/(B131+3)+J142),IF(B131=0,H131/4+J142))))</f>
        <v>4</v>
      </c>
      <c r="K143" s="47"/>
      <c r="L143" s="46"/>
    </row>
    <row r="144" spans="1:14" customFormat="1" ht="15.75" customHeight="1" x14ac:dyDescent="0.3">
      <c r="A144" s="97" t="s">
        <v>173</v>
      </c>
      <c r="B144" s="97"/>
      <c r="C144" s="97" t="s">
        <v>209</v>
      </c>
      <c r="D144" s="97"/>
      <c r="E144" s="97"/>
      <c r="F144" s="97"/>
      <c r="G144" s="97"/>
      <c r="H144" s="97"/>
      <c r="I144" s="42" t="str">
        <f ca="1">(IF(E148&gt;99%,"All work completed. Please provide OC.",IF(E148&gt;89.8%,"Plinth, RCC, Brick, Plaster, Flooring, Painting work Completed. Finishing work is in process.",IF(E148&lt;94%,(IF(C148=0,"Work not yet Started.",IF(D148=25%,"Piling work in process",IF(D148=50%,"Excavation work in process",IF(D148=100%,"Excavation work Completed. ","0")))&amp;(IF(C149=0%,"",IF(C149=J150,"Footing work is process",IF(C149=J151,"Footing work Completed",IF(C149=J152,"1st Basement Completed",IF(C149=J153,"1st &amp; 2nd Basement Completed",IF(C149=J154,"1st to 3rd Basement Completed",IF(C149=J155,"1st to 4th Basement Completed",IF(C149=J156,"Plinth work is process",IF(C149=J157,"Plinth work completed","0")))))))))))&amp;(IF(C150=(D145+F145+H145),", RCC Slab",IF(C150&gt;0,", RCC upto "&amp;C150&amp;" Slab",""))&amp;(IF(C151=H145,", Brickwork",IF(C151&gt;0,", Brickwork upto "&amp;C151&amp;" Floor",""))&amp;(IF(C152=H145,", Internal Plaster",IF(C152&gt;0,", Internal Plaster upto "&amp;C152&amp;" Floor",""))&amp;(IF(C153=H145,", External Plaster",IF(C153&gt;0,", External Plaster upto "&amp;C153&amp;" Floor",""))&amp;(IF(C154=H145,", Flooring",IF(C154&gt;0,", Flooring upto "&amp;C154&amp;" Floor",""))&amp;(IF(C155=H145,", Painting",IF(C155&gt;0,", Painting upto "&amp;C155&amp;" Floor",""))&amp;(IF(C156&gt;0,", Finishing upto "&amp;C156&amp;" Floor","")&amp;(IF(C150&gt;0.5," Completed",""))))))))))))))</f>
        <v>Excavation work Completed. Plinth work completed, RCC upto 1 Slab Completed</v>
      </c>
      <c r="J144" s="26"/>
    </row>
    <row r="145" spans="1:14" customFormat="1" x14ac:dyDescent="0.3">
      <c r="A145" s="38" t="s">
        <v>101</v>
      </c>
      <c r="B145" s="38">
        <v>0</v>
      </c>
      <c r="C145" s="38" t="s">
        <v>103</v>
      </c>
      <c r="D145" s="38">
        <v>1</v>
      </c>
      <c r="E145" s="38" t="s">
        <v>102</v>
      </c>
      <c r="F145" s="38">
        <v>0</v>
      </c>
      <c r="G145" s="38" t="s">
        <v>113</v>
      </c>
      <c r="H145" s="38">
        <f ca="1">--TRIM(RIGHT(SUBSTITUTE(LEFT(C144,_xlfn.AGGREGATE(16,6,FIND({0,1,2,3,4,5,6,7,8,9},C144,ROW(INDIRECT("1:"&amp;LEN(C144)))),1))," ",REPT(" ",LEN(C144))),LEN(C144)))</f>
        <v>4</v>
      </c>
      <c r="I145" s="22"/>
      <c r="J145" s="27"/>
    </row>
    <row r="146" spans="1:14" customFormat="1" x14ac:dyDescent="0.3">
      <c r="A146" s="96" t="s">
        <v>124</v>
      </c>
      <c r="B146" s="96"/>
      <c r="C146" s="97" t="str">
        <f ca="1">I144</f>
        <v>Excavation work Completed. Plinth work completed, RCC upto 1 Slab Completed</v>
      </c>
      <c r="D146" s="97"/>
      <c r="E146" s="97"/>
      <c r="F146" s="97"/>
      <c r="G146" s="97"/>
      <c r="H146" s="97"/>
      <c r="I146" s="22" t="s">
        <v>142</v>
      </c>
      <c r="J146" s="27"/>
    </row>
    <row r="147" spans="1:14" customFormat="1" ht="31.2" x14ac:dyDescent="0.3">
      <c r="A147" s="81" t="s">
        <v>51</v>
      </c>
      <c r="B147" s="81"/>
      <c r="C147" s="32" t="s">
        <v>174</v>
      </c>
      <c r="D147" s="32" t="s">
        <v>116</v>
      </c>
      <c r="E147" s="81" t="s">
        <v>118</v>
      </c>
      <c r="F147" s="81"/>
      <c r="G147" s="81" t="s">
        <v>117</v>
      </c>
      <c r="H147" s="81"/>
      <c r="I147" s="41" t="s">
        <v>175</v>
      </c>
      <c r="J147" s="28">
        <f ca="1">H145*25%</f>
        <v>1</v>
      </c>
    </row>
    <row r="148" spans="1:14" customFormat="1" x14ac:dyDescent="0.3">
      <c r="A148" s="81" t="s">
        <v>176</v>
      </c>
      <c r="B148" s="81"/>
      <c r="C148" s="33">
        <v>4</v>
      </c>
      <c r="D148" s="39">
        <f ca="1">((100/H145)*C148)/100</f>
        <v>1</v>
      </c>
      <c r="E148" s="133">
        <f ca="1">(((C149/H145*10)+(40/(D145+F145+H145)*C150)+(7.5/(H145)*C151)+(7.5/(H145)*C152)+(10/H145*C153)+(10/H145*C154)+(5/H145*C155)+(5/H145*C156)+(5/H145*C157))/100)</f>
        <v>0.18</v>
      </c>
      <c r="F148" s="133"/>
      <c r="G148" s="133">
        <f ca="1">((((C148/H145)*20)+((C149/H145)*25)+(30/(H145+F145+D145)*C150)+(5/H145*C151)+(5/H145*C152)+(5/H145*C153)+(5/H145*C154)+(0/H145*C155)+(0/H145*C156)+(5/H145*C157))/100)</f>
        <v>0.51</v>
      </c>
      <c r="H148" s="133"/>
      <c r="I148" s="41" t="s">
        <v>136</v>
      </c>
      <c r="J148" s="43">
        <f ca="1">H145*50%</f>
        <v>2</v>
      </c>
    </row>
    <row r="149" spans="1:14" customFormat="1" x14ac:dyDescent="0.3">
      <c r="A149" s="81" t="s">
        <v>52</v>
      </c>
      <c r="B149" s="81"/>
      <c r="C149" s="34">
        <f ca="1">J157</f>
        <v>4</v>
      </c>
      <c r="D149" s="39">
        <f ca="1">((100/H145)*C149)/100</f>
        <v>1</v>
      </c>
      <c r="E149" s="133"/>
      <c r="F149" s="133"/>
      <c r="G149" s="133"/>
      <c r="H149" s="133"/>
      <c r="I149" s="41" t="s">
        <v>137</v>
      </c>
      <c r="J149" s="43">
        <f ca="1">H145</f>
        <v>4</v>
      </c>
    </row>
    <row r="150" spans="1:14" customFormat="1" x14ac:dyDescent="0.3">
      <c r="A150" s="81" t="s">
        <v>177</v>
      </c>
      <c r="B150" s="81"/>
      <c r="C150" s="34">
        <v>1</v>
      </c>
      <c r="D150" s="39">
        <f ca="1">((100/(D145+F145+H145))*C150)/100</f>
        <v>0.2</v>
      </c>
      <c r="E150" s="133"/>
      <c r="F150" s="133"/>
      <c r="G150" s="133"/>
      <c r="H150" s="133"/>
      <c r="I150" s="41" t="s">
        <v>138</v>
      </c>
      <c r="J150" s="44">
        <f ca="1">(IF(B145&gt;1,(H145/(B145+2)),H145/4))</f>
        <v>1</v>
      </c>
      <c r="L150" s="45"/>
    </row>
    <row r="151" spans="1:14" customFormat="1" ht="15.75" customHeight="1" x14ac:dyDescent="0.3">
      <c r="A151" s="81" t="s">
        <v>178</v>
      </c>
      <c r="B151" s="81" t="s">
        <v>179</v>
      </c>
      <c r="C151" s="53">
        <v>0</v>
      </c>
      <c r="D151" s="39">
        <f ca="1">((100/H145)*C151)/100</f>
        <v>0</v>
      </c>
      <c r="E151" s="133"/>
      <c r="F151" s="133"/>
      <c r="G151" s="133"/>
      <c r="H151" s="133"/>
      <c r="I151" s="41" t="s">
        <v>139</v>
      </c>
      <c r="J151" s="44">
        <f ca="1">(IF(B145&gt;1,(H145/(B145+2)+J150),H145/4+J150))</f>
        <v>2</v>
      </c>
      <c r="L151" s="45"/>
    </row>
    <row r="152" spans="1:14" customFormat="1" ht="15.75" customHeight="1" x14ac:dyDescent="0.3">
      <c r="A152" s="81" t="s">
        <v>180</v>
      </c>
      <c r="B152" s="81" t="s">
        <v>179</v>
      </c>
      <c r="C152" s="53">
        <v>0</v>
      </c>
      <c r="D152" s="39">
        <f ca="1">((100/H145)*C152)/100</f>
        <v>0</v>
      </c>
      <c r="E152" s="133"/>
      <c r="F152" s="133"/>
      <c r="G152" s="133"/>
      <c r="H152" s="133"/>
      <c r="I152" s="41" t="s">
        <v>181</v>
      </c>
      <c r="J152" s="44">
        <f>(IF(B145&gt;1,(H145/(B145+2)+J151),0))</f>
        <v>0</v>
      </c>
      <c r="L152" s="46"/>
      <c r="N152" s="45"/>
    </row>
    <row r="153" spans="1:14" customFormat="1" ht="15.75" customHeight="1" x14ac:dyDescent="0.3">
      <c r="A153" s="81" t="s">
        <v>182</v>
      </c>
      <c r="B153" s="81" t="s">
        <v>183</v>
      </c>
      <c r="C153" s="53">
        <v>0</v>
      </c>
      <c r="D153" s="39">
        <f ca="1">((100/(H145))*C153)/100</f>
        <v>0</v>
      </c>
      <c r="E153" s="133"/>
      <c r="F153" s="133"/>
      <c r="G153" s="133"/>
      <c r="H153" s="133"/>
      <c r="I153" s="41" t="s">
        <v>184</v>
      </c>
      <c r="J153" s="44">
        <f>(IF(B145&gt;2,(H145/(B145+2)+J152),0))</f>
        <v>0</v>
      </c>
      <c r="K153" s="47"/>
      <c r="L153" s="46"/>
    </row>
    <row r="154" spans="1:14" customFormat="1" ht="15.75" customHeight="1" x14ac:dyDescent="0.3">
      <c r="A154" s="81" t="s">
        <v>185</v>
      </c>
      <c r="B154" s="81" t="s">
        <v>185</v>
      </c>
      <c r="C154" s="53">
        <v>0</v>
      </c>
      <c r="D154" s="39">
        <f ca="1">((100/H145)*C154)/100</f>
        <v>0</v>
      </c>
      <c r="E154" s="133"/>
      <c r="F154" s="133"/>
      <c r="G154" s="133"/>
      <c r="H154" s="133"/>
      <c r="I154" s="41" t="s">
        <v>186</v>
      </c>
      <c r="J154" s="48">
        <f>(IF(B145&gt;3,(H145/(B145+2)+J153),0))</f>
        <v>0</v>
      </c>
      <c r="K154" s="47"/>
      <c r="L154" s="46"/>
    </row>
    <row r="155" spans="1:14" customFormat="1" ht="15.75" customHeight="1" x14ac:dyDescent="0.3">
      <c r="A155" s="81" t="s">
        <v>187</v>
      </c>
      <c r="B155" s="81"/>
      <c r="C155" s="53">
        <v>0</v>
      </c>
      <c r="D155" s="39">
        <f ca="1">((100/H145)*C155)/100</f>
        <v>0</v>
      </c>
      <c r="E155" s="133"/>
      <c r="F155" s="133"/>
      <c r="G155" s="133"/>
      <c r="H155" s="133"/>
      <c r="I155" s="41" t="s">
        <v>188</v>
      </c>
      <c r="J155" s="44">
        <f>(IF(B145&gt;4,(H145/(B145+2)+J154),0))</f>
        <v>0</v>
      </c>
      <c r="K155" s="45"/>
      <c r="L155" s="46"/>
    </row>
    <row r="156" spans="1:14" customFormat="1" ht="15.75" customHeight="1" x14ac:dyDescent="0.3">
      <c r="A156" s="81" t="s">
        <v>189</v>
      </c>
      <c r="B156" s="81" t="s">
        <v>189</v>
      </c>
      <c r="C156" s="53">
        <v>0</v>
      </c>
      <c r="D156" s="39">
        <f ca="1">((100/(H145))*C156)/100</f>
        <v>0</v>
      </c>
      <c r="E156" s="133"/>
      <c r="F156" s="133"/>
      <c r="G156" s="133"/>
      <c r="H156" s="133"/>
      <c r="I156" s="41" t="s">
        <v>140</v>
      </c>
      <c r="J156" s="44">
        <f ca="1">(IF(B145=1,(H145/(B145+3)+J151),IF(B145=0,(H145/4+J151),IF(B145&gt;1,0))))</f>
        <v>3</v>
      </c>
      <c r="K156" s="47"/>
      <c r="L156" s="46"/>
    </row>
    <row r="157" spans="1:14" customFormat="1" ht="16.2" thickBot="1" x14ac:dyDescent="0.35">
      <c r="A157" s="81" t="s">
        <v>190</v>
      </c>
      <c r="B157" s="81"/>
      <c r="C157" s="53">
        <v>0</v>
      </c>
      <c r="D157" s="39">
        <f ca="1">((100/(H145))*C157)/100</f>
        <v>0</v>
      </c>
      <c r="E157" s="133"/>
      <c r="F157" s="133"/>
      <c r="G157" s="133"/>
      <c r="H157" s="133"/>
      <c r="I157" s="49" t="s">
        <v>141</v>
      </c>
      <c r="J157" s="50">
        <f ca="1">(IF(B145&gt;1.5,(H145/(B145+2)+J151+MAX(0,J152-J151)+MAX(0,J153-J152)+MAX(0,J154-J153)+MAX(0,J155-J154)+MAX(0,J156-J155)),IF(B145=1,(H145/(B145+3)+J156),IF(B145=0,H145/4+J156))))</f>
        <v>4</v>
      </c>
      <c r="K157" s="47"/>
      <c r="L157" s="46"/>
    </row>
    <row r="158" spans="1:14" customFormat="1" ht="15.75" customHeight="1" x14ac:dyDescent="0.3">
      <c r="A158" s="90" t="s">
        <v>173</v>
      </c>
      <c r="B158" s="91"/>
      <c r="C158" s="92" t="s">
        <v>214</v>
      </c>
      <c r="D158" s="93"/>
      <c r="E158" s="93"/>
      <c r="F158" s="93"/>
      <c r="G158" s="93"/>
      <c r="H158" s="94"/>
      <c r="I158" s="42" t="str">
        <f ca="1">(IF(E162&gt;99%,"All work completed. Please provide OC.",IF(E162&gt;89.8%,"Plinth, RCC, Brick, Plaster, Flooring, Painting work Completed. Finishing work is in process.",IF(E162&lt;94%,(IF(C162=0,"Work not yet Started.",IF(D162=25%,"Piling work in process",IF(D162=50%,"Excavation work in process",IF(D162=100%,"Excavation work Completed. ","0")))&amp;(IF(C163=0%,"",IF(C163=J164,"Footing work is process",IF(C163=J165,"Footing work Completed",IF(C163=J166,"1st Basement Completed",IF(C163=J167,"1st &amp; 2nd Basement Completed",IF(C163=J168,"1st to 3rd Basement Completed",IF(C163=J169,"1st to 4th Basement Completed",IF(C163=J170,"Plinth work is process",IF(C163=J171,"Plinth work completed","0")))))))))))&amp;(IF(C164=(D159+F159+H159),", RCC Slab",IF(C164&gt;0,", RCC upto "&amp;C164&amp;" Slab",""))&amp;(IF(C165=H159,", Brickwork",IF(C165&gt;0,", Brickwork upto "&amp;C165&amp;" Floor",""))&amp;(IF(C166=H159,", Internal Plaster",IF(C166&gt;0,", Internal Plaster upto "&amp;C166&amp;" Floor",""))&amp;(IF(C167=H159,", External Plaster",IF(C167&gt;0,", External Plaster upto "&amp;C167&amp;" Floor",""))&amp;(IF(C168=H159,", Flooring",IF(C168&gt;0,", Flooring upto "&amp;C168&amp;" Floor",""))&amp;(IF(C169=H159,", Painting",IF(C169&gt;0,", Painting upto "&amp;C169&amp;" Floor",""))&amp;(IF(C170&gt;0,", Finishing upto "&amp;C170&amp;" Floor","")&amp;(IF(C164&gt;0.5," Completed",""))))))))))))))</f>
        <v>Piling work in process</v>
      </c>
      <c r="J158" s="26"/>
    </row>
    <row r="159" spans="1:14" customFormat="1" x14ac:dyDescent="0.3">
      <c r="A159" s="25" t="s">
        <v>101</v>
      </c>
      <c r="B159" s="38">
        <v>0</v>
      </c>
      <c r="C159" s="38" t="s">
        <v>103</v>
      </c>
      <c r="D159" s="38">
        <v>1</v>
      </c>
      <c r="E159" s="38" t="s">
        <v>102</v>
      </c>
      <c r="F159" s="38">
        <v>0</v>
      </c>
      <c r="G159" s="38" t="s">
        <v>113</v>
      </c>
      <c r="H159" s="31">
        <f ca="1">--TRIM(RIGHT(SUBSTITUTE(LEFT(C158,_xlfn.AGGREGATE(16,6,FIND({0,1,2,3,4,5,6,7,8,9},C158,ROW(INDIRECT("1:"&amp;LEN(C158)))),1))," ",REPT(" ",LEN(C158))),LEN(C158)))</f>
        <v>4</v>
      </c>
      <c r="I159" s="22"/>
      <c r="J159" s="27"/>
    </row>
    <row r="160" spans="1:14" customFormat="1" x14ac:dyDescent="0.3">
      <c r="A160" s="95" t="s">
        <v>124</v>
      </c>
      <c r="B160" s="96"/>
      <c r="C160" s="97" t="str">
        <f ca="1">I158</f>
        <v>Piling work in process</v>
      </c>
      <c r="D160" s="97"/>
      <c r="E160" s="97"/>
      <c r="F160" s="97"/>
      <c r="G160" s="97"/>
      <c r="H160" s="98"/>
      <c r="I160" s="22" t="s">
        <v>142</v>
      </c>
      <c r="J160" s="27"/>
    </row>
    <row r="161" spans="1:14" customFormat="1" ht="31.2" x14ac:dyDescent="0.3">
      <c r="A161" s="80" t="s">
        <v>51</v>
      </c>
      <c r="B161" s="81"/>
      <c r="C161" s="32" t="s">
        <v>174</v>
      </c>
      <c r="D161" s="32" t="s">
        <v>116</v>
      </c>
      <c r="E161" s="81" t="s">
        <v>118</v>
      </c>
      <c r="F161" s="81"/>
      <c r="G161" s="81" t="s">
        <v>117</v>
      </c>
      <c r="H161" s="99"/>
      <c r="I161" s="41" t="s">
        <v>175</v>
      </c>
      <c r="J161" s="28">
        <f ca="1">H159*25%</f>
        <v>1</v>
      </c>
    </row>
    <row r="162" spans="1:14" customFormat="1" x14ac:dyDescent="0.3">
      <c r="A162" s="80" t="s">
        <v>176</v>
      </c>
      <c r="B162" s="81"/>
      <c r="C162" s="33">
        <f ca="1">J161</f>
        <v>1</v>
      </c>
      <c r="D162" s="39">
        <f ca="1">((100/H159)*C162)/100</f>
        <v>0.25</v>
      </c>
      <c r="E162" s="133">
        <f ca="1">(((C163/H159*10)+(40/(D159+F159+H159)*C164)+(7.5/(H159)*C165)+(7.5/(H159)*C166)+(10/H159*C167)+(10/H159*C168)+(5/H159*C169)+(5/H159*C170)+(5/H159*C171))/100)</f>
        <v>0</v>
      </c>
      <c r="F162" s="133"/>
      <c r="G162" s="133">
        <f ca="1">((((C162/H159)*20)+((C163/H159)*25)+(30/(H159+F159+D159)*C164)+(5/H159*C165)+(5/H159*C166)+(5/H159*C167)+(5/H159*C168)+(0/H159*C169)+(0/H159*C170)+(5/H159*C171))/100)</f>
        <v>0.05</v>
      </c>
      <c r="H162" s="135"/>
      <c r="I162" s="41" t="s">
        <v>136</v>
      </c>
      <c r="J162" s="43">
        <f ca="1">H159*50%</f>
        <v>2</v>
      </c>
    </row>
    <row r="163" spans="1:14" customFormat="1" x14ac:dyDescent="0.3">
      <c r="A163" s="80" t="s">
        <v>52</v>
      </c>
      <c r="B163" s="81"/>
      <c r="C163" s="34">
        <v>0</v>
      </c>
      <c r="D163" s="39">
        <f ca="1">((100/H159)*C163)/100</f>
        <v>0</v>
      </c>
      <c r="E163" s="133"/>
      <c r="F163" s="133"/>
      <c r="G163" s="133"/>
      <c r="H163" s="135"/>
      <c r="I163" s="41" t="s">
        <v>137</v>
      </c>
      <c r="J163" s="43">
        <f ca="1">H159</f>
        <v>4</v>
      </c>
    </row>
    <row r="164" spans="1:14" customFormat="1" x14ac:dyDescent="0.3">
      <c r="A164" s="80" t="s">
        <v>177</v>
      </c>
      <c r="B164" s="81"/>
      <c r="C164" s="34">
        <v>0</v>
      </c>
      <c r="D164" s="39">
        <f ca="1">((100/(D159+F159+H159))*C164)/100</f>
        <v>0</v>
      </c>
      <c r="E164" s="133"/>
      <c r="F164" s="133"/>
      <c r="G164" s="133"/>
      <c r="H164" s="135"/>
      <c r="I164" s="41" t="s">
        <v>138</v>
      </c>
      <c r="J164" s="44">
        <f ca="1">(IF(B159&gt;1,(H159/(B159+2)),H159/4))</f>
        <v>1</v>
      </c>
      <c r="L164" s="45"/>
    </row>
    <row r="165" spans="1:14" customFormat="1" ht="15.75" customHeight="1" x14ac:dyDescent="0.3">
      <c r="A165" s="80" t="s">
        <v>178</v>
      </c>
      <c r="B165" s="81" t="s">
        <v>179</v>
      </c>
      <c r="C165" s="33">
        <v>0</v>
      </c>
      <c r="D165" s="39">
        <f ca="1">((100/H159)*C165)/100</f>
        <v>0</v>
      </c>
      <c r="E165" s="133"/>
      <c r="F165" s="133"/>
      <c r="G165" s="133"/>
      <c r="H165" s="135"/>
      <c r="I165" s="41" t="s">
        <v>139</v>
      </c>
      <c r="J165" s="44">
        <f ca="1">(IF(B159&gt;1,(H159/(B159+2)+J164),H159/4+J164))</f>
        <v>2</v>
      </c>
      <c r="L165" s="45"/>
    </row>
    <row r="166" spans="1:14" customFormat="1" ht="15.75" customHeight="1" x14ac:dyDescent="0.3">
      <c r="A166" s="80" t="s">
        <v>180</v>
      </c>
      <c r="B166" s="81" t="s">
        <v>179</v>
      </c>
      <c r="C166" s="33">
        <v>0</v>
      </c>
      <c r="D166" s="39">
        <f ca="1">((100/H159)*C166)/100</f>
        <v>0</v>
      </c>
      <c r="E166" s="133"/>
      <c r="F166" s="133"/>
      <c r="G166" s="133"/>
      <c r="H166" s="135"/>
      <c r="I166" s="41" t="s">
        <v>181</v>
      </c>
      <c r="J166" s="44">
        <f>(IF(B159&gt;1,(H159/(B159+2)+J165),0))</f>
        <v>0</v>
      </c>
      <c r="L166" s="46"/>
      <c r="N166" s="45"/>
    </row>
    <row r="167" spans="1:14" customFormat="1" ht="15.75" customHeight="1" x14ac:dyDescent="0.3">
      <c r="A167" s="80" t="s">
        <v>182</v>
      </c>
      <c r="B167" s="81" t="s">
        <v>183</v>
      </c>
      <c r="C167" s="33">
        <v>0</v>
      </c>
      <c r="D167" s="39">
        <f ca="1">((100/(H159))*C167)/100</f>
        <v>0</v>
      </c>
      <c r="E167" s="133"/>
      <c r="F167" s="133"/>
      <c r="G167" s="133"/>
      <c r="H167" s="135"/>
      <c r="I167" s="41" t="s">
        <v>184</v>
      </c>
      <c r="J167" s="44">
        <f>(IF(B159&gt;2,(H159/(B159+2)+J166),0))</f>
        <v>0</v>
      </c>
      <c r="K167" s="47"/>
      <c r="L167" s="46"/>
    </row>
    <row r="168" spans="1:14" customFormat="1" ht="15.75" customHeight="1" x14ac:dyDescent="0.3">
      <c r="A168" s="80" t="s">
        <v>185</v>
      </c>
      <c r="B168" s="81" t="s">
        <v>185</v>
      </c>
      <c r="C168" s="33">
        <v>0</v>
      </c>
      <c r="D168" s="39">
        <f ca="1">((100/H159)*C168)/100</f>
        <v>0</v>
      </c>
      <c r="E168" s="133"/>
      <c r="F168" s="133"/>
      <c r="G168" s="133"/>
      <c r="H168" s="135"/>
      <c r="I168" s="41" t="s">
        <v>186</v>
      </c>
      <c r="J168" s="48">
        <f>(IF(B159&gt;3,(H159/(B159+2)+J167),0))</f>
        <v>0</v>
      </c>
      <c r="K168" s="47"/>
      <c r="L168" s="46"/>
    </row>
    <row r="169" spans="1:14" customFormat="1" ht="15.75" customHeight="1" x14ac:dyDescent="0.3">
      <c r="A169" s="80" t="s">
        <v>187</v>
      </c>
      <c r="B169" s="81"/>
      <c r="C169" s="33">
        <v>0</v>
      </c>
      <c r="D169" s="39">
        <f ca="1">((100/H159)*C169)/100</f>
        <v>0</v>
      </c>
      <c r="E169" s="133"/>
      <c r="F169" s="133"/>
      <c r="G169" s="133"/>
      <c r="H169" s="135"/>
      <c r="I169" s="41" t="s">
        <v>188</v>
      </c>
      <c r="J169" s="44">
        <f>(IF(B159&gt;4,(H159/(B159+2)+J168),0))</f>
        <v>0</v>
      </c>
      <c r="K169" s="45"/>
      <c r="L169" s="46"/>
    </row>
    <row r="170" spans="1:14" customFormat="1" ht="15.75" customHeight="1" x14ac:dyDescent="0.3">
      <c r="A170" s="80" t="s">
        <v>189</v>
      </c>
      <c r="B170" s="81" t="s">
        <v>189</v>
      </c>
      <c r="C170" s="33">
        <v>0</v>
      </c>
      <c r="D170" s="39">
        <f ca="1">((100/(H159))*C170)/100</f>
        <v>0</v>
      </c>
      <c r="E170" s="133"/>
      <c r="F170" s="133"/>
      <c r="G170" s="133"/>
      <c r="H170" s="135"/>
      <c r="I170" s="41" t="s">
        <v>140</v>
      </c>
      <c r="J170" s="44">
        <f ca="1">(IF(B159=1,(H159/(B159+3)+J165),IF(B159=0,(H159/4+J165),IF(B159&gt;1,0))))</f>
        <v>3</v>
      </c>
      <c r="K170" s="47"/>
      <c r="L170" s="46"/>
    </row>
    <row r="171" spans="1:14" customFormat="1" ht="16.2" thickBot="1" x14ac:dyDescent="0.35">
      <c r="A171" s="82" t="s">
        <v>190</v>
      </c>
      <c r="B171" s="83"/>
      <c r="C171" s="53">
        <v>0</v>
      </c>
      <c r="D171" s="54">
        <f ca="1">((100/(H159))*C171)/100</f>
        <v>0</v>
      </c>
      <c r="E171" s="152"/>
      <c r="F171" s="152"/>
      <c r="G171" s="152"/>
      <c r="H171" s="153"/>
      <c r="I171" s="49" t="s">
        <v>141</v>
      </c>
      <c r="J171" s="50">
        <f ca="1">(IF(B159&gt;1.5,(H159/(B159+2)+J165+MAX(0,J166-J165)+MAX(0,J167-J166)+MAX(0,J168-J167)+MAX(0,J169-J168)+MAX(0,J170-J169)),IF(B159=1,(H159/(B159+3)+J170),IF(B159=0,H159/4+J170))))</f>
        <v>4</v>
      </c>
      <c r="K171" s="47"/>
      <c r="L171" s="46"/>
    </row>
    <row r="172" spans="1:14" customFormat="1" ht="15.75" customHeight="1" x14ac:dyDescent="0.3">
      <c r="A172" s="97" t="s">
        <v>173</v>
      </c>
      <c r="B172" s="97"/>
      <c r="C172" s="97" t="s">
        <v>210</v>
      </c>
      <c r="D172" s="97"/>
      <c r="E172" s="97"/>
      <c r="F172" s="97"/>
      <c r="G172" s="97"/>
      <c r="H172" s="97"/>
      <c r="I172" s="42" t="str">
        <f ca="1">(IF(E176&gt;99%,"All work completed. Please provide OC.",IF(E176&gt;89.8%,"Plinth, RCC, Brick, Plaster, Flooring, Painting work Completed. Finishing work is in process.",IF(E176&lt;94%,(IF(C176=0,"Work not yet Started.",IF(D176=25%,"Piling work in process",IF(D176=50%,"Excavation work in process",IF(D176=100%,"Excavation work Completed. ","0")))&amp;(IF(C177=0%,"",IF(C177=J178,"Footing work is process",IF(C177=J179,"Footing work Completed",IF(C177=J180,"1st Basement Completed",IF(C177=J181,"1st &amp; 2nd Basement Completed",IF(C177=J182,"1st to 3rd Basement Completed",IF(C177=J183,"1st to 4th Basement Completed",IF(C177=J184,"Plinth work is process",IF(C177=J185,"Plinth work completed","0")))))))))))&amp;(IF(C178=(D173+F173+H173),", RCC Slab",IF(C178&gt;0,", RCC upto "&amp;C178&amp;" Slab",""))&amp;(IF(C179=H173,", Brickwork",IF(C179&gt;0,", Brickwork upto "&amp;C179&amp;" Floor",""))&amp;(IF(C180=H173,", Internal Plaster",IF(C180&gt;0,", Internal Plaster upto "&amp;C180&amp;" Floor",""))&amp;(IF(C181=H173,", External Plaster",IF(C181&gt;0,", External Plaster upto "&amp;C181&amp;" Floor",""))&amp;(IF(C182=H173,", Flooring",IF(C182&gt;0,", Flooring upto "&amp;C182&amp;" Floor",""))&amp;(IF(C183=H173,", Painting",IF(C183&gt;0,", Painting upto "&amp;C183&amp;" Floor",""))&amp;(IF(C184&gt;0,", Finishing upto "&amp;C184&amp;" Floor","")&amp;(IF(C178&gt;0.5," Completed",""))))))))))))))</f>
        <v>Piling work in process</v>
      </c>
      <c r="J172" s="26"/>
    </row>
    <row r="173" spans="1:14" customFormat="1" x14ac:dyDescent="0.3">
      <c r="A173" s="38" t="s">
        <v>101</v>
      </c>
      <c r="B173" s="38">
        <v>0</v>
      </c>
      <c r="C173" s="38" t="s">
        <v>103</v>
      </c>
      <c r="D173" s="38">
        <v>1</v>
      </c>
      <c r="E173" s="38" t="s">
        <v>102</v>
      </c>
      <c r="F173" s="38">
        <v>0</v>
      </c>
      <c r="G173" s="38" t="s">
        <v>113</v>
      </c>
      <c r="H173" s="38">
        <f ca="1">--TRIM(RIGHT(SUBSTITUTE(LEFT(C172,_xlfn.AGGREGATE(16,6,FIND({0,1,2,3,4,5,6,7,8,9},C172,ROW(INDIRECT("1:"&amp;LEN(C172)))),1))," ",REPT(" ",LEN(C172))),LEN(C172)))</f>
        <v>4</v>
      </c>
      <c r="I173" s="22"/>
      <c r="J173" s="27"/>
    </row>
    <row r="174" spans="1:14" customFormat="1" x14ac:dyDescent="0.3">
      <c r="A174" s="96" t="s">
        <v>124</v>
      </c>
      <c r="B174" s="96"/>
      <c r="C174" s="97" t="str">
        <f ca="1">I172</f>
        <v>Piling work in process</v>
      </c>
      <c r="D174" s="97"/>
      <c r="E174" s="97"/>
      <c r="F174" s="97"/>
      <c r="G174" s="97"/>
      <c r="H174" s="97"/>
      <c r="I174" s="22" t="s">
        <v>142</v>
      </c>
      <c r="J174" s="27"/>
    </row>
    <row r="175" spans="1:14" customFormat="1" ht="31.2" x14ac:dyDescent="0.3">
      <c r="A175" s="81" t="s">
        <v>51</v>
      </c>
      <c r="B175" s="81"/>
      <c r="C175" s="32" t="s">
        <v>174</v>
      </c>
      <c r="D175" s="32" t="s">
        <v>116</v>
      </c>
      <c r="E175" s="81" t="s">
        <v>118</v>
      </c>
      <c r="F175" s="81"/>
      <c r="G175" s="81" t="s">
        <v>117</v>
      </c>
      <c r="H175" s="81"/>
      <c r="I175" s="41" t="s">
        <v>175</v>
      </c>
      <c r="J175" s="28">
        <f ca="1">H173*25%</f>
        <v>1</v>
      </c>
    </row>
    <row r="176" spans="1:14" customFormat="1" x14ac:dyDescent="0.3">
      <c r="A176" s="81" t="s">
        <v>176</v>
      </c>
      <c r="B176" s="81"/>
      <c r="C176" s="33">
        <f ca="1">J175</f>
        <v>1</v>
      </c>
      <c r="D176" s="39">
        <f ca="1">((100/H173)*C176)/100</f>
        <v>0.25</v>
      </c>
      <c r="E176" s="133">
        <f ca="1">(((C177/H173*10)+(40/(D173+F173+H173)*C178)+(7.5/(H173)*C179)+(7.5/(H173)*C180)+(10/H173*C181)+(10/H173*C182)+(5/H173*C183)+(5/H173*C184)+(5/H173*C185))/100)</f>
        <v>0</v>
      </c>
      <c r="F176" s="133"/>
      <c r="G176" s="133">
        <f ca="1">((((C176/H173)*20)+((C177/H173)*25)+(30/(H173+F173+D173)*C178)+(5/H173*C179)+(5/H173*C180)+(5/H173*C181)+(5/H173*C182)+(0/H173*C183)+(0/H173*C184)+(5/H173*C185))/100)</f>
        <v>0.05</v>
      </c>
      <c r="H176" s="133"/>
      <c r="I176" s="41" t="s">
        <v>136</v>
      </c>
      <c r="J176" s="43">
        <f ca="1">H173*50%</f>
        <v>2</v>
      </c>
    </row>
    <row r="177" spans="1:17" customFormat="1" x14ac:dyDescent="0.3">
      <c r="A177" s="81" t="s">
        <v>52</v>
      </c>
      <c r="B177" s="81"/>
      <c r="C177" s="34">
        <v>0</v>
      </c>
      <c r="D177" s="39">
        <f ca="1">((100/H173)*C177)/100</f>
        <v>0</v>
      </c>
      <c r="E177" s="133"/>
      <c r="F177" s="133"/>
      <c r="G177" s="133"/>
      <c r="H177" s="133"/>
      <c r="I177" s="41" t="s">
        <v>137</v>
      </c>
      <c r="J177" s="43">
        <f ca="1">H173</f>
        <v>4</v>
      </c>
    </row>
    <row r="178" spans="1:17" customFormat="1" x14ac:dyDescent="0.3">
      <c r="A178" s="81" t="s">
        <v>177</v>
      </c>
      <c r="B178" s="81"/>
      <c r="C178" s="34">
        <v>0</v>
      </c>
      <c r="D178" s="39">
        <f ca="1">((100/(D173+F173+H173))*C178)/100</f>
        <v>0</v>
      </c>
      <c r="E178" s="133"/>
      <c r="F178" s="133"/>
      <c r="G178" s="133"/>
      <c r="H178" s="133"/>
      <c r="I178" s="41" t="s">
        <v>138</v>
      </c>
      <c r="J178" s="44">
        <f ca="1">(IF(B173&gt;1,(H173/(B173+2)),H173/4))</f>
        <v>1</v>
      </c>
      <c r="L178" s="45"/>
    </row>
    <row r="179" spans="1:17" customFormat="1" ht="15.75" customHeight="1" x14ac:dyDescent="0.3">
      <c r="A179" s="81" t="s">
        <v>178</v>
      </c>
      <c r="B179" s="81" t="s">
        <v>179</v>
      </c>
      <c r="C179" s="33">
        <v>0</v>
      </c>
      <c r="D179" s="39">
        <f ca="1">((100/H173)*C179)/100</f>
        <v>0</v>
      </c>
      <c r="E179" s="133"/>
      <c r="F179" s="133"/>
      <c r="G179" s="133"/>
      <c r="H179" s="133"/>
      <c r="I179" s="41" t="s">
        <v>139</v>
      </c>
      <c r="J179" s="44">
        <f ca="1">(IF(B173&gt;1,(H173/(B173+2)+J178),H173/4+J178))</f>
        <v>2</v>
      </c>
      <c r="L179" s="45"/>
    </row>
    <row r="180" spans="1:17" customFormat="1" ht="15.75" customHeight="1" x14ac:dyDescent="0.3">
      <c r="A180" s="81" t="s">
        <v>180</v>
      </c>
      <c r="B180" s="81" t="s">
        <v>179</v>
      </c>
      <c r="C180" s="33">
        <v>0</v>
      </c>
      <c r="D180" s="39">
        <f ca="1">((100/H173)*C180)/100</f>
        <v>0</v>
      </c>
      <c r="E180" s="133"/>
      <c r="F180" s="133"/>
      <c r="G180" s="133"/>
      <c r="H180" s="133"/>
      <c r="I180" s="41" t="s">
        <v>181</v>
      </c>
      <c r="J180" s="44">
        <f>(IF(B173&gt;1,(H173/(B173+2)+J179),0))</f>
        <v>0</v>
      </c>
      <c r="L180" s="46"/>
      <c r="N180" s="45"/>
    </row>
    <row r="181" spans="1:17" customFormat="1" ht="15.75" customHeight="1" x14ac:dyDescent="0.3">
      <c r="A181" s="81" t="s">
        <v>182</v>
      </c>
      <c r="B181" s="81" t="s">
        <v>183</v>
      </c>
      <c r="C181" s="33">
        <v>0</v>
      </c>
      <c r="D181" s="39">
        <f ca="1">((100/(H173))*C181)/100</f>
        <v>0</v>
      </c>
      <c r="E181" s="133"/>
      <c r="F181" s="133"/>
      <c r="G181" s="133"/>
      <c r="H181" s="133"/>
      <c r="I181" s="41" t="s">
        <v>184</v>
      </c>
      <c r="J181" s="44">
        <f>(IF(B173&gt;2,(H173/(B173+2)+J180),0))</f>
        <v>0</v>
      </c>
      <c r="K181" s="47"/>
      <c r="L181" s="46"/>
    </row>
    <row r="182" spans="1:17" customFormat="1" ht="15.75" customHeight="1" x14ac:dyDescent="0.3">
      <c r="A182" s="81" t="s">
        <v>185</v>
      </c>
      <c r="B182" s="81" t="s">
        <v>185</v>
      </c>
      <c r="C182" s="33">
        <v>0</v>
      </c>
      <c r="D182" s="39">
        <f ca="1">((100/H173)*C182)/100</f>
        <v>0</v>
      </c>
      <c r="E182" s="133"/>
      <c r="F182" s="133"/>
      <c r="G182" s="133"/>
      <c r="H182" s="133"/>
      <c r="I182" s="41" t="s">
        <v>186</v>
      </c>
      <c r="J182" s="48">
        <f>(IF(B173&gt;3,(H173/(B173+2)+J181),0))</f>
        <v>0</v>
      </c>
      <c r="K182" s="47"/>
      <c r="L182" s="46"/>
    </row>
    <row r="183" spans="1:17" customFormat="1" ht="15.75" customHeight="1" x14ac:dyDescent="0.3">
      <c r="A183" s="81" t="s">
        <v>187</v>
      </c>
      <c r="B183" s="81"/>
      <c r="C183" s="33">
        <v>0</v>
      </c>
      <c r="D183" s="39">
        <f ca="1">((100/H173)*C183)/100</f>
        <v>0</v>
      </c>
      <c r="E183" s="133"/>
      <c r="F183" s="133"/>
      <c r="G183" s="133"/>
      <c r="H183" s="133"/>
      <c r="I183" s="41" t="s">
        <v>188</v>
      </c>
      <c r="J183" s="44">
        <f>(IF(B173&gt;4,(H173/(B173+2)+J182),0))</f>
        <v>0</v>
      </c>
      <c r="K183" s="45"/>
      <c r="L183" s="46"/>
    </row>
    <row r="184" spans="1:17" customFormat="1" ht="15.75" customHeight="1" x14ac:dyDescent="0.3">
      <c r="A184" s="81" t="s">
        <v>189</v>
      </c>
      <c r="B184" s="81" t="s">
        <v>189</v>
      </c>
      <c r="C184" s="33">
        <v>0</v>
      </c>
      <c r="D184" s="39">
        <f ca="1">((100/(H173))*C184)/100</f>
        <v>0</v>
      </c>
      <c r="E184" s="133"/>
      <c r="F184" s="133"/>
      <c r="G184" s="133"/>
      <c r="H184" s="133"/>
      <c r="I184" s="41" t="s">
        <v>140</v>
      </c>
      <c r="J184" s="44">
        <f ca="1">(IF(B173=1,(H173/(B173+3)+J179),IF(B173=0,(H173/4+J179),IF(B173&gt;1,0))))</f>
        <v>3</v>
      </c>
      <c r="K184" s="47"/>
      <c r="L184" s="46"/>
    </row>
    <row r="185" spans="1:17" customFormat="1" ht="16.2" thickBot="1" x14ac:dyDescent="0.35">
      <c r="A185" s="81" t="s">
        <v>190</v>
      </c>
      <c r="B185" s="81"/>
      <c r="C185" s="33">
        <v>0</v>
      </c>
      <c r="D185" s="39">
        <f ca="1">((100/(H173))*C185)/100</f>
        <v>0</v>
      </c>
      <c r="E185" s="133"/>
      <c r="F185" s="133"/>
      <c r="G185" s="133"/>
      <c r="H185" s="133"/>
      <c r="I185" s="49" t="s">
        <v>141</v>
      </c>
      <c r="J185" s="50">
        <f ca="1">(IF(B173&gt;1.5,(H173/(B173+2)+J179+MAX(0,J180-J179)+MAX(0,J181-J180)+MAX(0,J182-J181)+MAX(0,J183-J182)+MAX(0,J184-J183)),IF(B173=1,(H173/(B173+3)+J184),IF(B173=0,H173/4+J184))))</f>
        <v>4</v>
      </c>
      <c r="K185" s="47"/>
      <c r="L185" s="46"/>
    </row>
    <row r="186" spans="1:17" customFormat="1" ht="15.75" customHeight="1" x14ac:dyDescent="0.3">
      <c r="A186" s="149" t="s">
        <v>173</v>
      </c>
      <c r="B186" s="150"/>
      <c r="C186" s="157" t="s">
        <v>261</v>
      </c>
      <c r="D186" s="158"/>
      <c r="E186" s="158"/>
      <c r="F186" s="158"/>
      <c r="G186" s="158"/>
      <c r="H186" s="159"/>
      <c r="I186" s="42" t="str">
        <f ca="1">(IF(E190&gt;99%,"All work completed. Please provide OC.",IF(E190&gt;89.8%,"Plinth, RCC, Brick, Plaster, Flooring, Painting work Completed. Finishing work is in process.",IF(E190&lt;94%,(IF(C190=0,"Work not yet Started.",IF(D190=25%,"Piling work in process",IF(D190=50%,"Excavation work in process",IF(D190=100%,"Excavation work Completed. ","0")))&amp;(IF(C191=0%,"",IF(C191=J192,"Footing work is process",IF(C191=J193,"Footing work Completed",IF(C191=J194,"1st Basement Completed",IF(C191=J195,"1st &amp; 2nd Basement Completed",IF(C191=J196,"1st to 3rd Basement Completed",IF(C191=J197,"1st to 4th Basement Completed",IF(C191=J198,"Plinth work is process",IF(C191=J199,"Plinth work completed","0")))))))))))&amp;(IF(C192=(D187+F187+H187),", RCC Slab",IF(C192&gt;0,", RCC upto "&amp;C192&amp;" Slab",""))&amp;(IF(C193=H187,", Brickwork",IF(C193&gt;0,", Brickwork upto "&amp;C193&amp;" Floor",""))&amp;(IF(C194=H187,", Internal Plaster",IF(C194&gt;0,", Internal Plaster upto "&amp;C194&amp;" Floor",""))&amp;(IF(C195=H187,", External Plaster",IF(C195&gt;0,", External Plaster upto "&amp;C195&amp;" Floor",""))&amp;(IF(C196=H187,", Flooring",IF(C196&gt;0,", Flooring upto "&amp;C196&amp;" Floor",""))&amp;(IF(C197=H187,", Painting",IF(C197&gt;0,", Painting upto "&amp;C197&amp;" Floor",""))&amp;(IF(C198&gt;0,", Finishing upto "&amp;C198&amp;" Floor","")&amp;(IF(C192&gt;0.5," Completed",""))))))))))))))</f>
        <v>Excavation work Completed. Plinth work completed, RCC upto 2 Slab Completed</v>
      </c>
      <c r="J186" s="26"/>
    </row>
    <row r="187" spans="1:17" customFormat="1" x14ac:dyDescent="0.3">
      <c r="A187" s="25" t="s">
        <v>101</v>
      </c>
      <c r="B187" s="38">
        <v>0</v>
      </c>
      <c r="C187" s="38" t="s">
        <v>103</v>
      </c>
      <c r="D187" s="38">
        <v>1</v>
      </c>
      <c r="E187" s="38" t="s">
        <v>102</v>
      </c>
      <c r="F187" s="38">
        <v>0</v>
      </c>
      <c r="G187" s="38" t="s">
        <v>113</v>
      </c>
      <c r="H187" s="31">
        <f ca="1">--TRIM(RIGHT(SUBSTITUTE(LEFT(C186,_xlfn.AGGREGATE(16,6,FIND({0,1,2,3,4,5,6,7,8,9},C186,ROW(INDIRECT("1:"&amp;LEN(C186)))),1))," ",REPT(" ",LEN(C186))),LEN(C186)))</f>
        <v>2</v>
      </c>
      <c r="I187" s="22"/>
      <c r="J187" s="27"/>
    </row>
    <row r="188" spans="1:17" customFormat="1" x14ac:dyDescent="0.3">
      <c r="A188" s="95" t="s">
        <v>124</v>
      </c>
      <c r="B188" s="96"/>
      <c r="C188" s="97" t="str">
        <f ca="1">I186</f>
        <v>Excavation work Completed. Plinth work completed, RCC upto 2 Slab Completed</v>
      </c>
      <c r="D188" s="97"/>
      <c r="E188" s="97"/>
      <c r="F188" s="97"/>
      <c r="G188" s="97"/>
      <c r="H188" s="98"/>
      <c r="I188" s="22" t="s">
        <v>142</v>
      </c>
      <c r="J188" s="27"/>
    </row>
    <row r="189" spans="1:17" customFormat="1" ht="31.2" x14ac:dyDescent="0.3">
      <c r="A189" s="80" t="s">
        <v>51</v>
      </c>
      <c r="B189" s="81"/>
      <c r="C189" s="32" t="s">
        <v>174</v>
      </c>
      <c r="D189" s="32" t="s">
        <v>116</v>
      </c>
      <c r="E189" s="81" t="s">
        <v>118</v>
      </c>
      <c r="F189" s="81"/>
      <c r="G189" s="81" t="s">
        <v>117</v>
      </c>
      <c r="H189" s="99"/>
      <c r="I189" s="41" t="s">
        <v>175</v>
      </c>
      <c r="J189" s="28">
        <f ca="1">H187*25%</f>
        <v>0.5</v>
      </c>
    </row>
    <row r="190" spans="1:17" customFormat="1" x14ac:dyDescent="0.3">
      <c r="A190" s="80" t="s">
        <v>176</v>
      </c>
      <c r="B190" s="81"/>
      <c r="C190" s="33">
        <f ca="1">J191</f>
        <v>2</v>
      </c>
      <c r="D190" s="39">
        <f ca="1">((100/H187)*C190)/100</f>
        <v>1</v>
      </c>
      <c r="E190" s="133">
        <f ca="1">(((C191/H187*10)+(40/(D187+F187+H187)*C192)+(7.5/(H187)*C193)+(7.5/(H187)*C194)+(10/H187*C195)+(10/H187*C196)+(5/H187*C197)+(5/H187*C198)+(5/H187*C199))/100)</f>
        <v>0.3666666666666667</v>
      </c>
      <c r="F190" s="133"/>
      <c r="G190" s="133">
        <f ca="1">((((C190/H187)*20)+((C191/H187)*25)+(30/(H187+F187+D187)*C192)+(5/H187*C193)+(5/H187*C194)+(5/H187*C195)+(5/H187*C196)+(0/H187*C197)+(0/H187*C198)+(5/H187*C199))/100)</f>
        <v>0.65</v>
      </c>
      <c r="H190" s="135"/>
      <c r="I190" s="41" t="s">
        <v>136</v>
      </c>
      <c r="J190" s="43">
        <f ca="1">H187*50%</f>
        <v>1</v>
      </c>
      <c r="K190" s="88"/>
      <c r="L190" s="89"/>
      <c r="M190" s="89"/>
      <c r="N190" s="89"/>
      <c r="O190" s="89"/>
      <c r="P190" s="89"/>
      <c r="Q190" s="89"/>
    </row>
    <row r="191" spans="1:17" customFormat="1" x14ac:dyDescent="0.3">
      <c r="A191" s="80" t="s">
        <v>52</v>
      </c>
      <c r="B191" s="81"/>
      <c r="C191" s="34">
        <f ca="1">J199</f>
        <v>2</v>
      </c>
      <c r="D191" s="39">
        <f ca="1">((100/H187)*C191)/100</f>
        <v>1</v>
      </c>
      <c r="E191" s="133"/>
      <c r="F191" s="133"/>
      <c r="G191" s="133"/>
      <c r="H191" s="135"/>
      <c r="I191" s="41" t="s">
        <v>137</v>
      </c>
      <c r="J191" s="43">
        <f ca="1">H187</f>
        <v>2</v>
      </c>
      <c r="K191" s="86"/>
      <c r="L191" s="87"/>
      <c r="M191" s="87"/>
      <c r="N191" s="87"/>
      <c r="O191" s="87"/>
      <c r="P191" s="87"/>
      <c r="Q191" s="87"/>
    </row>
    <row r="192" spans="1:17" customFormat="1" x14ac:dyDescent="0.3">
      <c r="A192" s="80" t="s">
        <v>177</v>
      </c>
      <c r="B192" s="81"/>
      <c r="C192" s="34">
        <f>2</f>
        <v>2</v>
      </c>
      <c r="D192" s="39">
        <f ca="1">((100/(D187+F187+H187))*C192)/100</f>
        <v>0.66666666666666674</v>
      </c>
      <c r="E192" s="133"/>
      <c r="F192" s="133"/>
      <c r="G192" s="133"/>
      <c r="H192" s="135"/>
      <c r="I192" s="41" t="s">
        <v>138</v>
      </c>
      <c r="J192" s="44">
        <f ca="1">(IF(B187&gt;1,(H187/(B187+2)),H187/4))</f>
        <v>0.5</v>
      </c>
      <c r="K192" s="86"/>
      <c r="L192" s="87"/>
      <c r="M192" s="87"/>
      <c r="N192" s="87"/>
      <c r="O192" s="87"/>
      <c r="P192" s="87"/>
      <c r="Q192" s="87"/>
    </row>
    <row r="193" spans="1:17" customFormat="1" ht="15.75" customHeight="1" x14ac:dyDescent="0.3">
      <c r="A193" s="80" t="s">
        <v>178</v>
      </c>
      <c r="B193" s="81" t="s">
        <v>179</v>
      </c>
      <c r="C193" s="33">
        <v>0</v>
      </c>
      <c r="D193" s="39">
        <f ca="1">((100/H187)*C193)/100</f>
        <v>0</v>
      </c>
      <c r="E193" s="133"/>
      <c r="F193" s="133"/>
      <c r="G193" s="133"/>
      <c r="H193" s="135"/>
      <c r="I193" s="41" t="s">
        <v>139</v>
      </c>
      <c r="J193" s="44">
        <f ca="1">(IF(B187&gt;1,(H187/(B187+2)+J192),H187/4+J192))</f>
        <v>1</v>
      </c>
      <c r="K193" s="86"/>
      <c r="L193" s="87"/>
      <c r="M193" s="87"/>
      <c r="N193" s="87"/>
      <c r="O193" s="87"/>
      <c r="P193" s="87"/>
      <c r="Q193" s="87"/>
    </row>
    <row r="194" spans="1:17" customFormat="1" ht="15.75" customHeight="1" x14ac:dyDescent="0.3">
      <c r="A194" s="80" t="s">
        <v>180</v>
      </c>
      <c r="B194" s="81" t="s">
        <v>179</v>
      </c>
      <c r="C194" s="33">
        <v>0</v>
      </c>
      <c r="D194" s="39">
        <f ca="1">((100/H187)*C194)/100</f>
        <v>0</v>
      </c>
      <c r="E194" s="133"/>
      <c r="F194" s="133"/>
      <c r="G194" s="133"/>
      <c r="H194" s="135"/>
      <c r="I194" s="41" t="s">
        <v>181</v>
      </c>
      <c r="J194" s="44">
        <f>(IF(B187&gt;1,(H187/(B187+2)+J193),0))</f>
        <v>0</v>
      </c>
      <c r="L194" s="46"/>
      <c r="N194" s="45"/>
    </row>
    <row r="195" spans="1:17" customFormat="1" ht="15.75" customHeight="1" x14ac:dyDescent="0.3">
      <c r="A195" s="80" t="s">
        <v>182</v>
      </c>
      <c r="B195" s="81" t="s">
        <v>183</v>
      </c>
      <c r="C195" s="33">
        <v>0</v>
      </c>
      <c r="D195" s="39">
        <f ca="1">((100/(H187))*C195)/100</f>
        <v>0</v>
      </c>
      <c r="E195" s="133"/>
      <c r="F195" s="133"/>
      <c r="G195" s="133"/>
      <c r="H195" s="135"/>
      <c r="I195" s="41" t="s">
        <v>184</v>
      </c>
      <c r="J195" s="44">
        <f>(IF(B187&gt;2,(H187/(B187+2)+J194),0))</f>
        <v>0</v>
      </c>
      <c r="K195" s="47"/>
      <c r="L195" s="46"/>
    </row>
    <row r="196" spans="1:17" customFormat="1" ht="15.75" customHeight="1" x14ac:dyDescent="0.3">
      <c r="A196" s="80" t="s">
        <v>185</v>
      </c>
      <c r="B196" s="81" t="s">
        <v>185</v>
      </c>
      <c r="C196" s="33">
        <v>0</v>
      </c>
      <c r="D196" s="39">
        <f ca="1">((100/H187)*C196)/100</f>
        <v>0</v>
      </c>
      <c r="E196" s="133"/>
      <c r="F196" s="133"/>
      <c r="G196" s="133"/>
      <c r="H196" s="135"/>
      <c r="I196" s="41" t="s">
        <v>186</v>
      </c>
      <c r="J196" s="48">
        <f>(IF(B187&gt;3,(H187/(B187+2)+J195),0))</f>
        <v>0</v>
      </c>
      <c r="K196" s="47"/>
      <c r="L196" s="46"/>
    </row>
    <row r="197" spans="1:17" customFormat="1" ht="15.75" customHeight="1" x14ac:dyDescent="0.3">
      <c r="A197" s="80" t="s">
        <v>187</v>
      </c>
      <c r="B197" s="81"/>
      <c r="C197" s="33">
        <v>0</v>
      </c>
      <c r="D197" s="39">
        <f ca="1">((100/H187)*C197)/100</f>
        <v>0</v>
      </c>
      <c r="E197" s="133"/>
      <c r="F197" s="133"/>
      <c r="G197" s="133"/>
      <c r="H197" s="135"/>
      <c r="I197" s="41" t="s">
        <v>188</v>
      </c>
      <c r="J197" s="44">
        <f>(IF(B187&gt;4,(H187/(B187+2)+J196),0))</f>
        <v>0</v>
      </c>
      <c r="K197" s="45"/>
      <c r="L197" s="46"/>
    </row>
    <row r="198" spans="1:17" customFormat="1" ht="15.75" customHeight="1" x14ac:dyDescent="0.3">
      <c r="A198" s="80" t="s">
        <v>189</v>
      </c>
      <c r="B198" s="81" t="s">
        <v>189</v>
      </c>
      <c r="C198" s="33">
        <v>0</v>
      </c>
      <c r="D198" s="39">
        <f ca="1">((100/(H187))*C198)/100</f>
        <v>0</v>
      </c>
      <c r="E198" s="133"/>
      <c r="F198" s="133"/>
      <c r="G198" s="133"/>
      <c r="H198" s="135"/>
      <c r="I198" s="41" t="s">
        <v>140</v>
      </c>
      <c r="J198" s="44">
        <f ca="1">(IF(B187=1,(H187/(B187+3)+J193),IF(B187=0,(H187/4+J193),IF(B187&gt;1,0))))</f>
        <v>1.5</v>
      </c>
      <c r="K198" s="47"/>
      <c r="L198" s="46"/>
    </row>
    <row r="199" spans="1:17" customFormat="1" ht="16.2" thickBot="1" x14ac:dyDescent="0.35">
      <c r="A199" s="137" t="s">
        <v>190</v>
      </c>
      <c r="B199" s="138"/>
      <c r="C199" s="35">
        <v>0</v>
      </c>
      <c r="D199" s="40">
        <f ca="1">((100/(H187))*C199)/100</f>
        <v>0</v>
      </c>
      <c r="E199" s="134"/>
      <c r="F199" s="134"/>
      <c r="G199" s="134"/>
      <c r="H199" s="136"/>
      <c r="I199" s="49" t="s">
        <v>141</v>
      </c>
      <c r="J199" s="50">
        <f ca="1">(IF(B187&gt;1.5,(H187/(B187+2)+J193+MAX(0,J194-J193)+MAX(0,J195-J194)+MAX(0,J196-J195)+MAX(0,J197-J196)+MAX(0,J198-J197)),IF(B187=1,(H187/(B187+3)+J198),IF(B187=0,H187/4+J198))))</f>
        <v>2</v>
      </c>
      <c r="K199" s="47"/>
      <c r="L199" s="46"/>
    </row>
    <row r="200" spans="1:17" x14ac:dyDescent="0.3">
      <c r="A200" s="156" t="s">
        <v>193</v>
      </c>
      <c r="B200" s="156"/>
      <c r="C200" s="156"/>
      <c r="D200" s="156"/>
      <c r="E200" s="156"/>
      <c r="F200" s="156"/>
      <c r="G200" s="156"/>
      <c r="H200" s="156"/>
    </row>
    <row r="201" spans="1:17" x14ac:dyDescent="0.3">
      <c r="A201" s="67" t="s">
        <v>53</v>
      </c>
      <c r="B201" s="67"/>
      <c r="C201" s="67"/>
      <c r="D201" s="67"/>
      <c r="E201" s="67"/>
      <c r="F201" s="67"/>
      <c r="G201" s="67"/>
      <c r="H201" s="67"/>
    </row>
    <row r="202" spans="1:17" ht="15" customHeight="1" x14ac:dyDescent="0.3">
      <c r="A202" s="96" t="s">
        <v>106</v>
      </c>
      <c r="B202" s="96"/>
      <c r="C202" s="97" t="s">
        <v>235</v>
      </c>
      <c r="D202" s="97"/>
      <c r="E202" s="97"/>
      <c r="F202" s="97"/>
      <c r="G202" s="97"/>
      <c r="H202" s="97"/>
    </row>
    <row r="203" spans="1:17" x14ac:dyDescent="0.3">
      <c r="A203" s="121" t="s">
        <v>54</v>
      </c>
      <c r="B203" s="121"/>
      <c r="C203" s="121"/>
      <c r="D203" s="121"/>
      <c r="E203" s="121"/>
      <c r="F203" s="121"/>
      <c r="G203" s="121"/>
      <c r="H203" s="121"/>
    </row>
    <row r="204" spans="1:17" x14ac:dyDescent="0.3">
      <c r="A204" s="67" t="s">
        <v>107</v>
      </c>
      <c r="B204" s="67"/>
      <c r="C204" s="67"/>
      <c r="D204" s="67"/>
      <c r="E204" s="67"/>
      <c r="F204" s="141">
        <v>4000</v>
      </c>
      <c r="G204" s="141"/>
      <c r="H204" s="141"/>
    </row>
    <row r="205" spans="1:17" s="13" customFormat="1" hidden="1" x14ac:dyDescent="0.25">
      <c r="A205" s="67" t="s">
        <v>128</v>
      </c>
      <c r="B205" s="67"/>
      <c r="C205" s="67"/>
      <c r="D205" s="67"/>
      <c r="E205" s="67"/>
      <c r="F205" s="72" t="s">
        <v>31</v>
      </c>
      <c r="G205" s="72"/>
      <c r="H205" s="72"/>
    </row>
    <row r="206" spans="1:17" s="13" customFormat="1" hidden="1" x14ac:dyDescent="0.25">
      <c r="A206" s="67" t="s">
        <v>129</v>
      </c>
      <c r="B206" s="67"/>
      <c r="C206" s="67"/>
      <c r="D206" s="67"/>
      <c r="E206" s="67"/>
      <c r="F206" s="72" t="s">
        <v>31</v>
      </c>
      <c r="G206" s="72"/>
      <c r="H206" s="72"/>
    </row>
    <row r="207" spans="1:17" s="13" customFormat="1" hidden="1" x14ac:dyDescent="0.25">
      <c r="A207" s="67" t="s">
        <v>130</v>
      </c>
      <c r="B207" s="67"/>
      <c r="C207" s="67"/>
      <c r="D207" s="67"/>
      <c r="E207" s="67"/>
      <c r="F207" s="72" t="s">
        <v>31</v>
      </c>
      <c r="G207" s="72"/>
      <c r="H207" s="72"/>
    </row>
    <row r="208" spans="1:17" s="13" customFormat="1" hidden="1" x14ac:dyDescent="0.25">
      <c r="A208" s="67" t="s">
        <v>131</v>
      </c>
      <c r="B208" s="67"/>
      <c r="C208" s="67"/>
      <c r="D208" s="67"/>
      <c r="E208" s="67"/>
      <c r="F208" s="72" t="s">
        <v>31</v>
      </c>
      <c r="G208" s="72"/>
      <c r="H208" s="72"/>
    </row>
    <row r="209" spans="1:8" s="13" customFormat="1" hidden="1" x14ac:dyDescent="0.25">
      <c r="A209" s="67" t="s">
        <v>132</v>
      </c>
      <c r="B209" s="67"/>
      <c r="C209" s="67"/>
      <c r="D209" s="67"/>
      <c r="E209" s="67"/>
      <c r="F209" s="72" t="s">
        <v>31</v>
      </c>
      <c r="G209" s="72"/>
      <c r="H209" s="72"/>
    </row>
    <row r="210" spans="1:8" s="13" customFormat="1" hidden="1" x14ac:dyDescent="0.25">
      <c r="A210" s="67" t="s">
        <v>133</v>
      </c>
      <c r="B210" s="67"/>
      <c r="C210" s="67"/>
      <c r="D210" s="67"/>
      <c r="E210" s="67"/>
      <c r="F210" s="72" t="s">
        <v>31</v>
      </c>
      <c r="G210" s="72"/>
      <c r="H210" s="72"/>
    </row>
    <row r="211" spans="1:8" s="13" customFormat="1" hidden="1" x14ac:dyDescent="0.25">
      <c r="A211" s="67" t="s">
        <v>134</v>
      </c>
      <c r="B211" s="67"/>
      <c r="C211" s="67"/>
      <c r="D211" s="67"/>
      <c r="E211" s="67"/>
      <c r="F211" s="72" t="s">
        <v>31</v>
      </c>
      <c r="G211" s="72"/>
      <c r="H211" s="72"/>
    </row>
    <row r="212" spans="1:8" s="13" customFormat="1" hidden="1" x14ac:dyDescent="0.25">
      <c r="A212" s="67" t="s">
        <v>135</v>
      </c>
      <c r="B212" s="67"/>
      <c r="C212" s="67"/>
      <c r="D212" s="67"/>
      <c r="E212" s="67"/>
      <c r="F212" s="72" t="s">
        <v>31</v>
      </c>
      <c r="G212" s="72"/>
      <c r="H212" s="72"/>
    </row>
    <row r="213" spans="1:8" s="9" customFormat="1" x14ac:dyDescent="0.3">
      <c r="A213" s="121" t="s">
        <v>55</v>
      </c>
      <c r="B213" s="121"/>
      <c r="C213" s="121"/>
      <c r="D213" s="121"/>
      <c r="E213" s="121"/>
      <c r="F213" s="72">
        <f>F204*0.8</f>
        <v>3200</v>
      </c>
      <c r="G213" s="72"/>
      <c r="H213" s="72"/>
    </row>
    <row r="214" spans="1:8" s="1" customFormat="1" x14ac:dyDescent="0.3">
      <c r="A214" s="132" t="s">
        <v>211</v>
      </c>
      <c r="B214" s="132"/>
      <c r="C214" s="132"/>
      <c r="D214" s="132"/>
      <c r="E214" s="132"/>
      <c r="F214" s="132"/>
      <c r="G214" s="132"/>
      <c r="H214" s="132"/>
    </row>
    <row r="215" spans="1:8" s="1" customFormat="1" x14ac:dyDescent="0.3">
      <c r="A215" s="130" t="s">
        <v>56</v>
      </c>
      <c r="B215" s="130"/>
      <c r="C215" s="15" t="s">
        <v>111</v>
      </c>
      <c r="D215" s="131" t="s">
        <v>57</v>
      </c>
      <c r="E215" s="131"/>
      <c r="F215" s="130" t="s">
        <v>58</v>
      </c>
      <c r="G215" s="130"/>
      <c r="H215" s="130"/>
    </row>
    <row r="216" spans="1:8" s="1" customFormat="1" x14ac:dyDescent="0.3">
      <c r="A216" s="77" t="s">
        <v>232</v>
      </c>
      <c r="B216" s="77"/>
      <c r="C216" s="16">
        <f>COUNT(D237:D280)</f>
        <v>44</v>
      </c>
      <c r="D216" s="78">
        <f>SUM(F237:F280)</f>
        <v>4462.3023119999971</v>
      </c>
      <c r="E216" s="78"/>
      <c r="F216" s="79">
        <f>SUM(H237:H280)</f>
        <v>6916.5685835999993</v>
      </c>
      <c r="G216" s="79"/>
      <c r="H216" s="79"/>
    </row>
    <row r="217" spans="1:8" s="1" customFormat="1" x14ac:dyDescent="0.3">
      <c r="A217" s="77" t="s">
        <v>260</v>
      </c>
      <c r="B217" s="77"/>
      <c r="C217" s="16">
        <f>COUNT(D282:D289)+COUNT(D291)</f>
        <v>9</v>
      </c>
      <c r="D217" s="78">
        <f>SUM(F282:F289)+SUM(F291)</f>
        <v>7139.4490440000009</v>
      </c>
      <c r="E217" s="78"/>
      <c r="F217" s="79">
        <f>SUM(H282:H289)+SUM(H291)</f>
        <v>11066.146018200001</v>
      </c>
      <c r="G217" s="79"/>
      <c r="H217" s="79"/>
    </row>
    <row r="218" spans="1:8" s="1" customFormat="1" x14ac:dyDescent="0.3">
      <c r="A218" s="132" t="s">
        <v>163</v>
      </c>
      <c r="B218" s="132"/>
      <c r="C218" s="36">
        <f>SUM(C216:C217)</f>
        <v>53</v>
      </c>
      <c r="D218" s="151">
        <f>SUM(D216:D217)</f>
        <v>11601.751355999997</v>
      </c>
      <c r="E218" s="151"/>
      <c r="F218" s="130">
        <f>SUM(F216:F217)</f>
        <v>17982.714601799998</v>
      </c>
      <c r="G218" s="130"/>
      <c r="H218" s="130"/>
    </row>
    <row r="219" spans="1:8" s="1" customFormat="1" x14ac:dyDescent="0.3">
      <c r="A219" s="132" t="s">
        <v>100</v>
      </c>
      <c r="B219" s="132"/>
      <c r="C219" s="132"/>
      <c r="D219" s="132"/>
      <c r="E219" s="132"/>
      <c r="F219" s="132"/>
      <c r="G219" s="132"/>
      <c r="H219" s="132"/>
    </row>
    <row r="220" spans="1:8" s="1" customFormat="1" x14ac:dyDescent="0.3">
      <c r="A220" s="130" t="s">
        <v>56</v>
      </c>
      <c r="B220" s="130"/>
      <c r="C220" s="15" t="s">
        <v>111</v>
      </c>
      <c r="D220" s="131" t="s">
        <v>57</v>
      </c>
      <c r="E220" s="131"/>
      <c r="F220" s="130" t="s">
        <v>58</v>
      </c>
      <c r="G220" s="130"/>
      <c r="H220" s="130"/>
    </row>
    <row r="221" spans="1:8" s="1" customFormat="1" x14ac:dyDescent="0.3">
      <c r="A221" s="77" t="s">
        <v>157</v>
      </c>
      <c r="B221" s="77"/>
      <c r="C221" s="16">
        <f>COUNT(D297:D315)+4*COUNT(D317:D335)</f>
        <v>95</v>
      </c>
      <c r="D221" s="78">
        <f>SUM(D297:D315)+4*SUM(D317:D335)</f>
        <v>38067.10128000001</v>
      </c>
      <c r="E221" s="78"/>
      <c r="F221" s="79">
        <f>SUM(F297:F315)+4*SUM(F317:F335)</f>
        <v>57100.651920000004</v>
      </c>
      <c r="G221" s="79"/>
      <c r="H221" s="79"/>
    </row>
    <row r="222" spans="1:8" s="1" customFormat="1" x14ac:dyDescent="0.3">
      <c r="A222" s="77" t="s">
        <v>161</v>
      </c>
      <c r="B222" s="77"/>
      <c r="C222" s="16">
        <f>COUNT(D339:D349)+4*COUNT(D351:D362)</f>
        <v>59</v>
      </c>
      <c r="D222" s="78">
        <f>SUM(D339:D349)+4*SUM(D351:D362)</f>
        <v>17070.842879999997</v>
      </c>
      <c r="E222" s="78"/>
      <c r="F222" s="79">
        <f>SUM(F339:F349)+4*SUM(F351:F362)</f>
        <v>25606.264319999995</v>
      </c>
      <c r="G222" s="79"/>
      <c r="H222" s="79"/>
    </row>
    <row r="223" spans="1:8" s="1" customFormat="1" x14ac:dyDescent="0.3">
      <c r="A223" s="77" t="s">
        <v>162</v>
      </c>
      <c r="B223" s="77"/>
      <c r="C223" s="16">
        <f>COUNT(D365:D394)+4*COUNT(D396:D427)</f>
        <v>158</v>
      </c>
      <c r="D223" s="78">
        <f>SUM(D365:D394)+4*SUM(D396:D427)</f>
        <v>30587.62824000002</v>
      </c>
      <c r="E223" s="78"/>
      <c r="F223" s="79">
        <f>SUM(F365:F394)+4*SUM(F396:F427)</f>
        <v>45881.442359999979</v>
      </c>
      <c r="G223" s="79"/>
      <c r="H223" s="79"/>
    </row>
    <row r="224" spans="1:8" s="1" customFormat="1" x14ac:dyDescent="0.3">
      <c r="A224" s="77" t="s">
        <v>160</v>
      </c>
      <c r="B224" s="77"/>
      <c r="C224" s="16">
        <f>COUNT(D430:D462)+4*COUNT(D464:D498)</f>
        <v>173</v>
      </c>
      <c r="D224" s="78">
        <f>SUM(D430:D462)+4*SUM(D464:D498)</f>
        <v>33645.680640000021</v>
      </c>
      <c r="E224" s="78"/>
      <c r="F224" s="146">
        <f>SUM(F430:F462)+4*SUM(F464:F498)</f>
        <v>50468.520959999973</v>
      </c>
      <c r="G224" s="147"/>
      <c r="H224" s="148"/>
    </row>
    <row r="225" spans="1:20" s="1" customFormat="1" x14ac:dyDescent="0.3">
      <c r="A225" s="77" t="s">
        <v>216</v>
      </c>
      <c r="B225" s="77"/>
      <c r="C225" s="16">
        <f>COUNT(D502:D513)+COUNT(D515:D526)*4</f>
        <v>60</v>
      </c>
      <c r="D225" s="78">
        <f>SUM(D502:D513)+SUM(D515:D526)*4</f>
        <v>25715.195999999996</v>
      </c>
      <c r="E225" s="78"/>
      <c r="F225" s="79">
        <f>SUM(F502:F513)+SUM(F515:F526)*4</f>
        <v>38572.793999999994</v>
      </c>
      <c r="G225" s="79"/>
      <c r="H225" s="79"/>
      <c r="I225" s="57" t="s">
        <v>223</v>
      </c>
    </row>
    <row r="226" spans="1:20" s="1" customFormat="1" x14ac:dyDescent="0.3">
      <c r="A226" s="77" t="s">
        <v>220</v>
      </c>
      <c r="B226" s="77"/>
      <c r="C226" s="16">
        <f>COUNT(F529:F536)+COUNT(F538:F545)*4</f>
        <v>40</v>
      </c>
      <c r="D226" s="78">
        <f>SUM(D529:D536)+SUM(D538:D545)*4</f>
        <v>16698.839039999999</v>
      </c>
      <c r="E226" s="78"/>
      <c r="F226" s="79">
        <f>SUM(F529:F536)+SUM(F538:F545)*4</f>
        <v>25048.258559999998</v>
      </c>
      <c r="G226" s="79"/>
      <c r="H226" s="79"/>
      <c r="I226" s="57" t="s">
        <v>223</v>
      </c>
    </row>
    <row r="227" spans="1:20" s="1" customFormat="1" x14ac:dyDescent="0.3">
      <c r="A227" s="77" t="s">
        <v>221</v>
      </c>
      <c r="B227" s="77"/>
      <c r="C227" s="16">
        <f>COUNT(F548:F559)+COUNT(F561:F572)*4</f>
        <v>60</v>
      </c>
      <c r="D227" s="78">
        <f>SUM(D548:D559)+SUM(D561:D572)*4</f>
        <v>25715.195999999996</v>
      </c>
      <c r="E227" s="78"/>
      <c r="F227" s="79">
        <f>SUM(F548:F559)+SUM(F561:F572)*4</f>
        <v>38572.793999999994</v>
      </c>
      <c r="G227" s="79"/>
      <c r="H227" s="79"/>
      <c r="I227" s="57" t="s">
        <v>223</v>
      </c>
    </row>
    <row r="228" spans="1:20" s="1" customFormat="1" x14ac:dyDescent="0.3">
      <c r="A228" s="77" t="s">
        <v>222</v>
      </c>
      <c r="B228" s="77"/>
      <c r="C228" s="16">
        <f>COUNT(F575:F594)+COUNT(F596:F615)*4</f>
        <v>100</v>
      </c>
      <c r="D228" s="78">
        <f>SUM(D575:D594)+SUM(D596:D615)*4</f>
        <v>41720.833439999988</v>
      </c>
      <c r="E228" s="78"/>
      <c r="F228" s="146">
        <f>SUM(F575:F594)+SUM(F596:F615)*4</f>
        <v>62581.250159999996</v>
      </c>
      <c r="G228" s="147"/>
      <c r="H228" s="148"/>
      <c r="I228" s="57" t="s">
        <v>223</v>
      </c>
    </row>
    <row r="229" spans="1:20" s="1" customFormat="1" x14ac:dyDescent="0.3">
      <c r="A229" s="132" t="s">
        <v>163</v>
      </c>
      <c r="B229" s="132"/>
      <c r="C229" s="36">
        <f>SUM(C221:C228)</f>
        <v>745</v>
      </c>
      <c r="D229" s="151">
        <f>SUM(D221:D228)</f>
        <v>229221.31752000001</v>
      </c>
      <c r="E229" s="151"/>
      <c r="F229" s="130">
        <f>SUM(F221:F228)</f>
        <v>343831.97627999989</v>
      </c>
      <c r="G229" s="130"/>
      <c r="H229" s="130"/>
    </row>
    <row r="230" spans="1:20" s="9" customFormat="1" x14ac:dyDescent="0.3">
      <c r="A230" s="105" t="s">
        <v>61</v>
      </c>
      <c r="B230" s="105"/>
      <c r="C230" s="105"/>
      <c r="D230" s="105"/>
      <c r="E230" s="105"/>
      <c r="F230" s="105"/>
      <c r="G230" s="105"/>
      <c r="H230" s="105"/>
    </row>
    <row r="231" spans="1:20" x14ac:dyDescent="0.3">
      <c r="A231" s="105" t="s">
        <v>62</v>
      </c>
      <c r="B231" s="105"/>
      <c r="C231" s="105"/>
      <c r="D231" s="105"/>
      <c r="E231" s="105"/>
      <c r="F231" s="105"/>
      <c r="G231" s="105"/>
      <c r="H231" s="105"/>
    </row>
    <row r="232" spans="1:20" ht="47.25" customHeight="1" x14ac:dyDescent="0.3">
      <c r="A232" s="164" t="s">
        <v>251</v>
      </c>
      <c r="B232" s="164" t="s">
        <v>224</v>
      </c>
      <c r="C232" s="164" t="s">
        <v>63</v>
      </c>
      <c r="D232" s="164" t="s">
        <v>225</v>
      </c>
      <c r="E232" s="166" t="s">
        <v>226</v>
      </c>
      <c r="F232" s="164" t="s">
        <v>64</v>
      </c>
      <c r="G232" s="166" t="s">
        <v>65</v>
      </c>
      <c r="H232" s="61" t="s">
        <v>227</v>
      </c>
      <c r="I232" s="55">
        <f>10.764</f>
        <v>10.763999999999999</v>
      </c>
      <c r="T232" s="1"/>
    </row>
    <row r="233" spans="1:20" s="2" customFormat="1" x14ac:dyDescent="0.3">
      <c r="A233" s="165"/>
      <c r="B233" s="165"/>
      <c r="C233" s="165"/>
      <c r="D233" s="165"/>
      <c r="E233" s="167"/>
      <c r="F233" s="165"/>
      <c r="G233" s="167"/>
      <c r="H233" s="62">
        <v>0.55000000000000004</v>
      </c>
      <c r="T233" s="1"/>
    </row>
    <row r="234" spans="1:20" s="2" customFormat="1" x14ac:dyDescent="0.3">
      <c r="A234" s="107" t="s">
        <v>213</v>
      </c>
      <c r="B234" s="107"/>
      <c r="C234" s="107"/>
      <c r="D234" s="107"/>
      <c r="E234" s="107"/>
      <c r="F234" s="107"/>
      <c r="G234" s="107"/>
      <c r="H234" s="107"/>
    </row>
    <row r="235" spans="1:20" s="2" customFormat="1" x14ac:dyDescent="0.3">
      <c r="A235" s="107" t="s">
        <v>228</v>
      </c>
      <c r="B235" s="107"/>
      <c r="C235" s="107"/>
      <c r="D235" s="107"/>
      <c r="E235" s="107"/>
      <c r="F235" s="107"/>
      <c r="G235" s="107"/>
      <c r="H235" s="107"/>
    </row>
    <row r="236" spans="1:20" s="2" customFormat="1" x14ac:dyDescent="0.3">
      <c r="A236" s="73" t="s">
        <v>229</v>
      </c>
      <c r="B236" s="74"/>
      <c r="C236" s="74"/>
      <c r="D236" s="74"/>
      <c r="E236" s="74"/>
      <c r="F236" s="74"/>
      <c r="G236" s="74"/>
      <c r="H236" s="75"/>
      <c r="J236" s="58"/>
      <c r="T236" s="1"/>
    </row>
    <row r="237" spans="1:20" s="2" customFormat="1" ht="15.75" customHeight="1" x14ac:dyDescent="0.3">
      <c r="A237" s="64">
        <v>1</v>
      </c>
      <c r="B237" s="65"/>
      <c r="C237" s="23" t="s">
        <v>230</v>
      </c>
      <c r="D237" s="56">
        <f>(9.326)*(10.764)</f>
        <v>100.385064</v>
      </c>
      <c r="E237" s="23">
        <v>0</v>
      </c>
      <c r="F237" s="23">
        <f t="shared" ref="F237:F280" si="0">D237+(IF(E237&lt;201,E237,IF(E237&lt;301,E237/2,E237/3)))</f>
        <v>100.385064</v>
      </c>
      <c r="G237" s="23">
        <v>0</v>
      </c>
      <c r="H237" s="23">
        <f>(F237+(IF(G237&lt;101,G237,IF(G237&lt;201,G237/2,IF(G237&lt;=301,G237/3,G237/4)))))*(($H$233)+1)</f>
        <v>155.59684920000001</v>
      </c>
      <c r="I237" s="58"/>
      <c r="L237" s="66"/>
      <c r="M237" s="66"/>
      <c r="N237" s="58"/>
      <c r="T237" s="1"/>
    </row>
    <row r="238" spans="1:20" s="2" customFormat="1" ht="15.75" customHeight="1" x14ac:dyDescent="0.3">
      <c r="A238" s="64">
        <v>2</v>
      </c>
      <c r="B238" s="65"/>
      <c r="C238" s="23" t="s">
        <v>230</v>
      </c>
      <c r="D238" s="56">
        <f t="shared" ref="D238:D252" si="1">(9.991)*(10.764)</f>
        <v>107.54312399999999</v>
      </c>
      <c r="E238" s="23">
        <v>0</v>
      </c>
      <c r="F238" s="23">
        <f t="shared" si="0"/>
        <v>107.54312399999999</v>
      </c>
      <c r="G238" s="23">
        <v>0</v>
      </c>
      <c r="H238" s="23">
        <f t="shared" ref="H238:H291" si="2">(F238+(IF(G238&lt;101,G238,IF(G238&lt;201,G238/2,IF(G238&lt;=301,G238/3,G238/4)))))*(($H$233)+1)</f>
        <v>166.6918422</v>
      </c>
      <c r="I238" s="58"/>
      <c r="L238" s="66"/>
      <c r="M238" s="66"/>
      <c r="N238" s="58"/>
      <c r="T238" s="9"/>
    </row>
    <row r="239" spans="1:20" s="2" customFormat="1" ht="15.75" customHeight="1" x14ac:dyDescent="0.3">
      <c r="A239" s="64">
        <v>3</v>
      </c>
      <c r="B239" s="65"/>
      <c r="C239" s="23" t="s">
        <v>230</v>
      </c>
      <c r="D239" s="56">
        <f t="shared" si="1"/>
        <v>107.54312399999999</v>
      </c>
      <c r="E239" s="23">
        <v>0</v>
      </c>
      <c r="F239" s="23">
        <f t="shared" si="0"/>
        <v>107.54312399999999</v>
      </c>
      <c r="G239" s="23">
        <v>0</v>
      </c>
      <c r="H239" s="23">
        <f t="shared" si="2"/>
        <v>166.6918422</v>
      </c>
      <c r="I239" s="58"/>
      <c r="L239" s="66"/>
      <c r="M239" s="66"/>
      <c r="N239" s="58"/>
      <c r="T239" s="8"/>
    </row>
    <row r="240" spans="1:20" s="2" customFormat="1" ht="15.75" customHeight="1" x14ac:dyDescent="0.3">
      <c r="A240" s="64">
        <v>4</v>
      </c>
      <c r="B240" s="65"/>
      <c r="C240" s="23" t="s">
        <v>230</v>
      </c>
      <c r="D240" s="56">
        <f t="shared" si="1"/>
        <v>107.54312399999999</v>
      </c>
      <c r="E240" s="23">
        <v>0</v>
      </c>
      <c r="F240" s="23">
        <f t="shared" si="0"/>
        <v>107.54312399999999</v>
      </c>
      <c r="G240" s="23">
        <v>0</v>
      </c>
      <c r="H240" s="23">
        <f t="shared" si="2"/>
        <v>166.6918422</v>
      </c>
      <c r="I240" s="58"/>
      <c r="L240" s="66"/>
      <c r="M240" s="66"/>
      <c r="N240" s="58"/>
      <c r="T240" s="8"/>
    </row>
    <row r="241" spans="1:20" s="2" customFormat="1" ht="15.75" customHeight="1" x14ac:dyDescent="0.3">
      <c r="A241" s="64">
        <v>5</v>
      </c>
      <c r="B241" s="65"/>
      <c r="C241" s="23" t="s">
        <v>230</v>
      </c>
      <c r="D241" s="56">
        <f t="shared" si="1"/>
        <v>107.54312399999999</v>
      </c>
      <c r="E241" s="23">
        <v>0</v>
      </c>
      <c r="F241" s="23">
        <f t="shared" si="0"/>
        <v>107.54312399999999</v>
      </c>
      <c r="G241" s="23">
        <v>0</v>
      </c>
      <c r="H241" s="23">
        <f t="shared" si="2"/>
        <v>166.6918422</v>
      </c>
      <c r="I241" s="58"/>
      <c r="L241" s="66"/>
      <c r="M241" s="66"/>
      <c r="N241" s="58"/>
      <c r="T241" s="1"/>
    </row>
    <row r="242" spans="1:20" s="2" customFormat="1" ht="15.75" customHeight="1" x14ac:dyDescent="0.3">
      <c r="A242" s="64">
        <v>6</v>
      </c>
      <c r="B242" s="65"/>
      <c r="C242" s="23" t="s">
        <v>230</v>
      </c>
      <c r="D242" s="56">
        <f t="shared" si="1"/>
        <v>107.54312399999999</v>
      </c>
      <c r="E242" s="23">
        <v>0</v>
      </c>
      <c r="F242" s="23">
        <f t="shared" si="0"/>
        <v>107.54312399999999</v>
      </c>
      <c r="G242" s="23">
        <v>0</v>
      </c>
      <c r="H242" s="23">
        <f t="shared" si="2"/>
        <v>166.6918422</v>
      </c>
      <c r="I242" s="58"/>
      <c r="L242" s="66"/>
      <c r="M242" s="66"/>
      <c r="N242" s="58"/>
      <c r="T242" s="9"/>
    </row>
    <row r="243" spans="1:20" s="2" customFormat="1" ht="15.75" customHeight="1" x14ac:dyDescent="0.3">
      <c r="A243" s="64">
        <v>7</v>
      </c>
      <c r="B243" s="65"/>
      <c r="C243" s="23" t="s">
        <v>230</v>
      </c>
      <c r="D243" s="56">
        <f t="shared" si="1"/>
        <v>107.54312399999999</v>
      </c>
      <c r="E243" s="23">
        <v>0</v>
      </c>
      <c r="F243" s="23">
        <f t="shared" si="0"/>
        <v>107.54312399999999</v>
      </c>
      <c r="G243" s="23">
        <v>0</v>
      </c>
      <c r="H243" s="23">
        <f t="shared" si="2"/>
        <v>166.6918422</v>
      </c>
      <c r="I243" s="58"/>
      <c r="L243" s="66"/>
      <c r="M243" s="66"/>
      <c r="N243" s="58"/>
      <c r="T243" s="8"/>
    </row>
    <row r="244" spans="1:20" s="2" customFormat="1" ht="15.75" customHeight="1" x14ac:dyDescent="0.3">
      <c r="A244" s="64">
        <v>8</v>
      </c>
      <c r="B244" s="65"/>
      <c r="C244" s="23" t="s">
        <v>230</v>
      </c>
      <c r="D244" s="56">
        <f t="shared" si="1"/>
        <v>107.54312399999999</v>
      </c>
      <c r="E244" s="23">
        <v>0</v>
      </c>
      <c r="F244" s="23">
        <f t="shared" si="0"/>
        <v>107.54312399999999</v>
      </c>
      <c r="G244" s="23">
        <v>0</v>
      </c>
      <c r="H244" s="23">
        <f t="shared" si="2"/>
        <v>166.6918422</v>
      </c>
      <c r="I244" s="58"/>
      <c r="L244" s="66"/>
      <c r="M244" s="66"/>
      <c r="N244" s="58"/>
      <c r="T244" s="8"/>
    </row>
    <row r="245" spans="1:20" s="2" customFormat="1" ht="15.75" customHeight="1" x14ac:dyDescent="0.3">
      <c r="A245" s="64">
        <v>9</v>
      </c>
      <c r="B245" s="65"/>
      <c r="C245" s="23" t="s">
        <v>230</v>
      </c>
      <c r="D245" s="56">
        <f t="shared" si="1"/>
        <v>107.54312399999999</v>
      </c>
      <c r="E245" s="23">
        <v>0</v>
      </c>
      <c r="F245" s="23">
        <f t="shared" si="0"/>
        <v>107.54312399999999</v>
      </c>
      <c r="G245" s="23">
        <v>0</v>
      </c>
      <c r="H245" s="23">
        <f t="shared" si="2"/>
        <v>166.6918422</v>
      </c>
      <c r="I245" s="58"/>
      <c r="L245" s="66"/>
      <c r="M245" s="66"/>
      <c r="N245" s="58"/>
      <c r="T245" s="1"/>
    </row>
    <row r="246" spans="1:20" s="2" customFormat="1" ht="15.75" customHeight="1" x14ac:dyDescent="0.3">
      <c r="A246" s="64">
        <v>10</v>
      </c>
      <c r="B246" s="65"/>
      <c r="C246" s="23" t="s">
        <v>230</v>
      </c>
      <c r="D246" s="56">
        <f t="shared" si="1"/>
        <v>107.54312399999999</v>
      </c>
      <c r="E246" s="23">
        <v>0</v>
      </c>
      <c r="F246" s="23">
        <f t="shared" si="0"/>
        <v>107.54312399999999</v>
      </c>
      <c r="G246" s="23">
        <v>0</v>
      </c>
      <c r="H246" s="23">
        <f t="shared" si="2"/>
        <v>166.6918422</v>
      </c>
      <c r="I246" s="58"/>
      <c r="L246" s="66"/>
      <c r="M246" s="66"/>
      <c r="N246" s="58"/>
      <c r="T246" s="9"/>
    </row>
    <row r="247" spans="1:20" s="2" customFormat="1" ht="15.75" customHeight="1" x14ac:dyDescent="0.3">
      <c r="A247" s="64">
        <v>11</v>
      </c>
      <c r="B247" s="65"/>
      <c r="C247" s="23" t="s">
        <v>230</v>
      </c>
      <c r="D247" s="56">
        <f t="shared" si="1"/>
        <v>107.54312399999999</v>
      </c>
      <c r="E247" s="23">
        <v>0</v>
      </c>
      <c r="F247" s="23">
        <f t="shared" si="0"/>
        <v>107.54312399999999</v>
      </c>
      <c r="G247" s="23">
        <v>0</v>
      </c>
      <c r="H247" s="23">
        <f t="shared" si="2"/>
        <v>166.6918422</v>
      </c>
      <c r="I247" s="58"/>
      <c r="L247" s="66"/>
      <c r="M247" s="66"/>
      <c r="N247" s="58"/>
      <c r="T247" s="8"/>
    </row>
    <row r="248" spans="1:20" s="2" customFormat="1" ht="15.75" customHeight="1" x14ac:dyDescent="0.3">
      <c r="A248" s="64">
        <v>12</v>
      </c>
      <c r="B248" s="65"/>
      <c r="C248" s="23" t="s">
        <v>230</v>
      </c>
      <c r="D248" s="56">
        <f t="shared" si="1"/>
        <v>107.54312399999999</v>
      </c>
      <c r="E248" s="23">
        <v>0</v>
      </c>
      <c r="F248" s="23">
        <f t="shared" si="0"/>
        <v>107.54312399999999</v>
      </c>
      <c r="G248" s="23">
        <v>0</v>
      </c>
      <c r="H248" s="23">
        <f t="shared" si="2"/>
        <v>166.6918422</v>
      </c>
      <c r="I248" s="58"/>
      <c r="L248" s="66"/>
      <c r="M248" s="66"/>
      <c r="N248" s="58"/>
      <c r="T248" s="8"/>
    </row>
    <row r="249" spans="1:20" s="2" customFormat="1" ht="15.75" customHeight="1" x14ac:dyDescent="0.3">
      <c r="A249" s="64">
        <v>13</v>
      </c>
      <c r="B249" s="65"/>
      <c r="C249" s="23" t="s">
        <v>230</v>
      </c>
      <c r="D249" s="56">
        <f t="shared" si="1"/>
        <v>107.54312399999999</v>
      </c>
      <c r="E249" s="23">
        <v>0</v>
      </c>
      <c r="F249" s="23">
        <f t="shared" si="0"/>
        <v>107.54312399999999</v>
      </c>
      <c r="G249" s="23">
        <v>0</v>
      </c>
      <c r="H249" s="23">
        <f t="shared" si="2"/>
        <v>166.6918422</v>
      </c>
      <c r="I249" s="58"/>
      <c r="L249" s="66"/>
      <c r="M249" s="66"/>
      <c r="N249" s="58"/>
      <c r="T249" s="1"/>
    </row>
    <row r="250" spans="1:20" s="2" customFormat="1" ht="15.75" customHeight="1" x14ac:dyDescent="0.3">
      <c r="A250" s="64">
        <v>14</v>
      </c>
      <c r="B250" s="65"/>
      <c r="C250" s="23" t="s">
        <v>230</v>
      </c>
      <c r="D250" s="56">
        <f t="shared" si="1"/>
        <v>107.54312399999999</v>
      </c>
      <c r="E250" s="23">
        <v>0</v>
      </c>
      <c r="F250" s="23">
        <f t="shared" si="0"/>
        <v>107.54312399999999</v>
      </c>
      <c r="G250" s="23">
        <v>0</v>
      </c>
      <c r="H250" s="23">
        <f t="shared" si="2"/>
        <v>166.6918422</v>
      </c>
      <c r="I250" s="58"/>
      <c r="L250" s="66"/>
      <c r="M250" s="66"/>
      <c r="N250" s="58"/>
      <c r="T250" s="9"/>
    </row>
    <row r="251" spans="1:20" s="2" customFormat="1" ht="15.75" customHeight="1" x14ac:dyDescent="0.3">
      <c r="A251" s="64">
        <v>15</v>
      </c>
      <c r="B251" s="65"/>
      <c r="C251" s="23" t="s">
        <v>230</v>
      </c>
      <c r="D251" s="56">
        <f t="shared" si="1"/>
        <v>107.54312399999999</v>
      </c>
      <c r="E251" s="23">
        <v>0</v>
      </c>
      <c r="F251" s="23">
        <f t="shared" si="0"/>
        <v>107.54312399999999</v>
      </c>
      <c r="G251" s="23">
        <v>0</v>
      </c>
      <c r="H251" s="23">
        <f t="shared" si="2"/>
        <v>166.6918422</v>
      </c>
      <c r="I251" s="58"/>
      <c r="L251" s="66"/>
      <c r="M251" s="66"/>
      <c r="N251" s="58"/>
      <c r="T251" s="8"/>
    </row>
    <row r="252" spans="1:20" s="2" customFormat="1" ht="15.75" customHeight="1" x14ac:dyDescent="0.3">
      <c r="A252" s="64">
        <v>16</v>
      </c>
      <c r="B252" s="65"/>
      <c r="C252" s="23" t="s">
        <v>230</v>
      </c>
      <c r="D252" s="56">
        <f t="shared" si="1"/>
        <v>107.54312399999999</v>
      </c>
      <c r="E252" s="23">
        <v>0</v>
      </c>
      <c r="F252" s="23">
        <f t="shared" si="0"/>
        <v>107.54312399999999</v>
      </c>
      <c r="G252" s="23">
        <v>0</v>
      </c>
      <c r="H252" s="23">
        <f t="shared" si="2"/>
        <v>166.6918422</v>
      </c>
      <c r="I252" s="58"/>
      <c r="L252" s="66"/>
      <c r="M252" s="66"/>
      <c r="N252" s="58"/>
      <c r="T252" s="8"/>
    </row>
    <row r="253" spans="1:20" s="2" customFormat="1" ht="15.75" customHeight="1" x14ac:dyDescent="0.3">
      <c r="A253" s="64">
        <v>17</v>
      </c>
      <c r="B253" s="65"/>
      <c r="C253" s="23" t="s">
        <v>230</v>
      </c>
      <c r="D253" s="56">
        <f>(3.212)*(10.764)</f>
        <v>34.573968000000001</v>
      </c>
      <c r="E253" s="23">
        <v>0</v>
      </c>
      <c r="F253" s="23">
        <f t="shared" si="0"/>
        <v>34.573968000000001</v>
      </c>
      <c r="G253" s="23">
        <v>0</v>
      </c>
      <c r="H253" s="23">
        <f t="shared" si="2"/>
        <v>53.589650400000004</v>
      </c>
      <c r="I253" s="58"/>
      <c r="L253" s="66"/>
      <c r="M253" s="66"/>
      <c r="N253" s="58"/>
      <c r="T253" s="1"/>
    </row>
    <row r="254" spans="1:20" s="2" customFormat="1" ht="15.75" customHeight="1" x14ac:dyDescent="0.3">
      <c r="A254" s="64">
        <v>18</v>
      </c>
      <c r="B254" s="65"/>
      <c r="C254" s="23" t="s">
        <v>230</v>
      </c>
      <c r="D254" s="56">
        <f>(8.327)*(10.764)</f>
        <v>89.631827999999999</v>
      </c>
      <c r="E254" s="23">
        <v>0</v>
      </c>
      <c r="F254" s="23">
        <f t="shared" si="0"/>
        <v>89.631827999999999</v>
      </c>
      <c r="G254" s="23">
        <v>0</v>
      </c>
      <c r="H254" s="23">
        <f t="shared" si="2"/>
        <v>138.92933339999999</v>
      </c>
      <c r="I254" s="58"/>
      <c r="L254" s="66"/>
      <c r="M254" s="66"/>
      <c r="N254" s="58"/>
      <c r="T254" s="9"/>
    </row>
    <row r="255" spans="1:20" s="2" customFormat="1" ht="15.75" customHeight="1" x14ac:dyDescent="0.3">
      <c r="A255" s="64">
        <v>19</v>
      </c>
      <c r="B255" s="65"/>
      <c r="C255" s="23" t="s">
        <v>230</v>
      </c>
      <c r="D255" s="56">
        <f>(8.327)*(10.764)</f>
        <v>89.631827999999999</v>
      </c>
      <c r="E255" s="23">
        <v>0</v>
      </c>
      <c r="F255" s="23">
        <f t="shared" si="0"/>
        <v>89.631827999999999</v>
      </c>
      <c r="G255" s="23">
        <v>0</v>
      </c>
      <c r="H255" s="23">
        <f t="shared" si="2"/>
        <v>138.92933339999999</v>
      </c>
      <c r="I255" s="58"/>
      <c r="L255" s="66"/>
      <c r="M255" s="66"/>
      <c r="N255" s="58"/>
      <c r="T255" s="8"/>
    </row>
    <row r="256" spans="1:20" s="2" customFormat="1" ht="15.75" customHeight="1" x14ac:dyDescent="0.3">
      <c r="A256" s="64">
        <v>20</v>
      </c>
      <c r="B256" s="65"/>
      <c r="C256" s="23" t="s">
        <v>230</v>
      </c>
      <c r="D256" s="56">
        <f>(8.327)*(10.764)</f>
        <v>89.631827999999999</v>
      </c>
      <c r="E256" s="23">
        <v>0</v>
      </c>
      <c r="F256" s="23">
        <f t="shared" si="0"/>
        <v>89.631827999999999</v>
      </c>
      <c r="G256" s="23">
        <v>0</v>
      </c>
      <c r="H256" s="23">
        <f t="shared" si="2"/>
        <v>138.92933339999999</v>
      </c>
      <c r="I256" s="58"/>
      <c r="L256" s="66"/>
      <c r="M256" s="66"/>
      <c r="N256" s="58"/>
      <c r="T256" s="8"/>
    </row>
    <row r="257" spans="1:20" s="2" customFormat="1" ht="15.75" customHeight="1" x14ac:dyDescent="0.3">
      <c r="A257" s="64">
        <v>21</v>
      </c>
      <c r="B257" s="65"/>
      <c r="C257" s="23" t="s">
        <v>230</v>
      </c>
      <c r="D257" s="56">
        <f>(8.327)*(10.764)</f>
        <v>89.631827999999999</v>
      </c>
      <c r="E257" s="23">
        <v>0</v>
      </c>
      <c r="F257" s="23">
        <f t="shared" si="0"/>
        <v>89.631827999999999</v>
      </c>
      <c r="G257" s="23">
        <v>0</v>
      </c>
      <c r="H257" s="23">
        <f t="shared" si="2"/>
        <v>138.92933339999999</v>
      </c>
      <c r="I257" s="58"/>
      <c r="L257" s="66"/>
      <c r="M257" s="66"/>
      <c r="N257" s="58"/>
      <c r="T257" s="1"/>
    </row>
    <row r="258" spans="1:20" s="2" customFormat="1" ht="15.75" customHeight="1" x14ac:dyDescent="0.3">
      <c r="A258" s="64">
        <v>22</v>
      </c>
      <c r="B258" s="65"/>
      <c r="C258" s="23" t="s">
        <v>230</v>
      </c>
      <c r="D258" s="56">
        <f t="shared" ref="D258:D267" si="3">(9.991)*(10.764)</f>
        <v>107.54312399999999</v>
      </c>
      <c r="E258" s="23">
        <v>0</v>
      </c>
      <c r="F258" s="23">
        <f t="shared" si="0"/>
        <v>107.54312399999999</v>
      </c>
      <c r="G258" s="23">
        <v>0</v>
      </c>
      <c r="H258" s="23">
        <f t="shared" si="2"/>
        <v>166.6918422</v>
      </c>
      <c r="I258" s="58"/>
      <c r="L258" s="66"/>
      <c r="M258" s="66"/>
      <c r="N258" s="58"/>
      <c r="T258" s="9"/>
    </row>
    <row r="259" spans="1:20" s="2" customFormat="1" ht="15.75" customHeight="1" x14ac:dyDescent="0.3">
      <c r="A259" s="64">
        <v>23</v>
      </c>
      <c r="B259" s="65"/>
      <c r="C259" s="23" t="s">
        <v>230</v>
      </c>
      <c r="D259" s="56">
        <f t="shared" si="3"/>
        <v>107.54312399999999</v>
      </c>
      <c r="E259" s="23">
        <v>0</v>
      </c>
      <c r="F259" s="23">
        <f t="shared" si="0"/>
        <v>107.54312399999999</v>
      </c>
      <c r="G259" s="23">
        <v>0</v>
      </c>
      <c r="H259" s="23">
        <f t="shared" si="2"/>
        <v>166.6918422</v>
      </c>
      <c r="I259" s="58"/>
      <c r="L259" s="66"/>
      <c r="M259" s="66"/>
      <c r="N259" s="58"/>
      <c r="T259" s="8"/>
    </row>
    <row r="260" spans="1:20" s="2" customFormat="1" ht="15.75" customHeight="1" x14ac:dyDescent="0.3">
      <c r="A260" s="64">
        <v>24</v>
      </c>
      <c r="B260" s="65"/>
      <c r="C260" s="23" t="s">
        <v>230</v>
      </c>
      <c r="D260" s="56">
        <f t="shared" si="3"/>
        <v>107.54312399999999</v>
      </c>
      <c r="E260" s="23">
        <v>0</v>
      </c>
      <c r="F260" s="23">
        <f t="shared" si="0"/>
        <v>107.54312399999999</v>
      </c>
      <c r="G260" s="23">
        <v>0</v>
      </c>
      <c r="H260" s="23">
        <f t="shared" si="2"/>
        <v>166.6918422</v>
      </c>
      <c r="I260" s="58"/>
      <c r="L260" s="66"/>
      <c r="M260" s="66"/>
      <c r="N260" s="58"/>
      <c r="T260" s="8"/>
    </row>
    <row r="261" spans="1:20" s="2" customFormat="1" ht="15.75" customHeight="1" x14ac:dyDescent="0.3">
      <c r="A261" s="64">
        <v>25</v>
      </c>
      <c r="B261" s="65"/>
      <c r="C261" s="23" t="s">
        <v>230</v>
      </c>
      <c r="D261" s="56">
        <f t="shared" si="3"/>
        <v>107.54312399999999</v>
      </c>
      <c r="E261" s="23">
        <v>0</v>
      </c>
      <c r="F261" s="23">
        <f t="shared" si="0"/>
        <v>107.54312399999999</v>
      </c>
      <c r="G261" s="23">
        <v>0</v>
      </c>
      <c r="H261" s="23">
        <f t="shared" si="2"/>
        <v>166.6918422</v>
      </c>
      <c r="I261" s="58"/>
      <c r="L261" s="66"/>
      <c r="M261" s="66"/>
      <c r="N261" s="58"/>
      <c r="T261" s="1"/>
    </row>
    <row r="262" spans="1:20" s="2" customFormat="1" ht="15.75" customHeight="1" x14ac:dyDescent="0.3">
      <c r="A262" s="64">
        <v>26</v>
      </c>
      <c r="B262" s="65"/>
      <c r="C262" s="23" t="s">
        <v>230</v>
      </c>
      <c r="D262" s="56">
        <f t="shared" si="3"/>
        <v>107.54312399999999</v>
      </c>
      <c r="E262" s="23">
        <v>0</v>
      </c>
      <c r="F262" s="23">
        <f t="shared" si="0"/>
        <v>107.54312399999999</v>
      </c>
      <c r="G262" s="23">
        <v>0</v>
      </c>
      <c r="H262" s="23">
        <f t="shared" si="2"/>
        <v>166.6918422</v>
      </c>
      <c r="I262" s="58"/>
      <c r="L262" s="66"/>
      <c r="M262" s="66"/>
      <c r="N262" s="58"/>
      <c r="T262" s="9"/>
    </row>
    <row r="263" spans="1:20" s="2" customFormat="1" ht="15.75" customHeight="1" x14ac:dyDescent="0.3">
      <c r="A263" s="64">
        <v>27</v>
      </c>
      <c r="B263" s="65"/>
      <c r="C263" s="23" t="s">
        <v>230</v>
      </c>
      <c r="D263" s="56">
        <f t="shared" si="3"/>
        <v>107.54312399999999</v>
      </c>
      <c r="E263" s="23">
        <v>0</v>
      </c>
      <c r="F263" s="23">
        <f t="shared" si="0"/>
        <v>107.54312399999999</v>
      </c>
      <c r="G263" s="23">
        <v>0</v>
      </c>
      <c r="H263" s="23">
        <f t="shared" si="2"/>
        <v>166.6918422</v>
      </c>
      <c r="I263" s="58"/>
      <c r="L263" s="66"/>
      <c r="M263" s="66"/>
      <c r="N263" s="58"/>
      <c r="T263" s="8"/>
    </row>
    <row r="264" spans="1:20" s="2" customFormat="1" ht="15.75" customHeight="1" x14ac:dyDescent="0.3">
      <c r="A264" s="64">
        <v>28</v>
      </c>
      <c r="B264" s="65"/>
      <c r="C264" s="23" t="s">
        <v>230</v>
      </c>
      <c r="D264" s="56">
        <f t="shared" si="3"/>
        <v>107.54312399999999</v>
      </c>
      <c r="E264" s="23">
        <v>0</v>
      </c>
      <c r="F264" s="23">
        <f t="shared" si="0"/>
        <v>107.54312399999999</v>
      </c>
      <c r="G264" s="23">
        <v>0</v>
      </c>
      <c r="H264" s="23">
        <f t="shared" si="2"/>
        <v>166.6918422</v>
      </c>
      <c r="I264" s="58"/>
      <c r="L264" s="66"/>
      <c r="M264" s="66"/>
      <c r="N264" s="58"/>
      <c r="T264" s="8"/>
    </row>
    <row r="265" spans="1:20" s="2" customFormat="1" ht="15.75" customHeight="1" x14ac:dyDescent="0.3">
      <c r="A265" s="64">
        <v>29</v>
      </c>
      <c r="B265" s="65"/>
      <c r="C265" s="23" t="s">
        <v>230</v>
      </c>
      <c r="D265" s="56">
        <f t="shared" si="3"/>
        <v>107.54312399999999</v>
      </c>
      <c r="E265" s="23">
        <v>0</v>
      </c>
      <c r="F265" s="23">
        <f t="shared" si="0"/>
        <v>107.54312399999999</v>
      </c>
      <c r="G265" s="23">
        <v>0</v>
      </c>
      <c r="H265" s="23">
        <f t="shared" si="2"/>
        <v>166.6918422</v>
      </c>
      <c r="I265" s="58"/>
      <c r="L265" s="66"/>
      <c r="M265" s="66"/>
      <c r="N265" s="58"/>
      <c r="T265" s="1"/>
    </row>
    <row r="266" spans="1:20" s="2" customFormat="1" ht="15.75" customHeight="1" x14ac:dyDescent="0.3">
      <c r="A266" s="64">
        <v>30</v>
      </c>
      <c r="B266" s="65"/>
      <c r="C266" s="23" t="s">
        <v>230</v>
      </c>
      <c r="D266" s="56">
        <f t="shared" si="3"/>
        <v>107.54312399999999</v>
      </c>
      <c r="E266" s="23">
        <v>0</v>
      </c>
      <c r="F266" s="23">
        <f t="shared" si="0"/>
        <v>107.54312399999999</v>
      </c>
      <c r="G266" s="23">
        <v>0</v>
      </c>
      <c r="H266" s="23">
        <f t="shared" si="2"/>
        <v>166.6918422</v>
      </c>
      <c r="I266" s="58"/>
      <c r="L266" s="66"/>
      <c r="M266" s="66"/>
      <c r="N266" s="58"/>
      <c r="T266" s="9"/>
    </row>
    <row r="267" spans="1:20" s="2" customFormat="1" ht="15.75" customHeight="1" x14ac:dyDescent="0.3">
      <c r="A267" s="64">
        <v>31</v>
      </c>
      <c r="B267" s="65"/>
      <c r="C267" s="23" t="s">
        <v>230</v>
      </c>
      <c r="D267" s="56">
        <f t="shared" si="3"/>
        <v>107.54312399999999</v>
      </c>
      <c r="E267" s="23">
        <v>0</v>
      </c>
      <c r="F267" s="23">
        <f t="shared" si="0"/>
        <v>107.54312399999999</v>
      </c>
      <c r="G267" s="23">
        <v>0</v>
      </c>
      <c r="H267" s="23">
        <f t="shared" si="2"/>
        <v>166.6918422</v>
      </c>
      <c r="I267" s="58"/>
      <c r="L267" s="66"/>
      <c r="M267" s="66"/>
      <c r="N267" s="58"/>
      <c r="T267" s="8"/>
    </row>
    <row r="268" spans="1:20" s="2" customFormat="1" ht="15.75" customHeight="1" x14ac:dyDescent="0.3">
      <c r="A268" s="64">
        <v>32</v>
      </c>
      <c r="B268" s="65"/>
      <c r="C268" s="23" t="s">
        <v>230</v>
      </c>
      <c r="D268" s="56">
        <f>(9.25)*(10.764)</f>
        <v>99.566999999999993</v>
      </c>
      <c r="E268" s="23">
        <v>0</v>
      </c>
      <c r="F268" s="23">
        <f t="shared" si="0"/>
        <v>99.566999999999993</v>
      </c>
      <c r="G268" s="23">
        <v>0</v>
      </c>
      <c r="H268" s="23">
        <f t="shared" si="2"/>
        <v>154.32884999999999</v>
      </c>
      <c r="I268" s="58"/>
      <c r="L268" s="66"/>
      <c r="M268" s="66"/>
      <c r="N268" s="58"/>
      <c r="T268" s="8"/>
    </row>
    <row r="269" spans="1:20" s="2" customFormat="1" ht="15.75" customHeight="1" x14ac:dyDescent="0.3">
      <c r="A269" s="64">
        <v>33</v>
      </c>
      <c r="B269" s="65"/>
      <c r="C269" s="23" t="s">
        <v>230</v>
      </c>
      <c r="D269" s="56">
        <f>(9.991)*(10.764)</f>
        <v>107.54312399999999</v>
      </c>
      <c r="E269" s="23">
        <v>0</v>
      </c>
      <c r="F269" s="23">
        <f t="shared" si="0"/>
        <v>107.54312399999999</v>
      </c>
      <c r="G269" s="23">
        <v>0</v>
      </c>
      <c r="H269" s="23">
        <f t="shared" si="2"/>
        <v>166.6918422</v>
      </c>
      <c r="I269" s="58"/>
      <c r="L269" s="66"/>
      <c r="M269" s="66"/>
      <c r="N269" s="58"/>
      <c r="T269" s="1"/>
    </row>
    <row r="270" spans="1:20" s="2" customFormat="1" ht="15.75" customHeight="1" x14ac:dyDescent="0.3">
      <c r="A270" s="64">
        <v>34</v>
      </c>
      <c r="B270" s="65"/>
      <c r="C270" s="23" t="s">
        <v>230</v>
      </c>
      <c r="D270" s="56">
        <f>(9.991)*(10.764)</f>
        <v>107.54312399999999</v>
      </c>
      <c r="E270" s="23">
        <v>0</v>
      </c>
      <c r="F270" s="23">
        <f t="shared" si="0"/>
        <v>107.54312399999999</v>
      </c>
      <c r="G270" s="23">
        <v>0</v>
      </c>
      <c r="H270" s="23">
        <f t="shared" si="2"/>
        <v>166.6918422</v>
      </c>
      <c r="I270" s="58"/>
      <c r="L270" s="66"/>
      <c r="M270" s="66"/>
      <c r="N270" s="58"/>
      <c r="T270" s="9"/>
    </row>
    <row r="271" spans="1:20" s="2" customFormat="1" ht="15.75" customHeight="1" x14ac:dyDescent="0.3">
      <c r="A271" s="64">
        <v>35</v>
      </c>
      <c r="B271" s="65"/>
      <c r="C271" s="23" t="s">
        <v>230</v>
      </c>
      <c r="D271" s="56">
        <f>(9.991)*(10.764)</f>
        <v>107.54312399999999</v>
      </c>
      <c r="E271" s="23">
        <v>0</v>
      </c>
      <c r="F271" s="23">
        <f t="shared" si="0"/>
        <v>107.54312399999999</v>
      </c>
      <c r="G271" s="23">
        <v>0</v>
      </c>
      <c r="H271" s="23">
        <f t="shared" si="2"/>
        <v>166.6918422</v>
      </c>
      <c r="I271" s="58"/>
      <c r="L271" s="66"/>
      <c r="M271" s="66"/>
      <c r="N271" s="58"/>
      <c r="T271" s="8"/>
    </row>
    <row r="272" spans="1:20" s="2" customFormat="1" ht="15.75" customHeight="1" x14ac:dyDescent="0.3">
      <c r="A272" s="64">
        <v>36</v>
      </c>
      <c r="B272" s="65"/>
      <c r="C272" s="23" t="s">
        <v>230</v>
      </c>
      <c r="D272" s="56">
        <f>(9.326)*(10.764)</f>
        <v>100.385064</v>
      </c>
      <c r="E272" s="23">
        <v>0</v>
      </c>
      <c r="F272" s="23">
        <f t="shared" si="0"/>
        <v>100.385064</v>
      </c>
      <c r="G272" s="23">
        <v>0</v>
      </c>
      <c r="H272" s="23">
        <f t="shared" si="2"/>
        <v>155.59684920000001</v>
      </c>
      <c r="I272" s="58"/>
      <c r="L272" s="66"/>
      <c r="M272" s="66"/>
      <c r="N272" s="58"/>
      <c r="T272" s="8"/>
    </row>
    <row r="273" spans="1:20" s="2" customFormat="1" ht="15.75" customHeight="1" x14ac:dyDescent="0.3">
      <c r="A273" s="64">
        <v>37</v>
      </c>
      <c r="B273" s="65"/>
      <c r="C273" s="23" t="s">
        <v>230</v>
      </c>
      <c r="D273" s="56">
        <f>(7.772)*(10.764)</f>
        <v>83.657808000000003</v>
      </c>
      <c r="E273" s="23">
        <v>0</v>
      </c>
      <c r="F273" s="23">
        <f t="shared" si="0"/>
        <v>83.657808000000003</v>
      </c>
      <c r="G273" s="23">
        <v>0</v>
      </c>
      <c r="H273" s="23">
        <f t="shared" si="2"/>
        <v>129.6696024</v>
      </c>
      <c r="I273" s="58"/>
      <c r="L273" s="66"/>
      <c r="M273" s="66"/>
      <c r="N273" s="58"/>
      <c r="T273" s="1"/>
    </row>
    <row r="274" spans="1:20" s="2" customFormat="1" ht="15.75" customHeight="1" x14ac:dyDescent="0.3">
      <c r="A274" s="64">
        <v>38</v>
      </c>
      <c r="B274" s="65"/>
      <c r="C274" s="23" t="s">
        <v>230</v>
      </c>
      <c r="D274" s="56">
        <f>(8.327)*(10.764)</f>
        <v>89.631827999999999</v>
      </c>
      <c r="E274" s="23">
        <v>0</v>
      </c>
      <c r="F274" s="23">
        <f t="shared" si="0"/>
        <v>89.631827999999999</v>
      </c>
      <c r="G274" s="23">
        <v>0</v>
      </c>
      <c r="H274" s="23">
        <f t="shared" si="2"/>
        <v>138.92933339999999</v>
      </c>
      <c r="I274" s="58"/>
      <c r="L274" s="66"/>
      <c r="M274" s="66"/>
      <c r="N274" s="58"/>
      <c r="T274" s="9"/>
    </row>
    <row r="275" spans="1:20" s="2" customFormat="1" ht="15.75" customHeight="1" x14ac:dyDescent="0.3">
      <c r="A275" s="64">
        <v>39</v>
      </c>
      <c r="B275" s="65"/>
      <c r="C275" s="23" t="s">
        <v>230</v>
      </c>
      <c r="D275" s="56">
        <f>(8.327)*(10.764)</f>
        <v>89.631827999999999</v>
      </c>
      <c r="E275" s="23">
        <v>0</v>
      </c>
      <c r="F275" s="23">
        <f t="shared" si="0"/>
        <v>89.631827999999999</v>
      </c>
      <c r="G275" s="23">
        <v>0</v>
      </c>
      <c r="H275" s="23">
        <f t="shared" si="2"/>
        <v>138.92933339999999</v>
      </c>
      <c r="I275" s="58"/>
      <c r="L275" s="66"/>
      <c r="M275" s="66"/>
      <c r="N275" s="58"/>
      <c r="T275" s="8"/>
    </row>
    <row r="276" spans="1:20" s="2" customFormat="1" ht="15.75" customHeight="1" x14ac:dyDescent="0.3">
      <c r="A276" s="64">
        <v>40</v>
      </c>
      <c r="B276" s="65"/>
      <c r="C276" s="23" t="s">
        <v>230</v>
      </c>
      <c r="D276" s="56">
        <f>(8.327)*(10.764)</f>
        <v>89.631827999999999</v>
      </c>
      <c r="E276" s="23">
        <v>0</v>
      </c>
      <c r="F276" s="23">
        <f t="shared" si="0"/>
        <v>89.631827999999999</v>
      </c>
      <c r="G276" s="23">
        <v>0</v>
      </c>
      <c r="H276" s="23">
        <f t="shared" si="2"/>
        <v>138.92933339999999</v>
      </c>
      <c r="I276" s="58"/>
      <c r="L276" s="66"/>
      <c r="M276" s="66"/>
      <c r="N276" s="58"/>
      <c r="T276" s="8"/>
    </row>
    <row r="277" spans="1:20" s="2" customFormat="1" ht="15.75" customHeight="1" x14ac:dyDescent="0.3">
      <c r="A277" s="64">
        <v>41</v>
      </c>
      <c r="B277" s="65"/>
      <c r="C277" s="23" t="s">
        <v>230</v>
      </c>
      <c r="D277" s="56">
        <f>(8.327)*(10.764)</f>
        <v>89.631827999999999</v>
      </c>
      <c r="E277" s="23">
        <v>0</v>
      </c>
      <c r="F277" s="23">
        <f t="shared" si="0"/>
        <v>89.631827999999999</v>
      </c>
      <c r="G277" s="23">
        <v>0</v>
      </c>
      <c r="H277" s="23">
        <f t="shared" si="2"/>
        <v>138.92933339999999</v>
      </c>
      <c r="I277" s="58"/>
      <c r="L277" s="66"/>
      <c r="M277" s="66"/>
      <c r="N277" s="58"/>
      <c r="T277" s="1"/>
    </row>
    <row r="278" spans="1:20" s="2" customFormat="1" ht="15.75" customHeight="1" x14ac:dyDescent="0.3">
      <c r="A278" s="64">
        <v>42</v>
      </c>
      <c r="B278" s="65"/>
      <c r="C278" s="23" t="s">
        <v>230</v>
      </c>
      <c r="D278" s="56">
        <f>(9.991)*(10.764)</f>
        <v>107.54312399999999</v>
      </c>
      <c r="E278" s="23">
        <v>0</v>
      </c>
      <c r="F278" s="23">
        <f t="shared" si="0"/>
        <v>107.54312399999999</v>
      </c>
      <c r="G278" s="23">
        <v>0</v>
      </c>
      <c r="H278" s="23">
        <f t="shared" si="2"/>
        <v>166.6918422</v>
      </c>
      <c r="I278" s="58"/>
      <c r="L278" s="66"/>
      <c r="M278" s="66"/>
      <c r="N278" s="58"/>
      <c r="T278" s="9"/>
    </row>
    <row r="279" spans="1:20" s="2" customFormat="1" ht="15.75" customHeight="1" x14ac:dyDescent="0.3">
      <c r="A279" s="64">
        <v>43</v>
      </c>
      <c r="B279" s="65"/>
      <c r="C279" s="23" t="s">
        <v>230</v>
      </c>
      <c r="D279" s="56">
        <f>(9.991)*(10.764)</f>
        <v>107.54312399999999</v>
      </c>
      <c r="E279" s="23">
        <v>0</v>
      </c>
      <c r="F279" s="23">
        <f t="shared" si="0"/>
        <v>107.54312399999999</v>
      </c>
      <c r="G279" s="23">
        <v>0</v>
      </c>
      <c r="H279" s="23">
        <f t="shared" si="2"/>
        <v>166.6918422</v>
      </c>
      <c r="I279" s="58"/>
      <c r="L279" s="66"/>
      <c r="M279" s="66"/>
      <c r="N279" s="58"/>
      <c r="T279" s="8"/>
    </row>
    <row r="280" spans="1:20" s="2" customFormat="1" ht="15.75" customHeight="1" x14ac:dyDescent="0.3">
      <c r="A280" s="64">
        <v>44</v>
      </c>
      <c r="B280" s="65"/>
      <c r="C280" s="23" t="s">
        <v>230</v>
      </c>
      <c r="D280" s="56">
        <f>(9.326)*(10.764)</f>
        <v>100.385064</v>
      </c>
      <c r="E280" s="23">
        <v>0</v>
      </c>
      <c r="F280" s="23">
        <f t="shared" si="0"/>
        <v>100.385064</v>
      </c>
      <c r="G280" s="23">
        <v>0</v>
      </c>
      <c r="H280" s="23">
        <f t="shared" si="2"/>
        <v>155.59684920000001</v>
      </c>
      <c r="I280" s="58"/>
      <c r="L280" s="66"/>
      <c r="M280" s="66"/>
      <c r="N280" s="58"/>
      <c r="T280" s="8"/>
    </row>
    <row r="281" spans="1:20" s="2" customFormat="1" x14ac:dyDescent="0.3">
      <c r="A281" s="73" t="s">
        <v>231</v>
      </c>
      <c r="B281" s="74"/>
      <c r="C281" s="74"/>
      <c r="D281" s="74"/>
      <c r="E281" s="74"/>
      <c r="F281" s="74"/>
      <c r="G281" s="74"/>
      <c r="H281" s="75"/>
      <c r="J281" s="58"/>
      <c r="T281" s="1"/>
    </row>
    <row r="282" spans="1:20" s="2" customFormat="1" ht="15.75" customHeight="1" x14ac:dyDescent="0.3">
      <c r="A282" s="64">
        <v>1</v>
      </c>
      <c r="B282" s="65"/>
      <c r="C282" s="23" t="s">
        <v>258</v>
      </c>
      <c r="D282" s="56">
        <f>(72.5)*(10.764)</f>
        <v>780.39</v>
      </c>
      <c r="E282" s="23">
        <v>0</v>
      </c>
      <c r="F282" s="23">
        <f t="shared" ref="F282:F289" si="4">D282+(IF(E282&lt;201,E282,IF(E282&lt;301,E282/2,E282/3)))</f>
        <v>780.39</v>
      </c>
      <c r="G282" s="23">
        <v>0</v>
      </c>
      <c r="H282" s="23">
        <f t="shared" si="2"/>
        <v>1209.6044999999999</v>
      </c>
      <c r="I282" s="58"/>
      <c r="L282" s="66"/>
      <c r="M282" s="66"/>
      <c r="N282" s="58"/>
      <c r="T282" s="1"/>
    </row>
    <row r="283" spans="1:20" s="2" customFormat="1" ht="15.75" customHeight="1" x14ac:dyDescent="0.3">
      <c r="A283" s="64">
        <v>2</v>
      </c>
      <c r="B283" s="65"/>
      <c r="C283" s="23" t="s">
        <v>258</v>
      </c>
      <c r="D283" s="56">
        <f>(41.508)*(10.764)</f>
        <v>446.79211199999997</v>
      </c>
      <c r="E283" s="23">
        <v>0</v>
      </c>
      <c r="F283" s="23">
        <f t="shared" si="4"/>
        <v>446.79211199999997</v>
      </c>
      <c r="G283" s="23">
        <v>0</v>
      </c>
      <c r="H283" s="23">
        <f t="shared" si="2"/>
        <v>692.52777359999993</v>
      </c>
      <c r="I283" s="58"/>
      <c r="L283" s="66"/>
      <c r="M283" s="66"/>
      <c r="N283" s="58"/>
      <c r="T283" s="9"/>
    </row>
    <row r="284" spans="1:20" s="2" customFormat="1" ht="15.75" customHeight="1" x14ac:dyDescent="0.3">
      <c r="A284" s="64">
        <v>3</v>
      </c>
      <c r="B284" s="65"/>
      <c r="C284" s="23" t="s">
        <v>258</v>
      </c>
      <c r="D284" s="56">
        <f>(41.5)*(10.764)</f>
        <v>446.70599999999996</v>
      </c>
      <c r="E284" s="23">
        <v>0</v>
      </c>
      <c r="F284" s="23">
        <f t="shared" si="4"/>
        <v>446.70599999999996</v>
      </c>
      <c r="G284" s="23">
        <v>0</v>
      </c>
      <c r="H284" s="23">
        <f t="shared" si="2"/>
        <v>692.39429999999993</v>
      </c>
      <c r="I284" s="58"/>
      <c r="L284" s="66"/>
      <c r="M284" s="66"/>
      <c r="N284" s="58"/>
      <c r="T284" s="8"/>
    </row>
    <row r="285" spans="1:20" s="2" customFormat="1" ht="15.75" customHeight="1" x14ac:dyDescent="0.3">
      <c r="A285" s="64">
        <v>4</v>
      </c>
      <c r="B285" s="65"/>
      <c r="C285" s="23" t="s">
        <v>258</v>
      </c>
      <c r="D285" s="56">
        <f>(34.509)*(10.764)</f>
        <v>371.45487599999996</v>
      </c>
      <c r="E285" s="23">
        <v>0</v>
      </c>
      <c r="F285" s="23">
        <f t="shared" si="4"/>
        <v>371.45487599999996</v>
      </c>
      <c r="G285" s="23">
        <v>0</v>
      </c>
      <c r="H285" s="23">
        <f t="shared" si="2"/>
        <v>575.75505779999992</v>
      </c>
      <c r="I285" s="58"/>
      <c r="L285" s="66"/>
      <c r="M285" s="66"/>
      <c r="N285" s="58"/>
      <c r="T285" s="8"/>
    </row>
    <row r="286" spans="1:20" s="2" customFormat="1" ht="15.75" customHeight="1" x14ac:dyDescent="0.3">
      <c r="A286" s="64">
        <v>5</v>
      </c>
      <c r="B286" s="65"/>
      <c r="C286" s="23" t="s">
        <v>258</v>
      </c>
      <c r="D286" s="56">
        <f>(77.912)*(10.764)</f>
        <v>838.644768</v>
      </c>
      <c r="E286" s="23">
        <v>0</v>
      </c>
      <c r="F286" s="23">
        <f t="shared" si="4"/>
        <v>838.644768</v>
      </c>
      <c r="G286" s="23">
        <v>0</v>
      </c>
      <c r="H286" s="23">
        <f t="shared" si="2"/>
        <v>1299.8993904000001</v>
      </c>
      <c r="I286" s="58"/>
      <c r="L286" s="66"/>
      <c r="M286" s="66"/>
      <c r="N286" s="58"/>
      <c r="T286" s="1"/>
    </row>
    <row r="287" spans="1:20" s="2" customFormat="1" ht="15.75" customHeight="1" x14ac:dyDescent="0.3">
      <c r="A287" s="64">
        <v>6</v>
      </c>
      <c r="B287" s="65"/>
      <c r="C287" s="23" t="s">
        <v>258</v>
      </c>
      <c r="D287" s="56">
        <f>(41.5)*(10.764)</f>
        <v>446.70599999999996</v>
      </c>
      <c r="E287" s="23">
        <v>0</v>
      </c>
      <c r="F287" s="23">
        <f t="shared" si="4"/>
        <v>446.70599999999996</v>
      </c>
      <c r="G287" s="23">
        <v>0</v>
      </c>
      <c r="H287" s="23">
        <f t="shared" si="2"/>
        <v>692.39429999999993</v>
      </c>
      <c r="I287" s="58"/>
      <c r="L287" s="66"/>
      <c r="M287" s="66"/>
      <c r="N287" s="58"/>
      <c r="T287" s="9"/>
    </row>
    <row r="288" spans="1:20" s="2" customFormat="1" ht="15.75" customHeight="1" x14ac:dyDescent="0.3">
      <c r="A288" s="64">
        <v>7</v>
      </c>
      <c r="B288" s="65"/>
      <c r="C288" s="23" t="s">
        <v>258</v>
      </c>
      <c r="D288" s="56">
        <f>(30.257)*(10.764)</f>
        <v>325.68634800000001</v>
      </c>
      <c r="E288" s="23">
        <v>0</v>
      </c>
      <c r="F288" s="23">
        <f t="shared" si="4"/>
        <v>325.68634800000001</v>
      </c>
      <c r="G288" s="23">
        <v>0</v>
      </c>
      <c r="H288" s="23">
        <f t="shared" si="2"/>
        <v>504.81383940000001</v>
      </c>
      <c r="I288" s="58"/>
      <c r="L288" s="66"/>
      <c r="M288" s="66"/>
      <c r="N288" s="58"/>
      <c r="T288" s="8"/>
    </row>
    <row r="289" spans="1:20" s="2" customFormat="1" ht="15.75" customHeight="1" x14ac:dyDescent="0.3">
      <c r="A289" s="64">
        <v>8</v>
      </c>
      <c r="B289" s="65"/>
      <c r="C289" s="23" t="s">
        <v>258</v>
      </c>
      <c r="D289" s="56">
        <f>(124.875)*(10.764)</f>
        <v>1344.1544999999999</v>
      </c>
      <c r="E289" s="23">
        <v>0</v>
      </c>
      <c r="F289" s="23">
        <f t="shared" si="4"/>
        <v>1344.1544999999999</v>
      </c>
      <c r="G289" s="23">
        <v>0</v>
      </c>
      <c r="H289" s="23">
        <f t="shared" si="2"/>
        <v>2083.4394749999997</v>
      </c>
      <c r="I289" s="58"/>
      <c r="L289" s="66"/>
      <c r="M289" s="66"/>
      <c r="N289" s="58"/>
      <c r="T289" s="8"/>
    </row>
    <row r="290" spans="1:20" s="2" customFormat="1" x14ac:dyDescent="0.3">
      <c r="A290" s="73" t="s">
        <v>233</v>
      </c>
      <c r="B290" s="74"/>
      <c r="C290" s="74"/>
      <c r="D290" s="74"/>
      <c r="E290" s="74"/>
      <c r="F290" s="74"/>
      <c r="G290" s="74"/>
      <c r="H290" s="75"/>
      <c r="J290" s="58"/>
      <c r="T290" s="1"/>
    </row>
    <row r="291" spans="1:20" s="2" customFormat="1" ht="15.75" customHeight="1" x14ac:dyDescent="0.3">
      <c r="A291" s="64">
        <v>1</v>
      </c>
      <c r="B291" s="65"/>
      <c r="C291" s="23" t="s">
        <v>258</v>
      </c>
      <c r="D291" s="56">
        <f>(198.71)*(10.764)</f>
        <v>2138.91444</v>
      </c>
      <c r="E291" s="23">
        <v>0</v>
      </c>
      <c r="F291" s="23">
        <f t="shared" ref="F291" si="5">D291+(IF(E291&lt;201,E291,IF(E291&lt;301,E291/2,E291/3)))</f>
        <v>2138.91444</v>
      </c>
      <c r="G291" s="23">
        <v>0</v>
      </c>
      <c r="H291" s="23">
        <f t="shared" si="2"/>
        <v>3315.3173820000002</v>
      </c>
      <c r="I291" s="58"/>
      <c r="L291" s="66"/>
      <c r="M291" s="66"/>
      <c r="N291" s="58"/>
      <c r="T291" s="1"/>
    </row>
    <row r="292" spans="1:20" s="2" customFormat="1" x14ac:dyDescent="0.3">
      <c r="A292" s="64"/>
      <c r="B292" s="168"/>
      <c r="C292" s="168"/>
      <c r="D292" s="168"/>
      <c r="E292" s="168"/>
      <c r="F292" s="168"/>
      <c r="G292" s="168"/>
      <c r="H292" s="65"/>
      <c r="I292" s="58"/>
      <c r="N292" s="58"/>
    </row>
    <row r="293" spans="1:20" ht="57" customHeight="1" x14ac:dyDescent="0.3">
      <c r="A293" s="129" t="s">
        <v>108</v>
      </c>
      <c r="B293" s="129"/>
      <c r="C293" s="24" t="s">
        <v>63</v>
      </c>
      <c r="D293" s="24" t="s">
        <v>64</v>
      </c>
      <c r="E293" s="17" t="s">
        <v>65</v>
      </c>
      <c r="F293" s="24" t="s">
        <v>66</v>
      </c>
      <c r="G293" s="129" t="s">
        <v>67</v>
      </c>
      <c r="H293" s="129"/>
      <c r="I293" s="55">
        <f>10.764</f>
        <v>10.763999999999999</v>
      </c>
    </row>
    <row r="294" spans="1:20" s="2" customFormat="1" x14ac:dyDescent="0.3">
      <c r="A294" s="107" t="s">
        <v>212</v>
      </c>
      <c r="B294" s="107"/>
      <c r="C294" s="107"/>
      <c r="D294" s="107"/>
      <c r="E294" s="107"/>
      <c r="F294" s="107"/>
      <c r="G294" s="107"/>
      <c r="H294" s="107"/>
    </row>
    <row r="295" spans="1:20" s="2" customFormat="1" x14ac:dyDescent="0.3">
      <c r="A295" s="107" t="s">
        <v>157</v>
      </c>
      <c r="B295" s="107"/>
      <c r="C295" s="107"/>
      <c r="D295" s="107"/>
      <c r="E295" s="107"/>
      <c r="F295" s="107"/>
      <c r="G295" s="107"/>
      <c r="H295" s="107"/>
    </row>
    <row r="296" spans="1:20" s="2" customFormat="1" x14ac:dyDescent="0.3">
      <c r="A296" s="107" t="s">
        <v>153</v>
      </c>
      <c r="B296" s="107"/>
      <c r="C296" s="107"/>
      <c r="D296" s="107"/>
      <c r="E296" s="107"/>
      <c r="F296" s="107"/>
      <c r="G296" s="107"/>
      <c r="H296" s="107"/>
    </row>
    <row r="297" spans="1:20" s="2" customFormat="1" ht="15.75" customHeight="1" x14ac:dyDescent="0.3">
      <c r="A297" s="85">
        <v>1</v>
      </c>
      <c r="B297" s="85"/>
      <c r="C297" s="23" t="s">
        <v>154</v>
      </c>
      <c r="D297" s="23">
        <f>10.764*28.69</f>
        <v>308.81916000000001</v>
      </c>
      <c r="E297" s="23">
        <v>0</v>
      </c>
      <c r="F297" s="23">
        <f t="shared" ref="F297:F315" si="6">1.5*D297</f>
        <v>463.22874000000002</v>
      </c>
      <c r="G297" s="108" t="str">
        <f>A296</f>
        <v>Ground Floor for Residential</v>
      </c>
      <c r="H297" s="109"/>
    </row>
    <row r="298" spans="1:20" s="2" customFormat="1" ht="15.75" customHeight="1" x14ac:dyDescent="0.3">
      <c r="A298" s="85">
        <v>2</v>
      </c>
      <c r="B298" s="85"/>
      <c r="C298" s="23" t="s">
        <v>154</v>
      </c>
      <c r="D298" s="23">
        <f>10.764*29.47</f>
        <v>317.21507999999994</v>
      </c>
      <c r="E298" s="23">
        <v>0</v>
      </c>
      <c r="F298" s="23">
        <f t="shared" si="6"/>
        <v>475.82261999999992</v>
      </c>
      <c r="G298" s="110"/>
      <c r="H298" s="111"/>
      <c r="I298" s="2">
        <f>1940000/F298</f>
        <v>4077.1495899039023</v>
      </c>
    </row>
    <row r="299" spans="1:20" s="2" customFormat="1" ht="15.75" customHeight="1" x14ac:dyDescent="0.3">
      <c r="A299" s="85">
        <v>3</v>
      </c>
      <c r="B299" s="85"/>
      <c r="C299" s="23" t="s">
        <v>154</v>
      </c>
      <c r="D299" s="23">
        <f t="shared" ref="D299:D314" si="7">10.764*29.47</f>
        <v>317.21507999999994</v>
      </c>
      <c r="E299" s="23">
        <v>0</v>
      </c>
      <c r="F299" s="23">
        <f t="shared" si="6"/>
        <v>475.82261999999992</v>
      </c>
      <c r="G299" s="110"/>
      <c r="H299" s="111"/>
    </row>
    <row r="300" spans="1:20" s="2" customFormat="1" ht="15.75" customHeight="1" x14ac:dyDescent="0.3">
      <c r="A300" s="85">
        <v>4</v>
      </c>
      <c r="B300" s="85"/>
      <c r="C300" s="23" t="s">
        <v>154</v>
      </c>
      <c r="D300" s="23">
        <f t="shared" si="7"/>
        <v>317.21507999999994</v>
      </c>
      <c r="E300" s="23">
        <v>0</v>
      </c>
      <c r="F300" s="23">
        <f t="shared" si="6"/>
        <v>475.82261999999992</v>
      </c>
      <c r="G300" s="110"/>
      <c r="H300" s="111"/>
    </row>
    <row r="301" spans="1:20" s="2" customFormat="1" ht="15.75" customHeight="1" x14ac:dyDescent="0.3">
      <c r="A301" s="85">
        <v>5</v>
      </c>
      <c r="B301" s="85"/>
      <c r="C301" s="23" t="s">
        <v>154</v>
      </c>
      <c r="D301" s="23">
        <f>10.764*29.69</f>
        <v>319.58316000000002</v>
      </c>
      <c r="E301" s="23">
        <v>0</v>
      </c>
      <c r="F301" s="23">
        <f t="shared" si="6"/>
        <v>479.37474000000003</v>
      </c>
      <c r="G301" s="110"/>
      <c r="H301" s="111"/>
    </row>
    <row r="302" spans="1:20" s="2" customFormat="1" ht="15.75" customHeight="1" x14ac:dyDescent="0.3">
      <c r="A302" s="85">
        <v>6</v>
      </c>
      <c r="B302" s="85"/>
      <c r="C302" s="23" t="s">
        <v>154</v>
      </c>
      <c r="D302" s="23">
        <f t="shared" si="7"/>
        <v>317.21507999999994</v>
      </c>
      <c r="E302" s="23">
        <v>0</v>
      </c>
      <c r="F302" s="23">
        <f t="shared" si="6"/>
        <v>475.82261999999992</v>
      </c>
      <c r="G302" s="110"/>
      <c r="H302" s="111"/>
    </row>
    <row r="303" spans="1:20" s="2" customFormat="1" ht="15.75" customHeight="1" x14ac:dyDescent="0.3">
      <c r="A303" s="85">
        <v>7</v>
      </c>
      <c r="B303" s="85"/>
      <c r="C303" s="23" t="s">
        <v>154</v>
      </c>
      <c r="D303" s="23">
        <f t="shared" si="7"/>
        <v>317.21507999999994</v>
      </c>
      <c r="E303" s="23">
        <v>0</v>
      </c>
      <c r="F303" s="23">
        <f t="shared" si="6"/>
        <v>475.82261999999992</v>
      </c>
      <c r="G303" s="110"/>
      <c r="H303" s="111"/>
    </row>
    <row r="304" spans="1:20" s="2" customFormat="1" ht="15.75" customHeight="1" x14ac:dyDescent="0.3">
      <c r="A304" s="85">
        <v>8</v>
      </c>
      <c r="B304" s="85"/>
      <c r="C304" s="23" t="s">
        <v>154</v>
      </c>
      <c r="D304" s="23">
        <f t="shared" si="7"/>
        <v>317.21507999999994</v>
      </c>
      <c r="E304" s="23">
        <v>0</v>
      </c>
      <c r="F304" s="23">
        <f t="shared" si="6"/>
        <v>475.82261999999992</v>
      </c>
      <c r="G304" s="110"/>
      <c r="H304" s="111"/>
    </row>
    <row r="305" spans="1:8" s="2" customFormat="1" ht="15.75" customHeight="1" x14ac:dyDescent="0.3">
      <c r="A305" s="85">
        <v>9</v>
      </c>
      <c r="B305" s="85"/>
      <c r="C305" s="23" t="s">
        <v>156</v>
      </c>
      <c r="D305" s="23">
        <f>10.764*46.66</f>
        <v>502.24823999999995</v>
      </c>
      <c r="E305" s="23">
        <v>0</v>
      </c>
      <c r="F305" s="23">
        <f t="shared" si="6"/>
        <v>753.37235999999996</v>
      </c>
      <c r="G305" s="110"/>
      <c r="H305" s="111"/>
    </row>
    <row r="306" spans="1:8" s="2" customFormat="1" ht="15.75" customHeight="1" x14ac:dyDescent="0.3">
      <c r="A306" s="85">
        <v>10</v>
      </c>
      <c r="B306" s="85"/>
      <c r="C306" s="23" t="s">
        <v>154</v>
      </c>
      <c r="D306" s="23">
        <f t="shared" si="7"/>
        <v>317.21507999999994</v>
      </c>
      <c r="E306" s="23">
        <v>0</v>
      </c>
      <c r="F306" s="23">
        <f t="shared" si="6"/>
        <v>475.82261999999992</v>
      </c>
      <c r="G306" s="110"/>
      <c r="H306" s="111"/>
    </row>
    <row r="307" spans="1:8" s="2" customFormat="1" ht="15.75" customHeight="1" x14ac:dyDescent="0.3">
      <c r="A307" s="85">
        <v>11</v>
      </c>
      <c r="B307" s="85"/>
      <c r="C307" s="23" t="s">
        <v>154</v>
      </c>
      <c r="D307" s="23">
        <f t="shared" si="7"/>
        <v>317.21507999999994</v>
      </c>
      <c r="E307" s="23">
        <v>0</v>
      </c>
      <c r="F307" s="23">
        <f t="shared" si="6"/>
        <v>475.82261999999992</v>
      </c>
      <c r="G307" s="110"/>
      <c r="H307" s="111"/>
    </row>
    <row r="308" spans="1:8" s="2" customFormat="1" ht="15.75" customHeight="1" x14ac:dyDescent="0.3">
      <c r="A308" s="85">
        <v>12</v>
      </c>
      <c r="B308" s="85"/>
      <c r="C308" s="23" t="s">
        <v>154</v>
      </c>
      <c r="D308" s="23">
        <f t="shared" si="7"/>
        <v>317.21507999999994</v>
      </c>
      <c r="E308" s="23">
        <v>0</v>
      </c>
      <c r="F308" s="23">
        <f t="shared" si="6"/>
        <v>475.82261999999992</v>
      </c>
      <c r="G308" s="110"/>
      <c r="H308" s="111"/>
    </row>
    <row r="309" spans="1:8" s="2" customFormat="1" ht="15.75" customHeight="1" x14ac:dyDescent="0.3">
      <c r="A309" s="85">
        <v>13</v>
      </c>
      <c r="B309" s="85"/>
      <c r="C309" s="23" t="s">
        <v>154</v>
      </c>
      <c r="D309" s="23">
        <f t="shared" si="7"/>
        <v>317.21507999999994</v>
      </c>
      <c r="E309" s="23">
        <v>0</v>
      </c>
      <c r="F309" s="23">
        <f t="shared" si="6"/>
        <v>475.82261999999992</v>
      </c>
      <c r="G309" s="110"/>
      <c r="H309" s="111"/>
    </row>
    <row r="310" spans="1:8" s="2" customFormat="1" ht="15.75" customHeight="1" x14ac:dyDescent="0.3">
      <c r="A310" s="85">
        <v>14</v>
      </c>
      <c r="B310" s="85"/>
      <c r="C310" s="23" t="s">
        <v>154</v>
      </c>
      <c r="D310" s="23">
        <f t="shared" si="7"/>
        <v>317.21507999999994</v>
      </c>
      <c r="E310" s="23">
        <v>0</v>
      </c>
      <c r="F310" s="23">
        <f t="shared" si="6"/>
        <v>475.82261999999992</v>
      </c>
      <c r="G310" s="110"/>
      <c r="H310" s="111"/>
    </row>
    <row r="311" spans="1:8" s="2" customFormat="1" ht="15.75" customHeight="1" x14ac:dyDescent="0.3">
      <c r="A311" s="85">
        <v>15</v>
      </c>
      <c r="B311" s="85"/>
      <c r="C311" s="23" t="s">
        <v>154</v>
      </c>
      <c r="D311" s="23">
        <f t="shared" si="7"/>
        <v>317.21507999999994</v>
      </c>
      <c r="E311" s="23">
        <v>0</v>
      </c>
      <c r="F311" s="23">
        <f t="shared" si="6"/>
        <v>475.82261999999992</v>
      </c>
      <c r="G311" s="110"/>
      <c r="H311" s="111"/>
    </row>
    <row r="312" spans="1:8" s="2" customFormat="1" ht="15.75" customHeight="1" x14ac:dyDescent="0.3">
      <c r="A312" s="85">
        <v>16</v>
      </c>
      <c r="B312" s="85"/>
      <c r="C312" s="23" t="s">
        <v>154</v>
      </c>
      <c r="D312" s="23">
        <f t="shared" si="7"/>
        <v>317.21507999999994</v>
      </c>
      <c r="E312" s="23">
        <v>0</v>
      </c>
      <c r="F312" s="23">
        <f t="shared" si="6"/>
        <v>475.82261999999992</v>
      </c>
      <c r="G312" s="110"/>
      <c r="H312" s="111"/>
    </row>
    <row r="313" spans="1:8" s="2" customFormat="1" ht="15.75" customHeight="1" x14ac:dyDescent="0.3">
      <c r="A313" s="85">
        <v>17</v>
      </c>
      <c r="B313" s="85"/>
      <c r="C313" s="23" t="s">
        <v>154</v>
      </c>
      <c r="D313" s="23">
        <f t="shared" si="7"/>
        <v>317.21507999999994</v>
      </c>
      <c r="E313" s="23">
        <v>0</v>
      </c>
      <c r="F313" s="23">
        <f t="shared" si="6"/>
        <v>475.82261999999992</v>
      </c>
      <c r="G313" s="110"/>
      <c r="H313" s="111"/>
    </row>
    <row r="314" spans="1:8" s="2" customFormat="1" ht="15.75" customHeight="1" x14ac:dyDescent="0.3">
      <c r="A314" s="85">
        <v>18</v>
      </c>
      <c r="B314" s="85"/>
      <c r="C314" s="23" t="s">
        <v>154</v>
      </c>
      <c r="D314" s="23">
        <f t="shared" si="7"/>
        <v>317.21507999999994</v>
      </c>
      <c r="E314" s="23">
        <v>0</v>
      </c>
      <c r="F314" s="23">
        <f t="shared" si="6"/>
        <v>475.82261999999992</v>
      </c>
      <c r="G314" s="110"/>
      <c r="H314" s="111"/>
    </row>
    <row r="315" spans="1:8" s="2" customFormat="1" ht="15.75" customHeight="1" x14ac:dyDescent="0.3">
      <c r="A315" s="85">
        <v>19</v>
      </c>
      <c r="B315" s="85"/>
      <c r="C315" s="23" t="s">
        <v>156</v>
      </c>
      <c r="D315" s="23">
        <f>10.764*42.87</f>
        <v>461.45267999999993</v>
      </c>
      <c r="E315" s="23">
        <v>0</v>
      </c>
      <c r="F315" s="23">
        <f t="shared" si="6"/>
        <v>692.17901999999992</v>
      </c>
      <c r="G315" s="112"/>
      <c r="H315" s="113"/>
    </row>
    <row r="316" spans="1:8" s="2" customFormat="1" x14ac:dyDescent="0.3">
      <c r="A316" s="73" t="s">
        <v>155</v>
      </c>
      <c r="B316" s="74"/>
      <c r="C316" s="74"/>
      <c r="D316" s="74"/>
      <c r="E316" s="74"/>
      <c r="F316" s="74"/>
      <c r="G316" s="74"/>
      <c r="H316" s="75"/>
    </row>
    <row r="317" spans="1:8" s="2" customFormat="1" ht="15.75" customHeight="1" x14ac:dyDescent="0.3">
      <c r="A317" s="85">
        <v>1</v>
      </c>
      <c r="B317" s="85"/>
      <c r="C317" s="23" t="s">
        <v>156</v>
      </c>
      <c r="D317" s="23">
        <f>10.764*50.45</f>
        <v>543.04380000000003</v>
      </c>
      <c r="E317" s="23">
        <v>0</v>
      </c>
      <c r="F317" s="23">
        <f t="shared" ref="F317:F335" si="8">1.5*D317</f>
        <v>814.56570000000011</v>
      </c>
      <c r="G317" s="108" t="str">
        <f>A316</f>
        <v>1st to 4th Floor</v>
      </c>
      <c r="H317" s="109"/>
    </row>
    <row r="318" spans="1:8" s="2" customFormat="1" ht="15.75" customHeight="1" x14ac:dyDescent="0.3">
      <c r="A318" s="85">
        <v>2</v>
      </c>
      <c r="B318" s="85"/>
      <c r="C318" s="23" t="s">
        <v>154</v>
      </c>
      <c r="D318" s="23">
        <f>10.764*35.71</f>
        <v>384.38243999999997</v>
      </c>
      <c r="E318" s="23">
        <v>0</v>
      </c>
      <c r="F318" s="23">
        <f t="shared" si="8"/>
        <v>576.57366000000002</v>
      </c>
      <c r="G318" s="110"/>
      <c r="H318" s="111"/>
    </row>
    <row r="319" spans="1:8" s="2" customFormat="1" ht="15.75" customHeight="1" x14ac:dyDescent="0.3">
      <c r="A319" s="85">
        <v>3</v>
      </c>
      <c r="B319" s="85"/>
      <c r="C319" s="23" t="s">
        <v>154</v>
      </c>
      <c r="D319" s="23">
        <f t="shared" ref="D319:D334" si="9">10.764*35.71</f>
        <v>384.38243999999997</v>
      </c>
      <c r="E319" s="23">
        <v>0</v>
      </c>
      <c r="F319" s="23">
        <f t="shared" si="8"/>
        <v>576.57366000000002</v>
      </c>
      <c r="G319" s="110"/>
      <c r="H319" s="111"/>
    </row>
    <row r="320" spans="1:8" s="2" customFormat="1" ht="15.75" customHeight="1" x14ac:dyDescent="0.3">
      <c r="A320" s="85">
        <v>4</v>
      </c>
      <c r="B320" s="85"/>
      <c r="C320" s="23" t="s">
        <v>154</v>
      </c>
      <c r="D320" s="23">
        <f t="shared" si="9"/>
        <v>384.38243999999997</v>
      </c>
      <c r="E320" s="23">
        <v>0</v>
      </c>
      <c r="F320" s="23">
        <f t="shared" si="8"/>
        <v>576.57366000000002</v>
      </c>
      <c r="G320" s="110"/>
      <c r="H320" s="111"/>
    </row>
    <row r="321" spans="1:8" s="2" customFormat="1" ht="15.75" customHeight="1" x14ac:dyDescent="0.3">
      <c r="A321" s="85">
        <v>5</v>
      </c>
      <c r="B321" s="85"/>
      <c r="C321" s="23" t="s">
        <v>156</v>
      </c>
      <c r="D321" s="23">
        <f>10.764*50.45</f>
        <v>543.04380000000003</v>
      </c>
      <c r="E321" s="23">
        <v>0</v>
      </c>
      <c r="F321" s="23">
        <f t="shared" si="8"/>
        <v>814.56570000000011</v>
      </c>
      <c r="G321" s="110"/>
      <c r="H321" s="111"/>
    </row>
    <row r="322" spans="1:8" s="2" customFormat="1" ht="15.75" customHeight="1" x14ac:dyDescent="0.3">
      <c r="A322" s="85">
        <v>6</v>
      </c>
      <c r="B322" s="85"/>
      <c r="C322" s="23" t="s">
        <v>154</v>
      </c>
      <c r="D322" s="23">
        <f t="shared" si="9"/>
        <v>384.38243999999997</v>
      </c>
      <c r="E322" s="23">
        <v>0</v>
      </c>
      <c r="F322" s="23">
        <f t="shared" si="8"/>
        <v>576.57366000000002</v>
      </c>
      <c r="G322" s="110"/>
      <c r="H322" s="111"/>
    </row>
    <row r="323" spans="1:8" s="2" customFormat="1" ht="15.75" customHeight="1" x14ac:dyDescent="0.3">
      <c r="A323" s="85">
        <v>7</v>
      </c>
      <c r="B323" s="85"/>
      <c r="C323" s="23" t="s">
        <v>154</v>
      </c>
      <c r="D323" s="23">
        <f t="shared" si="9"/>
        <v>384.38243999999997</v>
      </c>
      <c r="E323" s="23">
        <v>0</v>
      </c>
      <c r="F323" s="23">
        <f t="shared" si="8"/>
        <v>576.57366000000002</v>
      </c>
      <c r="G323" s="110"/>
      <c r="H323" s="111"/>
    </row>
    <row r="324" spans="1:8" s="2" customFormat="1" ht="15.75" customHeight="1" x14ac:dyDescent="0.3">
      <c r="A324" s="85">
        <v>8</v>
      </c>
      <c r="B324" s="85"/>
      <c r="C324" s="37" t="s">
        <v>154</v>
      </c>
      <c r="D324" s="37">
        <f t="shared" si="9"/>
        <v>384.38243999999997</v>
      </c>
      <c r="E324" s="23">
        <v>0</v>
      </c>
      <c r="F324" s="23">
        <f t="shared" si="8"/>
        <v>576.57366000000002</v>
      </c>
      <c r="G324" s="110"/>
      <c r="H324" s="111"/>
    </row>
    <row r="325" spans="1:8" s="2" customFormat="1" ht="15.75" customHeight="1" x14ac:dyDescent="0.3">
      <c r="A325" s="85">
        <v>9</v>
      </c>
      <c r="B325" s="85"/>
      <c r="C325" s="37" t="s">
        <v>156</v>
      </c>
      <c r="D325" s="37">
        <f>10.764*49.64</f>
        <v>534.32495999999992</v>
      </c>
      <c r="E325" s="23">
        <v>0</v>
      </c>
      <c r="F325" s="23">
        <f t="shared" si="8"/>
        <v>801.48743999999988</v>
      </c>
      <c r="G325" s="110"/>
      <c r="H325" s="111"/>
    </row>
    <row r="326" spans="1:8" s="2" customFormat="1" ht="15.75" customHeight="1" x14ac:dyDescent="0.3">
      <c r="A326" s="85">
        <v>10</v>
      </c>
      <c r="B326" s="85"/>
      <c r="C326" s="37" t="s">
        <v>154</v>
      </c>
      <c r="D326" s="23">
        <f t="shared" si="9"/>
        <v>384.38243999999997</v>
      </c>
      <c r="E326" s="23">
        <v>0</v>
      </c>
      <c r="F326" s="23">
        <f t="shared" si="8"/>
        <v>576.57366000000002</v>
      </c>
      <c r="G326" s="110"/>
      <c r="H326" s="111"/>
    </row>
    <row r="327" spans="1:8" s="2" customFormat="1" ht="15.75" customHeight="1" x14ac:dyDescent="0.3">
      <c r="A327" s="85">
        <v>11</v>
      </c>
      <c r="B327" s="85"/>
      <c r="C327" s="23" t="s">
        <v>154</v>
      </c>
      <c r="D327" s="23">
        <f t="shared" si="9"/>
        <v>384.38243999999997</v>
      </c>
      <c r="E327" s="23">
        <v>0</v>
      </c>
      <c r="F327" s="23">
        <f t="shared" si="8"/>
        <v>576.57366000000002</v>
      </c>
      <c r="G327" s="110"/>
      <c r="H327" s="111"/>
    </row>
    <row r="328" spans="1:8" s="2" customFormat="1" ht="15.75" customHeight="1" x14ac:dyDescent="0.3">
      <c r="A328" s="85">
        <v>12</v>
      </c>
      <c r="B328" s="85"/>
      <c r="C328" s="23" t="s">
        <v>154</v>
      </c>
      <c r="D328" s="23">
        <f t="shared" si="9"/>
        <v>384.38243999999997</v>
      </c>
      <c r="E328" s="23">
        <v>0</v>
      </c>
      <c r="F328" s="23">
        <f t="shared" si="8"/>
        <v>576.57366000000002</v>
      </c>
      <c r="G328" s="110"/>
      <c r="H328" s="111"/>
    </row>
    <row r="329" spans="1:8" s="2" customFormat="1" ht="15.75" customHeight="1" x14ac:dyDescent="0.3">
      <c r="A329" s="85">
        <v>13</v>
      </c>
      <c r="B329" s="85"/>
      <c r="C329" s="23" t="s">
        <v>154</v>
      </c>
      <c r="D329" s="23">
        <f t="shared" si="9"/>
        <v>384.38243999999997</v>
      </c>
      <c r="E329" s="23">
        <v>0</v>
      </c>
      <c r="F329" s="23">
        <f t="shared" si="8"/>
        <v>576.57366000000002</v>
      </c>
      <c r="G329" s="110"/>
      <c r="H329" s="111"/>
    </row>
    <row r="330" spans="1:8" s="2" customFormat="1" ht="15.75" customHeight="1" x14ac:dyDescent="0.3">
      <c r="A330" s="85">
        <v>14</v>
      </c>
      <c r="B330" s="85"/>
      <c r="C330" s="23" t="s">
        <v>154</v>
      </c>
      <c r="D330" s="23">
        <f t="shared" si="9"/>
        <v>384.38243999999997</v>
      </c>
      <c r="E330" s="23">
        <v>0</v>
      </c>
      <c r="F330" s="23">
        <f t="shared" si="8"/>
        <v>576.57366000000002</v>
      </c>
      <c r="G330" s="110"/>
      <c r="H330" s="111"/>
    </row>
    <row r="331" spans="1:8" s="2" customFormat="1" ht="15.75" customHeight="1" x14ac:dyDescent="0.3">
      <c r="A331" s="85">
        <v>15</v>
      </c>
      <c r="B331" s="85"/>
      <c r="C331" s="23" t="s">
        <v>154</v>
      </c>
      <c r="D331" s="23">
        <f t="shared" si="9"/>
        <v>384.38243999999997</v>
      </c>
      <c r="E331" s="23">
        <v>0</v>
      </c>
      <c r="F331" s="23">
        <f t="shared" si="8"/>
        <v>576.57366000000002</v>
      </c>
      <c r="G331" s="110"/>
      <c r="H331" s="111"/>
    </row>
    <row r="332" spans="1:8" s="2" customFormat="1" ht="15.75" customHeight="1" x14ac:dyDescent="0.3">
      <c r="A332" s="85">
        <v>16</v>
      </c>
      <c r="B332" s="85"/>
      <c r="C332" s="23" t="s">
        <v>154</v>
      </c>
      <c r="D332" s="23">
        <f t="shared" si="9"/>
        <v>384.38243999999997</v>
      </c>
      <c r="E332" s="23">
        <v>0</v>
      </c>
      <c r="F332" s="23">
        <f t="shared" si="8"/>
        <v>576.57366000000002</v>
      </c>
      <c r="G332" s="110"/>
      <c r="H332" s="111"/>
    </row>
    <row r="333" spans="1:8" s="2" customFormat="1" ht="15.75" customHeight="1" x14ac:dyDescent="0.3">
      <c r="A333" s="85">
        <v>17</v>
      </c>
      <c r="B333" s="85"/>
      <c r="C333" s="23" t="s">
        <v>154</v>
      </c>
      <c r="D333" s="23">
        <f t="shared" si="9"/>
        <v>384.38243999999997</v>
      </c>
      <c r="E333" s="23">
        <v>0</v>
      </c>
      <c r="F333" s="23">
        <f t="shared" si="8"/>
        <v>576.57366000000002</v>
      </c>
      <c r="G333" s="110"/>
      <c r="H333" s="111"/>
    </row>
    <row r="334" spans="1:8" s="2" customFormat="1" ht="15.75" customHeight="1" x14ac:dyDescent="0.3">
      <c r="A334" s="85">
        <v>18</v>
      </c>
      <c r="B334" s="85"/>
      <c r="C334" s="23" t="s">
        <v>154</v>
      </c>
      <c r="D334" s="23">
        <f t="shared" si="9"/>
        <v>384.38243999999997</v>
      </c>
      <c r="E334" s="23">
        <v>0</v>
      </c>
      <c r="F334" s="23">
        <f t="shared" si="8"/>
        <v>576.57366000000002</v>
      </c>
      <c r="G334" s="110"/>
      <c r="H334" s="111"/>
    </row>
    <row r="335" spans="1:8" s="2" customFormat="1" ht="15.75" customHeight="1" x14ac:dyDescent="0.3">
      <c r="A335" s="85">
        <v>19</v>
      </c>
      <c r="B335" s="85"/>
      <c r="C335" s="23" t="s">
        <v>156</v>
      </c>
      <c r="D335" s="23">
        <f>10.764*50.45</f>
        <v>543.04380000000003</v>
      </c>
      <c r="E335" s="23">
        <v>0</v>
      </c>
      <c r="F335" s="23">
        <f t="shared" si="8"/>
        <v>814.56570000000011</v>
      </c>
      <c r="G335" s="112"/>
      <c r="H335" s="113"/>
    </row>
    <row r="336" spans="1:8" s="2" customFormat="1" x14ac:dyDescent="0.3">
      <c r="A336" s="85"/>
      <c r="B336" s="85"/>
      <c r="C336" s="85"/>
      <c r="D336" s="85"/>
      <c r="E336" s="85"/>
      <c r="F336" s="85"/>
      <c r="G336" s="85"/>
      <c r="H336" s="85"/>
    </row>
    <row r="337" spans="1:8" s="2" customFormat="1" x14ac:dyDescent="0.3">
      <c r="A337" s="107" t="s">
        <v>152</v>
      </c>
      <c r="B337" s="107"/>
      <c r="C337" s="107"/>
      <c r="D337" s="107"/>
      <c r="E337" s="107"/>
      <c r="F337" s="107"/>
      <c r="G337" s="107"/>
      <c r="H337" s="107"/>
    </row>
    <row r="338" spans="1:8" s="2" customFormat="1" x14ac:dyDescent="0.3">
      <c r="A338" s="107" t="s">
        <v>153</v>
      </c>
      <c r="B338" s="107"/>
      <c r="C338" s="107"/>
      <c r="D338" s="107"/>
      <c r="E338" s="107"/>
      <c r="F338" s="107"/>
      <c r="G338" s="107"/>
      <c r="H338" s="107"/>
    </row>
    <row r="339" spans="1:8" s="2" customFormat="1" ht="15.75" customHeight="1" x14ac:dyDescent="0.3">
      <c r="A339" s="85">
        <v>1</v>
      </c>
      <c r="B339" s="85"/>
      <c r="C339" s="23" t="s">
        <v>154</v>
      </c>
      <c r="D339" s="23">
        <f>26.88*10.764</f>
        <v>289.33631999999994</v>
      </c>
      <c r="E339" s="23">
        <v>0</v>
      </c>
      <c r="F339" s="23">
        <f>1.5*D339</f>
        <v>434.00447999999994</v>
      </c>
      <c r="G339" s="85" t="str">
        <f>A338</f>
        <v>Ground Floor for Residential</v>
      </c>
      <c r="H339" s="85"/>
    </row>
    <row r="340" spans="1:8" s="2" customFormat="1" ht="15.75" customHeight="1" x14ac:dyDescent="0.3">
      <c r="A340" s="85">
        <v>2</v>
      </c>
      <c r="B340" s="85"/>
      <c r="C340" s="23" t="s">
        <v>154</v>
      </c>
      <c r="D340" s="23">
        <f t="shared" ref="D340:D362" si="10">26.88*10.764</f>
        <v>289.33631999999994</v>
      </c>
      <c r="E340" s="23">
        <v>0</v>
      </c>
      <c r="F340" s="23">
        <f t="shared" ref="F340:F349" si="11">1.5*D340</f>
        <v>434.00447999999994</v>
      </c>
      <c r="G340" s="85"/>
      <c r="H340" s="85"/>
    </row>
    <row r="341" spans="1:8" s="2" customFormat="1" ht="15.75" customHeight="1" x14ac:dyDescent="0.3">
      <c r="A341" s="85">
        <v>3</v>
      </c>
      <c r="B341" s="85"/>
      <c r="C341" s="23" t="s">
        <v>154</v>
      </c>
      <c r="D341" s="23">
        <f t="shared" si="10"/>
        <v>289.33631999999994</v>
      </c>
      <c r="E341" s="23">
        <v>0</v>
      </c>
      <c r="F341" s="23">
        <f t="shared" si="11"/>
        <v>434.00447999999994</v>
      </c>
      <c r="G341" s="85"/>
      <c r="H341" s="85"/>
    </row>
    <row r="342" spans="1:8" s="2" customFormat="1" ht="15.75" customHeight="1" x14ac:dyDescent="0.3">
      <c r="A342" s="85">
        <v>4</v>
      </c>
      <c r="B342" s="85"/>
      <c r="C342" s="23" t="s">
        <v>154</v>
      </c>
      <c r="D342" s="23">
        <f t="shared" si="10"/>
        <v>289.33631999999994</v>
      </c>
      <c r="E342" s="23">
        <v>0</v>
      </c>
      <c r="F342" s="23">
        <f t="shared" si="11"/>
        <v>434.00447999999994</v>
      </c>
      <c r="G342" s="85"/>
      <c r="H342" s="85"/>
    </row>
    <row r="343" spans="1:8" s="2" customFormat="1" ht="15.75" customHeight="1" x14ac:dyDescent="0.3">
      <c r="A343" s="85">
        <v>5</v>
      </c>
      <c r="B343" s="85"/>
      <c r="C343" s="23" t="s">
        <v>154</v>
      </c>
      <c r="D343" s="23">
        <f t="shared" si="10"/>
        <v>289.33631999999994</v>
      </c>
      <c r="E343" s="23">
        <v>0</v>
      </c>
      <c r="F343" s="23">
        <f t="shared" si="11"/>
        <v>434.00447999999994</v>
      </c>
      <c r="G343" s="85"/>
      <c r="H343" s="85"/>
    </row>
    <row r="344" spans="1:8" s="2" customFormat="1" ht="15.75" customHeight="1" x14ac:dyDescent="0.3">
      <c r="A344" s="85">
        <v>6</v>
      </c>
      <c r="B344" s="85"/>
      <c r="C344" s="23" t="s">
        <v>154</v>
      </c>
      <c r="D344" s="23">
        <f t="shared" si="10"/>
        <v>289.33631999999994</v>
      </c>
      <c r="E344" s="23">
        <v>0</v>
      </c>
      <c r="F344" s="23">
        <f t="shared" si="11"/>
        <v>434.00447999999994</v>
      </c>
      <c r="G344" s="85"/>
      <c r="H344" s="85"/>
    </row>
    <row r="345" spans="1:8" s="2" customFormat="1" ht="15.75" customHeight="1" x14ac:dyDescent="0.3">
      <c r="A345" s="85">
        <v>7</v>
      </c>
      <c r="B345" s="85"/>
      <c r="C345" s="23" t="s">
        <v>154</v>
      </c>
      <c r="D345" s="23">
        <f t="shared" si="10"/>
        <v>289.33631999999994</v>
      </c>
      <c r="E345" s="23">
        <v>0</v>
      </c>
      <c r="F345" s="23">
        <f t="shared" si="11"/>
        <v>434.00447999999994</v>
      </c>
      <c r="G345" s="85"/>
      <c r="H345" s="85"/>
    </row>
    <row r="346" spans="1:8" s="2" customFormat="1" ht="15.75" customHeight="1" x14ac:dyDescent="0.3">
      <c r="A346" s="85">
        <v>8</v>
      </c>
      <c r="B346" s="85"/>
      <c r="C346" s="23" t="s">
        <v>154</v>
      </c>
      <c r="D346" s="23">
        <f t="shared" si="10"/>
        <v>289.33631999999994</v>
      </c>
      <c r="E346" s="23">
        <v>0</v>
      </c>
      <c r="F346" s="23">
        <f t="shared" si="11"/>
        <v>434.00447999999994</v>
      </c>
      <c r="G346" s="85"/>
      <c r="H346" s="85"/>
    </row>
    <row r="347" spans="1:8" s="2" customFormat="1" ht="15.75" customHeight="1" x14ac:dyDescent="0.3">
      <c r="A347" s="85">
        <v>9</v>
      </c>
      <c r="B347" s="85"/>
      <c r="C347" s="23" t="s">
        <v>154</v>
      </c>
      <c r="D347" s="23">
        <f t="shared" si="10"/>
        <v>289.33631999999994</v>
      </c>
      <c r="E347" s="23">
        <v>0</v>
      </c>
      <c r="F347" s="23">
        <f t="shared" si="11"/>
        <v>434.00447999999994</v>
      </c>
      <c r="G347" s="85"/>
      <c r="H347" s="85"/>
    </row>
    <row r="348" spans="1:8" s="2" customFormat="1" ht="15.75" customHeight="1" x14ac:dyDescent="0.3">
      <c r="A348" s="85">
        <v>10</v>
      </c>
      <c r="B348" s="85"/>
      <c r="C348" s="23" t="s">
        <v>154</v>
      </c>
      <c r="D348" s="23">
        <f t="shared" si="10"/>
        <v>289.33631999999994</v>
      </c>
      <c r="E348" s="23">
        <v>0</v>
      </c>
      <c r="F348" s="23">
        <f t="shared" si="11"/>
        <v>434.00447999999994</v>
      </c>
      <c r="G348" s="85"/>
      <c r="H348" s="85"/>
    </row>
    <row r="349" spans="1:8" s="2" customFormat="1" ht="15.75" customHeight="1" x14ac:dyDescent="0.3">
      <c r="A349" s="85">
        <v>11</v>
      </c>
      <c r="B349" s="85"/>
      <c r="C349" s="23" t="s">
        <v>154</v>
      </c>
      <c r="D349" s="23">
        <f t="shared" si="10"/>
        <v>289.33631999999994</v>
      </c>
      <c r="E349" s="23">
        <v>0</v>
      </c>
      <c r="F349" s="23">
        <f t="shared" si="11"/>
        <v>434.00447999999994</v>
      </c>
      <c r="G349" s="85"/>
      <c r="H349" s="85"/>
    </row>
    <row r="350" spans="1:8" s="2" customFormat="1" ht="15.75" customHeight="1" x14ac:dyDescent="0.3">
      <c r="A350" s="73" t="s">
        <v>155</v>
      </c>
      <c r="B350" s="74"/>
      <c r="C350" s="74"/>
      <c r="D350" s="74"/>
      <c r="E350" s="74"/>
      <c r="F350" s="74"/>
      <c r="G350" s="74"/>
      <c r="H350" s="75"/>
    </row>
    <row r="351" spans="1:8" s="2" customFormat="1" ht="15.75" customHeight="1" x14ac:dyDescent="0.3">
      <c r="A351" s="85">
        <v>1</v>
      </c>
      <c r="B351" s="85"/>
      <c r="C351" s="23" t="s">
        <v>154</v>
      </c>
      <c r="D351" s="23">
        <f t="shared" si="10"/>
        <v>289.33631999999994</v>
      </c>
      <c r="E351" s="23">
        <v>0</v>
      </c>
      <c r="F351" s="23">
        <f t="shared" ref="F351:F362" si="12">1.5*D351</f>
        <v>434.00447999999994</v>
      </c>
      <c r="G351" s="108" t="str">
        <f>A350</f>
        <v>1st to 4th Floor</v>
      </c>
      <c r="H351" s="109"/>
    </row>
    <row r="352" spans="1:8" s="2" customFormat="1" ht="15.75" customHeight="1" x14ac:dyDescent="0.3">
      <c r="A352" s="85">
        <v>2</v>
      </c>
      <c r="B352" s="85"/>
      <c r="C352" s="23" t="s">
        <v>154</v>
      </c>
      <c r="D352" s="23">
        <f t="shared" si="10"/>
        <v>289.33631999999994</v>
      </c>
      <c r="E352" s="23">
        <v>0</v>
      </c>
      <c r="F352" s="23">
        <f t="shared" si="12"/>
        <v>434.00447999999994</v>
      </c>
      <c r="G352" s="110"/>
      <c r="H352" s="111"/>
    </row>
    <row r="353" spans="1:8" s="2" customFormat="1" ht="15.75" customHeight="1" x14ac:dyDescent="0.3">
      <c r="A353" s="85">
        <v>3</v>
      </c>
      <c r="B353" s="85"/>
      <c r="C353" s="23" t="s">
        <v>154</v>
      </c>
      <c r="D353" s="23">
        <f t="shared" si="10"/>
        <v>289.33631999999994</v>
      </c>
      <c r="E353" s="23">
        <v>0</v>
      </c>
      <c r="F353" s="23">
        <f t="shared" si="12"/>
        <v>434.00447999999994</v>
      </c>
      <c r="G353" s="110"/>
      <c r="H353" s="111"/>
    </row>
    <row r="354" spans="1:8" s="2" customFormat="1" ht="15.75" customHeight="1" x14ac:dyDescent="0.3">
      <c r="A354" s="85">
        <v>4</v>
      </c>
      <c r="B354" s="85"/>
      <c r="C354" s="23" t="s">
        <v>154</v>
      </c>
      <c r="D354" s="23">
        <f t="shared" si="10"/>
        <v>289.33631999999994</v>
      </c>
      <c r="E354" s="23">
        <v>0</v>
      </c>
      <c r="F354" s="23">
        <f t="shared" si="12"/>
        <v>434.00447999999994</v>
      </c>
      <c r="G354" s="110"/>
      <c r="H354" s="111"/>
    </row>
    <row r="355" spans="1:8" s="2" customFormat="1" ht="15.75" customHeight="1" x14ac:dyDescent="0.3">
      <c r="A355" s="85">
        <v>5</v>
      </c>
      <c r="B355" s="85"/>
      <c r="C355" s="23" t="s">
        <v>154</v>
      </c>
      <c r="D355" s="23">
        <f t="shared" si="10"/>
        <v>289.33631999999994</v>
      </c>
      <c r="E355" s="23">
        <v>0</v>
      </c>
      <c r="F355" s="23">
        <f t="shared" si="12"/>
        <v>434.00447999999994</v>
      </c>
      <c r="G355" s="110"/>
      <c r="H355" s="111"/>
    </row>
    <row r="356" spans="1:8" s="2" customFormat="1" ht="15.75" customHeight="1" x14ac:dyDescent="0.3">
      <c r="A356" s="85">
        <v>6</v>
      </c>
      <c r="B356" s="85"/>
      <c r="C356" s="23" t="s">
        <v>154</v>
      </c>
      <c r="D356" s="23">
        <f t="shared" si="10"/>
        <v>289.33631999999994</v>
      </c>
      <c r="E356" s="23">
        <v>0</v>
      </c>
      <c r="F356" s="23">
        <f t="shared" si="12"/>
        <v>434.00447999999994</v>
      </c>
      <c r="G356" s="110"/>
      <c r="H356" s="111"/>
    </row>
    <row r="357" spans="1:8" s="2" customFormat="1" ht="15.75" customHeight="1" x14ac:dyDescent="0.3">
      <c r="A357" s="85">
        <v>7</v>
      </c>
      <c r="B357" s="85"/>
      <c r="C357" s="23" t="s">
        <v>154</v>
      </c>
      <c r="D357" s="23">
        <f t="shared" si="10"/>
        <v>289.33631999999994</v>
      </c>
      <c r="E357" s="23">
        <v>0</v>
      </c>
      <c r="F357" s="23">
        <f t="shared" si="12"/>
        <v>434.00447999999994</v>
      </c>
      <c r="G357" s="110"/>
      <c r="H357" s="111"/>
    </row>
    <row r="358" spans="1:8" s="2" customFormat="1" ht="15.75" customHeight="1" x14ac:dyDescent="0.3">
      <c r="A358" s="85">
        <v>8</v>
      </c>
      <c r="B358" s="85"/>
      <c r="C358" s="23" t="s">
        <v>154</v>
      </c>
      <c r="D358" s="23">
        <f t="shared" si="10"/>
        <v>289.33631999999994</v>
      </c>
      <c r="E358" s="23">
        <v>0</v>
      </c>
      <c r="F358" s="23">
        <f t="shared" si="12"/>
        <v>434.00447999999994</v>
      </c>
      <c r="G358" s="110"/>
      <c r="H358" s="111"/>
    </row>
    <row r="359" spans="1:8" s="2" customFormat="1" ht="15.75" customHeight="1" x14ac:dyDescent="0.3">
      <c r="A359" s="85">
        <v>9</v>
      </c>
      <c r="B359" s="85"/>
      <c r="C359" s="23" t="s">
        <v>154</v>
      </c>
      <c r="D359" s="23">
        <f t="shared" si="10"/>
        <v>289.33631999999994</v>
      </c>
      <c r="E359" s="23">
        <v>0</v>
      </c>
      <c r="F359" s="23">
        <f t="shared" si="12"/>
        <v>434.00447999999994</v>
      </c>
      <c r="G359" s="110"/>
      <c r="H359" s="111"/>
    </row>
    <row r="360" spans="1:8" s="2" customFormat="1" ht="15.75" customHeight="1" x14ac:dyDescent="0.3">
      <c r="A360" s="85">
        <v>10</v>
      </c>
      <c r="B360" s="85"/>
      <c r="C360" s="23" t="s">
        <v>154</v>
      </c>
      <c r="D360" s="23">
        <f t="shared" si="10"/>
        <v>289.33631999999994</v>
      </c>
      <c r="E360" s="23">
        <v>0</v>
      </c>
      <c r="F360" s="23">
        <f t="shared" si="12"/>
        <v>434.00447999999994</v>
      </c>
      <c r="G360" s="110"/>
      <c r="H360" s="111"/>
    </row>
    <row r="361" spans="1:8" s="2" customFormat="1" ht="15.75" customHeight="1" x14ac:dyDescent="0.3">
      <c r="A361" s="85">
        <v>11</v>
      </c>
      <c r="B361" s="85"/>
      <c r="C361" s="23" t="s">
        <v>154</v>
      </c>
      <c r="D361" s="23">
        <f t="shared" si="10"/>
        <v>289.33631999999994</v>
      </c>
      <c r="E361" s="23">
        <v>0</v>
      </c>
      <c r="F361" s="23">
        <f t="shared" si="12"/>
        <v>434.00447999999994</v>
      </c>
      <c r="G361" s="110"/>
      <c r="H361" s="111"/>
    </row>
    <row r="362" spans="1:8" s="2" customFormat="1" ht="15.75" customHeight="1" x14ac:dyDescent="0.3">
      <c r="A362" s="85">
        <v>12</v>
      </c>
      <c r="B362" s="85"/>
      <c r="C362" s="23" t="s">
        <v>154</v>
      </c>
      <c r="D362" s="23">
        <f t="shared" si="10"/>
        <v>289.33631999999994</v>
      </c>
      <c r="E362" s="23">
        <v>0</v>
      </c>
      <c r="F362" s="23">
        <f t="shared" si="12"/>
        <v>434.00447999999994</v>
      </c>
      <c r="G362" s="112"/>
      <c r="H362" s="113"/>
    </row>
    <row r="363" spans="1:8" s="2" customFormat="1" x14ac:dyDescent="0.3">
      <c r="A363" s="107" t="s">
        <v>158</v>
      </c>
      <c r="B363" s="107"/>
      <c r="C363" s="107"/>
      <c r="D363" s="107"/>
      <c r="E363" s="107"/>
      <c r="F363" s="107"/>
      <c r="G363" s="107"/>
      <c r="H363" s="107"/>
    </row>
    <row r="364" spans="1:8" s="2" customFormat="1" x14ac:dyDescent="0.3">
      <c r="A364" s="107" t="s">
        <v>153</v>
      </c>
      <c r="B364" s="107"/>
      <c r="C364" s="107"/>
      <c r="D364" s="107"/>
      <c r="E364" s="107"/>
      <c r="F364" s="107"/>
      <c r="G364" s="107"/>
      <c r="H364" s="107"/>
    </row>
    <row r="365" spans="1:8" s="2" customFormat="1" ht="15.75" customHeight="1" x14ac:dyDescent="0.3">
      <c r="A365" s="85">
        <v>1</v>
      </c>
      <c r="B365" s="85"/>
      <c r="C365" s="23" t="s">
        <v>154</v>
      </c>
      <c r="D365" s="23">
        <f>26.88*10.764</f>
        <v>289.33631999999994</v>
      </c>
      <c r="E365" s="23">
        <v>0</v>
      </c>
      <c r="F365" s="23">
        <f>1.5*D365</f>
        <v>434.00447999999994</v>
      </c>
      <c r="G365" s="85" t="str">
        <f>A364</f>
        <v>Ground Floor for Residential</v>
      </c>
      <c r="H365" s="85"/>
    </row>
    <row r="366" spans="1:8" s="2" customFormat="1" ht="15.75" customHeight="1" x14ac:dyDescent="0.3">
      <c r="A366" s="85">
        <v>2</v>
      </c>
      <c r="B366" s="85"/>
      <c r="C366" s="23" t="s">
        <v>154</v>
      </c>
      <c r="D366" s="23">
        <f>26.88*10.764</f>
        <v>289.33631999999994</v>
      </c>
      <c r="E366" s="23">
        <v>0</v>
      </c>
      <c r="F366" s="23">
        <f t="shared" ref="F366:F394" si="13">1.5*D366</f>
        <v>434.00447999999994</v>
      </c>
      <c r="G366" s="85"/>
      <c r="H366" s="85"/>
    </row>
    <row r="367" spans="1:8" s="2" customFormat="1" ht="15.75" customHeight="1" x14ac:dyDescent="0.3">
      <c r="A367" s="85">
        <v>3</v>
      </c>
      <c r="B367" s="85"/>
      <c r="C367" s="23" t="s">
        <v>154</v>
      </c>
      <c r="D367" s="23">
        <f>26.88*10.764</f>
        <v>289.33631999999994</v>
      </c>
      <c r="E367" s="23">
        <v>0</v>
      </c>
      <c r="F367" s="23">
        <f t="shared" si="13"/>
        <v>434.00447999999994</v>
      </c>
      <c r="G367" s="85"/>
      <c r="H367" s="85"/>
    </row>
    <row r="368" spans="1:8" s="2" customFormat="1" ht="15.75" customHeight="1" x14ac:dyDescent="0.3">
      <c r="A368" s="85">
        <v>4</v>
      </c>
      <c r="B368" s="85"/>
      <c r="C368" s="23" t="s">
        <v>154</v>
      </c>
      <c r="D368" s="23">
        <f>26.88*10.764</f>
        <v>289.33631999999994</v>
      </c>
      <c r="E368" s="23">
        <v>0</v>
      </c>
      <c r="F368" s="23">
        <f t="shared" si="13"/>
        <v>434.00447999999994</v>
      </c>
      <c r="G368" s="85"/>
      <c r="H368" s="85"/>
    </row>
    <row r="369" spans="1:8" s="2" customFormat="1" ht="15.75" customHeight="1" x14ac:dyDescent="0.3">
      <c r="A369" s="85">
        <v>5</v>
      </c>
      <c r="B369" s="85"/>
      <c r="C369" s="23" t="s">
        <v>154</v>
      </c>
      <c r="D369" s="23">
        <f>26.88*10.764</f>
        <v>289.33631999999994</v>
      </c>
      <c r="E369" s="23">
        <v>0</v>
      </c>
      <c r="F369" s="23">
        <f t="shared" si="13"/>
        <v>434.00447999999994</v>
      </c>
      <c r="G369" s="85"/>
      <c r="H369" s="85"/>
    </row>
    <row r="370" spans="1:8" s="2" customFormat="1" ht="15.75" customHeight="1" x14ac:dyDescent="0.3">
      <c r="A370" s="85">
        <v>6</v>
      </c>
      <c r="B370" s="85"/>
      <c r="C370" s="23" t="s">
        <v>159</v>
      </c>
      <c r="D370" s="23">
        <f t="shared" ref="D370:D391" si="14">14.97*10.764</f>
        <v>161.13708</v>
      </c>
      <c r="E370" s="23">
        <v>0</v>
      </c>
      <c r="F370" s="23">
        <f t="shared" si="13"/>
        <v>241.70562000000001</v>
      </c>
      <c r="G370" s="85"/>
      <c r="H370" s="85"/>
    </row>
    <row r="371" spans="1:8" s="2" customFormat="1" ht="15.75" customHeight="1" x14ac:dyDescent="0.3">
      <c r="A371" s="85">
        <v>7</v>
      </c>
      <c r="B371" s="85"/>
      <c r="C371" s="23" t="s">
        <v>159</v>
      </c>
      <c r="D371" s="23">
        <f t="shared" si="14"/>
        <v>161.13708</v>
      </c>
      <c r="E371" s="23">
        <v>0</v>
      </c>
      <c r="F371" s="23">
        <f t="shared" si="13"/>
        <v>241.70562000000001</v>
      </c>
      <c r="G371" s="85"/>
      <c r="H371" s="85"/>
    </row>
    <row r="372" spans="1:8" s="2" customFormat="1" ht="15.75" customHeight="1" x14ac:dyDescent="0.3">
      <c r="A372" s="85">
        <v>8</v>
      </c>
      <c r="B372" s="85"/>
      <c r="C372" s="23" t="s">
        <v>159</v>
      </c>
      <c r="D372" s="23">
        <f t="shared" si="14"/>
        <v>161.13708</v>
      </c>
      <c r="E372" s="23">
        <v>0</v>
      </c>
      <c r="F372" s="23">
        <f t="shared" si="13"/>
        <v>241.70562000000001</v>
      </c>
      <c r="G372" s="85"/>
      <c r="H372" s="85"/>
    </row>
    <row r="373" spans="1:8" s="2" customFormat="1" ht="15.75" customHeight="1" x14ac:dyDescent="0.3">
      <c r="A373" s="85">
        <v>9</v>
      </c>
      <c r="B373" s="85"/>
      <c r="C373" s="23" t="s">
        <v>159</v>
      </c>
      <c r="D373" s="23">
        <f t="shared" si="14"/>
        <v>161.13708</v>
      </c>
      <c r="E373" s="23">
        <v>0</v>
      </c>
      <c r="F373" s="23">
        <f t="shared" si="13"/>
        <v>241.70562000000001</v>
      </c>
      <c r="G373" s="85"/>
      <c r="H373" s="85"/>
    </row>
    <row r="374" spans="1:8" s="2" customFormat="1" ht="15.75" customHeight="1" x14ac:dyDescent="0.3">
      <c r="A374" s="85">
        <v>10</v>
      </c>
      <c r="B374" s="85"/>
      <c r="C374" s="23" t="s">
        <v>159</v>
      </c>
      <c r="D374" s="23">
        <f t="shared" si="14"/>
        <v>161.13708</v>
      </c>
      <c r="E374" s="23">
        <v>0</v>
      </c>
      <c r="F374" s="23">
        <f t="shared" si="13"/>
        <v>241.70562000000001</v>
      </c>
      <c r="G374" s="85"/>
      <c r="H374" s="85"/>
    </row>
    <row r="375" spans="1:8" s="2" customFormat="1" ht="15.75" customHeight="1" x14ac:dyDescent="0.3">
      <c r="A375" s="85">
        <v>11</v>
      </c>
      <c r="B375" s="85"/>
      <c r="C375" s="23" t="s">
        <v>159</v>
      </c>
      <c r="D375" s="23">
        <f t="shared" si="14"/>
        <v>161.13708</v>
      </c>
      <c r="E375" s="23">
        <v>0</v>
      </c>
      <c r="F375" s="23">
        <f t="shared" si="13"/>
        <v>241.70562000000001</v>
      </c>
      <c r="G375" s="85"/>
      <c r="H375" s="85"/>
    </row>
    <row r="376" spans="1:8" s="2" customFormat="1" ht="15.75" customHeight="1" x14ac:dyDescent="0.3">
      <c r="A376" s="85">
        <v>12</v>
      </c>
      <c r="B376" s="85"/>
      <c r="C376" s="23" t="s">
        <v>159</v>
      </c>
      <c r="D376" s="23">
        <f t="shared" si="14"/>
        <v>161.13708</v>
      </c>
      <c r="E376" s="23">
        <v>0</v>
      </c>
      <c r="F376" s="23">
        <f t="shared" si="13"/>
        <v>241.70562000000001</v>
      </c>
      <c r="G376" s="85"/>
      <c r="H376" s="85"/>
    </row>
    <row r="377" spans="1:8" s="2" customFormat="1" ht="15.75" customHeight="1" x14ac:dyDescent="0.3">
      <c r="A377" s="85">
        <v>13</v>
      </c>
      <c r="B377" s="85"/>
      <c r="C377" s="23" t="s">
        <v>159</v>
      </c>
      <c r="D377" s="23">
        <f t="shared" si="14"/>
        <v>161.13708</v>
      </c>
      <c r="E377" s="23">
        <v>0</v>
      </c>
      <c r="F377" s="23">
        <f t="shared" si="13"/>
        <v>241.70562000000001</v>
      </c>
      <c r="G377" s="85"/>
      <c r="H377" s="85"/>
    </row>
    <row r="378" spans="1:8" s="2" customFormat="1" ht="15.75" customHeight="1" x14ac:dyDescent="0.3">
      <c r="A378" s="85">
        <v>14</v>
      </c>
      <c r="B378" s="85"/>
      <c r="C378" s="23" t="s">
        <v>159</v>
      </c>
      <c r="D378" s="23">
        <f t="shared" si="14"/>
        <v>161.13708</v>
      </c>
      <c r="E378" s="23">
        <v>0</v>
      </c>
      <c r="F378" s="23">
        <f t="shared" si="13"/>
        <v>241.70562000000001</v>
      </c>
      <c r="G378" s="85"/>
      <c r="H378" s="85"/>
    </row>
    <row r="379" spans="1:8" s="2" customFormat="1" ht="15.75" customHeight="1" x14ac:dyDescent="0.3">
      <c r="A379" s="85">
        <v>15</v>
      </c>
      <c r="B379" s="85"/>
      <c r="C379" s="23" t="s">
        <v>159</v>
      </c>
      <c r="D379" s="23">
        <f t="shared" si="14"/>
        <v>161.13708</v>
      </c>
      <c r="E379" s="23">
        <v>0</v>
      </c>
      <c r="F379" s="23">
        <f t="shared" si="13"/>
        <v>241.70562000000001</v>
      </c>
      <c r="G379" s="85"/>
      <c r="H379" s="85"/>
    </row>
    <row r="380" spans="1:8" s="2" customFormat="1" ht="15.75" customHeight="1" x14ac:dyDescent="0.3">
      <c r="A380" s="85">
        <v>16</v>
      </c>
      <c r="B380" s="85"/>
      <c r="C380" s="23" t="s">
        <v>159</v>
      </c>
      <c r="D380" s="23">
        <f t="shared" si="14"/>
        <v>161.13708</v>
      </c>
      <c r="E380" s="23">
        <v>0</v>
      </c>
      <c r="F380" s="23">
        <f t="shared" si="13"/>
        <v>241.70562000000001</v>
      </c>
      <c r="G380" s="85"/>
      <c r="H380" s="85"/>
    </row>
    <row r="381" spans="1:8" s="2" customFormat="1" ht="15.75" customHeight="1" x14ac:dyDescent="0.3">
      <c r="A381" s="85">
        <v>17</v>
      </c>
      <c r="B381" s="85"/>
      <c r="C381" s="23" t="s">
        <v>159</v>
      </c>
      <c r="D381" s="23">
        <f t="shared" si="14"/>
        <v>161.13708</v>
      </c>
      <c r="E381" s="23">
        <v>0</v>
      </c>
      <c r="F381" s="23">
        <f t="shared" si="13"/>
        <v>241.70562000000001</v>
      </c>
      <c r="G381" s="85"/>
      <c r="H381" s="85"/>
    </row>
    <row r="382" spans="1:8" s="2" customFormat="1" ht="15.75" customHeight="1" x14ac:dyDescent="0.3">
      <c r="A382" s="85">
        <v>18</v>
      </c>
      <c r="B382" s="85"/>
      <c r="C382" s="23" t="s">
        <v>159</v>
      </c>
      <c r="D382" s="23">
        <f t="shared" si="14"/>
        <v>161.13708</v>
      </c>
      <c r="E382" s="23">
        <v>0</v>
      </c>
      <c r="F382" s="23">
        <f t="shared" si="13"/>
        <v>241.70562000000001</v>
      </c>
      <c r="G382" s="85"/>
      <c r="H382" s="85"/>
    </row>
    <row r="383" spans="1:8" s="2" customFormat="1" ht="15.75" customHeight="1" x14ac:dyDescent="0.3">
      <c r="A383" s="85">
        <v>19</v>
      </c>
      <c r="B383" s="85"/>
      <c r="C383" s="23" t="s">
        <v>159</v>
      </c>
      <c r="D383" s="23">
        <f t="shared" si="14"/>
        <v>161.13708</v>
      </c>
      <c r="E383" s="23">
        <v>0</v>
      </c>
      <c r="F383" s="23">
        <f t="shared" si="13"/>
        <v>241.70562000000001</v>
      </c>
      <c r="G383" s="85"/>
      <c r="H383" s="85"/>
    </row>
    <row r="384" spans="1:8" s="2" customFormat="1" ht="15.75" customHeight="1" x14ac:dyDescent="0.3">
      <c r="A384" s="85">
        <v>20</v>
      </c>
      <c r="B384" s="85"/>
      <c r="C384" s="23" t="s">
        <v>159</v>
      </c>
      <c r="D384" s="23">
        <f t="shared" si="14"/>
        <v>161.13708</v>
      </c>
      <c r="E384" s="23">
        <v>0</v>
      </c>
      <c r="F384" s="23">
        <f t="shared" si="13"/>
        <v>241.70562000000001</v>
      </c>
      <c r="G384" s="85"/>
      <c r="H384" s="85"/>
    </row>
    <row r="385" spans="1:8" s="2" customFormat="1" ht="15.75" customHeight="1" x14ac:dyDescent="0.3">
      <c r="A385" s="85">
        <v>21</v>
      </c>
      <c r="B385" s="85"/>
      <c r="C385" s="23" t="s">
        <v>159</v>
      </c>
      <c r="D385" s="23">
        <f t="shared" si="14"/>
        <v>161.13708</v>
      </c>
      <c r="E385" s="23">
        <v>0</v>
      </c>
      <c r="F385" s="23">
        <f t="shared" si="13"/>
        <v>241.70562000000001</v>
      </c>
      <c r="G385" s="85"/>
      <c r="H385" s="85"/>
    </row>
    <row r="386" spans="1:8" s="2" customFormat="1" ht="15.75" customHeight="1" x14ac:dyDescent="0.3">
      <c r="A386" s="85">
        <v>22</v>
      </c>
      <c r="B386" s="85"/>
      <c r="C386" s="23" t="s">
        <v>159</v>
      </c>
      <c r="D386" s="23">
        <f t="shared" si="14"/>
        <v>161.13708</v>
      </c>
      <c r="E386" s="23">
        <v>0</v>
      </c>
      <c r="F386" s="23">
        <f t="shared" si="13"/>
        <v>241.70562000000001</v>
      </c>
      <c r="G386" s="85"/>
      <c r="H386" s="85"/>
    </row>
    <row r="387" spans="1:8" s="2" customFormat="1" ht="15.75" customHeight="1" x14ac:dyDescent="0.3">
      <c r="A387" s="85">
        <v>23</v>
      </c>
      <c r="B387" s="85"/>
      <c r="C387" s="23" t="s">
        <v>159</v>
      </c>
      <c r="D387" s="23">
        <f t="shared" si="14"/>
        <v>161.13708</v>
      </c>
      <c r="E387" s="23">
        <v>0</v>
      </c>
      <c r="F387" s="23">
        <f t="shared" si="13"/>
        <v>241.70562000000001</v>
      </c>
      <c r="G387" s="85"/>
      <c r="H387" s="85"/>
    </row>
    <row r="388" spans="1:8" s="2" customFormat="1" ht="15.75" customHeight="1" x14ac:dyDescent="0.3">
      <c r="A388" s="85">
        <v>24</v>
      </c>
      <c r="B388" s="85"/>
      <c r="C388" s="23" t="s">
        <v>159</v>
      </c>
      <c r="D388" s="23">
        <f t="shared" si="14"/>
        <v>161.13708</v>
      </c>
      <c r="E388" s="23">
        <v>0</v>
      </c>
      <c r="F388" s="23">
        <f t="shared" si="13"/>
        <v>241.70562000000001</v>
      </c>
      <c r="G388" s="85"/>
      <c r="H388" s="85"/>
    </row>
    <row r="389" spans="1:8" s="2" customFormat="1" ht="15.75" customHeight="1" x14ac:dyDescent="0.3">
      <c r="A389" s="85">
        <v>25</v>
      </c>
      <c r="B389" s="85"/>
      <c r="C389" s="23" t="s">
        <v>159</v>
      </c>
      <c r="D389" s="23">
        <f t="shared" si="14"/>
        <v>161.13708</v>
      </c>
      <c r="E389" s="23">
        <v>0</v>
      </c>
      <c r="F389" s="23">
        <f t="shared" si="13"/>
        <v>241.70562000000001</v>
      </c>
      <c r="G389" s="85"/>
      <c r="H389" s="85"/>
    </row>
    <row r="390" spans="1:8" s="2" customFormat="1" ht="15.75" customHeight="1" x14ac:dyDescent="0.3">
      <c r="A390" s="85">
        <v>26</v>
      </c>
      <c r="B390" s="85"/>
      <c r="C390" s="23" t="s">
        <v>159</v>
      </c>
      <c r="D390" s="23">
        <f t="shared" si="14"/>
        <v>161.13708</v>
      </c>
      <c r="E390" s="23">
        <v>0</v>
      </c>
      <c r="F390" s="23">
        <f t="shared" si="13"/>
        <v>241.70562000000001</v>
      </c>
      <c r="G390" s="85"/>
      <c r="H390" s="85"/>
    </row>
    <row r="391" spans="1:8" s="2" customFormat="1" ht="15.75" customHeight="1" x14ac:dyDescent="0.3">
      <c r="A391" s="85">
        <v>27</v>
      </c>
      <c r="B391" s="85"/>
      <c r="C391" s="23" t="s">
        <v>159</v>
      </c>
      <c r="D391" s="23">
        <f t="shared" si="14"/>
        <v>161.13708</v>
      </c>
      <c r="E391" s="23">
        <v>0</v>
      </c>
      <c r="F391" s="23">
        <f t="shared" si="13"/>
        <v>241.70562000000001</v>
      </c>
      <c r="G391" s="85"/>
      <c r="H391" s="85"/>
    </row>
    <row r="392" spans="1:8" s="1" customFormat="1" ht="15.75" customHeight="1" x14ac:dyDescent="0.3">
      <c r="A392" s="85">
        <v>28</v>
      </c>
      <c r="B392" s="85"/>
      <c r="C392" s="23" t="s">
        <v>154</v>
      </c>
      <c r="D392" s="23">
        <f>26.88*10.764</f>
        <v>289.33631999999994</v>
      </c>
      <c r="E392" s="23">
        <v>0</v>
      </c>
      <c r="F392" s="23">
        <f t="shared" si="13"/>
        <v>434.00447999999994</v>
      </c>
      <c r="G392" s="85"/>
      <c r="H392" s="85"/>
    </row>
    <row r="393" spans="1:8" s="10" customFormat="1" ht="18" customHeight="1" x14ac:dyDescent="0.3">
      <c r="A393" s="85">
        <v>29</v>
      </c>
      <c r="B393" s="85"/>
      <c r="C393" s="23" t="s">
        <v>154</v>
      </c>
      <c r="D393" s="23">
        <f>26.88*10.764</f>
        <v>289.33631999999994</v>
      </c>
      <c r="E393" s="23">
        <v>0</v>
      </c>
      <c r="F393" s="23">
        <f t="shared" si="13"/>
        <v>434.00447999999994</v>
      </c>
      <c r="G393" s="85"/>
      <c r="H393" s="85"/>
    </row>
    <row r="394" spans="1:8" ht="15.75" customHeight="1" x14ac:dyDescent="0.3">
      <c r="A394" s="85">
        <v>30</v>
      </c>
      <c r="B394" s="85"/>
      <c r="C394" s="23" t="s">
        <v>154</v>
      </c>
      <c r="D394" s="23">
        <f>26.88*10.764</f>
        <v>289.33631999999994</v>
      </c>
      <c r="E394" s="23">
        <v>0</v>
      </c>
      <c r="F394" s="23">
        <f t="shared" si="13"/>
        <v>434.00447999999994</v>
      </c>
      <c r="G394" s="85"/>
      <c r="H394" s="85"/>
    </row>
    <row r="395" spans="1:8" s="2" customFormat="1" ht="15.75" customHeight="1" x14ac:dyDescent="0.3">
      <c r="A395" s="107" t="s">
        <v>155</v>
      </c>
      <c r="B395" s="107"/>
      <c r="C395" s="107"/>
      <c r="D395" s="107"/>
      <c r="E395" s="107"/>
      <c r="F395" s="107"/>
      <c r="G395" s="107"/>
      <c r="H395" s="107"/>
    </row>
    <row r="396" spans="1:8" s="2" customFormat="1" ht="15.75" customHeight="1" x14ac:dyDescent="0.3">
      <c r="A396" s="85">
        <v>1</v>
      </c>
      <c r="B396" s="85"/>
      <c r="C396" s="23" t="s">
        <v>154</v>
      </c>
      <c r="D396" s="23">
        <f>26.88*10.764</f>
        <v>289.33631999999994</v>
      </c>
      <c r="E396" s="23">
        <v>0</v>
      </c>
      <c r="F396" s="23">
        <f>1.5*D396</f>
        <v>434.00447999999994</v>
      </c>
      <c r="G396" s="85" t="str">
        <f>A395</f>
        <v>1st to 4th Floor</v>
      </c>
      <c r="H396" s="85"/>
    </row>
    <row r="397" spans="1:8" s="2" customFormat="1" ht="15.75" customHeight="1" x14ac:dyDescent="0.3">
      <c r="A397" s="85">
        <v>2</v>
      </c>
      <c r="B397" s="85"/>
      <c r="C397" s="23" t="s">
        <v>154</v>
      </c>
      <c r="D397" s="23">
        <f>26.88*10.764</f>
        <v>289.33631999999994</v>
      </c>
      <c r="E397" s="23">
        <v>0</v>
      </c>
      <c r="F397" s="23">
        <f t="shared" ref="F397:F427" si="15">1.5*D397</f>
        <v>434.00447999999994</v>
      </c>
      <c r="G397" s="85"/>
      <c r="H397" s="85"/>
    </row>
    <row r="398" spans="1:8" s="2" customFormat="1" ht="15.75" customHeight="1" x14ac:dyDescent="0.3">
      <c r="A398" s="85">
        <v>3</v>
      </c>
      <c r="B398" s="85"/>
      <c r="C398" s="23" t="s">
        <v>154</v>
      </c>
      <c r="D398" s="23">
        <f>26.88*10.764</f>
        <v>289.33631999999994</v>
      </c>
      <c r="E398" s="23">
        <v>0</v>
      </c>
      <c r="F398" s="23">
        <f t="shared" si="15"/>
        <v>434.00447999999994</v>
      </c>
      <c r="G398" s="85"/>
      <c r="H398" s="85"/>
    </row>
    <row r="399" spans="1:8" s="2" customFormat="1" ht="15.75" customHeight="1" x14ac:dyDescent="0.3">
      <c r="A399" s="85">
        <v>4</v>
      </c>
      <c r="B399" s="85"/>
      <c r="C399" s="23" t="s">
        <v>154</v>
      </c>
      <c r="D399" s="23">
        <f>26.88*10.764</f>
        <v>289.33631999999994</v>
      </c>
      <c r="E399" s="23">
        <v>0</v>
      </c>
      <c r="F399" s="23">
        <f t="shared" si="15"/>
        <v>434.00447999999994</v>
      </c>
      <c r="G399" s="85"/>
      <c r="H399" s="85"/>
    </row>
    <row r="400" spans="1:8" s="2" customFormat="1" ht="15.75" customHeight="1" x14ac:dyDescent="0.3">
      <c r="A400" s="85">
        <v>5</v>
      </c>
      <c r="B400" s="85"/>
      <c r="C400" s="23" t="s">
        <v>154</v>
      </c>
      <c r="D400" s="23">
        <f>26.88*10.764</f>
        <v>289.33631999999994</v>
      </c>
      <c r="E400" s="23">
        <v>0</v>
      </c>
      <c r="F400" s="23">
        <f t="shared" si="15"/>
        <v>434.00447999999994</v>
      </c>
      <c r="G400" s="85"/>
      <c r="H400" s="85"/>
    </row>
    <row r="401" spans="1:8" s="2" customFormat="1" ht="15.75" customHeight="1" x14ac:dyDescent="0.3">
      <c r="A401" s="85">
        <v>6</v>
      </c>
      <c r="B401" s="85"/>
      <c r="C401" s="23" t="s">
        <v>159</v>
      </c>
      <c r="D401" s="23">
        <f t="shared" ref="D401:D424" si="16">14.97*10.764</f>
        <v>161.13708</v>
      </c>
      <c r="E401" s="23">
        <v>0</v>
      </c>
      <c r="F401" s="23">
        <f t="shared" si="15"/>
        <v>241.70562000000001</v>
      </c>
      <c r="G401" s="85"/>
      <c r="H401" s="85"/>
    </row>
    <row r="402" spans="1:8" s="2" customFormat="1" ht="15.75" customHeight="1" x14ac:dyDescent="0.3">
      <c r="A402" s="85">
        <v>7</v>
      </c>
      <c r="B402" s="85"/>
      <c r="C402" s="23" t="s">
        <v>159</v>
      </c>
      <c r="D402" s="23">
        <f t="shared" si="16"/>
        <v>161.13708</v>
      </c>
      <c r="E402" s="23">
        <v>0</v>
      </c>
      <c r="F402" s="23">
        <f t="shared" si="15"/>
        <v>241.70562000000001</v>
      </c>
      <c r="G402" s="85"/>
      <c r="H402" s="85"/>
    </row>
    <row r="403" spans="1:8" s="2" customFormat="1" ht="15.75" customHeight="1" x14ac:dyDescent="0.3">
      <c r="A403" s="85">
        <v>8</v>
      </c>
      <c r="B403" s="85"/>
      <c r="C403" s="23" t="s">
        <v>159</v>
      </c>
      <c r="D403" s="23">
        <f t="shared" si="16"/>
        <v>161.13708</v>
      </c>
      <c r="E403" s="23">
        <v>0</v>
      </c>
      <c r="F403" s="23">
        <f t="shared" si="15"/>
        <v>241.70562000000001</v>
      </c>
      <c r="G403" s="85"/>
      <c r="H403" s="85"/>
    </row>
    <row r="404" spans="1:8" s="2" customFormat="1" ht="15.75" customHeight="1" x14ac:dyDescent="0.3">
      <c r="A404" s="85">
        <v>9</v>
      </c>
      <c r="B404" s="85"/>
      <c r="C404" s="23" t="s">
        <v>159</v>
      </c>
      <c r="D404" s="23">
        <f t="shared" si="16"/>
        <v>161.13708</v>
      </c>
      <c r="E404" s="23">
        <v>0</v>
      </c>
      <c r="F404" s="23">
        <f t="shared" si="15"/>
        <v>241.70562000000001</v>
      </c>
      <c r="G404" s="85"/>
      <c r="H404" s="85"/>
    </row>
    <row r="405" spans="1:8" s="2" customFormat="1" ht="15.75" customHeight="1" x14ac:dyDescent="0.3">
      <c r="A405" s="85">
        <v>10</v>
      </c>
      <c r="B405" s="85"/>
      <c r="C405" s="23" t="s">
        <v>159</v>
      </c>
      <c r="D405" s="23">
        <f t="shared" si="16"/>
        <v>161.13708</v>
      </c>
      <c r="E405" s="23">
        <v>0</v>
      </c>
      <c r="F405" s="23">
        <f t="shared" si="15"/>
        <v>241.70562000000001</v>
      </c>
      <c r="G405" s="85"/>
      <c r="H405" s="85"/>
    </row>
    <row r="406" spans="1:8" s="2" customFormat="1" ht="15.75" customHeight="1" x14ac:dyDescent="0.3">
      <c r="A406" s="85">
        <v>11</v>
      </c>
      <c r="B406" s="85"/>
      <c r="C406" s="23" t="s">
        <v>159</v>
      </c>
      <c r="D406" s="23">
        <f t="shared" si="16"/>
        <v>161.13708</v>
      </c>
      <c r="E406" s="23">
        <v>0</v>
      </c>
      <c r="F406" s="23">
        <f t="shared" si="15"/>
        <v>241.70562000000001</v>
      </c>
      <c r="G406" s="85"/>
      <c r="H406" s="85"/>
    </row>
    <row r="407" spans="1:8" s="2" customFormat="1" ht="15.75" customHeight="1" x14ac:dyDescent="0.3">
      <c r="A407" s="85">
        <v>12</v>
      </c>
      <c r="B407" s="85"/>
      <c r="C407" s="23" t="s">
        <v>159</v>
      </c>
      <c r="D407" s="23">
        <f t="shared" si="16"/>
        <v>161.13708</v>
      </c>
      <c r="E407" s="23">
        <v>0</v>
      </c>
      <c r="F407" s="23">
        <f t="shared" si="15"/>
        <v>241.70562000000001</v>
      </c>
      <c r="G407" s="85"/>
      <c r="H407" s="85"/>
    </row>
    <row r="408" spans="1:8" s="2" customFormat="1" ht="15.75" customHeight="1" x14ac:dyDescent="0.3">
      <c r="A408" s="85">
        <v>13</v>
      </c>
      <c r="B408" s="85"/>
      <c r="C408" s="23" t="s">
        <v>159</v>
      </c>
      <c r="D408" s="23">
        <f t="shared" si="16"/>
        <v>161.13708</v>
      </c>
      <c r="E408" s="23">
        <v>0</v>
      </c>
      <c r="F408" s="23">
        <f t="shared" si="15"/>
        <v>241.70562000000001</v>
      </c>
      <c r="G408" s="85"/>
      <c r="H408" s="85"/>
    </row>
    <row r="409" spans="1:8" s="2" customFormat="1" ht="15.75" customHeight="1" x14ac:dyDescent="0.3">
      <c r="A409" s="85">
        <v>14</v>
      </c>
      <c r="B409" s="85"/>
      <c r="C409" s="23" t="s">
        <v>159</v>
      </c>
      <c r="D409" s="23">
        <f t="shared" si="16"/>
        <v>161.13708</v>
      </c>
      <c r="E409" s="23">
        <v>0</v>
      </c>
      <c r="F409" s="23">
        <f t="shared" si="15"/>
        <v>241.70562000000001</v>
      </c>
      <c r="G409" s="85"/>
      <c r="H409" s="85"/>
    </row>
    <row r="410" spans="1:8" s="2" customFormat="1" ht="15.75" customHeight="1" x14ac:dyDescent="0.3">
      <c r="A410" s="85">
        <v>15</v>
      </c>
      <c r="B410" s="85"/>
      <c r="C410" s="23" t="s">
        <v>159</v>
      </c>
      <c r="D410" s="23">
        <f t="shared" si="16"/>
        <v>161.13708</v>
      </c>
      <c r="E410" s="23">
        <v>0</v>
      </c>
      <c r="F410" s="23">
        <f t="shared" si="15"/>
        <v>241.70562000000001</v>
      </c>
      <c r="G410" s="85"/>
      <c r="H410" s="85"/>
    </row>
    <row r="411" spans="1:8" s="2" customFormat="1" ht="15.75" customHeight="1" x14ac:dyDescent="0.3">
      <c r="A411" s="85">
        <v>16</v>
      </c>
      <c r="B411" s="85"/>
      <c r="C411" s="23" t="s">
        <v>159</v>
      </c>
      <c r="D411" s="23">
        <f t="shared" si="16"/>
        <v>161.13708</v>
      </c>
      <c r="E411" s="23">
        <v>0</v>
      </c>
      <c r="F411" s="23">
        <f t="shared" si="15"/>
        <v>241.70562000000001</v>
      </c>
      <c r="G411" s="85"/>
      <c r="H411" s="85"/>
    </row>
    <row r="412" spans="1:8" s="2" customFormat="1" ht="15.75" customHeight="1" x14ac:dyDescent="0.3">
      <c r="A412" s="85">
        <v>17</v>
      </c>
      <c r="B412" s="85"/>
      <c r="C412" s="23" t="s">
        <v>159</v>
      </c>
      <c r="D412" s="23">
        <f t="shared" si="16"/>
        <v>161.13708</v>
      </c>
      <c r="E412" s="23">
        <v>0</v>
      </c>
      <c r="F412" s="23">
        <f t="shared" si="15"/>
        <v>241.70562000000001</v>
      </c>
      <c r="G412" s="85"/>
      <c r="H412" s="85"/>
    </row>
    <row r="413" spans="1:8" s="2" customFormat="1" ht="15.75" customHeight="1" x14ac:dyDescent="0.3">
      <c r="A413" s="85">
        <v>18</v>
      </c>
      <c r="B413" s="85"/>
      <c r="C413" s="23" t="s">
        <v>159</v>
      </c>
      <c r="D413" s="23">
        <f t="shared" si="16"/>
        <v>161.13708</v>
      </c>
      <c r="E413" s="23">
        <v>0</v>
      </c>
      <c r="F413" s="23">
        <f t="shared" si="15"/>
        <v>241.70562000000001</v>
      </c>
      <c r="G413" s="85"/>
      <c r="H413" s="85"/>
    </row>
    <row r="414" spans="1:8" s="2" customFormat="1" ht="15.75" customHeight="1" x14ac:dyDescent="0.3">
      <c r="A414" s="85">
        <v>19</v>
      </c>
      <c r="B414" s="85"/>
      <c r="C414" s="23" t="s">
        <v>159</v>
      </c>
      <c r="D414" s="23">
        <f t="shared" si="16"/>
        <v>161.13708</v>
      </c>
      <c r="E414" s="23">
        <v>0</v>
      </c>
      <c r="F414" s="23">
        <f t="shared" si="15"/>
        <v>241.70562000000001</v>
      </c>
      <c r="G414" s="85"/>
      <c r="H414" s="85"/>
    </row>
    <row r="415" spans="1:8" s="2" customFormat="1" ht="15.75" customHeight="1" x14ac:dyDescent="0.3">
      <c r="A415" s="85">
        <v>20</v>
      </c>
      <c r="B415" s="85"/>
      <c r="C415" s="23" t="s">
        <v>159</v>
      </c>
      <c r="D415" s="23">
        <f t="shared" si="16"/>
        <v>161.13708</v>
      </c>
      <c r="E415" s="23">
        <v>0</v>
      </c>
      <c r="F415" s="23">
        <f t="shared" si="15"/>
        <v>241.70562000000001</v>
      </c>
      <c r="G415" s="85"/>
      <c r="H415" s="85"/>
    </row>
    <row r="416" spans="1:8" s="2" customFormat="1" ht="15.75" customHeight="1" x14ac:dyDescent="0.3">
      <c r="A416" s="85">
        <v>21</v>
      </c>
      <c r="B416" s="85"/>
      <c r="C416" s="23" t="s">
        <v>159</v>
      </c>
      <c r="D416" s="23">
        <f t="shared" si="16"/>
        <v>161.13708</v>
      </c>
      <c r="E416" s="23">
        <v>0</v>
      </c>
      <c r="F416" s="23">
        <f t="shared" si="15"/>
        <v>241.70562000000001</v>
      </c>
      <c r="G416" s="85"/>
      <c r="H416" s="85"/>
    </row>
    <row r="417" spans="1:8" s="2" customFormat="1" ht="15.75" customHeight="1" x14ac:dyDescent="0.3">
      <c r="A417" s="85">
        <v>22</v>
      </c>
      <c r="B417" s="85"/>
      <c r="C417" s="23" t="s">
        <v>159</v>
      </c>
      <c r="D417" s="23">
        <f t="shared" si="16"/>
        <v>161.13708</v>
      </c>
      <c r="E417" s="23">
        <v>0</v>
      </c>
      <c r="F417" s="23">
        <f t="shared" si="15"/>
        <v>241.70562000000001</v>
      </c>
      <c r="G417" s="85"/>
      <c r="H417" s="85"/>
    </row>
    <row r="418" spans="1:8" s="2" customFormat="1" ht="15.75" customHeight="1" x14ac:dyDescent="0.3">
      <c r="A418" s="85">
        <v>23</v>
      </c>
      <c r="B418" s="85"/>
      <c r="C418" s="23" t="s">
        <v>159</v>
      </c>
      <c r="D418" s="23">
        <f t="shared" si="16"/>
        <v>161.13708</v>
      </c>
      <c r="E418" s="23">
        <v>0</v>
      </c>
      <c r="F418" s="23">
        <f t="shared" si="15"/>
        <v>241.70562000000001</v>
      </c>
      <c r="G418" s="85"/>
      <c r="H418" s="85"/>
    </row>
    <row r="419" spans="1:8" s="2" customFormat="1" ht="15.75" customHeight="1" x14ac:dyDescent="0.3">
      <c r="A419" s="85">
        <v>24</v>
      </c>
      <c r="B419" s="85"/>
      <c r="C419" s="23" t="s">
        <v>159</v>
      </c>
      <c r="D419" s="23">
        <f t="shared" si="16"/>
        <v>161.13708</v>
      </c>
      <c r="E419" s="23">
        <v>0</v>
      </c>
      <c r="F419" s="23">
        <f t="shared" si="15"/>
        <v>241.70562000000001</v>
      </c>
      <c r="G419" s="85"/>
      <c r="H419" s="85"/>
    </row>
    <row r="420" spans="1:8" s="2" customFormat="1" ht="15.75" customHeight="1" x14ac:dyDescent="0.3">
      <c r="A420" s="85">
        <v>25</v>
      </c>
      <c r="B420" s="85"/>
      <c r="C420" s="23" t="s">
        <v>159</v>
      </c>
      <c r="D420" s="23">
        <f t="shared" si="16"/>
        <v>161.13708</v>
      </c>
      <c r="E420" s="23">
        <v>0</v>
      </c>
      <c r="F420" s="23">
        <f t="shared" si="15"/>
        <v>241.70562000000001</v>
      </c>
      <c r="G420" s="85"/>
      <c r="H420" s="85"/>
    </row>
    <row r="421" spans="1:8" s="2" customFormat="1" ht="15.75" customHeight="1" x14ac:dyDescent="0.3">
      <c r="A421" s="85">
        <v>26</v>
      </c>
      <c r="B421" s="85"/>
      <c r="C421" s="23" t="s">
        <v>159</v>
      </c>
      <c r="D421" s="23">
        <f t="shared" si="16"/>
        <v>161.13708</v>
      </c>
      <c r="E421" s="23">
        <v>0</v>
      </c>
      <c r="F421" s="23">
        <f t="shared" si="15"/>
        <v>241.70562000000001</v>
      </c>
      <c r="G421" s="85"/>
      <c r="H421" s="85"/>
    </row>
    <row r="422" spans="1:8" s="2" customFormat="1" ht="15.75" customHeight="1" x14ac:dyDescent="0.3">
      <c r="A422" s="85">
        <v>27</v>
      </c>
      <c r="B422" s="85"/>
      <c r="C422" s="23" t="s">
        <v>159</v>
      </c>
      <c r="D422" s="23">
        <f t="shared" si="16"/>
        <v>161.13708</v>
      </c>
      <c r="E422" s="23">
        <v>0</v>
      </c>
      <c r="F422" s="23">
        <f t="shared" si="15"/>
        <v>241.70562000000001</v>
      </c>
      <c r="G422" s="85"/>
      <c r="H422" s="85"/>
    </row>
    <row r="423" spans="1:8" s="1" customFormat="1" ht="15.75" customHeight="1" x14ac:dyDescent="0.3">
      <c r="A423" s="85">
        <v>28</v>
      </c>
      <c r="B423" s="85"/>
      <c r="C423" s="23" t="s">
        <v>159</v>
      </c>
      <c r="D423" s="23">
        <f t="shared" si="16"/>
        <v>161.13708</v>
      </c>
      <c r="E423" s="23">
        <v>0</v>
      </c>
      <c r="F423" s="23">
        <f t="shared" si="15"/>
        <v>241.70562000000001</v>
      </c>
      <c r="G423" s="85"/>
      <c r="H423" s="85"/>
    </row>
    <row r="424" spans="1:8" s="1" customFormat="1" ht="15.75" customHeight="1" x14ac:dyDescent="0.3">
      <c r="A424" s="85">
        <v>29</v>
      </c>
      <c r="B424" s="85"/>
      <c r="C424" s="23" t="s">
        <v>159</v>
      </c>
      <c r="D424" s="23">
        <f t="shared" si="16"/>
        <v>161.13708</v>
      </c>
      <c r="E424" s="23">
        <v>1</v>
      </c>
      <c r="F424" s="23">
        <f>1.5*D424</f>
        <v>241.70562000000001</v>
      </c>
      <c r="G424" s="85"/>
      <c r="H424" s="85"/>
    </row>
    <row r="425" spans="1:8" s="1" customFormat="1" ht="15.75" customHeight="1" x14ac:dyDescent="0.3">
      <c r="A425" s="85">
        <v>30</v>
      </c>
      <c r="B425" s="85"/>
      <c r="C425" s="23" t="s">
        <v>154</v>
      </c>
      <c r="D425" s="23">
        <f>26.88*10.764</f>
        <v>289.33631999999994</v>
      </c>
      <c r="E425" s="23">
        <v>2</v>
      </c>
      <c r="F425" s="23">
        <f>1.5*D425</f>
        <v>434.00447999999994</v>
      </c>
      <c r="G425" s="85"/>
      <c r="H425" s="85"/>
    </row>
    <row r="426" spans="1:8" s="10" customFormat="1" ht="18" customHeight="1" x14ac:dyDescent="0.3">
      <c r="A426" s="85">
        <v>31</v>
      </c>
      <c r="B426" s="85"/>
      <c r="C426" s="23" t="s">
        <v>154</v>
      </c>
      <c r="D426" s="23">
        <f>26.88*10.764</f>
        <v>289.33631999999994</v>
      </c>
      <c r="E426" s="23">
        <v>0</v>
      </c>
      <c r="F426" s="23">
        <f t="shared" si="15"/>
        <v>434.00447999999994</v>
      </c>
      <c r="G426" s="85"/>
      <c r="H426" s="85"/>
    </row>
    <row r="427" spans="1:8" ht="15.75" customHeight="1" x14ac:dyDescent="0.3">
      <c r="A427" s="85">
        <v>32</v>
      </c>
      <c r="B427" s="85"/>
      <c r="C427" s="23" t="s">
        <v>154</v>
      </c>
      <c r="D427" s="23">
        <f>26.88*10.764</f>
        <v>289.33631999999994</v>
      </c>
      <c r="E427" s="23">
        <v>0</v>
      </c>
      <c r="F427" s="23">
        <f t="shared" si="15"/>
        <v>434.00447999999994</v>
      </c>
      <c r="G427" s="85"/>
      <c r="H427" s="85"/>
    </row>
    <row r="428" spans="1:8" s="2" customFormat="1" x14ac:dyDescent="0.3">
      <c r="A428" s="107" t="s">
        <v>160</v>
      </c>
      <c r="B428" s="107"/>
      <c r="C428" s="107"/>
      <c r="D428" s="107"/>
      <c r="E428" s="107"/>
      <c r="F428" s="107"/>
      <c r="G428" s="107"/>
      <c r="H428" s="107"/>
    </row>
    <row r="429" spans="1:8" s="2" customFormat="1" x14ac:dyDescent="0.3">
      <c r="A429" s="107" t="s">
        <v>153</v>
      </c>
      <c r="B429" s="107"/>
      <c r="C429" s="107"/>
      <c r="D429" s="107"/>
      <c r="E429" s="107"/>
      <c r="F429" s="107"/>
      <c r="G429" s="107"/>
      <c r="H429" s="107"/>
    </row>
    <row r="430" spans="1:8" s="2" customFormat="1" ht="15.75" customHeight="1" x14ac:dyDescent="0.3">
      <c r="A430" s="85">
        <v>1</v>
      </c>
      <c r="B430" s="85"/>
      <c r="C430" s="23" t="s">
        <v>154</v>
      </c>
      <c r="D430" s="23">
        <f>26.88*10.764</f>
        <v>289.33631999999994</v>
      </c>
      <c r="E430" s="23">
        <v>0</v>
      </c>
      <c r="F430" s="23">
        <f>1.5*D430</f>
        <v>434.00447999999994</v>
      </c>
      <c r="G430" s="85" t="str">
        <f>A429</f>
        <v>Ground Floor for Residential</v>
      </c>
      <c r="H430" s="85"/>
    </row>
    <row r="431" spans="1:8" s="2" customFormat="1" ht="15.75" customHeight="1" x14ac:dyDescent="0.3">
      <c r="A431" s="85">
        <v>2</v>
      </c>
      <c r="B431" s="85"/>
      <c r="C431" s="23" t="s">
        <v>154</v>
      </c>
      <c r="D431" s="23">
        <f>26.88*10.764</f>
        <v>289.33631999999994</v>
      </c>
      <c r="E431" s="23">
        <v>0</v>
      </c>
      <c r="F431" s="23">
        <f t="shared" ref="F431:F462" si="17">1.5*D431</f>
        <v>434.00447999999994</v>
      </c>
      <c r="G431" s="85"/>
      <c r="H431" s="85"/>
    </row>
    <row r="432" spans="1:8" s="2" customFormat="1" ht="15.75" customHeight="1" x14ac:dyDescent="0.3">
      <c r="A432" s="85">
        <v>3</v>
      </c>
      <c r="B432" s="85"/>
      <c r="C432" s="23" t="s">
        <v>154</v>
      </c>
      <c r="D432" s="23">
        <f>26.88*10.764</f>
        <v>289.33631999999994</v>
      </c>
      <c r="E432" s="23">
        <v>0</v>
      </c>
      <c r="F432" s="23">
        <f t="shared" si="17"/>
        <v>434.00447999999994</v>
      </c>
      <c r="G432" s="85"/>
      <c r="H432" s="85"/>
    </row>
    <row r="433" spans="1:9" s="2" customFormat="1" ht="15.75" customHeight="1" x14ac:dyDescent="0.3">
      <c r="A433" s="85">
        <v>4</v>
      </c>
      <c r="B433" s="85"/>
      <c r="C433" s="23" t="s">
        <v>159</v>
      </c>
      <c r="D433" s="23">
        <f t="shared" ref="D433:D456" si="18">14.97*10.764</f>
        <v>161.13708</v>
      </c>
      <c r="E433" s="23">
        <v>0</v>
      </c>
      <c r="F433" s="23">
        <f t="shared" si="17"/>
        <v>241.70562000000001</v>
      </c>
      <c r="G433" s="85"/>
      <c r="H433" s="85"/>
      <c r="I433" s="2">
        <f>945000/F433</f>
        <v>3909.7146355140603</v>
      </c>
    </row>
    <row r="434" spans="1:9" s="2" customFormat="1" ht="15.75" customHeight="1" x14ac:dyDescent="0.3">
      <c r="A434" s="85">
        <v>5</v>
      </c>
      <c r="B434" s="85"/>
      <c r="C434" s="23" t="s">
        <v>159</v>
      </c>
      <c r="D434" s="23">
        <f t="shared" si="18"/>
        <v>161.13708</v>
      </c>
      <c r="E434" s="23">
        <v>0</v>
      </c>
      <c r="F434" s="23">
        <f t="shared" si="17"/>
        <v>241.70562000000001</v>
      </c>
      <c r="G434" s="85"/>
      <c r="H434" s="85"/>
    </row>
    <row r="435" spans="1:9" s="2" customFormat="1" ht="15.75" customHeight="1" x14ac:dyDescent="0.3">
      <c r="A435" s="85">
        <v>6</v>
      </c>
      <c r="B435" s="85"/>
      <c r="C435" s="23" t="s">
        <v>159</v>
      </c>
      <c r="D435" s="23">
        <f t="shared" si="18"/>
        <v>161.13708</v>
      </c>
      <c r="E435" s="23">
        <v>0</v>
      </c>
      <c r="F435" s="23">
        <f t="shared" si="17"/>
        <v>241.70562000000001</v>
      </c>
      <c r="G435" s="85"/>
      <c r="H435" s="85"/>
    </row>
    <row r="436" spans="1:9" s="2" customFormat="1" ht="15.75" customHeight="1" x14ac:dyDescent="0.3">
      <c r="A436" s="85">
        <v>7</v>
      </c>
      <c r="B436" s="85"/>
      <c r="C436" s="23" t="s">
        <v>159</v>
      </c>
      <c r="D436" s="23">
        <f t="shared" si="18"/>
        <v>161.13708</v>
      </c>
      <c r="E436" s="23">
        <v>0</v>
      </c>
      <c r="F436" s="23">
        <f t="shared" si="17"/>
        <v>241.70562000000001</v>
      </c>
      <c r="G436" s="85"/>
      <c r="H436" s="85"/>
    </row>
    <row r="437" spans="1:9" s="2" customFormat="1" ht="15.75" customHeight="1" x14ac:dyDescent="0.3">
      <c r="A437" s="85">
        <v>8</v>
      </c>
      <c r="B437" s="85"/>
      <c r="C437" s="23" t="s">
        <v>159</v>
      </c>
      <c r="D437" s="23">
        <f t="shared" si="18"/>
        <v>161.13708</v>
      </c>
      <c r="E437" s="23">
        <v>0</v>
      </c>
      <c r="F437" s="23">
        <f t="shared" si="17"/>
        <v>241.70562000000001</v>
      </c>
      <c r="G437" s="85"/>
      <c r="H437" s="85"/>
    </row>
    <row r="438" spans="1:9" s="2" customFormat="1" ht="15.75" customHeight="1" x14ac:dyDescent="0.3">
      <c r="A438" s="85">
        <v>9</v>
      </c>
      <c r="B438" s="85"/>
      <c r="C438" s="23" t="s">
        <v>159</v>
      </c>
      <c r="D438" s="23">
        <f t="shared" si="18"/>
        <v>161.13708</v>
      </c>
      <c r="E438" s="23">
        <v>0</v>
      </c>
      <c r="F438" s="23">
        <f t="shared" si="17"/>
        <v>241.70562000000001</v>
      </c>
      <c r="G438" s="85"/>
      <c r="H438" s="85"/>
    </row>
    <row r="439" spans="1:9" s="2" customFormat="1" ht="15.75" customHeight="1" x14ac:dyDescent="0.3">
      <c r="A439" s="85">
        <v>10</v>
      </c>
      <c r="B439" s="85"/>
      <c r="C439" s="23" t="s">
        <v>159</v>
      </c>
      <c r="D439" s="23">
        <f t="shared" si="18"/>
        <v>161.13708</v>
      </c>
      <c r="E439" s="23">
        <v>0</v>
      </c>
      <c r="F439" s="23">
        <f t="shared" si="17"/>
        <v>241.70562000000001</v>
      </c>
      <c r="G439" s="85"/>
      <c r="H439" s="85"/>
    </row>
    <row r="440" spans="1:9" s="2" customFormat="1" ht="15.75" customHeight="1" x14ac:dyDescent="0.3">
      <c r="A440" s="85">
        <v>11</v>
      </c>
      <c r="B440" s="85"/>
      <c r="C440" s="23" t="s">
        <v>159</v>
      </c>
      <c r="D440" s="23">
        <f t="shared" si="18"/>
        <v>161.13708</v>
      </c>
      <c r="E440" s="23">
        <v>0</v>
      </c>
      <c r="F440" s="23">
        <f t="shared" si="17"/>
        <v>241.70562000000001</v>
      </c>
      <c r="G440" s="85"/>
      <c r="H440" s="85"/>
    </row>
    <row r="441" spans="1:9" s="2" customFormat="1" ht="15.75" customHeight="1" x14ac:dyDescent="0.3">
      <c r="A441" s="85">
        <v>12</v>
      </c>
      <c r="B441" s="85"/>
      <c r="C441" s="23" t="s">
        <v>159</v>
      </c>
      <c r="D441" s="23">
        <f t="shared" si="18"/>
        <v>161.13708</v>
      </c>
      <c r="E441" s="23">
        <v>0</v>
      </c>
      <c r="F441" s="23">
        <f t="shared" si="17"/>
        <v>241.70562000000001</v>
      </c>
      <c r="G441" s="85"/>
      <c r="H441" s="85"/>
    </row>
    <row r="442" spans="1:9" s="2" customFormat="1" ht="15.75" customHeight="1" x14ac:dyDescent="0.3">
      <c r="A442" s="85">
        <v>13</v>
      </c>
      <c r="B442" s="85"/>
      <c r="C442" s="23" t="s">
        <v>159</v>
      </c>
      <c r="D442" s="23">
        <f t="shared" si="18"/>
        <v>161.13708</v>
      </c>
      <c r="E442" s="23">
        <v>0</v>
      </c>
      <c r="F442" s="23">
        <f t="shared" si="17"/>
        <v>241.70562000000001</v>
      </c>
      <c r="G442" s="85"/>
      <c r="H442" s="85"/>
    </row>
    <row r="443" spans="1:9" s="2" customFormat="1" ht="15.75" customHeight="1" x14ac:dyDescent="0.3">
      <c r="A443" s="85">
        <v>14</v>
      </c>
      <c r="B443" s="85"/>
      <c r="C443" s="23" t="s">
        <v>159</v>
      </c>
      <c r="D443" s="23">
        <f t="shared" si="18"/>
        <v>161.13708</v>
      </c>
      <c r="E443" s="23">
        <v>0</v>
      </c>
      <c r="F443" s="23">
        <f t="shared" si="17"/>
        <v>241.70562000000001</v>
      </c>
      <c r="G443" s="85"/>
      <c r="H443" s="85"/>
    </row>
    <row r="444" spans="1:9" s="2" customFormat="1" ht="15.75" customHeight="1" x14ac:dyDescent="0.3">
      <c r="A444" s="85">
        <v>15</v>
      </c>
      <c r="B444" s="85"/>
      <c r="C444" s="23" t="s">
        <v>159</v>
      </c>
      <c r="D444" s="23">
        <f t="shared" si="18"/>
        <v>161.13708</v>
      </c>
      <c r="E444" s="23">
        <v>0</v>
      </c>
      <c r="F444" s="23">
        <f t="shared" si="17"/>
        <v>241.70562000000001</v>
      </c>
      <c r="G444" s="85"/>
      <c r="H444" s="85"/>
    </row>
    <row r="445" spans="1:9" s="2" customFormat="1" ht="15.75" customHeight="1" x14ac:dyDescent="0.3">
      <c r="A445" s="85">
        <v>16</v>
      </c>
      <c r="B445" s="85"/>
      <c r="C445" s="23" t="s">
        <v>159</v>
      </c>
      <c r="D445" s="23">
        <f t="shared" si="18"/>
        <v>161.13708</v>
      </c>
      <c r="E445" s="23">
        <v>0</v>
      </c>
      <c r="F445" s="23">
        <f t="shared" si="17"/>
        <v>241.70562000000001</v>
      </c>
      <c r="G445" s="85"/>
      <c r="H445" s="85"/>
    </row>
    <row r="446" spans="1:9" s="2" customFormat="1" ht="15.75" customHeight="1" x14ac:dyDescent="0.3">
      <c r="A446" s="85">
        <v>17</v>
      </c>
      <c r="B446" s="85"/>
      <c r="C446" s="23" t="s">
        <v>159</v>
      </c>
      <c r="D446" s="23">
        <f t="shared" si="18"/>
        <v>161.13708</v>
      </c>
      <c r="E446" s="23">
        <v>0</v>
      </c>
      <c r="F446" s="23">
        <f t="shared" si="17"/>
        <v>241.70562000000001</v>
      </c>
      <c r="G446" s="85"/>
      <c r="H446" s="85"/>
    </row>
    <row r="447" spans="1:9" s="2" customFormat="1" ht="15.75" customHeight="1" x14ac:dyDescent="0.3">
      <c r="A447" s="85">
        <v>18</v>
      </c>
      <c r="B447" s="85"/>
      <c r="C447" s="23" t="s">
        <v>159</v>
      </c>
      <c r="D447" s="23">
        <f t="shared" si="18"/>
        <v>161.13708</v>
      </c>
      <c r="E447" s="23">
        <v>0</v>
      </c>
      <c r="F447" s="23">
        <f t="shared" si="17"/>
        <v>241.70562000000001</v>
      </c>
      <c r="G447" s="85"/>
      <c r="H447" s="85"/>
    </row>
    <row r="448" spans="1:9" s="2" customFormat="1" ht="15.75" customHeight="1" x14ac:dyDescent="0.3">
      <c r="A448" s="85">
        <v>19</v>
      </c>
      <c r="B448" s="85"/>
      <c r="C448" s="23" t="s">
        <v>159</v>
      </c>
      <c r="D448" s="23">
        <f t="shared" si="18"/>
        <v>161.13708</v>
      </c>
      <c r="E448" s="23">
        <v>0</v>
      </c>
      <c r="F448" s="23">
        <f t="shared" si="17"/>
        <v>241.70562000000001</v>
      </c>
      <c r="G448" s="85"/>
      <c r="H448" s="85"/>
    </row>
    <row r="449" spans="1:8" s="2" customFormat="1" ht="15.75" customHeight="1" x14ac:dyDescent="0.3">
      <c r="A449" s="85">
        <v>20</v>
      </c>
      <c r="B449" s="85"/>
      <c r="C449" s="23" t="s">
        <v>159</v>
      </c>
      <c r="D449" s="23">
        <f t="shared" si="18"/>
        <v>161.13708</v>
      </c>
      <c r="E449" s="23">
        <v>0</v>
      </c>
      <c r="F449" s="23">
        <f t="shared" si="17"/>
        <v>241.70562000000001</v>
      </c>
      <c r="G449" s="85"/>
      <c r="H449" s="85"/>
    </row>
    <row r="450" spans="1:8" s="2" customFormat="1" ht="15.75" customHeight="1" x14ac:dyDescent="0.3">
      <c r="A450" s="85">
        <v>21</v>
      </c>
      <c r="B450" s="85"/>
      <c r="C450" s="23" t="s">
        <v>159</v>
      </c>
      <c r="D450" s="23">
        <f t="shared" si="18"/>
        <v>161.13708</v>
      </c>
      <c r="E450" s="23">
        <v>0</v>
      </c>
      <c r="F450" s="23">
        <f t="shared" si="17"/>
        <v>241.70562000000001</v>
      </c>
      <c r="G450" s="85"/>
      <c r="H450" s="85"/>
    </row>
    <row r="451" spans="1:8" s="2" customFormat="1" ht="15.75" customHeight="1" x14ac:dyDescent="0.3">
      <c r="A451" s="85">
        <v>22</v>
      </c>
      <c r="B451" s="85"/>
      <c r="C451" s="23" t="s">
        <v>159</v>
      </c>
      <c r="D451" s="23">
        <f t="shared" si="18"/>
        <v>161.13708</v>
      </c>
      <c r="E451" s="23">
        <v>0</v>
      </c>
      <c r="F451" s="23">
        <f t="shared" si="17"/>
        <v>241.70562000000001</v>
      </c>
      <c r="G451" s="85"/>
      <c r="H451" s="85"/>
    </row>
    <row r="452" spans="1:8" s="2" customFormat="1" ht="15.75" customHeight="1" x14ac:dyDescent="0.3">
      <c r="A452" s="85">
        <v>23</v>
      </c>
      <c r="B452" s="85"/>
      <c r="C452" s="23" t="s">
        <v>159</v>
      </c>
      <c r="D452" s="23">
        <f t="shared" si="18"/>
        <v>161.13708</v>
      </c>
      <c r="E452" s="23">
        <v>0</v>
      </c>
      <c r="F452" s="23">
        <f t="shared" si="17"/>
        <v>241.70562000000001</v>
      </c>
      <c r="G452" s="85"/>
      <c r="H452" s="85"/>
    </row>
    <row r="453" spans="1:8" s="2" customFormat="1" ht="15.75" customHeight="1" x14ac:dyDescent="0.3">
      <c r="A453" s="85">
        <v>24</v>
      </c>
      <c r="B453" s="85"/>
      <c r="C453" s="23" t="s">
        <v>159</v>
      </c>
      <c r="D453" s="23">
        <f t="shared" si="18"/>
        <v>161.13708</v>
      </c>
      <c r="E453" s="23">
        <v>0</v>
      </c>
      <c r="F453" s="23">
        <f t="shared" si="17"/>
        <v>241.70562000000001</v>
      </c>
      <c r="G453" s="85"/>
      <c r="H453" s="85"/>
    </row>
    <row r="454" spans="1:8" s="2" customFormat="1" ht="15.75" customHeight="1" x14ac:dyDescent="0.3">
      <c r="A454" s="85">
        <v>25</v>
      </c>
      <c r="B454" s="85"/>
      <c r="C454" s="23" t="s">
        <v>159</v>
      </c>
      <c r="D454" s="23">
        <f t="shared" si="18"/>
        <v>161.13708</v>
      </c>
      <c r="E454" s="23">
        <v>0</v>
      </c>
      <c r="F454" s="23">
        <f t="shared" si="17"/>
        <v>241.70562000000001</v>
      </c>
      <c r="G454" s="85"/>
      <c r="H454" s="85"/>
    </row>
    <row r="455" spans="1:8" s="2" customFormat="1" ht="15.75" customHeight="1" x14ac:dyDescent="0.3">
      <c r="A455" s="85">
        <v>26</v>
      </c>
      <c r="B455" s="85"/>
      <c r="C455" s="23" t="s">
        <v>159</v>
      </c>
      <c r="D455" s="23">
        <f t="shared" si="18"/>
        <v>161.13708</v>
      </c>
      <c r="E455" s="23">
        <v>0</v>
      </c>
      <c r="F455" s="23">
        <f t="shared" si="17"/>
        <v>241.70562000000001</v>
      </c>
      <c r="G455" s="85"/>
      <c r="H455" s="85"/>
    </row>
    <row r="456" spans="1:8" s="2" customFormat="1" ht="15.75" customHeight="1" x14ac:dyDescent="0.3">
      <c r="A456" s="85">
        <v>27</v>
      </c>
      <c r="B456" s="85"/>
      <c r="C456" s="23" t="s">
        <v>159</v>
      </c>
      <c r="D456" s="23">
        <f t="shared" si="18"/>
        <v>161.13708</v>
      </c>
      <c r="E456" s="23">
        <v>0</v>
      </c>
      <c r="F456" s="23">
        <f t="shared" si="17"/>
        <v>241.70562000000001</v>
      </c>
      <c r="G456" s="85"/>
      <c r="H456" s="85"/>
    </row>
    <row r="457" spans="1:8" s="1" customFormat="1" ht="15.75" customHeight="1" x14ac:dyDescent="0.3">
      <c r="A457" s="85">
        <v>28</v>
      </c>
      <c r="B457" s="85"/>
      <c r="C457" s="23" t="s">
        <v>154</v>
      </c>
      <c r="D457" s="23">
        <f t="shared" ref="D457:D462" si="19">26.88*10.764</f>
        <v>289.33631999999994</v>
      </c>
      <c r="E457" s="23">
        <v>0</v>
      </c>
      <c r="F457" s="23">
        <f t="shared" si="17"/>
        <v>434.00447999999994</v>
      </c>
      <c r="G457" s="85"/>
      <c r="H457" s="85"/>
    </row>
    <row r="458" spans="1:8" s="10" customFormat="1" ht="18" customHeight="1" x14ac:dyDescent="0.3">
      <c r="A458" s="85">
        <v>29</v>
      </c>
      <c r="B458" s="85"/>
      <c r="C458" s="23" t="s">
        <v>154</v>
      </c>
      <c r="D458" s="23">
        <f t="shared" si="19"/>
        <v>289.33631999999994</v>
      </c>
      <c r="E458" s="23">
        <v>0</v>
      </c>
      <c r="F458" s="23">
        <f t="shared" si="17"/>
        <v>434.00447999999994</v>
      </c>
      <c r="G458" s="85"/>
      <c r="H458" s="85"/>
    </row>
    <row r="459" spans="1:8" s="10" customFormat="1" ht="18" customHeight="1" x14ac:dyDescent="0.3">
      <c r="A459" s="85">
        <v>30</v>
      </c>
      <c r="B459" s="85"/>
      <c r="C459" s="23" t="s">
        <v>154</v>
      </c>
      <c r="D459" s="23">
        <f t="shared" si="19"/>
        <v>289.33631999999994</v>
      </c>
      <c r="E459" s="23">
        <v>0</v>
      </c>
      <c r="F459" s="23">
        <f t="shared" si="17"/>
        <v>434.00447999999994</v>
      </c>
      <c r="G459" s="85"/>
      <c r="H459" s="85"/>
    </row>
    <row r="460" spans="1:8" s="10" customFormat="1" ht="18" customHeight="1" x14ac:dyDescent="0.3">
      <c r="A460" s="85">
        <v>31</v>
      </c>
      <c r="B460" s="85"/>
      <c r="C460" s="23" t="s">
        <v>154</v>
      </c>
      <c r="D460" s="23">
        <f t="shared" si="19"/>
        <v>289.33631999999994</v>
      </c>
      <c r="E460" s="23">
        <v>0</v>
      </c>
      <c r="F460" s="23">
        <f t="shared" si="17"/>
        <v>434.00447999999994</v>
      </c>
      <c r="G460" s="85"/>
      <c r="H460" s="85"/>
    </row>
    <row r="461" spans="1:8" s="10" customFormat="1" ht="18" customHeight="1" x14ac:dyDescent="0.3">
      <c r="A461" s="85">
        <v>32</v>
      </c>
      <c r="B461" s="85"/>
      <c r="C461" s="23" t="s">
        <v>154</v>
      </c>
      <c r="D461" s="23">
        <f t="shared" si="19"/>
        <v>289.33631999999994</v>
      </c>
      <c r="E461" s="23">
        <v>0</v>
      </c>
      <c r="F461" s="23">
        <f t="shared" si="17"/>
        <v>434.00447999999994</v>
      </c>
      <c r="G461" s="85"/>
      <c r="H461" s="85"/>
    </row>
    <row r="462" spans="1:8" ht="15.75" customHeight="1" x14ac:dyDescent="0.3">
      <c r="A462" s="85">
        <v>33</v>
      </c>
      <c r="B462" s="85"/>
      <c r="C462" s="23" t="s">
        <v>154</v>
      </c>
      <c r="D462" s="23">
        <f t="shared" si="19"/>
        <v>289.33631999999994</v>
      </c>
      <c r="E462" s="23">
        <v>0</v>
      </c>
      <c r="F462" s="23">
        <f t="shared" si="17"/>
        <v>434.00447999999994</v>
      </c>
      <c r="G462" s="85"/>
      <c r="H462" s="85"/>
    </row>
    <row r="463" spans="1:8" s="2" customFormat="1" ht="15.75" customHeight="1" x14ac:dyDescent="0.3">
      <c r="A463" s="73" t="s">
        <v>155</v>
      </c>
      <c r="B463" s="74"/>
      <c r="C463" s="74"/>
      <c r="D463" s="74"/>
      <c r="E463" s="74"/>
      <c r="F463" s="74"/>
      <c r="G463" s="74"/>
      <c r="H463" s="75"/>
    </row>
    <row r="464" spans="1:8" s="2" customFormat="1" ht="15.75" customHeight="1" x14ac:dyDescent="0.3">
      <c r="A464" s="85">
        <v>1</v>
      </c>
      <c r="B464" s="85"/>
      <c r="C464" s="23" t="s">
        <v>154</v>
      </c>
      <c r="D464" s="23">
        <f>26.88*10.764</f>
        <v>289.33631999999994</v>
      </c>
      <c r="E464" s="23">
        <v>0</v>
      </c>
      <c r="F464" s="23">
        <f>1.5*D464</f>
        <v>434.00447999999994</v>
      </c>
      <c r="G464" s="108" t="str">
        <f>A463</f>
        <v>1st to 4th Floor</v>
      </c>
      <c r="H464" s="109"/>
    </row>
    <row r="465" spans="1:8" s="2" customFormat="1" ht="15.75" customHeight="1" x14ac:dyDescent="0.3">
      <c r="A465" s="85">
        <v>2</v>
      </c>
      <c r="B465" s="85"/>
      <c r="C465" s="23" t="s">
        <v>154</v>
      </c>
      <c r="D465" s="23">
        <f>26.88*10.764</f>
        <v>289.33631999999994</v>
      </c>
      <c r="E465" s="23">
        <v>0</v>
      </c>
      <c r="F465" s="23">
        <f>1.5*D465</f>
        <v>434.00447999999994</v>
      </c>
      <c r="G465" s="110"/>
      <c r="H465" s="111"/>
    </row>
    <row r="466" spans="1:8" s="2" customFormat="1" ht="15.75" customHeight="1" x14ac:dyDescent="0.3">
      <c r="A466" s="85">
        <v>3</v>
      </c>
      <c r="B466" s="85"/>
      <c r="C466" s="23" t="s">
        <v>154</v>
      </c>
      <c r="D466" s="23">
        <f>26.88*10.764</f>
        <v>289.33631999999994</v>
      </c>
      <c r="E466" s="23">
        <v>0</v>
      </c>
      <c r="F466" s="23">
        <f>1.5*D466</f>
        <v>434.00447999999994</v>
      </c>
      <c r="G466" s="110"/>
      <c r="H466" s="111"/>
    </row>
    <row r="467" spans="1:8" s="2" customFormat="1" ht="15.75" customHeight="1" x14ac:dyDescent="0.3">
      <c r="A467" s="85">
        <v>4</v>
      </c>
      <c r="B467" s="85"/>
      <c r="C467" s="23" t="s">
        <v>159</v>
      </c>
      <c r="D467" s="23">
        <f>14.97*10.764</f>
        <v>161.13708</v>
      </c>
      <c r="E467" s="23">
        <v>0</v>
      </c>
      <c r="F467" s="23">
        <f>1.5*D467</f>
        <v>241.70562000000001</v>
      </c>
      <c r="G467" s="110"/>
      <c r="H467" s="111"/>
    </row>
    <row r="468" spans="1:8" s="2" customFormat="1" ht="15.75" customHeight="1" x14ac:dyDescent="0.3">
      <c r="A468" s="85">
        <v>5</v>
      </c>
      <c r="B468" s="85"/>
      <c r="C468" s="23" t="s">
        <v>159</v>
      </c>
      <c r="D468" s="23">
        <f>14.97*10.764</f>
        <v>161.13708</v>
      </c>
      <c r="E468" s="23">
        <v>0</v>
      </c>
      <c r="F468" s="23">
        <f>1.5*D468</f>
        <v>241.70562000000001</v>
      </c>
      <c r="G468" s="110"/>
      <c r="H468" s="111"/>
    </row>
    <row r="469" spans="1:8" s="2" customFormat="1" ht="15.75" customHeight="1" x14ac:dyDescent="0.3">
      <c r="A469" s="85">
        <v>6</v>
      </c>
      <c r="B469" s="85"/>
      <c r="C469" s="23" t="s">
        <v>159</v>
      </c>
      <c r="D469" s="23">
        <f t="shared" ref="D469:D492" si="20">14.97*10.764</f>
        <v>161.13708</v>
      </c>
      <c r="E469" s="23">
        <v>0</v>
      </c>
      <c r="F469" s="23">
        <f t="shared" ref="F469:F498" si="21">1.5*D469</f>
        <v>241.70562000000001</v>
      </c>
      <c r="G469" s="110"/>
      <c r="H469" s="111"/>
    </row>
    <row r="470" spans="1:8" s="2" customFormat="1" ht="15.75" customHeight="1" x14ac:dyDescent="0.3">
      <c r="A470" s="85">
        <v>7</v>
      </c>
      <c r="B470" s="85"/>
      <c r="C470" s="23" t="s">
        <v>159</v>
      </c>
      <c r="D470" s="23">
        <f t="shared" si="20"/>
        <v>161.13708</v>
      </c>
      <c r="E470" s="23">
        <v>0</v>
      </c>
      <c r="F470" s="23">
        <f t="shared" si="21"/>
        <v>241.70562000000001</v>
      </c>
      <c r="G470" s="110"/>
      <c r="H470" s="111"/>
    </row>
    <row r="471" spans="1:8" s="2" customFormat="1" ht="15.75" customHeight="1" x14ac:dyDescent="0.3">
      <c r="A471" s="85">
        <v>8</v>
      </c>
      <c r="B471" s="85"/>
      <c r="C471" s="23" t="s">
        <v>159</v>
      </c>
      <c r="D471" s="23">
        <f t="shared" si="20"/>
        <v>161.13708</v>
      </c>
      <c r="E471" s="23">
        <v>0</v>
      </c>
      <c r="F471" s="23">
        <f t="shared" si="21"/>
        <v>241.70562000000001</v>
      </c>
      <c r="G471" s="110"/>
      <c r="H471" s="111"/>
    </row>
    <row r="472" spans="1:8" s="2" customFormat="1" ht="15.75" customHeight="1" x14ac:dyDescent="0.3">
      <c r="A472" s="85">
        <v>9</v>
      </c>
      <c r="B472" s="85"/>
      <c r="C472" s="23" t="s">
        <v>159</v>
      </c>
      <c r="D472" s="23">
        <f t="shared" si="20"/>
        <v>161.13708</v>
      </c>
      <c r="E472" s="23">
        <v>0</v>
      </c>
      <c r="F472" s="23">
        <f t="shared" si="21"/>
        <v>241.70562000000001</v>
      </c>
      <c r="G472" s="110"/>
      <c r="H472" s="111"/>
    </row>
    <row r="473" spans="1:8" s="2" customFormat="1" ht="15.75" customHeight="1" x14ac:dyDescent="0.3">
      <c r="A473" s="85">
        <v>10</v>
      </c>
      <c r="B473" s="85"/>
      <c r="C473" s="23" t="s">
        <v>159</v>
      </c>
      <c r="D473" s="23">
        <f t="shared" si="20"/>
        <v>161.13708</v>
      </c>
      <c r="E473" s="23">
        <v>0</v>
      </c>
      <c r="F473" s="23">
        <f t="shared" si="21"/>
        <v>241.70562000000001</v>
      </c>
      <c r="G473" s="110"/>
      <c r="H473" s="111"/>
    </row>
    <row r="474" spans="1:8" s="2" customFormat="1" ht="15.75" customHeight="1" x14ac:dyDescent="0.3">
      <c r="A474" s="85">
        <v>11</v>
      </c>
      <c r="B474" s="85"/>
      <c r="C474" s="23" t="s">
        <v>159</v>
      </c>
      <c r="D474" s="23">
        <f t="shared" si="20"/>
        <v>161.13708</v>
      </c>
      <c r="E474" s="23">
        <v>0</v>
      </c>
      <c r="F474" s="23">
        <f t="shared" si="21"/>
        <v>241.70562000000001</v>
      </c>
      <c r="G474" s="110"/>
      <c r="H474" s="111"/>
    </row>
    <row r="475" spans="1:8" s="2" customFormat="1" ht="15.75" customHeight="1" x14ac:dyDescent="0.3">
      <c r="A475" s="85">
        <v>12</v>
      </c>
      <c r="B475" s="85"/>
      <c r="C475" s="23" t="s">
        <v>159</v>
      </c>
      <c r="D475" s="23">
        <f t="shared" si="20"/>
        <v>161.13708</v>
      </c>
      <c r="E475" s="23">
        <v>0</v>
      </c>
      <c r="F475" s="23">
        <f t="shared" si="21"/>
        <v>241.70562000000001</v>
      </c>
      <c r="G475" s="110"/>
      <c r="H475" s="111"/>
    </row>
    <row r="476" spans="1:8" s="2" customFormat="1" ht="15.75" customHeight="1" x14ac:dyDescent="0.3">
      <c r="A476" s="85">
        <v>13</v>
      </c>
      <c r="B476" s="85"/>
      <c r="C476" s="23" t="s">
        <v>159</v>
      </c>
      <c r="D476" s="23">
        <f t="shared" si="20"/>
        <v>161.13708</v>
      </c>
      <c r="E476" s="23">
        <v>0</v>
      </c>
      <c r="F476" s="23">
        <f t="shared" si="21"/>
        <v>241.70562000000001</v>
      </c>
      <c r="G476" s="110"/>
      <c r="H476" s="111"/>
    </row>
    <row r="477" spans="1:8" s="2" customFormat="1" ht="15.75" customHeight="1" x14ac:dyDescent="0.3">
      <c r="A477" s="85">
        <v>14</v>
      </c>
      <c r="B477" s="85"/>
      <c r="C477" s="23" t="s">
        <v>159</v>
      </c>
      <c r="D477" s="23">
        <f t="shared" si="20"/>
        <v>161.13708</v>
      </c>
      <c r="E477" s="23">
        <v>0</v>
      </c>
      <c r="F477" s="23">
        <f t="shared" si="21"/>
        <v>241.70562000000001</v>
      </c>
      <c r="G477" s="110"/>
      <c r="H477" s="111"/>
    </row>
    <row r="478" spans="1:8" s="2" customFormat="1" ht="15.75" customHeight="1" x14ac:dyDescent="0.3">
      <c r="A478" s="85">
        <v>15</v>
      </c>
      <c r="B478" s="85"/>
      <c r="C478" s="23" t="s">
        <v>159</v>
      </c>
      <c r="D478" s="23">
        <f t="shared" si="20"/>
        <v>161.13708</v>
      </c>
      <c r="E478" s="23">
        <v>0</v>
      </c>
      <c r="F478" s="23">
        <f t="shared" si="21"/>
        <v>241.70562000000001</v>
      </c>
      <c r="G478" s="110"/>
      <c r="H478" s="111"/>
    </row>
    <row r="479" spans="1:8" s="2" customFormat="1" ht="15.75" customHeight="1" x14ac:dyDescent="0.3">
      <c r="A479" s="85">
        <v>16</v>
      </c>
      <c r="B479" s="85"/>
      <c r="C479" s="23" t="s">
        <v>159</v>
      </c>
      <c r="D479" s="23">
        <f t="shared" si="20"/>
        <v>161.13708</v>
      </c>
      <c r="E479" s="23">
        <v>0</v>
      </c>
      <c r="F479" s="23">
        <f t="shared" si="21"/>
        <v>241.70562000000001</v>
      </c>
      <c r="G479" s="110"/>
      <c r="H479" s="111"/>
    </row>
    <row r="480" spans="1:8" s="2" customFormat="1" ht="15.75" customHeight="1" x14ac:dyDescent="0.3">
      <c r="A480" s="85">
        <v>17</v>
      </c>
      <c r="B480" s="85"/>
      <c r="C480" s="23" t="s">
        <v>159</v>
      </c>
      <c r="D480" s="23">
        <f t="shared" si="20"/>
        <v>161.13708</v>
      </c>
      <c r="E480" s="23">
        <v>0</v>
      </c>
      <c r="F480" s="23">
        <f t="shared" si="21"/>
        <v>241.70562000000001</v>
      </c>
      <c r="G480" s="110"/>
      <c r="H480" s="111"/>
    </row>
    <row r="481" spans="1:8" s="2" customFormat="1" ht="15.75" customHeight="1" x14ac:dyDescent="0.3">
      <c r="A481" s="85">
        <v>18</v>
      </c>
      <c r="B481" s="85"/>
      <c r="C481" s="23" t="s">
        <v>159</v>
      </c>
      <c r="D481" s="23">
        <f t="shared" si="20"/>
        <v>161.13708</v>
      </c>
      <c r="E481" s="23">
        <v>0</v>
      </c>
      <c r="F481" s="23">
        <f t="shared" si="21"/>
        <v>241.70562000000001</v>
      </c>
      <c r="G481" s="110"/>
      <c r="H481" s="111"/>
    </row>
    <row r="482" spans="1:8" s="2" customFormat="1" ht="15.75" customHeight="1" x14ac:dyDescent="0.3">
      <c r="A482" s="85">
        <v>19</v>
      </c>
      <c r="B482" s="85"/>
      <c r="C482" s="23" t="s">
        <v>159</v>
      </c>
      <c r="D482" s="23">
        <f t="shared" si="20"/>
        <v>161.13708</v>
      </c>
      <c r="E482" s="23">
        <v>0</v>
      </c>
      <c r="F482" s="23">
        <f t="shared" si="21"/>
        <v>241.70562000000001</v>
      </c>
      <c r="G482" s="110"/>
      <c r="H482" s="111"/>
    </row>
    <row r="483" spans="1:8" s="2" customFormat="1" ht="15.75" customHeight="1" x14ac:dyDescent="0.3">
      <c r="A483" s="85">
        <v>20</v>
      </c>
      <c r="B483" s="85"/>
      <c r="C483" s="23" t="s">
        <v>159</v>
      </c>
      <c r="D483" s="23">
        <f t="shared" si="20"/>
        <v>161.13708</v>
      </c>
      <c r="E483" s="23">
        <v>0</v>
      </c>
      <c r="F483" s="23">
        <f t="shared" si="21"/>
        <v>241.70562000000001</v>
      </c>
      <c r="G483" s="110"/>
      <c r="H483" s="111"/>
    </row>
    <row r="484" spans="1:8" s="2" customFormat="1" ht="15.75" customHeight="1" x14ac:dyDescent="0.3">
      <c r="A484" s="85">
        <v>21</v>
      </c>
      <c r="B484" s="85"/>
      <c r="C484" s="23" t="s">
        <v>159</v>
      </c>
      <c r="D484" s="23">
        <f t="shared" si="20"/>
        <v>161.13708</v>
      </c>
      <c r="E484" s="23">
        <v>0</v>
      </c>
      <c r="F484" s="23">
        <f t="shared" si="21"/>
        <v>241.70562000000001</v>
      </c>
      <c r="G484" s="110"/>
      <c r="H484" s="111"/>
    </row>
    <row r="485" spans="1:8" s="2" customFormat="1" ht="15.75" customHeight="1" x14ac:dyDescent="0.3">
      <c r="A485" s="85">
        <v>22</v>
      </c>
      <c r="B485" s="85"/>
      <c r="C485" s="23" t="s">
        <v>159</v>
      </c>
      <c r="D485" s="23">
        <f t="shared" si="20"/>
        <v>161.13708</v>
      </c>
      <c r="E485" s="23">
        <v>0</v>
      </c>
      <c r="F485" s="23">
        <f t="shared" si="21"/>
        <v>241.70562000000001</v>
      </c>
      <c r="G485" s="110"/>
      <c r="H485" s="111"/>
    </row>
    <row r="486" spans="1:8" s="2" customFormat="1" ht="15.75" customHeight="1" x14ac:dyDescent="0.3">
      <c r="A486" s="85">
        <v>23</v>
      </c>
      <c r="B486" s="85"/>
      <c r="C486" s="23" t="s">
        <v>159</v>
      </c>
      <c r="D486" s="23">
        <f t="shared" si="20"/>
        <v>161.13708</v>
      </c>
      <c r="E486" s="23">
        <v>0</v>
      </c>
      <c r="F486" s="23">
        <f t="shared" si="21"/>
        <v>241.70562000000001</v>
      </c>
      <c r="G486" s="110"/>
      <c r="H486" s="111"/>
    </row>
    <row r="487" spans="1:8" s="2" customFormat="1" ht="15.75" customHeight="1" x14ac:dyDescent="0.3">
      <c r="A487" s="85">
        <v>24</v>
      </c>
      <c r="B487" s="85"/>
      <c r="C487" s="23" t="s">
        <v>159</v>
      </c>
      <c r="D487" s="23">
        <f t="shared" si="20"/>
        <v>161.13708</v>
      </c>
      <c r="E487" s="23">
        <v>0</v>
      </c>
      <c r="F487" s="23">
        <f t="shared" si="21"/>
        <v>241.70562000000001</v>
      </c>
      <c r="G487" s="110"/>
      <c r="H487" s="111"/>
    </row>
    <row r="488" spans="1:8" s="2" customFormat="1" ht="15.75" customHeight="1" x14ac:dyDescent="0.3">
      <c r="A488" s="85">
        <v>25</v>
      </c>
      <c r="B488" s="85"/>
      <c r="C488" s="23" t="s">
        <v>159</v>
      </c>
      <c r="D488" s="23">
        <f t="shared" si="20"/>
        <v>161.13708</v>
      </c>
      <c r="E488" s="23">
        <v>0</v>
      </c>
      <c r="F488" s="23">
        <f t="shared" si="21"/>
        <v>241.70562000000001</v>
      </c>
      <c r="G488" s="110"/>
      <c r="H488" s="111"/>
    </row>
    <row r="489" spans="1:8" s="2" customFormat="1" ht="15.75" customHeight="1" x14ac:dyDescent="0.3">
      <c r="A489" s="85">
        <v>26</v>
      </c>
      <c r="B489" s="85"/>
      <c r="C489" s="23" t="s">
        <v>159</v>
      </c>
      <c r="D489" s="23">
        <f t="shared" si="20"/>
        <v>161.13708</v>
      </c>
      <c r="E489" s="23">
        <v>0</v>
      </c>
      <c r="F489" s="23">
        <f t="shared" si="21"/>
        <v>241.70562000000001</v>
      </c>
      <c r="G489" s="110"/>
      <c r="H489" s="111"/>
    </row>
    <row r="490" spans="1:8" s="2" customFormat="1" ht="15.75" customHeight="1" x14ac:dyDescent="0.3">
      <c r="A490" s="85">
        <v>27</v>
      </c>
      <c r="B490" s="85"/>
      <c r="C490" s="23" t="s">
        <v>159</v>
      </c>
      <c r="D490" s="23">
        <f t="shared" si="20"/>
        <v>161.13708</v>
      </c>
      <c r="E490" s="23">
        <v>0</v>
      </c>
      <c r="F490" s="23">
        <f t="shared" si="21"/>
        <v>241.70562000000001</v>
      </c>
      <c r="G490" s="110"/>
      <c r="H490" s="111"/>
    </row>
    <row r="491" spans="1:8" s="1" customFormat="1" ht="15.75" customHeight="1" x14ac:dyDescent="0.3">
      <c r="A491" s="85">
        <v>28</v>
      </c>
      <c r="B491" s="85"/>
      <c r="C491" s="23" t="s">
        <v>159</v>
      </c>
      <c r="D491" s="23">
        <f t="shared" si="20"/>
        <v>161.13708</v>
      </c>
      <c r="E491" s="23">
        <v>0</v>
      </c>
      <c r="F491" s="23">
        <f t="shared" si="21"/>
        <v>241.70562000000001</v>
      </c>
      <c r="G491" s="110"/>
      <c r="H491" s="111"/>
    </row>
    <row r="492" spans="1:8" s="1" customFormat="1" ht="15.75" customHeight="1" x14ac:dyDescent="0.3">
      <c r="A492" s="85">
        <v>29</v>
      </c>
      <c r="B492" s="85"/>
      <c r="C492" s="23" t="s">
        <v>159</v>
      </c>
      <c r="D492" s="23">
        <f t="shared" si="20"/>
        <v>161.13708</v>
      </c>
      <c r="E492" s="23">
        <v>0</v>
      </c>
      <c r="F492" s="23">
        <f t="shared" si="21"/>
        <v>241.70562000000001</v>
      </c>
      <c r="G492" s="110"/>
      <c r="H492" s="111"/>
    </row>
    <row r="493" spans="1:8" s="1" customFormat="1" ht="15.75" customHeight="1" x14ac:dyDescent="0.3">
      <c r="A493" s="85">
        <v>30</v>
      </c>
      <c r="B493" s="85"/>
      <c r="C493" s="23" t="s">
        <v>154</v>
      </c>
      <c r="D493" s="23">
        <f t="shared" ref="D493:D498" si="22">26.88*10.764</f>
        <v>289.33631999999994</v>
      </c>
      <c r="E493" s="23">
        <v>0</v>
      </c>
      <c r="F493" s="23">
        <f t="shared" si="21"/>
        <v>434.00447999999994</v>
      </c>
      <c r="G493" s="110"/>
      <c r="H493" s="111"/>
    </row>
    <row r="494" spans="1:8" s="1" customFormat="1" ht="15.75" customHeight="1" x14ac:dyDescent="0.3">
      <c r="A494" s="85">
        <v>31</v>
      </c>
      <c r="B494" s="85"/>
      <c r="C494" s="23" t="s">
        <v>154</v>
      </c>
      <c r="D494" s="23">
        <f t="shared" si="22"/>
        <v>289.33631999999994</v>
      </c>
      <c r="E494" s="23">
        <v>0</v>
      </c>
      <c r="F494" s="23">
        <f t="shared" si="21"/>
        <v>434.00447999999994</v>
      </c>
      <c r="G494" s="110"/>
      <c r="H494" s="111"/>
    </row>
    <row r="495" spans="1:8" s="1" customFormat="1" ht="15.75" customHeight="1" x14ac:dyDescent="0.3">
      <c r="A495" s="85">
        <v>32</v>
      </c>
      <c r="B495" s="85"/>
      <c r="C495" s="23" t="s">
        <v>154</v>
      </c>
      <c r="D495" s="23">
        <f t="shared" si="22"/>
        <v>289.33631999999994</v>
      </c>
      <c r="E495" s="23">
        <v>0</v>
      </c>
      <c r="F495" s="23">
        <f t="shared" si="21"/>
        <v>434.00447999999994</v>
      </c>
      <c r="G495" s="110"/>
      <c r="H495" s="111"/>
    </row>
    <row r="496" spans="1:8" s="1" customFormat="1" ht="15.75" customHeight="1" x14ac:dyDescent="0.3">
      <c r="A496" s="85">
        <v>33</v>
      </c>
      <c r="B496" s="85"/>
      <c r="C496" s="23" t="s">
        <v>154</v>
      </c>
      <c r="D496" s="23">
        <f t="shared" si="22"/>
        <v>289.33631999999994</v>
      </c>
      <c r="E496" s="23">
        <v>0</v>
      </c>
      <c r="F496" s="23">
        <f t="shared" si="21"/>
        <v>434.00447999999994</v>
      </c>
      <c r="G496" s="110"/>
      <c r="H496" s="111"/>
    </row>
    <row r="497" spans="1:11" s="10" customFormat="1" ht="18" customHeight="1" x14ac:dyDescent="0.3">
      <c r="A497" s="85">
        <v>34</v>
      </c>
      <c r="B497" s="85"/>
      <c r="C497" s="23" t="s">
        <v>154</v>
      </c>
      <c r="D497" s="23">
        <f t="shared" si="22"/>
        <v>289.33631999999994</v>
      </c>
      <c r="E497" s="23">
        <v>0</v>
      </c>
      <c r="F497" s="23">
        <f t="shared" si="21"/>
        <v>434.00447999999994</v>
      </c>
      <c r="G497" s="110"/>
      <c r="H497" s="111"/>
    </row>
    <row r="498" spans="1:11" ht="15.75" customHeight="1" x14ac:dyDescent="0.3">
      <c r="A498" s="85">
        <v>35</v>
      </c>
      <c r="B498" s="85"/>
      <c r="C498" s="23" t="s">
        <v>154</v>
      </c>
      <c r="D498" s="23">
        <f t="shared" si="22"/>
        <v>289.33631999999994</v>
      </c>
      <c r="E498" s="23">
        <v>0</v>
      </c>
      <c r="F498" s="23">
        <f t="shared" si="21"/>
        <v>434.00447999999994</v>
      </c>
      <c r="G498" s="112"/>
      <c r="H498" s="113"/>
    </row>
    <row r="499" spans="1:11" s="2" customFormat="1" x14ac:dyDescent="0.3">
      <c r="A499" s="107" t="s">
        <v>213</v>
      </c>
      <c r="B499" s="107"/>
      <c r="C499" s="107"/>
      <c r="D499" s="107"/>
      <c r="E499" s="107"/>
      <c r="F499" s="107"/>
      <c r="G499" s="107"/>
      <c r="H499" s="107"/>
      <c r="I499" s="2" t="s">
        <v>236</v>
      </c>
    </row>
    <row r="500" spans="1:11" s="2" customFormat="1" x14ac:dyDescent="0.3">
      <c r="A500" s="107" t="s">
        <v>216</v>
      </c>
      <c r="B500" s="107"/>
      <c r="C500" s="107"/>
      <c r="D500" s="107"/>
      <c r="E500" s="107"/>
      <c r="F500" s="107"/>
      <c r="G500" s="107"/>
      <c r="H500" s="107"/>
    </row>
    <row r="501" spans="1:11" s="2" customFormat="1" x14ac:dyDescent="0.3">
      <c r="A501" s="107" t="s">
        <v>217</v>
      </c>
      <c r="B501" s="107"/>
      <c r="C501" s="107"/>
      <c r="D501" s="107"/>
      <c r="E501" s="107"/>
      <c r="F501" s="107"/>
      <c r="G501" s="107"/>
      <c r="H501" s="107"/>
    </row>
    <row r="502" spans="1:11" s="2" customFormat="1" ht="15.75" customHeight="1" x14ac:dyDescent="0.3">
      <c r="A502" s="85">
        <v>1</v>
      </c>
      <c r="B502" s="85"/>
      <c r="C502" s="23" t="s">
        <v>218</v>
      </c>
      <c r="D502" s="56">
        <f>(29.47+2.92*1.7+1.2*1.05+0.8*0.7)*(10.764)</f>
        <v>390.23805599999997</v>
      </c>
      <c r="E502" s="23">
        <v>0</v>
      </c>
      <c r="F502" s="23">
        <f t="shared" ref="F502:F513" si="23">1.5*D502</f>
        <v>585.35708399999999</v>
      </c>
      <c r="G502" s="108" t="str">
        <f>A501</f>
        <v>Ground Floor for Residential &amp; Meter Room</v>
      </c>
      <c r="H502" s="109"/>
    </row>
    <row r="503" spans="1:11" s="2" customFormat="1" ht="15.75" customHeight="1" x14ac:dyDescent="0.3">
      <c r="A503" s="85">
        <v>2</v>
      </c>
      <c r="B503" s="85"/>
      <c r="C503" s="23" t="s">
        <v>218</v>
      </c>
      <c r="D503" s="56">
        <f>(29.47+2.92*1.7+1.2*1.05+0.8*0.7)*(10.764)</f>
        <v>390.23805599999997</v>
      </c>
      <c r="E503" s="23">
        <v>0</v>
      </c>
      <c r="F503" s="23">
        <f t="shared" si="23"/>
        <v>585.35708399999999</v>
      </c>
      <c r="G503" s="110"/>
      <c r="H503" s="111"/>
    </row>
    <row r="504" spans="1:11" s="2" customFormat="1" ht="15.75" customHeight="1" x14ac:dyDescent="0.3">
      <c r="A504" s="85">
        <v>3</v>
      </c>
      <c r="B504" s="85"/>
      <c r="C504" s="23" t="s">
        <v>218</v>
      </c>
      <c r="D504" s="56">
        <f>(29.47+2.92*1.7+1.2*1.05+0.8*0.7)*(10.764)</f>
        <v>390.23805599999997</v>
      </c>
      <c r="E504" s="23">
        <v>0</v>
      </c>
      <c r="F504" s="23">
        <f t="shared" si="23"/>
        <v>585.35708399999999</v>
      </c>
      <c r="G504" s="110"/>
      <c r="H504" s="111"/>
      <c r="K504" s="2">
        <f>(2.92*3.2+1.75*2.72+2.99*2.74+0.95*1.25+1.96*1.4+1.26*0.9+1.62*0.6+1.58*0.45)</f>
        <v>29.045099999999998</v>
      </c>
    </row>
    <row r="505" spans="1:11" s="2" customFormat="1" ht="15.75" customHeight="1" x14ac:dyDescent="0.3">
      <c r="A505" s="85">
        <v>4</v>
      </c>
      <c r="B505" s="85"/>
      <c r="C505" s="23" t="s">
        <v>218</v>
      </c>
      <c r="D505" s="56">
        <f>(29.69+2.93*1+1.2*1.05+0.8*0.7)*(10.764)</f>
        <v>370.71216000000004</v>
      </c>
      <c r="E505" s="23">
        <v>0</v>
      </c>
      <c r="F505" s="23">
        <f t="shared" si="23"/>
        <v>556.06824000000006</v>
      </c>
      <c r="G505" s="110"/>
      <c r="H505" s="111"/>
    </row>
    <row r="506" spans="1:11" s="2" customFormat="1" ht="15.75" customHeight="1" x14ac:dyDescent="0.3">
      <c r="A506" s="85">
        <v>5</v>
      </c>
      <c r="B506" s="85"/>
      <c r="C506" s="23" t="s">
        <v>219</v>
      </c>
      <c r="D506" s="56">
        <f>(42.87+2.93*1+1.2*1.05+0.8*0.7)*(10.764)</f>
        <v>512.58167999999989</v>
      </c>
      <c r="E506" s="23">
        <v>0</v>
      </c>
      <c r="F506" s="23">
        <f t="shared" si="23"/>
        <v>768.87251999999989</v>
      </c>
      <c r="G506" s="110"/>
      <c r="H506" s="111"/>
      <c r="I506" s="2">
        <f>2.93*3.4+1.75*2.72+2.93*2.81+2.98*3.37+1.22*2.08*2+1.58*0.45+1.37*0.9+1.86*0.9+1.62*0.6</f>
        <v>42.6631</v>
      </c>
    </row>
    <row r="507" spans="1:11" s="2" customFormat="1" ht="15.75" customHeight="1" x14ac:dyDescent="0.3">
      <c r="A507" s="85">
        <v>6</v>
      </c>
      <c r="B507" s="85"/>
      <c r="C507" s="23" t="s">
        <v>218</v>
      </c>
      <c r="D507" s="56">
        <f>(29.47+2.92*1.7+1.2*1.05+0.8*0.7)*(10.764)</f>
        <v>390.23805599999997</v>
      </c>
      <c r="E507" s="23">
        <v>0</v>
      </c>
      <c r="F507" s="23">
        <f t="shared" si="23"/>
        <v>585.35708399999999</v>
      </c>
      <c r="G507" s="110"/>
      <c r="H507" s="111"/>
    </row>
    <row r="508" spans="1:11" s="2" customFormat="1" ht="15.75" customHeight="1" x14ac:dyDescent="0.3">
      <c r="A508" s="85">
        <v>7</v>
      </c>
      <c r="B508" s="85"/>
      <c r="C508" s="23" t="s">
        <v>218</v>
      </c>
      <c r="D508" s="56">
        <f>(29.47+2.92*1.7+1.2*1.05+0.8*0.7)*(10.764)</f>
        <v>390.23805599999997</v>
      </c>
      <c r="E508" s="23">
        <v>0</v>
      </c>
      <c r="F508" s="23">
        <f t="shared" si="23"/>
        <v>585.35708399999999</v>
      </c>
      <c r="G508" s="110"/>
      <c r="H508" s="111"/>
    </row>
    <row r="509" spans="1:11" s="2" customFormat="1" ht="15.75" customHeight="1" x14ac:dyDescent="0.3">
      <c r="A509" s="85">
        <v>8</v>
      </c>
      <c r="B509" s="85"/>
      <c r="C509" s="23" t="s">
        <v>218</v>
      </c>
      <c r="D509" s="56">
        <f>(29.47+2.92*1.7+1.2*1.05+0.8*0.7)*(10.764)</f>
        <v>390.23805599999997</v>
      </c>
      <c r="E509" s="23">
        <v>0</v>
      </c>
      <c r="F509" s="23">
        <f t="shared" si="23"/>
        <v>585.35708399999999</v>
      </c>
      <c r="G509" s="110"/>
      <c r="H509" s="111"/>
    </row>
    <row r="510" spans="1:11" s="2" customFormat="1" ht="15.75" customHeight="1" x14ac:dyDescent="0.3">
      <c r="A510" s="85">
        <v>9</v>
      </c>
      <c r="B510" s="85"/>
      <c r="C510" s="23" t="s">
        <v>219</v>
      </c>
      <c r="D510" s="56">
        <f>(42.87+2.93*1+1.2*1.05+0.8*0.7)*(10.764)</f>
        <v>512.58167999999989</v>
      </c>
      <c r="E510" s="23">
        <v>0</v>
      </c>
      <c r="F510" s="23">
        <f t="shared" si="23"/>
        <v>768.87251999999989</v>
      </c>
      <c r="G510" s="110"/>
      <c r="H510" s="111"/>
    </row>
    <row r="511" spans="1:11" s="2" customFormat="1" ht="15.75" customHeight="1" x14ac:dyDescent="0.3">
      <c r="A511" s="85">
        <v>10</v>
      </c>
      <c r="B511" s="85"/>
      <c r="C511" s="23" t="s">
        <v>218</v>
      </c>
      <c r="D511" s="56">
        <f>(29.47+2.92*1.7+1.2*1.05+0.8*0.7)*(10.764)</f>
        <v>390.23805599999997</v>
      </c>
      <c r="E511" s="23">
        <v>0</v>
      </c>
      <c r="F511" s="23">
        <f t="shared" si="23"/>
        <v>585.35708399999999</v>
      </c>
      <c r="G511" s="110"/>
      <c r="H511" s="111"/>
    </row>
    <row r="512" spans="1:11" s="2" customFormat="1" ht="15.75" customHeight="1" x14ac:dyDescent="0.3">
      <c r="A512" s="85">
        <v>11</v>
      </c>
      <c r="B512" s="85"/>
      <c r="C512" s="23" t="s">
        <v>218</v>
      </c>
      <c r="D512" s="56">
        <f>(29.47+2.92*1.7+1.2*1.05+0.8*0.7)*(10.764)</f>
        <v>390.23805599999997</v>
      </c>
      <c r="E512" s="23">
        <v>0</v>
      </c>
      <c r="F512" s="23">
        <f t="shared" si="23"/>
        <v>585.35708399999999</v>
      </c>
      <c r="G512" s="110"/>
      <c r="H512" s="111"/>
    </row>
    <row r="513" spans="1:8" s="2" customFormat="1" ht="15.75" customHeight="1" x14ac:dyDescent="0.3">
      <c r="A513" s="85">
        <v>12</v>
      </c>
      <c r="B513" s="85"/>
      <c r="C513" s="23" t="s">
        <v>218</v>
      </c>
      <c r="D513" s="56">
        <f>(29.69+2.93*1+1.2*1.05+0.8*0.7)*(10.764)</f>
        <v>370.71216000000004</v>
      </c>
      <c r="E513" s="23">
        <v>0</v>
      </c>
      <c r="F513" s="23">
        <f t="shared" si="23"/>
        <v>556.06824000000006</v>
      </c>
      <c r="G513" s="110"/>
      <c r="H513" s="111"/>
    </row>
    <row r="514" spans="1:8" s="2" customFormat="1" x14ac:dyDescent="0.3">
      <c r="A514" s="107" t="s">
        <v>155</v>
      </c>
      <c r="B514" s="107"/>
      <c r="C514" s="107"/>
      <c r="D514" s="107"/>
      <c r="E514" s="107"/>
      <c r="F514" s="107"/>
      <c r="G514" s="107"/>
      <c r="H514" s="107"/>
    </row>
    <row r="515" spans="1:8" s="2" customFormat="1" ht="15.75" customHeight="1" x14ac:dyDescent="0.3">
      <c r="A515" s="85">
        <v>1</v>
      </c>
      <c r="B515" s="85"/>
      <c r="C515" s="23" t="s">
        <v>218</v>
      </c>
      <c r="D515" s="56">
        <f>(28.76+2.92*1.7+1.2*1.05+0.8*0.7)*(10.764)</f>
        <v>382.59561600000001</v>
      </c>
      <c r="E515" s="23">
        <v>0</v>
      </c>
      <c r="F515" s="23">
        <f t="shared" ref="F515:F526" si="24">1.5*D515</f>
        <v>573.89342399999998</v>
      </c>
      <c r="G515" s="108" t="str">
        <f>A514</f>
        <v>1st to 4th Floor</v>
      </c>
      <c r="H515" s="109"/>
    </row>
    <row r="516" spans="1:8" s="2" customFormat="1" ht="15.75" customHeight="1" x14ac:dyDescent="0.3">
      <c r="A516" s="85">
        <v>2</v>
      </c>
      <c r="B516" s="85"/>
      <c r="C516" s="23" t="s">
        <v>218</v>
      </c>
      <c r="D516" s="56">
        <f t="shared" ref="D516:D517" si="25">(28.76+2.92*1.7+1.2*1.05+0.8*0.7)*(10.764)</f>
        <v>382.59561600000001</v>
      </c>
      <c r="E516" s="23">
        <v>0</v>
      </c>
      <c r="F516" s="23">
        <f t="shared" si="24"/>
        <v>573.89342399999998</v>
      </c>
      <c r="G516" s="110"/>
      <c r="H516" s="111"/>
    </row>
    <row r="517" spans="1:8" s="2" customFormat="1" ht="15.75" customHeight="1" x14ac:dyDescent="0.3">
      <c r="A517" s="85">
        <v>3</v>
      </c>
      <c r="B517" s="85"/>
      <c r="C517" s="23" t="s">
        <v>218</v>
      </c>
      <c r="D517" s="56">
        <f t="shared" si="25"/>
        <v>382.59561600000001</v>
      </c>
      <c r="E517" s="23">
        <v>0</v>
      </c>
      <c r="F517" s="23">
        <f t="shared" si="24"/>
        <v>573.89342399999998</v>
      </c>
      <c r="G517" s="110"/>
      <c r="H517" s="111"/>
    </row>
    <row r="518" spans="1:8" s="2" customFormat="1" ht="15.75" customHeight="1" x14ac:dyDescent="0.3">
      <c r="A518" s="85">
        <v>4</v>
      </c>
      <c r="B518" s="85"/>
      <c r="C518" s="23" t="s">
        <v>219</v>
      </c>
      <c r="D518" s="56">
        <f>(42.16+2.93+2.93+1.2*1.05+0.8*0.7)*(10.764)</f>
        <v>536.47775999999988</v>
      </c>
      <c r="E518" s="23">
        <v>0</v>
      </c>
      <c r="F518" s="23">
        <f t="shared" si="24"/>
        <v>804.71663999999987</v>
      </c>
      <c r="G518" s="110"/>
      <c r="H518" s="111"/>
    </row>
    <row r="519" spans="1:8" s="2" customFormat="1" ht="15.75" customHeight="1" x14ac:dyDescent="0.3">
      <c r="A519" s="85">
        <v>5</v>
      </c>
      <c r="B519" s="85"/>
      <c r="C519" s="23" t="s">
        <v>219</v>
      </c>
      <c r="D519" s="56">
        <f>(42.16+2.93+2.93+1.2*1.05+0.8*0.7)*(10.764)</f>
        <v>536.47775999999988</v>
      </c>
      <c r="E519" s="23">
        <v>0</v>
      </c>
      <c r="F519" s="23">
        <f t="shared" si="24"/>
        <v>804.71663999999987</v>
      </c>
      <c r="G519" s="110"/>
      <c r="H519" s="111"/>
    </row>
    <row r="520" spans="1:8" s="2" customFormat="1" ht="15.75" customHeight="1" x14ac:dyDescent="0.3">
      <c r="A520" s="85">
        <v>6</v>
      </c>
      <c r="B520" s="85"/>
      <c r="C520" s="23" t="s">
        <v>218</v>
      </c>
      <c r="D520" s="56">
        <f>(28.76+2.92*1.7+1.2*1.05+0.8*0.7)*(10.764)</f>
        <v>382.59561600000001</v>
      </c>
      <c r="E520" s="23">
        <v>0</v>
      </c>
      <c r="F520" s="23">
        <f t="shared" si="24"/>
        <v>573.89342399999998</v>
      </c>
      <c r="G520" s="110"/>
      <c r="H520" s="111"/>
    </row>
    <row r="521" spans="1:8" s="2" customFormat="1" ht="15.75" customHeight="1" x14ac:dyDescent="0.3">
      <c r="A521" s="85">
        <v>7</v>
      </c>
      <c r="B521" s="85"/>
      <c r="C521" s="23" t="s">
        <v>218</v>
      </c>
      <c r="D521" s="56">
        <f t="shared" ref="D521:D522" si="26">(28.76+2.92*1.7+1.2*1.05+0.8*0.7)*(10.764)</f>
        <v>382.59561600000001</v>
      </c>
      <c r="E521" s="23">
        <v>0</v>
      </c>
      <c r="F521" s="23">
        <f t="shared" si="24"/>
        <v>573.89342399999998</v>
      </c>
      <c r="G521" s="110"/>
      <c r="H521" s="111"/>
    </row>
    <row r="522" spans="1:8" s="2" customFormat="1" ht="15.75" customHeight="1" x14ac:dyDescent="0.3">
      <c r="A522" s="85">
        <v>8</v>
      </c>
      <c r="B522" s="85"/>
      <c r="C522" s="23" t="s">
        <v>218</v>
      </c>
      <c r="D522" s="56">
        <f t="shared" si="26"/>
        <v>382.59561600000001</v>
      </c>
      <c r="E522" s="23">
        <v>0</v>
      </c>
      <c r="F522" s="23">
        <f t="shared" si="24"/>
        <v>573.89342399999998</v>
      </c>
      <c r="G522" s="110"/>
      <c r="H522" s="111"/>
    </row>
    <row r="523" spans="1:8" s="2" customFormat="1" ht="15.75" customHeight="1" x14ac:dyDescent="0.3">
      <c r="A523" s="85">
        <v>9</v>
      </c>
      <c r="B523" s="85"/>
      <c r="C523" s="23" t="s">
        <v>219</v>
      </c>
      <c r="D523" s="56">
        <f>(42.16+2.93+2.93+1.2*1.05+0.8*0.7)*(10.764)</f>
        <v>536.47775999999988</v>
      </c>
      <c r="E523" s="23">
        <v>0</v>
      </c>
      <c r="F523" s="23">
        <f t="shared" si="24"/>
        <v>804.71663999999987</v>
      </c>
      <c r="G523" s="110"/>
      <c r="H523" s="111"/>
    </row>
    <row r="524" spans="1:8" s="2" customFormat="1" ht="15.75" customHeight="1" x14ac:dyDescent="0.3">
      <c r="A524" s="85">
        <v>10</v>
      </c>
      <c r="B524" s="85"/>
      <c r="C524" s="23" t="s">
        <v>218</v>
      </c>
      <c r="D524" s="56">
        <f>(28.76+2.92*1.7+1.2*1.05+0.8*0.7)*(10.764)</f>
        <v>382.59561600000001</v>
      </c>
      <c r="E524" s="23">
        <v>0</v>
      </c>
      <c r="F524" s="23">
        <f t="shared" si="24"/>
        <v>573.89342399999998</v>
      </c>
      <c r="G524" s="110"/>
      <c r="H524" s="111"/>
    </row>
    <row r="525" spans="1:8" s="2" customFormat="1" ht="15.75" customHeight="1" x14ac:dyDescent="0.3">
      <c r="A525" s="85">
        <v>11</v>
      </c>
      <c r="B525" s="85"/>
      <c r="C525" s="23" t="s">
        <v>218</v>
      </c>
      <c r="D525" s="56">
        <f>(28.76+2.92*1.7+1.2*1.05+0.8*0.7)*(10.764)</f>
        <v>382.59561600000001</v>
      </c>
      <c r="E525" s="23">
        <v>0</v>
      </c>
      <c r="F525" s="23">
        <f t="shared" si="24"/>
        <v>573.89342399999998</v>
      </c>
      <c r="G525" s="110"/>
      <c r="H525" s="111"/>
    </row>
    <row r="526" spans="1:8" s="2" customFormat="1" ht="15.75" customHeight="1" x14ac:dyDescent="0.3">
      <c r="A526" s="85">
        <v>12</v>
      </c>
      <c r="B526" s="85"/>
      <c r="C526" s="23" t="s">
        <v>219</v>
      </c>
      <c r="D526" s="56">
        <f>(42.16+2.93+2.93+1.2*1.05+0.8*0.7)*(10.764)</f>
        <v>536.47775999999988</v>
      </c>
      <c r="E526" s="23">
        <v>0</v>
      </c>
      <c r="F526" s="23">
        <f t="shared" si="24"/>
        <v>804.71663999999987</v>
      </c>
      <c r="G526" s="110"/>
      <c r="H526" s="111"/>
    </row>
    <row r="527" spans="1:8" s="2" customFormat="1" x14ac:dyDescent="0.3">
      <c r="A527" s="107" t="s">
        <v>220</v>
      </c>
      <c r="B527" s="107"/>
      <c r="C527" s="107"/>
      <c r="D527" s="107"/>
      <c r="E527" s="107"/>
      <c r="F527" s="107"/>
      <c r="G527" s="107"/>
      <c r="H527" s="107"/>
    </row>
    <row r="528" spans="1:8" s="2" customFormat="1" x14ac:dyDescent="0.3">
      <c r="A528" s="107" t="s">
        <v>217</v>
      </c>
      <c r="B528" s="107"/>
      <c r="C528" s="107"/>
      <c r="D528" s="107"/>
      <c r="E528" s="107"/>
      <c r="F528" s="107"/>
      <c r="G528" s="107"/>
      <c r="H528" s="107"/>
    </row>
    <row r="529" spans="1:8" s="2" customFormat="1" ht="15.75" customHeight="1" x14ac:dyDescent="0.3">
      <c r="A529" s="85">
        <v>1</v>
      </c>
      <c r="B529" s="85"/>
      <c r="C529" s="23" t="s">
        <v>218</v>
      </c>
      <c r="D529" s="56">
        <f>(29.47+2.92*1.7+1.2*1.05+0.8*0.7)*(10.764)</f>
        <v>390.23805599999997</v>
      </c>
      <c r="E529" s="23">
        <v>0</v>
      </c>
      <c r="F529" s="23">
        <f t="shared" ref="F529:F536" si="27">1.5*D529</f>
        <v>585.35708399999999</v>
      </c>
      <c r="G529" s="108" t="str">
        <f>A528</f>
        <v>Ground Floor for Residential &amp; Meter Room</v>
      </c>
      <c r="H529" s="109"/>
    </row>
    <row r="530" spans="1:8" s="2" customFormat="1" ht="15.75" customHeight="1" x14ac:dyDescent="0.3">
      <c r="A530" s="85">
        <v>2</v>
      </c>
      <c r="B530" s="85"/>
      <c r="C530" s="23" t="s">
        <v>218</v>
      </c>
      <c r="D530" s="56">
        <f>(29.47+2.92*1.7+1.2*1.05+0.8*0.7)*(10.764)</f>
        <v>390.23805599999997</v>
      </c>
      <c r="E530" s="23">
        <v>0</v>
      </c>
      <c r="F530" s="23">
        <f t="shared" si="27"/>
        <v>585.35708399999999</v>
      </c>
      <c r="G530" s="110"/>
      <c r="H530" s="111"/>
    </row>
    <row r="531" spans="1:8" s="2" customFormat="1" ht="15.75" customHeight="1" x14ac:dyDescent="0.3">
      <c r="A531" s="85">
        <v>3</v>
      </c>
      <c r="B531" s="85"/>
      <c r="C531" s="23" t="s">
        <v>218</v>
      </c>
      <c r="D531" s="56">
        <f t="shared" ref="D531:D532" si="28">(29.47+2.92*1.7+1.2*1.05+0.8*0.7)*(10.764)</f>
        <v>390.23805599999997</v>
      </c>
      <c r="E531" s="23">
        <v>0</v>
      </c>
      <c r="F531" s="23">
        <f t="shared" si="27"/>
        <v>585.35708399999999</v>
      </c>
      <c r="G531" s="110"/>
      <c r="H531" s="111"/>
    </row>
    <row r="532" spans="1:8" s="2" customFormat="1" ht="15.75" customHeight="1" x14ac:dyDescent="0.3">
      <c r="A532" s="85">
        <v>4</v>
      </c>
      <c r="B532" s="85"/>
      <c r="C532" s="23" t="s">
        <v>218</v>
      </c>
      <c r="D532" s="56">
        <f t="shared" si="28"/>
        <v>390.23805599999997</v>
      </c>
      <c r="E532" s="23">
        <v>0</v>
      </c>
      <c r="F532" s="23">
        <f t="shared" si="27"/>
        <v>585.35708399999999</v>
      </c>
      <c r="G532" s="110"/>
      <c r="H532" s="111"/>
    </row>
    <row r="533" spans="1:8" s="2" customFormat="1" ht="15.75" customHeight="1" x14ac:dyDescent="0.3">
      <c r="A533" s="85">
        <v>5</v>
      </c>
      <c r="B533" s="85"/>
      <c r="C533" s="23" t="s">
        <v>219</v>
      </c>
      <c r="D533" s="56">
        <f>(42.87+2.93+1.2*1.05+0.8*0.7)*(10.764)</f>
        <v>512.58167999999989</v>
      </c>
      <c r="E533" s="23">
        <v>0</v>
      </c>
      <c r="F533" s="23">
        <f t="shared" si="27"/>
        <v>768.87251999999989</v>
      </c>
      <c r="G533" s="110"/>
      <c r="H533" s="111"/>
    </row>
    <row r="534" spans="1:8" s="2" customFormat="1" ht="15.75" customHeight="1" x14ac:dyDescent="0.3">
      <c r="A534" s="85">
        <v>6</v>
      </c>
      <c r="B534" s="85"/>
      <c r="C534" s="23" t="s">
        <v>218</v>
      </c>
      <c r="D534" s="56">
        <f>(29.47+2.92*1.7+1.2*1.05+0.8*0.7)*(10.764)</f>
        <v>390.23805599999997</v>
      </c>
      <c r="E534" s="23">
        <v>0</v>
      </c>
      <c r="F534" s="23">
        <f t="shared" si="27"/>
        <v>585.35708399999999</v>
      </c>
      <c r="G534" s="110"/>
      <c r="H534" s="111"/>
    </row>
    <row r="535" spans="1:8" s="2" customFormat="1" ht="15.75" customHeight="1" x14ac:dyDescent="0.3">
      <c r="A535" s="85">
        <v>7</v>
      </c>
      <c r="B535" s="85"/>
      <c r="C535" s="23" t="s">
        <v>218</v>
      </c>
      <c r="D535" s="56">
        <f>(29.47+2.92*1.7+1.2*1.05+0.8*0.7)*(10.764)</f>
        <v>390.23805599999997</v>
      </c>
      <c r="E535" s="23">
        <v>0</v>
      </c>
      <c r="F535" s="23">
        <f t="shared" si="27"/>
        <v>585.35708399999999</v>
      </c>
      <c r="G535" s="110"/>
      <c r="H535" s="111"/>
    </row>
    <row r="536" spans="1:8" s="2" customFormat="1" ht="15.75" customHeight="1" x14ac:dyDescent="0.3">
      <c r="A536" s="85">
        <v>8</v>
      </c>
      <c r="B536" s="85"/>
      <c r="C536" s="23" t="s">
        <v>218</v>
      </c>
      <c r="D536" s="56">
        <f>(29.69+2.93+1.2*1.05+0.8*0.7)*(10.764)</f>
        <v>370.71216000000004</v>
      </c>
      <c r="E536" s="23">
        <v>0</v>
      </c>
      <c r="F536" s="23">
        <f t="shared" si="27"/>
        <v>556.06824000000006</v>
      </c>
      <c r="G536" s="110"/>
      <c r="H536" s="111"/>
    </row>
    <row r="537" spans="1:8" s="2" customFormat="1" x14ac:dyDescent="0.3">
      <c r="A537" s="107" t="s">
        <v>155</v>
      </c>
      <c r="B537" s="107"/>
      <c r="C537" s="107"/>
      <c r="D537" s="107"/>
      <c r="E537" s="107"/>
      <c r="F537" s="107"/>
      <c r="G537" s="107"/>
      <c r="H537" s="107"/>
    </row>
    <row r="538" spans="1:8" s="2" customFormat="1" ht="15.75" customHeight="1" x14ac:dyDescent="0.3">
      <c r="A538" s="85">
        <v>1</v>
      </c>
      <c r="B538" s="85"/>
      <c r="C538" s="23" t="s">
        <v>218</v>
      </c>
      <c r="D538" s="56">
        <f>(28.76+2.92*1.7+1.2*1.05+0.8*0.7)*(10.764)</f>
        <v>382.59561600000001</v>
      </c>
      <c r="E538" s="23">
        <v>0</v>
      </c>
      <c r="F538" s="23">
        <f t="shared" ref="F538:F545" si="29">1.5*D538</f>
        <v>573.89342399999998</v>
      </c>
      <c r="G538" s="108" t="str">
        <f>A537</f>
        <v>1st to 4th Floor</v>
      </c>
      <c r="H538" s="109"/>
    </row>
    <row r="539" spans="1:8" s="2" customFormat="1" ht="15.75" customHeight="1" x14ac:dyDescent="0.3">
      <c r="A539" s="85">
        <v>2</v>
      </c>
      <c r="B539" s="85"/>
      <c r="C539" s="23" t="s">
        <v>218</v>
      </c>
      <c r="D539" s="56">
        <f t="shared" ref="D539:D541" si="30">(28.76+2.92*1.7+1.2*1.05+0.8*0.7)*(10.764)</f>
        <v>382.59561600000001</v>
      </c>
      <c r="E539" s="23">
        <v>0</v>
      </c>
      <c r="F539" s="23">
        <f t="shared" si="29"/>
        <v>573.89342399999998</v>
      </c>
      <c r="G539" s="110"/>
      <c r="H539" s="111"/>
    </row>
    <row r="540" spans="1:8" s="2" customFormat="1" ht="15.75" customHeight="1" x14ac:dyDescent="0.3">
      <c r="A540" s="85">
        <v>3</v>
      </c>
      <c r="B540" s="85"/>
      <c r="C540" s="23" t="s">
        <v>218</v>
      </c>
      <c r="D540" s="56">
        <f t="shared" si="30"/>
        <v>382.59561600000001</v>
      </c>
      <c r="E540" s="23">
        <v>0</v>
      </c>
      <c r="F540" s="23">
        <f t="shared" si="29"/>
        <v>573.89342399999998</v>
      </c>
      <c r="G540" s="110"/>
      <c r="H540" s="111"/>
    </row>
    <row r="541" spans="1:8" s="2" customFormat="1" ht="15.75" customHeight="1" x14ac:dyDescent="0.3">
      <c r="A541" s="85">
        <v>4</v>
      </c>
      <c r="B541" s="85"/>
      <c r="C541" s="23" t="s">
        <v>218</v>
      </c>
      <c r="D541" s="56">
        <f t="shared" si="30"/>
        <v>382.59561600000001</v>
      </c>
      <c r="E541" s="23">
        <v>0</v>
      </c>
      <c r="F541" s="23">
        <f t="shared" si="29"/>
        <v>573.89342399999998</v>
      </c>
      <c r="G541" s="110"/>
      <c r="H541" s="111"/>
    </row>
    <row r="542" spans="1:8" s="2" customFormat="1" ht="15.75" customHeight="1" x14ac:dyDescent="0.3">
      <c r="A542" s="85">
        <v>5</v>
      </c>
      <c r="B542" s="85"/>
      <c r="C542" s="23" t="s">
        <v>219</v>
      </c>
      <c r="D542" s="56">
        <f>(42.16+2.93+2.93+1.2*1.05+0.8*0.7)*(10.764)</f>
        <v>536.47775999999988</v>
      </c>
      <c r="E542" s="23">
        <v>0</v>
      </c>
      <c r="F542" s="23">
        <f t="shared" si="29"/>
        <v>804.71663999999987</v>
      </c>
      <c r="G542" s="110"/>
      <c r="H542" s="111"/>
    </row>
    <row r="543" spans="1:8" s="2" customFormat="1" ht="15.75" customHeight="1" x14ac:dyDescent="0.3">
      <c r="A543" s="85">
        <v>6</v>
      </c>
      <c r="B543" s="85"/>
      <c r="C543" s="23" t="s">
        <v>218</v>
      </c>
      <c r="D543" s="56">
        <f>(28.76+2.92*1.7+1.2*1.05+0.8*0.7)*(10.764)</f>
        <v>382.59561600000001</v>
      </c>
      <c r="E543" s="23">
        <v>0</v>
      </c>
      <c r="F543" s="23">
        <f t="shared" si="29"/>
        <v>573.89342399999998</v>
      </c>
      <c r="G543" s="110"/>
      <c r="H543" s="111"/>
    </row>
    <row r="544" spans="1:8" s="2" customFormat="1" ht="15.75" customHeight="1" x14ac:dyDescent="0.3">
      <c r="A544" s="85">
        <v>7</v>
      </c>
      <c r="B544" s="85"/>
      <c r="C544" s="23" t="s">
        <v>218</v>
      </c>
      <c r="D544" s="56">
        <f>(28.76+2.92*1.7+1.2*1.05+0.8*0.7)*(10.764)</f>
        <v>382.59561600000001</v>
      </c>
      <c r="E544" s="23">
        <v>0</v>
      </c>
      <c r="F544" s="23">
        <f t="shared" si="29"/>
        <v>573.89342399999998</v>
      </c>
      <c r="G544" s="110"/>
      <c r="H544" s="111"/>
    </row>
    <row r="545" spans="1:8" s="2" customFormat="1" ht="15.75" customHeight="1" x14ac:dyDescent="0.3">
      <c r="A545" s="85">
        <v>8</v>
      </c>
      <c r="B545" s="85"/>
      <c r="C545" s="23" t="s">
        <v>219</v>
      </c>
      <c r="D545" s="56">
        <f>(42.16+2.93+2.93+1.2*1.05+0.8*0.7)*(10.764)</f>
        <v>536.47775999999988</v>
      </c>
      <c r="E545" s="23">
        <v>0</v>
      </c>
      <c r="F545" s="23">
        <f t="shared" si="29"/>
        <v>804.71663999999987</v>
      </c>
      <c r="G545" s="110"/>
      <c r="H545" s="111"/>
    </row>
    <row r="546" spans="1:8" s="2" customFormat="1" x14ac:dyDescent="0.3">
      <c r="A546" s="107" t="s">
        <v>221</v>
      </c>
      <c r="B546" s="107"/>
      <c r="C546" s="107"/>
      <c r="D546" s="107"/>
      <c r="E546" s="107"/>
      <c r="F546" s="107"/>
      <c r="G546" s="107"/>
      <c r="H546" s="107"/>
    </row>
    <row r="547" spans="1:8" s="2" customFormat="1" x14ac:dyDescent="0.3">
      <c r="A547" s="107" t="s">
        <v>217</v>
      </c>
      <c r="B547" s="107"/>
      <c r="C547" s="107"/>
      <c r="D547" s="107"/>
      <c r="E547" s="107"/>
      <c r="F547" s="107"/>
      <c r="G547" s="107"/>
      <c r="H547" s="107"/>
    </row>
    <row r="548" spans="1:8" s="2" customFormat="1" ht="15.75" customHeight="1" x14ac:dyDescent="0.3">
      <c r="A548" s="85">
        <v>1</v>
      </c>
      <c r="B548" s="85"/>
      <c r="C548" s="23" t="s">
        <v>218</v>
      </c>
      <c r="D548" s="56">
        <f>(29.47+2.92*1.7+1.2*1.05+0.8*0.7)*(10.764)</f>
        <v>390.23805599999997</v>
      </c>
      <c r="E548" s="23">
        <v>0</v>
      </c>
      <c r="F548" s="23">
        <f t="shared" ref="F548:F559" si="31">1.5*D548</f>
        <v>585.35708399999999</v>
      </c>
      <c r="G548" s="108" t="str">
        <f>A547</f>
        <v>Ground Floor for Residential &amp; Meter Room</v>
      </c>
      <c r="H548" s="109"/>
    </row>
    <row r="549" spans="1:8" s="2" customFormat="1" ht="15.75" customHeight="1" x14ac:dyDescent="0.3">
      <c r="A549" s="85">
        <v>2</v>
      </c>
      <c r="B549" s="85"/>
      <c r="C549" s="23" t="s">
        <v>218</v>
      </c>
      <c r="D549" s="56">
        <f>(29.47+2.92*1.7+1.2*1.05+0.8*0.7)*(10.764)</f>
        <v>390.23805599999997</v>
      </c>
      <c r="E549" s="23">
        <v>0</v>
      </c>
      <c r="F549" s="23">
        <f t="shared" si="31"/>
        <v>585.35708399999999</v>
      </c>
      <c r="G549" s="110"/>
      <c r="H549" s="111"/>
    </row>
    <row r="550" spans="1:8" s="2" customFormat="1" ht="15.75" customHeight="1" x14ac:dyDescent="0.3">
      <c r="A550" s="85">
        <v>3</v>
      </c>
      <c r="B550" s="85"/>
      <c r="C550" s="23" t="s">
        <v>218</v>
      </c>
      <c r="D550" s="56">
        <f>(29.47+2.92*1.7+1.2*1.05+0.8*0.7)*(10.764)</f>
        <v>390.23805599999997</v>
      </c>
      <c r="E550" s="23">
        <v>0</v>
      </c>
      <c r="F550" s="23">
        <f t="shared" si="31"/>
        <v>585.35708399999999</v>
      </c>
      <c r="G550" s="110"/>
      <c r="H550" s="111"/>
    </row>
    <row r="551" spans="1:8" s="2" customFormat="1" ht="15.75" customHeight="1" x14ac:dyDescent="0.3">
      <c r="A551" s="85">
        <v>4</v>
      </c>
      <c r="B551" s="85"/>
      <c r="C551" s="23" t="s">
        <v>218</v>
      </c>
      <c r="D551" s="56">
        <f>(29.69+2.93*1+1.2*1.05+0.8*0.7)*(10.764)</f>
        <v>370.71216000000004</v>
      </c>
      <c r="E551" s="23">
        <v>0</v>
      </c>
      <c r="F551" s="23">
        <f t="shared" si="31"/>
        <v>556.06824000000006</v>
      </c>
      <c r="G551" s="110"/>
      <c r="H551" s="111"/>
    </row>
    <row r="552" spans="1:8" s="2" customFormat="1" ht="15.75" customHeight="1" x14ac:dyDescent="0.3">
      <c r="A552" s="85">
        <v>5</v>
      </c>
      <c r="B552" s="85"/>
      <c r="C552" s="23" t="s">
        <v>219</v>
      </c>
      <c r="D552" s="56">
        <f>(42.87+2.93*1+1.2*1.05+0.8*0.7)*(10.764)</f>
        <v>512.58167999999989</v>
      </c>
      <c r="E552" s="23">
        <v>0</v>
      </c>
      <c r="F552" s="23">
        <f t="shared" si="31"/>
        <v>768.87251999999989</v>
      </c>
      <c r="G552" s="110"/>
      <c r="H552" s="111"/>
    </row>
    <row r="553" spans="1:8" s="2" customFormat="1" ht="15.75" customHeight="1" x14ac:dyDescent="0.3">
      <c r="A553" s="85">
        <v>6</v>
      </c>
      <c r="B553" s="85"/>
      <c r="C553" s="23" t="s">
        <v>218</v>
      </c>
      <c r="D553" s="56">
        <f>(29.47+2.92*1.7+1.2*1.05+0.8*0.7)*(10.764)</f>
        <v>390.23805599999997</v>
      </c>
      <c r="E553" s="23">
        <v>0</v>
      </c>
      <c r="F553" s="23">
        <f t="shared" si="31"/>
        <v>585.35708399999999</v>
      </c>
      <c r="G553" s="110"/>
      <c r="H553" s="111"/>
    </row>
    <row r="554" spans="1:8" s="2" customFormat="1" ht="15.75" customHeight="1" x14ac:dyDescent="0.3">
      <c r="A554" s="85">
        <v>7</v>
      </c>
      <c r="B554" s="85"/>
      <c r="C554" s="23" t="s">
        <v>218</v>
      </c>
      <c r="D554" s="56">
        <f>(29.47+2.92*1.7+1.2*1.05+0.8*0.7)*(10.764)</f>
        <v>390.23805599999997</v>
      </c>
      <c r="E554" s="23">
        <v>0</v>
      </c>
      <c r="F554" s="23">
        <f t="shared" si="31"/>
        <v>585.35708399999999</v>
      </c>
      <c r="G554" s="110"/>
      <c r="H554" s="111"/>
    </row>
    <row r="555" spans="1:8" s="2" customFormat="1" ht="15.75" customHeight="1" x14ac:dyDescent="0.3">
      <c r="A555" s="85">
        <v>8</v>
      </c>
      <c r="B555" s="85"/>
      <c r="C555" s="23" t="s">
        <v>218</v>
      </c>
      <c r="D555" s="56">
        <f>(29.47+2.92*1.7+1.2*1.05+0.8*0.7)*(10.764)</f>
        <v>390.23805599999997</v>
      </c>
      <c r="E555" s="23">
        <v>0</v>
      </c>
      <c r="F555" s="23">
        <f t="shared" si="31"/>
        <v>585.35708399999999</v>
      </c>
      <c r="G555" s="110"/>
      <c r="H555" s="111"/>
    </row>
    <row r="556" spans="1:8" s="2" customFormat="1" ht="15.75" customHeight="1" x14ac:dyDescent="0.3">
      <c r="A556" s="85">
        <v>9</v>
      </c>
      <c r="B556" s="85"/>
      <c r="C556" s="23" t="s">
        <v>219</v>
      </c>
      <c r="D556" s="56">
        <f>(42.87+2.93*1+1.2*1.05+0.8*0.7)*(10.764)</f>
        <v>512.58167999999989</v>
      </c>
      <c r="E556" s="23">
        <v>0</v>
      </c>
      <c r="F556" s="23">
        <f t="shared" si="31"/>
        <v>768.87251999999989</v>
      </c>
      <c r="G556" s="110"/>
      <c r="H556" s="111"/>
    </row>
    <row r="557" spans="1:8" s="2" customFormat="1" ht="15.75" customHeight="1" x14ac:dyDescent="0.3">
      <c r="A557" s="85">
        <v>10</v>
      </c>
      <c r="B557" s="85"/>
      <c r="C557" s="23" t="s">
        <v>218</v>
      </c>
      <c r="D557" s="56">
        <f>(29.47+2.92*1.7+1.2*1.05+0.8*0.7)*(10.764)</f>
        <v>390.23805599999997</v>
      </c>
      <c r="E557" s="23">
        <v>0</v>
      </c>
      <c r="F557" s="23">
        <f t="shared" si="31"/>
        <v>585.35708399999999</v>
      </c>
      <c r="G557" s="110"/>
      <c r="H557" s="111"/>
    </row>
    <row r="558" spans="1:8" s="2" customFormat="1" ht="15.75" customHeight="1" x14ac:dyDescent="0.3">
      <c r="A558" s="85">
        <v>11</v>
      </c>
      <c r="B558" s="85"/>
      <c r="C558" s="23" t="s">
        <v>218</v>
      </c>
      <c r="D558" s="56">
        <f>(29.47+2.92*1.7+1.2*1.05+0.8*0.7)*(10.764)</f>
        <v>390.23805599999997</v>
      </c>
      <c r="E558" s="23">
        <v>0</v>
      </c>
      <c r="F558" s="23">
        <f t="shared" si="31"/>
        <v>585.35708399999999</v>
      </c>
      <c r="G558" s="110"/>
      <c r="H558" s="111"/>
    </row>
    <row r="559" spans="1:8" s="2" customFormat="1" ht="15.75" customHeight="1" x14ac:dyDescent="0.3">
      <c r="A559" s="85">
        <v>12</v>
      </c>
      <c r="B559" s="85"/>
      <c r="C559" s="23" t="s">
        <v>218</v>
      </c>
      <c r="D559" s="56">
        <f>(29.69+2.93*1+1.2*1.05+0.8*0.7)*(10.764)</f>
        <v>370.71216000000004</v>
      </c>
      <c r="E559" s="23">
        <v>0</v>
      </c>
      <c r="F559" s="23">
        <f t="shared" si="31"/>
        <v>556.06824000000006</v>
      </c>
      <c r="G559" s="110"/>
      <c r="H559" s="111"/>
    </row>
    <row r="560" spans="1:8" s="2" customFormat="1" x14ac:dyDescent="0.3">
      <c r="A560" s="107" t="s">
        <v>155</v>
      </c>
      <c r="B560" s="107"/>
      <c r="C560" s="107"/>
      <c r="D560" s="107"/>
      <c r="E560" s="107"/>
      <c r="F560" s="107"/>
      <c r="G560" s="107"/>
      <c r="H560" s="107"/>
    </row>
    <row r="561" spans="1:8" s="2" customFormat="1" ht="15.75" customHeight="1" x14ac:dyDescent="0.3">
      <c r="A561" s="85">
        <v>1</v>
      </c>
      <c r="B561" s="85"/>
      <c r="C561" s="23" t="s">
        <v>218</v>
      </c>
      <c r="D561" s="56">
        <f>(28.76+2.92*1.7+1.2*1.05+0.8*0.7)*(10.764)</f>
        <v>382.59561600000001</v>
      </c>
      <c r="E561" s="23">
        <v>0</v>
      </c>
      <c r="F561" s="23">
        <f t="shared" ref="F561:F572" si="32">1.5*D561</f>
        <v>573.89342399999998</v>
      </c>
      <c r="G561" s="108" t="str">
        <f>A560</f>
        <v>1st to 4th Floor</v>
      </c>
      <c r="H561" s="109"/>
    </row>
    <row r="562" spans="1:8" s="2" customFormat="1" ht="15.75" customHeight="1" x14ac:dyDescent="0.3">
      <c r="A562" s="85">
        <v>2</v>
      </c>
      <c r="B562" s="85"/>
      <c r="C562" s="23" t="s">
        <v>218</v>
      </c>
      <c r="D562" s="56">
        <f t="shared" ref="D562:D563" si="33">(28.76+2.92*1.7+1.2*1.05+0.8*0.7)*(10.764)</f>
        <v>382.59561600000001</v>
      </c>
      <c r="E562" s="23">
        <v>0</v>
      </c>
      <c r="F562" s="23">
        <f t="shared" si="32"/>
        <v>573.89342399999998</v>
      </c>
      <c r="G562" s="110"/>
      <c r="H562" s="111"/>
    </row>
    <row r="563" spans="1:8" s="2" customFormat="1" ht="15.75" customHeight="1" x14ac:dyDescent="0.3">
      <c r="A563" s="85">
        <v>3</v>
      </c>
      <c r="B563" s="85"/>
      <c r="C563" s="23" t="s">
        <v>218</v>
      </c>
      <c r="D563" s="56">
        <f t="shared" si="33"/>
        <v>382.59561600000001</v>
      </c>
      <c r="E563" s="23">
        <v>0</v>
      </c>
      <c r="F563" s="23">
        <f t="shared" si="32"/>
        <v>573.89342399999998</v>
      </c>
      <c r="G563" s="110"/>
      <c r="H563" s="111"/>
    </row>
    <row r="564" spans="1:8" s="2" customFormat="1" ht="15.75" customHeight="1" x14ac:dyDescent="0.3">
      <c r="A564" s="85">
        <v>4</v>
      </c>
      <c r="B564" s="85"/>
      <c r="C564" s="23" t="s">
        <v>219</v>
      </c>
      <c r="D564" s="56">
        <f>(42.16+2.93+2.93+1.2*1.05+0.8*0.7)*(10.764)</f>
        <v>536.47775999999988</v>
      </c>
      <c r="E564" s="23">
        <v>0</v>
      </c>
      <c r="F564" s="23">
        <f t="shared" si="32"/>
        <v>804.71663999999987</v>
      </c>
      <c r="G564" s="110"/>
      <c r="H564" s="111"/>
    </row>
    <row r="565" spans="1:8" s="2" customFormat="1" ht="15.75" customHeight="1" x14ac:dyDescent="0.3">
      <c r="A565" s="85">
        <v>5</v>
      </c>
      <c r="B565" s="85"/>
      <c r="C565" s="23" t="s">
        <v>219</v>
      </c>
      <c r="D565" s="56">
        <f>(42.16+2.93+2.93+1.2*1.05+0.8*0.7)*(10.764)</f>
        <v>536.47775999999988</v>
      </c>
      <c r="E565" s="23">
        <v>0</v>
      </c>
      <c r="F565" s="23">
        <f t="shared" si="32"/>
        <v>804.71663999999987</v>
      </c>
      <c r="G565" s="110"/>
      <c r="H565" s="111"/>
    </row>
    <row r="566" spans="1:8" s="2" customFormat="1" ht="15.75" customHeight="1" x14ac:dyDescent="0.3">
      <c r="A566" s="85">
        <v>6</v>
      </c>
      <c r="B566" s="85"/>
      <c r="C566" s="23" t="s">
        <v>218</v>
      </c>
      <c r="D566" s="56">
        <f>(28.76+2.92*1.7+1.2*1.05+0.8*0.7)*(10.764)</f>
        <v>382.59561600000001</v>
      </c>
      <c r="E566" s="23">
        <v>0</v>
      </c>
      <c r="F566" s="23">
        <f t="shared" si="32"/>
        <v>573.89342399999998</v>
      </c>
      <c r="G566" s="110"/>
      <c r="H566" s="111"/>
    </row>
    <row r="567" spans="1:8" s="2" customFormat="1" ht="15.75" customHeight="1" x14ac:dyDescent="0.3">
      <c r="A567" s="85">
        <v>7</v>
      </c>
      <c r="B567" s="85"/>
      <c r="C567" s="23" t="s">
        <v>218</v>
      </c>
      <c r="D567" s="56">
        <f t="shared" ref="D567:D568" si="34">(28.76+2.92*1.7+1.2*1.05+0.8*0.7)*(10.764)</f>
        <v>382.59561600000001</v>
      </c>
      <c r="E567" s="23">
        <v>0</v>
      </c>
      <c r="F567" s="23">
        <f t="shared" si="32"/>
        <v>573.89342399999998</v>
      </c>
      <c r="G567" s="110"/>
      <c r="H567" s="111"/>
    </row>
    <row r="568" spans="1:8" s="2" customFormat="1" ht="15.75" customHeight="1" x14ac:dyDescent="0.3">
      <c r="A568" s="85">
        <v>8</v>
      </c>
      <c r="B568" s="85"/>
      <c r="C568" s="23" t="s">
        <v>218</v>
      </c>
      <c r="D568" s="56">
        <f t="shared" si="34"/>
        <v>382.59561600000001</v>
      </c>
      <c r="E568" s="23">
        <v>0</v>
      </c>
      <c r="F568" s="23">
        <f t="shared" si="32"/>
        <v>573.89342399999998</v>
      </c>
      <c r="G568" s="110"/>
      <c r="H568" s="111"/>
    </row>
    <row r="569" spans="1:8" s="2" customFormat="1" ht="15.75" customHeight="1" x14ac:dyDescent="0.3">
      <c r="A569" s="85">
        <v>9</v>
      </c>
      <c r="B569" s="85"/>
      <c r="C569" s="23" t="s">
        <v>219</v>
      </c>
      <c r="D569" s="56">
        <f>(42.16+2.93+2.93+1.2*1.05+0.8*0.7)*(10.764)</f>
        <v>536.47775999999988</v>
      </c>
      <c r="E569" s="23">
        <v>0</v>
      </c>
      <c r="F569" s="23">
        <f t="shared" si="32"/>
        <v>804.71663999999987</v>
      </c>
      <c r="G569" s="110"/>
      <c r="H569" s="111"/>
    </row>
    <row r="570" spans="1:8" s="2" customFormat="1" ht="15.75" customHeight="1" x14ac:dyDescent="0.3">
      <c r="A570" s="85">
        <v>10</v>
      </c>
      <c r="B570" s="85"/>
      <c r="C570" s="23" t="s">
        <v>218</v>
      </c>
      <c r="D570" s="56">
        <f>(28.76+2.92*1.7+1.2*1.05+0.8*0.7)*(10.764)</f>
        <v>382.59561600000001</v>
      </c>
      <c r="E570" s="23">
        <v>0</v>
      </c>
      <c r="F570" s="23">
        <f t="shared" si="32"/>
        <v>573.89342399999998</v>
      </c>
      <c r="G570" s="110"/>
      <c r="H570" s="111"/>
    </row>
    <row r="571" spans="1:8" s="2" customFormat="1" ht="15.75" customHeight="1" x14ac:dyDescent="0.3">
      <c r="A571" s="85">
        <v>11</v>
      </c>
      <c r="B571" s="85"/>
      <c r="C571" s="23" t="s">
        <v>218</v>
      </c>
      <c r="D571" s="56">
        <f>(28.76+2.92*1.7+1.2*1.05+0.8*0.7)*(10.764)</f>
        <v>382.59561600000001</v>
      </c>
      <c r="E571" s="23">
        <v>0</v>
      </c>
      <c r="F571" s="23">
        <f t="shared" si="32"/>
        <v>573.89342399999998</v>
      </c>
      <c r="G571" s="110"/>
      <c r="H571" s="111"/>
    </row>
    <row r="572" spans="1:8" s="2" customFormat="1" ht="15.75" customHeight="1" x14ac:dyDescent="0.3">
      <c r="A572" s="85">
        <v>12</v>
      </c>
      <c r="B572" s="85"/>
      <c r="C572" s="23" t="s">
        <v>219</v>
      </c>
      <c r="D572" s="56">
        <f>(42.16+2.93+2.93+1.2*1.05+0.8*0.7)*(10.764)</f>
        <v>536.47775999999988</v>
      </c>
      <c r="E572" s="23">
        <v>0</v>
      </c>
      <c r="F572" s="23">
        <f t="shared" si="32"/>
        <v>804.71663999999987</v>
      </c>
      <c r="G572" s="110"/>
      <c r="H572" s="111"/>
    </row>
    <row r="573" spans="1:8" s="2" customFormat="1" x14ac:dyDescent="0.3">
      <c r="A573" s="107" t="s">
        <v>222</v>
      </c>
      <c r="B573" s="107"/>
      <c r="C573" s="107"/>
      <c r="D573" s="107"/>
      <c r="E573" s="107"/>
      <c r="F573" s="107"/>
      <c r="G573" s="107"/>
      <c r="H573" s="107"/>
    </row>
    <row r="574" spans="1:8" s="2" customFormat="1" x14ac:dyDescent="0.3">
      <c r="A574" s="107" t="s">
        <v>217</v>
      </c>
      <c r="B574" s="107"/>
      <c r="C574" s="107"/>
      <c r="D574" s="107"/>
      <c r="E574" s="107"/>
      <c r="F574" s="107"/>
      <c r="G574" s="107"/>
      <c r="H574" s="107"/>
    </row>
    <row r="575" spans="1:8" s="2" customFormat="1" ht="15.75" customHeight="1" x14ac:dyDescent="0.3">
      <c r="A575" s="85">
        <v>1</v>
      </c>
      <c r="B575" s="85"/>
      <c r="C575" s="23" t="s">
        <v>219</v>
      </c>
      <c r="D575" s="56">
        <f>(42.87+3.4+1.2*1.05+0.8*0.7)*(10.764)</f>
        <v>517.64075999999989</v>
      </c>
      <c r="E575" s="23">
        <v>0</v>
      </c>
      <c r="F575" s="23">
        <f t="shared" ref="F575:F584" si="35">1.5*D575</f>
        <v>776.46113999999989</v>
      </c>
      <c r="G575" s="108" t="str">
        <f>A574</f>
        <v>Ground Floor for Residential &amp; Meter Room</v>
      </c>
      <c r="H575" s="109"/>
    </row>
    <row r="576" spans="1:8" s="2" customFormat="1" ht="15.75" customHeight="1" x14ac:dyDescent="0.3">
      <c r="A576" s="85">
        <v>2</v>
      </c>
      <c r="B576" s="85"/>
      <c r="C576" s="23" t="s">
        <v>218</v>
      </c>
      <c r="D576" s="56">
        <f>(29.47+2.92*1.7+1.2*1.05+0.8*0.7)*(10.764)</f>
        <v>390.23805599999997</v>
      </c>
      <c r="E576" s="23">
        <v>0</v>
      </c>
      <c r="F576" s="23">
        <f t="shared" si="35"/>
        <v>585.35708399999999</v>
      </c>
      <c r="G576" s="110"/>
      <c r="H576" s="111"/>
    </row>
    <row r="577" spans="1:8" s="2" customFormat="1" ht="15.75" customHeight="1" x14ac:dyDescent="0.3">
      <c r="A577" s="85">
        <v>3</v>
      </c>
      <c r="B577" s="85"/>
      <c r="C577" s="23" t="s">
        <v>218</v>
      </c>
      <c r="D577" s="56">
        <f>(29.47+2.92*1.7+1.2*1.05+0.8*0.7)*(10.764)</f>
        <v>390.23805599999997</v>
      </c>
      <c r="E577" s="23">
        <v>0</v>
      </c>
      <c r="F577" s="23">
        <f t="shared" si="35"/>
        <v>585.35708399999999</v>
      </c>
      <c r="G577" s="110"/>
      <c r="H577" s="111"/>
    </row>
    <row r="578" spans="1:8" s="2" customFormat="1" ht="15.75" customHeight="1" x14ac:dyDescent="0.3">
      <c r="A578" s="85">
        <v>4</v>
      </c>
      <c r="B578" s="85"/>
      <c r="C578" s="23" t="s">
        <v>218</v>
      </c>
      <c r="D578" s="56">
        <f>(29.47+2.92*1.7+1.2*1.05+0.8*0.7)*(10.764)</f>
        <v>390.23805599999997</v>
      </c>
      <c r="E578" s="23">
        <v>0</v>
      </c>
      <c r="F578" s="23">
        <f t="shared" si="35"/>
        <v>585.35708399999999</v>
      </c>
      <c r="G578" s="110"/>
      <c r="H578" s="111"/>
    </row>
    <row r="579" spans="1:8" s="2" customFormat="1" ht="15.75" customHeight="1" x14ac:dyDescent="0.3">
      <c r="A579" s="85">
        <v>5</v>
      </c>
      <c r="B579" s="85"/>
      <c r="C579" s="23" t="s">
        <v>218</v>
      </c>
      <c r="D579" s="56">
        <f t="shared" ref="D579:D585" si="36">(29.47+2.92*1.7+1.2*1.05+0.8*0.7)*(10.764)</f>
        <v>390.23805599999997</v>
      </c>
      <c r="E579" s="23">
        <v>0</v>
      </c>
      <c r="F579" s="23">
        <f t="shared" si="35"/>
        <v>585.35708399999999</v>
      </c>
      <c r="G579" s="110"/>
      <c r="H579" s="111"/>
    </row>
    <row r="580" spans="1:8" s="2" customFormat="1" ht="15.75" customHeight="1" x14ac:dyDescent="0.3">
      <c r="A580" s="85">
        <v>6</v>
      </c>
      <c r="B580" s="85"/>
      <c r="C580" s="23" t="s">
        <v>218</v>
      </c>
      <c r="D580" s="56">
        <f t="shared" si="36"/>
        <v>390.23805599999997</v>
      </c>
      <c r="E580" s="23">
        <v>0</v>
      </c>
      <c r="F580" s="23">
        <f t="shared" si="35"/>
        <v>585.35708399999999</v>
      </c>
      <c r="G580" s="110"/>
      <c r="H580" s="111"/>
    </row>
    <row r="581" spans="1:8" s="2" customFormat="1" ht="15.75" customHeight="1" x14ac:dyDescent="0.3">
      <c r="A581" s="85">
        <v>7</v>
      </c>
      <c r="B581" s="85"/>
      <c r="C581" s="23" t="s">
        <v>218</v>
      </c>
      <c r="D581" s="56">
        <f t="shared" si="36"/>
        <v>390.23805599999997</v>
      </c>
      <c r="E581" s="23">
        <v>0</v>
      </c>
      <c r="F581" s="23">
        <f t="shared" si="35"/>
        <v>585.35708399999999</v>
      </c>
      <c r="G581" s="110"/>
      <c r="H581" s="111"/>
    </row>
    <row r="582" spans="1:8" s="2" customFormat="1" ht="15.75" customHeight="1" x14ac:dyDescent="0.3">
      <c r="A582" s="85">
        <v>8</v>
      </c>
      <c r="B582" s="85"/>
      <c r="C582" s="23" t="s">
        <v>218</v>
      </c>
      <c r="D582" s="56">
        <f t="shared" si="36"/>
        <v>390.23805599999997</v>
      </c>
      <c r="E582" s="23">
        <v>0</v>
      </c>
      <c r="F582" s="23">
        <f t="shared" si="35"/>
        <v>585.35708399999999</v>
      </c>
      <c r="G582" s="110"/>
      <c r="H582" s="111"/>
    </row>
    <row r="583" spans="1:8" s="2" customFormat="1" ht="15.75" customHeight="1" x14ac:dyDescent="0.3">
      <c r="A583" s="85">
        <v>9</v>
      </c>
      <c r="B583" s="85"/>
      <c r="C583" s="23" t="s">
        <v>218</v>
      </c>
      <c r="D583" s="56">
        <f t="shared" si="36"/>
        <v>390.23805599999997</v>
      </c>
      <c r="E583" s="23">
        <v>0</v>
      </c>
      <c r="F583" s="23">
        <f t="shared" si="35"/>
        <v>585.35708399999999</v>
      </c>
      <c r="G583" s="110"/>
      <c r="H583" s="111"/>
    </row>
    <row r="584" spans="1:8" s="2" customFormat="1" ht="15.75" customHeight="1" x14ac:dyDescent="0.3">
      <c r="A584" s="85">
        <v>10</v>
      </c>
      <c r="B584" s="85"/>
      <c r="C584" s="23" t="s">
        <v>218</v>
      </c>
      <c r="D584" s="56">
        <f t="shared" si="36"/>
        <v>390.23805599999997</v>
      </c>
      <c r="E584" s="23">
        <v>0</v>
      </c>
      <c r="F584" s="23">
        <f t="shared" si="35"/>
        <v>585.35708399999999</v>
      </c>
      <c r="G584" s="110"/>
      <c r="H584" s="111"/>
    </row>
    <row r="585" spans="1:8" s="2" customFormat="1" ht="15.75" customHeight="1" x14ac:dyDescent="0.3">
      <c r="A585" s="85">
        <v>11</v>
      </c>
      <c r="B585" s="85"/>
      <c r="C585" s="23" t="s">
        <v>218</v>
      </c>
      <c r="D585" s="56">
        <f t="shared" si="36"/>
        <v>390.23805599999997</v>
      </c>
      <c r="E585" s="23">
        <v>0</v>
      </c>
      <c r="F585" s="23">
        <f t="shared" ref="F585:F594" si="37">1.5*D585</f>
        <v>585.35708399999999</v>
      </c>
      <c r="G585" s="110"/>
      <c r="H585" s="111"/>
    </row>
    <row r="586" spans="1:8" s="2" customFormat="1" ht="15.75" customHeight="1" x14ac:dyDescent="0.3">
      <c r="A586" s="85">
        <v>12</v>
      </c>
      <c r="B586" s="85"/>
      <c r="C586" s="23" t="s">
        <v>218</v>
      </c>
      <c r="D586" s="56">
        <f>(29.69+2.93+1.2*1.05+0.8*0.7)*(10.764)</f>
        <v>370.71216000000004</v>
      </c>
      <c r="E586" s="23">
        <v>0</v>
      </c>
      <c r="F586" s="23">
        <f t="shared" si="37"/>
        <v>556.06824000000006</v>
      </c>
      <c r="G586" s="110"/>
      <c r="H586" s="111"/>
    </row>
    <row r="587" spans="1:8" s="2" customFormat="1" ht="15.75" customHeight="1" x14ac:dyDescent="0.3">
      <c r="A587" s="85">
        <v>13</v>
      </c>
      <c r="B587" s="85"/>
      <c r="C587" s="23" t="s">
        <v>219</v>
      </c>
      <c r="D587" s="56">
        <f>(42.87+2.93+1.2*1.05+0.8*0.7)*(10.764)</f>
        <v>512.58167999999989</v>
      </c>
      <c r="E587" s="23">
        <v>0</v>
      </c>
      <c r="F587" s="23">
        <f t="shared" si="37"/>
        <v>768.87251999999989</v>
      </c>
      <c r="G587" s="110"/>
      <c r="H587" s="111"/>
    </row>
    <row r="588" spans="1:8" s="2" customFormat="1" ht="15.75" customHeight="1" x14ac:dyDescent="0.3">
      <c r="A588" s="85">
        <v>14</v>
      </c>
      <c r="B588" s="85"/>
      <c r="C588" s="23" t="s">
        <v>218</v>
      </c>
      <c r="D588" s="56">
        <f>(29.47+2.92*1.7+1.2*1.05+0.8*0.7)*(10.764)</f>
        <v>390.23805599999997</v>
      </c>
      <c r="E588" s="23">
        <v>0</v>
      </c>
      <c r="F588" s="23">
        <f t="shared" si="37"/>
        <v>585.35708399999999</v>
      </c>
      <c r="G588" s="110"/>
      <c r="H588" s="111"/>
    </row>
    <row r="589" spans="1:8" s="2" customFormat="1" ht="15.75" customHeight="1" x14ac:dyDescent="0.3">
      <c r="A589" s="85">
        <v>15</v>
      </c>
      <c r="B589" s="85"/>
      <c r="C589" s="23" t="s">
        <v>218</v>
      </c>
      <c r="D589" s="56">
        <f>(29.47+2.92*1.7+1.2*1.05+0.8*0.7)*(10.764)</f>
        <v>390.23805599999997</v>
      </c>
      <c r="E589" s="23">
        <v>0</v>
      </c>
      <c r="F589" s="23">
        <f t="shared" si="37"/>
        <v>585.35708399999999</v>
      </c>
      <c r="G589" s="110"/>
      <c r="H589" s="111"/>
    </row>
    <row r="590" spans="1:8" s="2" customFormat="1" ht="15.75" customHeight="1" x14ac:dyDescent="0.3">
      <c r="A590" s="85">
        <v>16</v>
      </c>
      <c r="B590" s="85"/>
      <c r="C590" s="23" t="s">
        <v>218</v>
      </c>
      <c r="D590" s="56">
        <f>(29.69+2.93+1.2*1.05+0.8*0.7)*(10.764)</f>
        <v>370.71216000000004</v>
      </c>
      <c r="E590" s="23">
        <v>0</v>
      </c>
      <c r="F590" s="23">
        <f t="shared" si="37"/>
        <v>556.06824000000006</v>
      </c>
      <c r="G590" s="110"/>
      <c r="H590" s="111"/>
    </row>
    <row r="591" spans="1:8" s="2" customFormat="1" ht="15.75" customHeight="1" x14ac:dyDescent="0.3">
      <c r="A591" s="85">
        <v>17</v>
      </c>
      <c r="B591" s="85"/>
      <c r="C591" s="23" t="s">
        <v>218</v>
      </c>
      <c r="D591" s="56">
        <f>(29.47+2.92*1.7+1.2*1.05+0.8*0.7)*(10.764)</f>
        <v>390.23805599999997</v>
      </c>
      <c r="E591" s="23">
        <v>0</v>
      </c>
      <c r="F591" s="23">
        <f t="shared" si="37"/>
        <v>585.35708399999999</v>
      </c>
      <c r="G591" s="110"/>
      <c r="H591" s="111"/>
    </row>
    <row r="592" spans="1:8" s="2" customFormat="1" ht="15.75" customHeight="1" x14ac:dyDescent="0.3">
      <c r="A592" s="85">
        <v>18</v>
      </c>
      <c r="B592" s="85"/>
      <c r="C592" s="23" t="s">
        <v>218</v>
      </c>
      <c r="D592" s="56">
        <f>(29.47+2.92*1.7+1.2*1.05+0.8*0.7)*(10.764)</f>
        <v>390.23805599999997</v>
      </c>
      <c r="E592" s="23">
        <v>0</v>
      </c>
      <c r="F592" s="23">
        <f t="shared" si="37"/>
        <v>585.35708399999999</v>
      </c>
      <c r="G592" s="110"/>
      <c r="H592" s="111"/>
    </row>
    <row r="593" spans="1:8" s="2" customFormat="1" ht="15.75" customHeight="1" x14ac:dyDescent="0.3">
      <c r="A593" s="85">
        <v>19</v>
      </c>
      <c r="B593" s="85"/>
      <c r="C593" s="23" t="s">
        <v>218</v>
      </c>
      <c r="D593" s="56">
        <f>(29.47+2.92*1.7+1.2*1.05+0.8*0.7)*(10.764)</f>
        <v>390.23805599999997</v>
      </c>
      <c r="E593" s="23">
        <v>0</v>
      </c>
      <c r="F593" s="23">
        <f t="shared" si="37"/>
        <v>585.35708399999999</v>
      </c>
      <c r="G593" s="110"/>
      <c r="H593" s="111"/>
    </row>
    <row r="594" spans="1:8" s="2" customFormat="1" ht="15.75" customHeight="1" x14ac:dyDescent="0.3">
      <c r="A594" s="85">
        <v>20</v>
      </c>
      <c r="B594" s="85"/>
      <c r="C594" s="23" t="s">
        <v>218</v>
      </c>
      <c r="D594" s="56">
        <f>(29.69+2.93+1.2*1.05+0.8*0.7)*(10.764)</f>
        <v>370.71216000000004</v>
      </c>
      <c r="E594" s="23">
        <v>0</v>
      </c>
      <c r="F594" s="23">
        <f t="shared" si="37"/>
        <v>556.06824000000006</v>
      </c>
      <c r="G594" s="112"/>
      <c r="H594" s="113"/>
    </row>
    <row r="595" spans="1:8" s="2" customFormat="1" x14ac:dyDescent="0.3">
      <c r="A595" s="107" t="s">
        <v>155</v>
      </c>
      <c r="B595" s="107"/>
      <c r="C595" s="107"/>
      <c r="D595" s="107"/>
      <c r="E595" s="107"/>
      <c r="F595" s="107"/>
      <c r="G595" s="107"/>
      <c r="H595" s="107"/>
    </row>
    <row r="596" spans="1:8" s="2" customFormat="1" ht="15.75" customHeight="1" x14ac:dyDescent="0.3">
      <c r="A596" s="85">
        <v>1</v>
      </c>
      <c r="B596" s="85"/>
      <c r="C596" s="23" t="s">
        <v>219</v>
      </c>
      <c r="D596" s="56">
        <f>(42.16+3.4+3.4+1.2*1.05+0.8*0.7)*(10.764)</f>
        <v>546.59591999999986</v>
      </c>
      <c r="E596" s="23">
        <v>0</v>
      </c>
      <c r="F596" s="23">
        <f t="shared" ref="F596:F615" si="38">1.5*D596</f>
        <v>819.89387999999985</v>
      </c>
      <c r="G596" s="108" t="str">
        <f>A595</f>
        <v>1st to 4th Floor</v>
      </c>
      <c r="H596" s="109"/>
    </row>
    <row r="597" spans="1:8" s="2" customFormat="1" ht="15.75" customHeight="1" x14ac:dyDescent="0.3">
      <c r="A597" s="85">
        <v>2</v>
      </c>
      <c r="B597" s="85"/>
      <c r="C597" s="23" t="s">
        <v>218</v>
      </c>
      <c r="D597" s="56">
        <f>(28.76+2.92*1.7+1.2*1.05+0.8*0.7)*(10.764)</f>
        <v>382.59561600000001</v>
      </c>
      <c r="E597" s="23">
        <v>0</v>
      </c>
      <c r="F597" s="23">
        <f t="shared" si="38"/>
        <v>573.89342399999998</v>
      </c>
      <c r="G597" s="110"/>
      <c r="H597" s="111"/>
    </row>
    <row r="598" spans="1:8" s="2" customFormat="1" ht="15.75" customHeight="1" x14ac:dyDescent="0.3">
      <c r="A598" s="85">
        <v>3</v>
      </c>
      <c r="B598" s="85"/>
      <c r="C598" s="23" t="s">
        <v>218</v>
      </c>
      <c r="D598" s="56">
        <f t="shared" ref="D598:D606" si="39">(28.76+2.92*1.7+1.2*1.05+0.8*0.7)*(10.764)</f>
        <v>382.59561600000001</v>
      </c>
      <c r="E598" s="23">
        <v>0</v>
      </c>
      <c r="F598" s="23">
        <f t="shared" si="38"/>
        <v>573.89342399999998</v>
      </c>
      <c r="G598" s="110"/>
      <c r="H598" s="111"/>
    </row>
    <row r="599" spans="1:8" s="2" customFormat="1" ht="15.75" customHeight="1" x14ac:dyDescent="0.3">
      <c r="A599" s="85">
        <v>4</v>
      </c>
      <c r="B599" s="85"/>
      <c r="C599" s="23" t="s">
        <v>218</v>
      </c>
      <c r="D599" s="56">
        <f t="shared" si="39"/>
        <v>382.59561600000001</v>
      </c>
      <c r="E599" s="23">
        <v>0</v>
      </c>
      <c r="F599" s="23">
        <f t="shared" si="38"/>
        <v>573.89342399999998</v>
      </c>
      <c r="G599" s="110"/>
      <c r="H599" s="111"/>
    </row>
    <row r="600" spans="1:8" s="2" customFormat="1" ht="15.75" customHeight="1" x14ac:dyDescent="0.3">
      <c r="A600" s="85">
        <v>5</v>
      </c>
      <c r="B600" s="85"/>
      <c r="C600" s="23" t="s">
        <v>218</v>
      </c>
      <c r="D600" s="56">
        <f t="shared" si="39"/>
        <v>382.59561600000001</v>
      </c>
      <c r="E600" s="23">
        <v>0</v>
      </c>
      <c r="F600" s="23">
        <f t="shared" si="38"/>
        <v>573.89342399999998</v>
      </c>
      <c r="G600" s="110"/>
      <c r="H600" s="111"/>
    </row>
    <row r="601" spans="1:8" s="2" customFormat="1" ht="15.75" customHeight="1" x14ac:dyDescent="0.3">
      <c r="A601" s="85">
        <v>6</v>
      </c>
      <c r="B601" s="85"/>
      <c r="C601" s="23" t="s">
        <v>218</v>
      </c>
      <c r="D601" s="56">
        <f t="shared" si="39"/>
        <v>382.59561600000001</v>
      </c>
      <c r="E601" s="23">
        <v>0</v>
      </c>
      <c r="F601" s="23">
        <f t="shared" si="38"/>
        <v>573.89342399999998</v>
      </c>
      <c r="G601" s="110"/>
      <c r="H601" s="111"/>
    </row>
    <row r="602" spans="1:8" s="2" customFormat="1" ht="15.75" customHeight="1" x14ac:dyDescent="0.3">
      <c r="A602" s="85">
        <v>7</v>
      </c>
      <c r="B602" s="85"/>
      <c r="C602" s="23" t="s">
        <v>218</v>
      </c>
      <c r="D602" s="56">
        <f t="shared" si="39"/>
        <v>382.59561600000001</v>
      </c>
      <c r="E602" s="23">
        <v>0</v>
      </c>
      <c r="F602" s="23">
        <f t="shared" si="38"/>
        <v>573.89342399999998</v>
      </c>
      <c r="G602" s="110"/>
      <c r="H602" s="111"/>
    </row>
    <row r="603" spans="1:8" s="2" customFormat="1" ht="15.75" customHeight="1" x14ac:dyDescent="0.3">
      <c r="A603" s="85">
        <v>8</v>
      </c>
      <c r="B603" s="85"/>
      <c r="C603" s="23" t="s">
        <v>218</v>
      </c>
      <c r="D603" s="56">
        <f t="shared" si="39"/>
        <v>382.59561600000001</v>
      </c>
      <c r="E603" s="23">
        <v>0</v>
      </c>
      <c r="F603" s="23">
        <f t="shared" si="38"/>
        <v>573.89342399999998</v>
      </c>
      <c r="G603" s="110"/>
      <c r="H603" s="111"/>
    </row>
    <row r="604" spans="1:8" s="2" customFormat="1" ht="15.75" customHeight="1" x14ac:dyDescent="0.3">
      <c r="A604" s="85">
        <v>9</v>
      </c>
      <c r="B604" s="85"/>
      <c r="C604" s="23" t="s">
        <v>218</v>
      </c>
      <c r="D604" s="56">
        <f t="shared" si="39"/>
        <v>382.59561600000001</v>
      </c>
      <c r="E604" s="23">
        <v>0</v>
      </c>
      <c r="F604" s="23">
        <f t="shared" si="38"/>
        <v>573.89342399999998</v>
      </c>
      <c r="G604" s="110"/>
      <c r="H604" s="111"/>
    </row>
    <row r="605" spans="1:8" s="2" customFormat="1" ht="15.75" customHeight="1" x14ac:dyDescent="0.3">
      <c r="A605" s="85">
        <v>10</v>
      </c>
      <c r="B605" s="85"/>
      <c r="C605" s="23" t="s">
        <v>218</v>
      </c>
      <c r="D605" s="56">
        <f t="shared" si="39"/>
        <v>382.59561600000001</v>
      </c>
      <c r="E605" s="23">
        <v>0</v>
      </c>
      <c r="F605" s="23">
        <f t="shared" si="38"/>
        <v>573.89342399999998</v>
      </c>
      <c r="G605" s="110"/>
      <c r="H605" s="111"/>
    </row>
    <row r="606" spans="1:8" s="2" customFormat="1" ht="15.75" customHeight="1" x14ac:dyDescent="0.3">
      <c r="A606" s="85">
        <v>11</v>
      </c>
      <c r="B606" s="85"/>
      <c r="C606" s="23" t="s">
        <v>218</v>
      </c>
      <c r="D606" s="56">
        <f t="shared" si="39"/>
        <v>382.59561600000001</v>
      </c>
      <c r="E606" s="23">
        <v>0</v>
      </c>
      <c r="F606" s="23">
        <f t="shared" si="38"/>
        <v>573.89342399999998</v>
      </c>
      <c r="G606" s="110"/>
      <c r="H606" s="111"/>
    </row>
    <row r="607" spans="1:8" s="2" customFormat="1" ht="15.75" customHeight="1" x14ac:dyDescent="0.3">
      <c r="A607" s="85">
        <v>12</v>
      </c>
      <c r="B607" s="85"/>
      <c r="C607" s="23" t="s">
        <v>219</v>
      </c>
      <c r="D607" s="56">
        <f>(42.16+2.93+2.93+1.2*1.05+0.8*0.7)*(10.764)</f>
        <v>536.47775999999988</v>
      </c>
      <c r="E607" s="23">
        <v>0</v>
      </c>
      <c r="F607" s="23">
        <f t="shared" si="38"/>
        <v>804.71663999999987</v>
      </c>
      <c r="G607" s="110"/>
      <c r="H607" s="111"/>
    </row>
    <row r="608" spans="1:8" s="2" customFormat="1" ht="15.75" customHeight="1" x14ac:dyDescent="0.3">
      <c r="A608" s="85">
        <v>13</v>
      </c>
      <c r="B608" s="85"/>
      <c r="C608" s="23" t="s">
        <v>219</v>
      </c>
      <c r="D608" s="56">
        <f>(42.16+2.93+2.93+1.2*1.05+0.8*0.7)*(10.764)</f>
        <v>536.47775999999988</v>
      </c>
      <c r="E608" s="23">
        <v>0</v>
      </c>
      <c r="F608" s="23">
        <f t="shared" si="38"/>
        <v>804.71663999999987</v>
      </c>
      <c r="G608" s="110"/>
      <c r="H608" s="111"/>
    </row>
    <row r="609" spans="1:14" s="2" customFormat="1" ht="15.75" customHeight="1" x14ac:dyDescent="0.3">
      <c r="A609" s="85">
        <v>14</v>
      </c>
      <c r="B609" s="85"/>
      <c r="C609" s="23" t="s">
        <v>218</v>
      </c>
      <c r="D609" s="56">
        <f>(28.76+2.92*1.7+1.2*1.05+0.8*0.7)*(10.764)</f>
        <v>382.59561600000001</v>
      </c>
      <c r="E609" s="23">
        <v>0</v>
      </c>
      <c r="F609" s="23">
        <f t="shared" si="38"/>
        <v>573.89342399999998</v>
      </c>
      <c r="G609" s="110"/>
      <c r="H609" s="111"/>
    </row>
    <row r="610" spans="1:14" s="2" customFormat="1" ht="15.75" customHeight="1" x14ac:dyDescent="0.3">
      <c r="A610" s="85">
        <v>15</v>
      </c>
      <c r="B610" s="85"/>
      <c r="C610" s="23" t="s">
        <v>218</v>
      </c>
      <c r="D610" s="56">
        <f>(28.76+2.92*1.7+1.2*1.05+0.8*0.7)*(10.764)</f>
        <v>382.59561600000001</v>
      </c>
      <c r="E610" s="23">
        <v>0</v>
      </c>
      <c r="F610" s="23">
        <f t="shared" si="38"/>
        <v>573.89342399999998</v>
      </c>
      <c r="G610" s="110"/>
      <c r="H610" s="111"/>
    </row>
    <row r="611" spans="1:14" s="2" customFormat="1" ht="15.75" customHeight="1" x14ac:dyDescent="0.3">
      <c r="A611" s="85">
        <v>16</v>
      </c>
      <c r="B611" s="85"/>
      <c r="C611" s="23" t="s">
        <v>219</v>
      </c>
      <c r="D611" s="56">
        <f>(42.16+2.93+2.93+1.2*1.05+0.8*0.7)*(10.764)</f>
        <v>536.47775999999988</v>
      </c>
      <c r="E611" s="23">
        <v>0</v>
      </c>
      <c r="F611" s="23">
        <f t="shared" si="38"/>
        <v>804.71663999999987</v>
      </c>
      <c r="G611" s="110"/>
      <c r="H611" s="111"/>
    </row>
    <row r="612" spans="1:14" s="2" customFormat="1" ht="15.75" customHeight="1" x14ac:dyDescent="0.3">
      <c r="A612" s="85">
        <v>17</v>
      </c>
      <c r="B612" s="85"/>
      <c r="C612" s="23" t="s">
        <v>218</v>
      </c>
      <c r="D612" s="56">
        <f>(28.76+2.92*1.7+1.2*1.05+0.8*0.7)*(10.764)</f>
        <v>382.59561600000001</v>
      </c>
      <c r="E612" s="23">
        <v>0</v>
      </c>
      <c r="F612" s="23">
        <f t="shared" si="38"/>
        <v>573.89342399999998</v>
      </c>
      <c r="G612" s="110"/>
      <c r="H612" s="111"/>
    </row>
    <row r="613" spans="1:14" s="2" customFormat="1" ht="15.75" customHeight="1" x14ac:dyDescent="0.3">
      <c r="A613" s="85">
        <v>18</v>
      </c>
      <c r="B613" s="85"/>
      <c r="C613" s="23" t="s">
        <v>218</v>
      </c>
      <c r="D613" s="56">
        <f>(28.76+2.92*1.7+1.2*1.05+0.8*0.7)*(10.764)</f>
        <v>382.59561600000001</v>
      </c>
      <c r="E613" s="23">
        <v>0</v>
      </c>
      <c r="F613" s="23">
        <f t="shared" si="38"/>
        <v>573.89342399999998</v>
      </c>
      <c r="G613" s="110"/>
      <c r="H613" s="111"/>
    </row>
    <row r="614" spans="1:14" s="2" customFormat="1" ht="15.75" customHeight="1" x14ac:dyDescent="0.3">
      <c r="A614" s="85">
        <v>19</v>
      </c>
      <c r="B614" s="85"/>
      <c r="C614" s="23" t="s">
        <v>218</v>
      </c>
      <c r="D614" s="56">
        <f>(28.76+2.92*1.7+1.2*1.05+0.8*0.7)*(10.764)</f>
        <v>382.59561600000001</v>
      </c>
      <c r="E614" s="23">
        <v>0</v>
      </c>
      <c r="F614" s="23">
        <f t="shared" si="38"/>
        <v>573.89342399999998</v>
      </c>
      <c r="G614" s="110"/>
      <c r="H614" s="111"/>
    </row>
    <row r="615" spans="1:14" s="2" customFormat="1" ht="15.75" customHeight="1" x14ac:dyDescent="0.3">
      <c r="A615" s="85">
        <v>20</v>
      </c>
      <c r="B615" s="85"/>
      <c r="C615" s="23" t="s">
        <v>219</v>
      </c>
      <c r="D615" s="56">
        <f>(42.16+2.92+2.92+1.2*1.05+0.8*0.7)*(10.764)</f>
        <v>536.26247999999998</v>
      </c>
      <c r="E615" s="23">
        <v>0</v>
      </c>
      <c r="F615" s="23">
        <f t="shared" si="38"/>
        <v>804.39372000000003</v>
      </c>
      <c r="G615" s="112"/>
      <c r="H615" s="113"/>
    </row>
    <row r="616" spans="1:14" ht="15.75" customHeight="1" x14ac:dyDescent="0.3">
      <c r="A616" s="114" t="s">
        <v>77</v>
      </c>
      <c r="B616" s="114"/>
      <c r="C616" s="114"/>
      <c r="D616" s="114"/>
      <c r="E616" s="114"/>
      <c r="F616" s="114"/>
      <c r="G616" s="114"/>
      <c r="H616" s="114"/>
      <c r="N616" s="63" t="s">
        <v>262</v>
      </c>
    </row>
    <row r="617" spans="1:14" ht="297.60000000000002" customHeight="1" x14ac:dyDescent="0.3">
      <c r="A617" s="115" t="s">
        <v>264</v>
      </c>
      <c r="B617" s="115"/>
      <c r="C617" s="115"/>
      <c r="D617" s="115"/>
      <c r="E617" s="115"/>
      <c r="F617" s="115"/>
      <c r="G617" s="115"/>
      <c r="H617" s="115"/>
      <c r="I617" s="51" t="s">
        <v>201</v>
      </c>
    </row>
    <row r="618" spans="1:14" x14ac:dyDescent="0.3">
      <c r="A618" s="116" t="s">
        <v>68</v>
      </c>
      <c r="B618" s="116"/>
      <c r="C618" s="116"/>
      <c r="D618" s="116"/>
      <c r="E618" s="116"/>
      <c r="F618" s="116"/>
      <c r="G618" s="116"/>
      <c r="H618" s="116"/>
    </row>
    <row r="619" spans="1:14" x14ac:dyDescent="0.3">
      <c r="A619" s="67" t="s">
        <v>69</v>
      </c>
      <c r="B619" s="67"/>
      <c r="C619" s="67"/>
      <c r="D619" s="67"/>
      <c r="E619" s="67"/>
      <c r="F619" s="67"/>
      <c r="G619" s="67"/>
      <c r="H619" s="67"/>
    </row>
    <row r="620" spans="1:14" x14ac:dyDescent="0.3">
      <c r="A620" s="116" t="s">
        <v>70</v>
      </c>
      <c r="B620" s="116"/>
      <c r="C620" s="116"/>
      <c r="D620" s="116"/>
      <c r="E620" s="116"/>
      <c r="F620" s="116"/>
      <c r="G620" s="116"/>
      <c r="H620" s="116"/>
    </row>
    <row r="621" spans="1:14" x14ac:dyDescent="0.3">
      <c r="A621" s="67" t="s">
        <v>71</v>
      </c>
      <c r="B621" s="67"/>
      <c r="C621" s="67"/>
      <c r="D621" s="67"/>
      <c r="E621" s="67"/>
      <c r="F621" s="67"/>
      <c r="G621" s="67"/>
      <c r="H621" s="67"/>
    </row>
    <row r="622" spans="1:14" x14ac:dyDescent="0.3">
      <c r="A622" s="67" t="s">
        <v>72</v>
      </c>
      <c r="B622" s="67"/>
      <c r="C622" s="67"/>
      <c r="D622" s="67"/>
      <c r="E622" s="67"/>
      <c r="F622" s="67"/>
      <c r="G622" s="67"/>
      <c r="H622" s="67"/>
    </row>
    <row r="623" spans="1:14" hidden="1" x14ac:dyDescent="0.3">
      <c r="A623" s="67" t="s">
        <v>73</v>
      </c>
      <c r="B623" s="67"/>
      <c r="C623" s="67"/>
      <c r="D623" s="67"/>
      <c r="E623" s="67"/>
      <c r="F623" s="67"/>
      <c r="G623" s="67"/>
      <c r="H623" s="67"/>
    </row>
    <row r="624" spans="1:14" hidden="1" x14ac:dyDescent="0.3">
      <c r="A624" s="84" t="s">
        <v>74</v>
      </c>
      <c r="B624" s="84"/>
      <c r="C624" s="84"/>
      <c r="D624" s="84"/>
      <c r="E624" s="84"/>
      <c r="F624" s="84"/>
      <c r="G624" s="84"/>
      <c r="H624" s="84"/>
    </row>
    <row r="625" spans="1:8" x14ac:dyDescent="0.3">
      <c r="A625" s="128" t="s">
        <v>110</v>
      </c>
      <c r="B625" s="128"/>
      <c r="C625" s="128" t="s">
        <v>237</v>
      </c>
      <c r="D625" s="128"/>
      <c r="E625" s="128" t="s">
        <v>144</v>
      </c>
      <c r="F625" s="128"/>
      <c r="G625" s="128" t="s">
        <v>263</v>
      </c>
      <c r="H625" s="128"/>
    </row>
    <row r="626" spans="1:8" x14ac:dyDescent="0.3">
      <c r="A626" s="127" t="s">
        <v>112</v>
      </c>
      <c r="B626" s="127"/>
      <c r="C626" s="127"/>
      <c r="D626" s="127"/>
      <c r="E626" s="127"/>
      <c r="F626" s="127"/>
      <c r="G626" s="127"/>
      <c r="H626" s="127"/>
    </row>
    <row r="627" spans="1:8" x14ac:dyDescent="0.3">
      <c r="A627" s="127"/>
      <c r="B627" s="127"/>
      <c r="C627" s="127"/>
      <c r="D627" s="127"/>
      <c r="E627" s="127"/>
      <c r="F627" s="127"/>
      <c r="G627" s="127"/>
      <c r="H627" s="127"/>
    </row>
    <row r="628" spans="1:8" ht="15" customHeight="1" x14ac:dyDescent="0.3">
      <c r="A628" s="127"/>
      <c r="B628" s="127"/>
      <c r="C628" s="127"/>
      <c r="D628" s="127"/>
      <c r="E628" s="127"/>
      <c r="F628" s="127"/>
      <c r="G628" s="127"/>
      <c r="H628" s="127"/>
    </row>
    <row r="629" spans="1:8" x14ac:dyDescent="0.3">
      <c r="A629" s="18" t="s">
        <v>75</v>
      </c>
      <c r="B629" s="19"/>
      <c r="C629" s="19"/>
      <c r="D629" s="18" t="str">
        <f>E8</f>
        <v>Mahindra Happinest Palghar Project 2 Phase I &amp; II</v>
      </c>
      <c r="F629" s="19"/>
      <c r="G629" s="19"/>
      <c r="H629" s="19"/>
    </row>
    <row r="630" spans="1:8" x14ac:dyDescent="0.3">
      <c r="A630" s="19"/>
      <c r="B630" s="19"/>
      <c r="C630" s="19"/>
      <c r="D630" s="19"/>
      <c r="E630" s="19"/>
      <c r="F630" s="19"/>
      <c r="G630" s="19"/>
      <c r="H630" s="19"/>
    </row>
    <row r="631" spans="1:8" x14ac:dyDescent="0.3">
      <c r="A631" s="19"/>
      <c r="B631" s="19"/>
      <c r="C631" s="19"/>
      <c r="D631" s="19"/>
      <c r="E631" s="19"/>
      <c r="F631" s="19"/>
      <c r="G631" s="19"/>
      <c r="H631" s="19"/>
    </row>
    <row r="670" spans="1:1" x14ac:dyDescent="0.3">
      <c r="A670" s="21" t="s">
        <v>238</v>
      </c>
    </row>
    <row r="714" spans="1:1" x14ac:dyDescent="0.3">
      <c r="A714" s="21" t="s">
        <v>76</v>
      </c>
    </row>
  </sheetData>
  <mergeCells count="877">
    <mergeCell ref="A278:B278"/>
    <mergeCell ref="L278:M278"/>
    <mergeCell ref="A279:B279"/>
    <mergeCell ref="L279:M279"/>
    <mergeCell ref="A280:B280"/>
    <mergeCell ref="L280:M280"/>
    <mergeCell ref="A273:B273"/>
    <mergeCell ref="L273:M273"/>
    <mergeCell ref="A274:B274"/>
    <mergeCell ref="L274:M274"/>
    <mergeCell ref="A275:B275"/>
    <mergeCell ref="L275:M275"/>
    <mergeCell ref="A276:B276"/>
    <mergeCell ref="L276:M276"/>
    <mergeCell ref="A277:B277"/>
    <mergeCell ref="L277:M277"/>
    <mergeCell ref="A268:B268"/>
    <mergeCell ref="L268:M268"/>
    <mergeCell ref="A269:B269"/>
    <mergeCell ref="L269:M269"/>
    <mergeCell ref="A270:B270"/>
    <mergeCell ref="L270:M270"/>
    <mergeCell ref="A271:B271"/>
    <mergeCell ref="L271:M271"/>
    <mergeCell ref="A272:B272"/>
    <mergeCell ref="L272:M272"/>
    <mergeCell ref="A263:B263"/>
    <mergeCell ref="L263:M263"/>
    <mergeCell ref="A264:B264"/>
    <mergeCell ref="L264:M264"/>
    <mergeCell ref="A265:B265"/>
    <mergeCell ref="L265:M265"/>
    <mergeCell ref="A266:B266"/>
    <mergeCell ref="L266:M266"/>
    <mergeCell ref="A267:B267"/>
    <mergeCell ref="L267:M267"/>
    <mergeCell ref="A258:B258"/>
    <mergeCell ref="L258:M258"/>
    <mergeCell ref="A259:B259"/>
    <mergeCell ref="L259:M259"/>
    <mergeCell ref="A260:B260"/>
    <mergeCell ref="L260:M260"/>
    <mergeCell ref="A261:B261"/>
    <mergeCell ref="L261:M261"/>
    <mergeCell ref="A262:B262"/>
    <mergeCell ref="L262:M262"/>
    <mergeCell ref="A253:B253"/>
    <mergeCell ref="L253:M253"/>
    <mergeCell ref="A254:B254"/>
    <mergeCell ref="L254:M254"/>
    <mergeCell ref="A255:B255"/>
    <mergeCell ref="L255:M255"/>
    <mergeCell ref="A256:B256"/>
    <mergeCell ref="L256:M256"/>
    <mergeCell ref="A257:B257"/>
    <mergeCell ref="L257:M257"/>
    <mergeCell ref="A248:B248"/>
    <mergeCell ref="L248:M248"/>
    <mergeCell ref="A249:B249"/>
    <mergeCell ref="L249:M249"/>
    <mergeCell ref="A250:B250"/>
    <mergeCell ref="L250:M250"/>
    <mergeCell ref="A251:B251"/>
    <mergeCell ref="L251:M251"/>
    <mergeCell ref="A252:B252"/>
    <mergeCell ref="L252:M252"/>
    <mergeCell ref="L237:M237"/>
    <mergeCell ref="A238:B238"/>
    <mergeCell ref="L238:M238"/>
    <mergeCell ref="A239:B239"/>
    <mergeCell ref="L239:M239"/>
    <mergeCell ref="A240:B240"/>
    <mergeCell ref="L240:M240"/>
    <mergeCell ref="A292:H292"/>
    <mergeCell ref="A234:H234"/>
    <mergeCell ref="A235:H235"/>
    <mergeCell ref="A241:B241"/>
    <mergeCell ref="L241:M241"/>
    <mergeCell ref="A242:B242"/>
    <mergeCell ref="L242:M242"/>
    <mergeCell ref="A243:B243"/>
    <mergeCell ref="L243:M243"/>
    <mergeCell ref="A244:B244"/>
    <mergeCell ref="L244:M244"/>
    <mergeCell ref="A245:B245"/>
    <mergeCell ref="L245:M245"/>
    <mergeCell ref="A246:B246"/>
    <mergeCell ref="L246:M246"/>
    <mergeCell ref="A247:B247"/>
    <mergeCell ref="L247:M247"/>
    <mergeCell ref="A232:A233"/>
    <mergeCell ref="B232:B233"/>
    <mergeCell ref="C232:C233"/>
    <mergeCell ref="D232:D233"/>
    <mergeCell ref="E232:E233"/>
    <mergeCell ref="F232:F233"/>
    <mergeCell ref="G232:G233"/>
    <mergeCell ref="A236:H236"/>
    <mergeCell ref="A237:B237"/>
    <mergeCell ref="A595:H595"/>
    <mergeCell ref="A596:B596"/>
    <mergeCell ref="G596:H615"/>
    <mergeCell ref="A597:B597"/>
    <mergeCell ref="A598:B598"/>
    <mergeCell ref="A599:B599"/>
    <mergeCell ref="A600:B600"/>
    <mergeCell ref="A601:B601"/>
    <mergeCell ref="A602:B602"/>
    <mergeCell ref="A603:B603"/>
    <mergeCell ref="A604:B604"/>
    <mergeCell ref="A605:B605"/>
    <mergeCell ref="A606:B606"/>
    <mergeCell ref="A607:B607"/>
    <mergeCell ref="A608:B608"/>
    <mergeCell ref="A609:B609"/>
    <mergeCell ref="A610:B610"/>
    <mergeCell ref="A611:B611"/>
    <mergeCell ref="A612:B612"/>
    <mergeCell ref="A613:B613"/>
    <mergeCell ref="A614:B614"/>
    <mergeCell ref="A615:B615"/>
    <mergeCell ref="A594:B594"/>
    <mergeCell ref="G575:H594"/>
    <mergeCell ref="A573:H573"/>
    <mergeCell ref="A574:H574"/>
    <mergeCell ref="A575:B575"/>
    <mergeCell ref="A576:B576"/>
    <mergeCell ref="A577:B577"/>
    <mergeCell ref="A578:B578"/>
    <mergeCell ref="A579:B579"/>
    <mergeCell ref="A580:B580"/>
    <mergeCell ref="A581:B581"/>
    <mergeCell ref="A582:B582"/>
    <mergeCell ref="A583:B583"/>
    <mergeCell ref="A584:B584"/>
    <mergeCell ref="A585:B585"/>
    <mergeCell ref="A586:B586"/>
    <mergeCell ref="A587:B587"/>
    <mergeCell ref="A588:B588"/>
    <mergeCell ref="A589:B589"/>
    <mergeCell ref="A590:B590"/>
    <mergeCell ref="A591:B591"/>
    <mergeCell ref="A592:B592"/>
    <mergeCell ref="A593:B593"/>
    <mergeCell ref="A560:H560"/>
    <mergeCell ref="A561:B561"/>
    <mergeCell ref="G561:H572"/>
    <mergeCell ref="A562:B562"/>
    <mergeCell ref="A563:B563"/>
    <mergeCell ref="A564:B564"/>
    <mergeCell ref="A565:B565"/>
    <mergeCell ref="A566:B566"/>
    <mergeCell ref="A567:B567"/>
    <mergeCell ref="A568:B568"/>
    <mergeCell ref="A569:B569"/>
    <mergeCell ref="A570:B570"/>
    <mergeCell ref="A571:B571"/>
    <mergeCell ref="A572:B572"/>
    <mergeCell ref="A546:H546"/>
    <mergeCell ref="A547:H547"/>
    <mergeCell ref="A548:B548"/>
    <mergeCell ref="G548:H559"/>
    <mergeCell ref="A549:B549"/>
    <mergeCell ref="A550:B550"/>
    <mergeCell ref="A551:B551"/>
    <mergeCell ref="A552:B552"/>
    <mergeCell ref="A553:B553"/>
    <mergeCell ref="A554:B554"/>
    <mergeCell ref="A555:B555"/>
    <mergeCell ref="A556:B556"/>
    <mergeCell ref="A557:B557"/>
    <mergeCell ref="A558:B558"/>
    <mergeCell ref="A559:B559"/>
    <mergeCell ref="A537:H537"/>
    <mergeCell ref="A538:B538"/>
    <mergeCell ref="G538:H545"/>
    <mergeCell ref="A539:B539"/>
    <mergeCell ref="A540:B540"/>
    <mergeCell ref="A541:B541"/>
    <mergeCell ref="A542:B542"/>
    <mergeCell ref="A543:B543"/>
    <mergeCell ref="A544:B544"/>
    <mergeCell ref="A545:B545"/>
    <mergeCell ref="A527:H527"/>
    <mergeCell ref="A528:H528"/>
    <mergeCell ref="A529:B529"/>
    <mergeCell ref="G529:H536"/>
    <mergeCell ref="A530:B530"/>
    <mergeCell ref="A531:B531"/>
    <mergeCell ref="A532:B532"/>
    <mergeCell ref="A533:B533"/>
    <mergeCell ref="A534:B534"/>
    <mergeCell ref="A535:B535"/>
    <mergeCell ref="A536:B536"/>
    <mergeCell ref="A514:H514"/>
    <mergeCell ref="A515:B515"/>
    <mergeCell ref="G515:H526"/>
    <mergeCell ref="A516:B516"/>
    <mergeCell ref="A517:B517"/>
    <mergeCell ref="A518:B518"/>
    <mergeCell ref="A519:B519"/>
    <mergeCell ref="A520:B520"/>
    <mergeCell ref="A521:B521"/>
    <mergeCell ref="A522:B522"/>
    <mergeCell ref="A523:B523"/>
    <mergeCell ref="A524:B524"/>
    <mergeCell ref="A525:B525"/>
    <mergeCell ref="A526:B526"/>
    <mergeCell ref="A158:B158"/>
    <mergeCell ref="C158:H158"/>
    <mergeCell ref="A160:B160"/>
    <mergeCell ref="C160:H160"/>
    <mergeCell ref="A161:B161"/>
    <mergeCell ref="E161:F161"/>
    <mergeCell ref="G161:H161"/>
    <mergeCell ref="A162:B162"/>
    <mergeCell ref="E162:F171"/>
    <mergeCell ref="G162:H171"/>
    <mergeCell ref="A163:B163"/>
    <mergeCell ref="A164:B164"/>
    <mergeCell ref="A165:B165"/>
    <mergeCell ref="A166:B166"/>
    <mergeCell ref="A167:B167"/>
    <mergeCell ref="A168:B168"/>
    <mergeCell ref="A169:B169"/>
    <mergeCell ref="A170:B170"/>
    <mergeCell ref="A171:B171"/>
    <mergeCell ref="A294:H294"/>
    <mergeCell ref="A499:H499"/>
    <mergeCell ref="A500:H500"/>
    <mergeCell ref="A501:H501"/>
    <mergeCell ref="A502:B502"/>
    <mergeCell ref="G502:H513"/>
    <mergeCell ref="A503:B503"/>
    <mergeCell ref="A504:B504"/>
    <mergeCell ref="A505:B505"/>
    <mergeCell ref="A506:B506"/>
    <mergeCell ref="A507:B507"/>
    <mergeCell ref="A508:B508"/>
    <mergeCell ref="A509:B509"/>
    <mergeCell ref="A510:B510"/>
    <mergeCell ref="A511:B511"/>
    <mergeCell ref="A512:B512"/>
    <mergeCell ref="A513:B513"/>
    <mergeCell ref="A336:H336"/>
    <mergeCell ref="A394:B394"/>
    <mergeCell ref="A390:B390"/>
    <mergeCell ref="A386:B386"/>
    <mergeCell ref="A391:B391"/>
    <mergeCell ref="A392:B392"/>
    <mergeCell ref="A393:B393"/>
    <mergeCell ref="A228:B228"/>
    <mergeCell ref="D228:E228"/>
    <mergeCell ref="F228:H228"/>
    <mergeCell ref="A214:H214"/>
    <mergeCell ref="A215:B215"/>
    <mergeCell ref="D215:E215"/>
    <mergeCell ref="F215:H215"/>
    <mergeCell ref="A217:B217"/>
    <mergeCell ref="D217:E217"/>
    <mergeCell ref="F217:H217"/>
    <mergeCell ref="A218:B218"/>
    <mergeCell ref="D218:E218"/>
    <mergeCell ref="F218:H218"/>
    <mergeCell ref="A225:B225"/>
    <mergeCell ref="D225:E225"/>
    <mergeCell ref="F225:H225"/>
    <mergeCell ref="A226:B226"/>
    <mergeCell ref="D226:E226"/>
    <mergeCell ref="F226:H226"/>
    <mergeCell ref="A227:B227"/>
    <mergeCell ref="D227:E227"/>
    <mergeCell ref="F227:H227"/>
    <mergeCell ref="A223:B223"/>
    <mergeCell ref="A224:B224"/>
    <mergeCell ref="K190:Q190"/>
    <mergeCell ref="A191:B191"/>
    <mergeCell ref="K191:Q193"/>
    <mergeCell ref="A192:B192"/>
    <mergeCell ref="A193:B193"/>
    <mergeCell ref="A194:B194"/>
    <mergeCell ref="A195:B195"/>
    <mergeCell ref="A196:B196"/>
    <mergeCell ref="A197:B197"/>
    <mergeCell ref="A186:B186"/>
    <mergeCell ref="C186:H186"/>
    <mergeCell ref="A188:B188"/>
    <mergeCell ref="C188:H188"/>
    <mergeCell ref="A189:B189"/>
    <mergeCell ref="E189:F189"/>
    <mergeCell ref="G189:H189"/>
    <mergeCell ref="A190:B190"/>
    <mergeCell ref="E190:F199"/>
    <mergeCell ref="G190:H199"/>
    <mergeCell ref="A198:B198"/>
    <mergeCell ref="A199:B199"/>
    <mergeCell ref="A172:B172"/>
    <mergeCell ref="C172:H172"/>
    <mergeCell ref="A174:B174"/>
    <mergeCell ref="C174:H174"/>
    <mergeCell ref="A175:B175"/>
    <mergeCell ref="E175:F175"/>
    <mergeCell ref="G175:H175"/>
    <mergeCell ref="A176:B176"/>
    <mergeCell ref="E176:F185"/>
    <mergeCell ref="G176:H185"/>
    <mergeCell ref="A177:B177"/>
    <mergeCell ref="A178:B178"/>
    <mergeCell ref="A179:B179"/>
    <mergeCell ref="A180:B180"/>
    <mergeCell ref="A181:B181"/>
    <mergeCell ref="A182:B182"/>
    <mergeCell ref="A183:B183"/>
    <mergeCell ref="A184:B184"/>
    <mergeCell ref="A185:B185"/>
    <mergeCell ref="A144:B144"/>
    <mergeCell ref="C144:H144"/>
    <mergeCell ref="A146:B146"/>
    <mergeCell ref="C146:H146"/>
    <mergeCell ref="A147:B147"/>
    <mergeCell ref="E147:F147"/>
    <mergeCell ref="G147:H147"/>
    <mergeCell ref="A148:B148"/>
    <mergeCell ref="E148:F157"/>
    <mergeCell ref="G148:H157"/>
    <mergeCell ref="A149:B149"/>
    <mergeCell ref="A150:B150"/>
    <mergeCell ref="A151:B151"/>
    <mergeCell ref="A152:B152"/>
    <mergeCell ref="A153:B153"/>
    <mergeCell ref="A154:B154"/>
    <mergeCell ref="A155:B155"/>
    <mergeCell ref="A156:B156"/>
    <mergeCell ref="A157:B157"/>
    <mergeCell ref="A135:B135"/>
    <mergeCell ref="A136:B136"/>
    <mergeCell ref="A137:B137"/>
    <mergeCell ref="A138:B138"/>
    <mergeCell ref="A139:B139"/>
    <mergeCell ref="A140:B140"/>
    <mergeCell ref="A141:B141"/>
    <mergeCell ref="A142:B142"/>
    <mergeCell ref="A143:B143"/>
    <mergeCell ref="A47:B47"/>
    <mergeCell ref="C47:E47"/>
    <mergeCell ref="G47:H47"/>
    <mergeCell ref="I52:M52"/>
    <mergeCell ref="I53:M53"/>
    <mergeCell ref="I38:L38"/>
    <mergeCell ref="I39:L39"/>
    <mergeCell ref="I40:L40"/>
    <mergeCell ref="I41:L41"/>
    <mergeCell ref="I42:L42"/>
    <mergeCell ref="I43:L43"/>
    <mergeCell ref="E43:H43"/>
    <mergeCell ref="A370:B370"/>
    <mergeCell ref="A371:B371"/>
    <mergeCell ref="A109:B109"/>
    <mergeCell ref="A110:B110"/>
    <mergeCell ref="A111:B111"/>
    <mergeCell ref="A112:B112"/>
    <mergeCell ref="A113:B113"/>
    <mergeCell ref="A114:B114"/>
    <mergeCell ref="A115:B115"/>
    <mergeCell ref="A361:B361"/>
    <mergeCell ref="A362:B362"/>
    <mergeCell ref="A339:B339"/>
    <mergeCell ref="A340:B340"/>
    <mergeCell ref="A341:B341"/>
    <mergeCell ref="A342:B342"/>
    <mergeCell ref="A349:B349"/>
    <mergeCell ref="A350:H350"/>
    <mergeCell ref="A351:B351"/>
    <mergeCell ref="A345:B345"/>
    <mergeCell ref="A346:B346"/>
    <mergeCell ref="A347:B347"/>
    <mergeCell ref="G351:H362"/>
    <mergeCell ref="A353:B353"/>
    <mergeCell ref="A354:B354"/>
    <mergeCell ref="A303:B303"/>
    <mergeCell ref="A316:H316"/>
    <mergeCell ref="A297:B297"/>
    <mergeCell ref="A298:B298"/>
    <mergeCell ref="A363:H363"/>
    <mergeCell ref="A364:H364"/>
    <mergeCell ref="A372:B372"/>
    <mergeCell ref="A373:B373"/>
    <mergeCell ref="G365:H394"/>
    <mergeCell ref="A381:B381"/>
    <mergeCell ref="A382:B382"/>
    <mergeCell ref="A383:B383"/>
    <mergeCell ref="A374:B374"/>
    <mergeCell ref="A375:B375"/>
    <mergeCell ref="A376:B376"/>
    <mergeCell ref="A377:B377"/>
    <mergeCell ref="A378:B378"/>
    <mergeCell ref="A379:B379"/>
    <mergeCell ref="A380:B380"/>
    <mergeCell ref="A365:B365"/>
    <mergeCell ref="A366:B366"/>
    <mergeCell ref="A367:B367"/>
    <mergeCell ref="A368:B368"/>
    <mergeCell ref="A369:B369"/>
    <mergeCell ref="A329:B329"/>
    <mergeCell ref="A312:B312"/>
    <mergeCell ref="A313:B313"/>
    <mergeCell ref="A314:B314"/>
    <mergeCell ref="A330:B330"/>
    <mergeCell ref="A331:B331"/>
    <mergeCell ref="A332:B332"/>
    <mergeCell ref="G317:H335"/>
    <mergeCell ref="A305:B305"/>
    <mergeCell ref="A311:B311"/>
    <mergeCell ref="A66:B66"/>
    <mergeCell ref="A67:B67"/>
    <mergeCell ref="A59:C59"/>
    <mergeCell ref="D59:H59"/>
    <mergeCell ref="A205:E205"/>
    <mergeCell ref="F205:H205"/>
    <mergeCell ref="A56:C56"/>
    <mergeCell ref="A57:C57"/>
    <mergeCell ref="D56:H56"/>
    <mergeCell ref="D57:H57"/>
    <mergeCell ref="A200:H200"/>
    <mergeCell ref="A203:H203"/>
    <mergeCell ref="A204:E204"/>
    <mergeCell ref="A80:B80"/>
    <mergeCell ref="C102:H102"/>
    <mergeCell ref="A104:B104"/>
    <mergeCell ref="C104:H104"/>
    <mergeCell ref="A105:B105"/>
    <mergeCell ref="E105:F105"/>
    <mergeCell ref="G105:H105"/>
    <mergeCell ref="A106:B106"/>
    <mergeCell ref="A85:B85"/>
    <mergeCell ref="E134:F143"/>
    <mergeCell ref="G134:H143"/>
    <mergeCell ref="E64:F73"/>
    <mergeCell ref="A222:B222"/>
    <mergeCell ref="A315:B315"/>
    <mergeCell ref="A318:B318"/>
    <mergeCell ref="A326:B326"/>
    <mergeCell ref="A302:B302"/>
    <mergeCell ref="A304:B304"/>
    <mergeCell ref="A299:B299"/>
    <mergeCell ref="A300:B300"/>
    <mergeCell ref="A308:B308"/>
    <mergeCell ref="A309:B309"/>
    <mergeCell ref="A310:B310"/>
    <mergeCell ref="E106:F115"/>
    <mergeCell ref="A130:B130"/>
    <mergeCell ref="C130:H130"/>
    <mergeCell ref="A132:B132"/>
    <mergeCell ref="C132:H132"/>
    <mergeCell ref="A133:B133"/>
    <mergeCell ref="E133:F133"/>
    <mergeCell ref="G133:H133"/>
    <mergeCell ref="A134:B134"/>
    <mergeCell ref="A229:B229"/>
    <mergeCell ref="G64:H73"/>
    <mergeCell ref="A65:B65"/>
    <mergeCell ref="D229:E229"/>
    <mergeCell ref="A88:B88"/>
    <mergeCell ref="C88:H88"/>
    <mergeCell ref="A90:B90"/>
    <mergeCell ref="C90:H90"/>
    <mergeCell ref="A91:B91"/>
    <mergeCell ref="E91:F91"/>
    <mergeCell ref="G91:H91"/>
    <mergeCell ref="A92:B92"/>
    <mergeCell ref="E92:F101"/>
    <mergeCell ref="G92:H101"/>
    <mergeCell ref="A93:B93"/>
    <mergeCell ref="A94:B94"/>
    <mergeCell ref="A95:B95"/>
    <mergeCell ref="A96:B96"/>
    <mergeCell ref="A97:B97"/>
    <mergeCell ref="A212:E212"/>
    <mergeCell ref="F212:H212"/>
    <mergeCell ref="A202:B202"/>
    <mergeCell ref="C202:H202"/>
    <mergeCell ref="F222:H222"/>
    <mergeCell ref="G106:H115"/>
    <mergeCell ref="A107:B107"/>
    <mergeCell ref="A108:B108"/>
    <mergeCell ref="F223:H223"/>
    <mergeCell ref="F224:H224"/>
    <mergeCell ref="F229:H229"/>
    <mergeCell ref="A74:B74"/>
    <mergeCell ref="C74:H74"/>
    <mergeCell ref="A76:B76"/>
    <mergeCell ref="C76:H76"/>
    <mergeCell ref="A77:B77"/>
    <mergeCell ref="E77:F77"/>
    <mergeCell ref="G77:H77"/>
    <mergeCell ref="A78:B78"/>
    <mergeCell ref="E78:F87"/>
    <mergeCell ref="G78:H87"/>
    <mergeCell ref="A79:B79"/>
    <mergeCell ref="A98:B98"/>
    <mergeCell ref="A99:B99"/>
    <mergeCell ref="A100:B100"/>
    <mergeCell ref="A101:B101"/>
    <mergeCell ref="A102:B102"/>
    <mergeCell ref="F204:H204"/>
    <mergeCell ref="A201:H201"/>
    <mergeCell ref="D222:E222"/>
    <mergeCell ref="D223:E223"/>
    <mergeCell ref="D224:E224"/>
    <mergeCell ref="A35:B35"/>
    <mergeCell ref="A48:B49"/>
    <mergeCell ref="G48:H48"/>
    <mergeCell ref="D54:H54"/>
    <mergeCell ref="A54:C54"/>
    <mergeCell ref="G50:H50"/>
    <mergeCell ref="A50:B50"/>
    <mergeCell ref="C50:E50"/>
    <mergeCell ref="G45:H45"/>
    <mergeCell ref="G46:H46"/>
    <mergeCell ref="A46:B46"/>
    <mergeCell ref="C46:E46"/>
    <mergeCell ref="C48:E48"/>
    <mergeCell ref="A45:B45"/>
    <mergeCell ref="C45:E45"/>
    <mergeCell ref="A40:D40"/>
    <mergeCell ref="E40:H40"/>
    <mergeCell ref="E41:H41"/>
    <mergeCell ref="E42:H42"/>
    <mergeCell ref="D52:H52"/>
    <mergeCell ref="A41:D41"/>
    <mergeCell ref="A42:D42"/>
    <mergeCell ref="A43:D43"/>
    <mergeCell ref="A44:H44"/>
    <mergeCell ref="A125:B125"/>
    <mergeCell ref="A126:B126"/>
    <mergeCell ref="A127:B127"/>
    <mergeCell ref="A128:B128"/>
    <mergeCell ref="A129:B129"/>
    <mergeCell ref="A81:B81"/>
    <mergeCell ref="A82:B82"/>
    <mergeCell ref="A83:B83"/>
    <mergeCell ref="A84:B84"/>
    <mergeCell ref="A86:B86"/>
    <mergeCell ref="A87:B87"/>
    <mergeCell ref="F209:H209"/>
    <mergeCell ref="A206:E206"/>
    <mergeCell ref="F206:H206"/>
    <mergeCell ref="A210:E210"/>
    <mergeCell ref="F210:H210"/>
    <mergeCell ref="A55:C55"/>
    <mergeCell ref="D55:H55"/>
    <mergeCell ref="A53:C53"/>
    <mergeCell ref="D53:H53"/>
    <mergeCell ref="A60:B60"/>
    <mergeCell ref="C60:H60"/>
    <mergeCell ref="A62:B62"/>
    <mergeCell ref="C62:H62"/>
    <mergeCell ref="A63:B63"/>
    <mergeCell ref="E63:F63"/>
    <mergeCell ref="G63:H63"/>
    <mergeCell ref="A64:B64"/>
    <mergeCell ref="A120:B120"/>
    <mergeCell ref="E120:F129"/>
    <mergeCell ref="G120:H129"/>
    <mergeCell ref="A121:B121"/>
    <mergeCell ref="A122:B122"/>
    <mergeCell ref="A123:B123"/>
    <mergeCell ref="A124:B124"/>
    <mergeCell ref="A626:H628"/>
    <mergeCell ref="A625:B625"/>
    <mergeCell ref="E625:F625"/>
    <mergeCell ref="C625:D625"/>
    <mergeCell ref="G625:H625"/>
    <mergeCell ref="A213:E213"/>
    <mergeCell ref="F213:H213"/>
    <mergeCell ref="D221:E221"/>
    <mergeCell ref="F221:H221"/>
    <mergeCell ref="A293:B293"/>
    <mergeCell ref="A221:B221"/>
    <mergeCell ref="A230:H230"/>
    <mergeCell ref="A220:B220"/>
    <mergeCell ref="D220:E220"/>
    <mergeCell ref="G293:H293"/>
    <mergeCell ref="A219:H219"/>
    <mergeCell ref="F220:H220"/>
    <mergeCell ref="A295:H295"/>
    <mergeCell ref="A296:H296"/>
    <mergeCell ref="A620:H620"/>
    <mergeCell ref="A621:H621"/>
    <mergeCell ref="A622:H622"/>
    <mergeCell ref="A623:H623"/>
    <mergeCell ref="A624:H624"/>
    <mergeCell ref="A10:D10"/>
    <mergeCell ref="E10:H10"/>
    <mergeCell ref="A16:B16"/>
    <mergeCell ref="C16:D16"/>
    <mergeCell ref="E16:F16"/>
    <mergeCell ref="A26:D26"/>
    <mergeCell ref="E26:H26"/>
    <mergeCell ref="A39:D39"/>
    <mergeCell ref="E39:H39"/>
    <mergeCell ref="A27:D27"/>
    <mergeCell ref="E27:H27"/>
    <mergeCell ref="A34:H34"/>
    <mergeCell ref="A33:B33"/>
    <mergeCell ref="A28:D28"/>
    <mergeCell ref="E28:H28"/>
    <mergeCell ref="A37:H37"/>
    <mergeCell ref="A38:D38"/>
    <mergeCell ref="E38:H38"/>
    <mergeCell ref="F30:H30"/>
    <mergeCell ref="F31:H31"/>
    <mergeCell ref="C29:E29"/>
    <mergeCell ref="F32:H32"/>
    <mergeCell ref="F33:H33"/>
    <mergeCell ref="F29:H29"/>
    <mergeCell ref="A1:H1"/>
    <mergeCell ref="A2:H2"/>
    <mergeCell ref="A3:D3"/>
    <mergeCell ref="E3:H3"/>
    <mergeCell ref="A4:D4"/>
    <mergeCell ref="A8:D8"/>
    <mergeCell ref="E8:H8"/>
    <mergeCell ref="A9:D9"/>
    <mergeCell ref="E9:H9"/>
    <mergeCell ref="E4:H4"/>
    <mergeCell ref="A5:D5"/>
    <mergeCell ref="E5:H5"/>
    <mergeCell ref="A6:D6"/>
    <mergeCell ref="E6:H6"/>
    <mergeCell ref="A7:D7"/>
    <mergeCell ref="E7:H7"/>
    <mergeCell ref="G16:H16"/>
    <mergeCell ref="A14:B14"/>
    <mergeCell ref="A11:D11"/>
    <mergeCell ref="E11:H11"/>
    <mergeCell ref="A12:D12"/>
    <mergeCell ref="E12:H12"/>
    <mergeCell ref="A13:B13"/>
    <mergeCell ref="C13:H13"/>
    <mergeCell ref="C14:H14"/>
    <mergeCell ref="G15:H15"/>
    <mergeCell ref="A22:D22"/>
    <mergeCell ref="E22:H22"/>
    <mergeCell ref="A17:B17"/>
    <mergeCell ref="C17:D17"/>
    <mergeCell ref="E17:F17"/>
    <mergeCell ref="G17:H17"/>
    <mergeCell ref="A19:D20"/>
    <mergeCell ref="E19:H20"/>
    <mergeCell ref="A21:D21"/>
    <mergeCell ref="E21:H21"/>
    <mergeCell ref="A18:B18"/>
    <mergeCell ref="C18:D18"/>
    <mergeCell ref="E18:F18"/>
    <mergeCell ref="G18:H18"/>
    <mergeCell ref="A616:H616"/>
    <mergeCell ref="A617:H617"/>
    <mergeCell ref="A618:H618"/>
    <mergeCell ref="A619:H619"/>
    <mergeCell ref="A306:B306"/>
    <mergeCell ref="A307:B307"/>
    <mergeCell ref="A231:H231"/>
    <mergeCell ref="A324:B324"/>
    <mergeCell ref="A325:B325"/>
    <mergeCell ref="A327:B327"/>
    <mergeCell ref="A328:B328"/>
    <mergeCell ref="A319:B319"/>
    <mergeCell ref="A320:B320"/>
    <mergeCell ref="A321:B321"/>
    <mergeCell ref="A333:B333"/>
    <mergeCell ref="A334:B334"/>
    <mergeCell ref="A317:B317"/>
    <mergeCell ref="A322:B322"/>
    <mergeCell ref="A323:B323"/>
    <mergeCell ref="A301:B301"/>
    <mergeCell ref="A337:H337"/>
    <mergeCell ref="A338:H338"/>
    <mergeCell ref="G297:H315"/>
    <mergeCell ref="A335:B335"/>
    <mergeCell ref="A357:B357"/>
    <mergeCell ref="A348:B348"/>
    <mergeCell ref="A352:B352"/>
    <mergeCell ref="G339:H349"/>
    <mergeCell ref="A343:B343"/>
    <mergeCell ref="A344:B344"/>
    <mergeCell ref="A358:B358"/>
    <mergeCell ref="A359:B359"/>
    <mergeCell ref="A360:B360"/>
    <mergeCell ref="A355:B355"/>
    <mergeCell ref="A356:B356"/>
    <mergeCell ref="A395:H395"/>
    <mergeCell ref="A387:B387"/>
    <mergeCell ref="A384:B384"/>
    <mergeCell ref="A385:B385"/>
    <mergeCell ref="A388:B388"/>
    <mergeCell ref="A389:B389"/>
    <mergeCell ref="A396:B396"/>
    <mergeCell ref="A397:B397"/>
    <mergeCell ref="A398:B398"/>
    <mergeCell ref="A399:B399"/>
    <mergeCell ref="A400:B400"/>
    <mergeCell ref="A401:B401"/>
    <mergeCell ref="A402:B402"/>
    <mergeCell ref="A403:B403"/>
    <mergeCell ref="G396:H427"/>
    <mergeCell ref="A404:B404"/>
    <mergeCell ref="A405:B405"/>
    <mergeCell ref="A406:B406"/>
    <mergeCell ref="A407:B407"/>
    <mergeCell ref="A408:B408"/>
    <mergeCell ref="A409:B409"/>
    <mergeCell ref="A410:B410"/>
    <mergeCell ref="A411:B411"/>
    <mergeCell ref="A412:B412"/>
    <mergeCell ref="A413:B413"/>
    <mergeCell ref="A414:B414"/>
    <mergeCell ref="A415:B415"/>
    <mergeCell ref="A416:B416"/>
    <mergeCell ref="A417:B417"/>
    <mergeCell ref="A418:B418"/>
    <mergeCell ref="A419:B419"/>
    <mergeCell ref="A420:B420"/>
    <mergeCell ref="A421:B421"/>
    <mergeCell ref="A422:B422"/>
    <mergeCell ref="A423:B423"/>
    <mergeCell ref="A426:B426"/>
    <mergeCell ref="A427:B427"/>
    <mergeCell ref="A424:B424"/>
    <mergeCell ref="A425:B425"/>
    <mergeCell ref="A492:B492"/>
    <mergeCell ref="A493:B493"/>
    <mergeCell ref="A491:B491"/>
    <mergeCell ref="A431:B431"/>
    <mergeCell ref="A432:B432"/>
    <mergeCell ref="A433:B433"/>
    <mergeCell ref="A428:H428"/>
    <mergeCell ref="A429:H429"/>
    <mergeCell ref="A466:B466"/>
    <mergeCell ref="G464:H498"/>
    <mergeCell ref="A467:B467"/>
    <mergeCell ref="A468:B468"/>
    <mergeCell ref="A469:B469"/>
    <mergeCell ref="A470:B470"/>
    <mergeCell ref="A471:B471"/>
    <mergeCell ref="A478:B478"/>
    <mergeCell ref="A479:B479"/>
    <mergeCell ref="A480:B480"/>
    <mergeCell ref="G430:H462"/>
    <mergeCell ref="A434:B434"/>
    <mergeCell ref="A435:B435"/>
    <mergeCell ref="A436:B436"/>
    <mergeCell ref="A437:B437"/>
    <mergeCell ref="A438:B438"/>
    <mergeCell ref="A439:B439"/>
    <mergeCell ref="A440:B440"/>
    <mergeCell ref="A441:B441"/>
    <mergeCell ref="A442:B442"/>
    <mergeCell ref="A443:B443"/>
    <mergeCell ref="A444:B444"/>
    <mergeCell ref="A445:B445"/>
    <mergeCell ref="A446:B446"/>
    <mergeCell ref="A447:B447"/>
    <mergeCell ref="A448:B448"/>
    <mergeCell ref="A449:B449"/>
    <mergeCell ref="A450:B450"/>
    <mergeCell ref="A430:B430"/>
    <mergeCell ref="A452:B452"/>
    <mergeCell ref="A453:B453"/>
    <mergeCell ref="A454:B454"/>
    <mergeCell ref="A455:B455"/>
    <mergeCell ref="A456:B456"/>
    <mergeCell ref="A473:B473"/>
    <mergeCell ref="A474:B474"/>
    <mergeCell ref="A475:B475"/>
    <mergeCell ref="A476:B476"/>
    <mergeCell ref="A497:B497"/>
    <mergeCell ref="A498:B498"/>
    <mergeCell ref="A494:B494"/>
    <mergeCell ref="A495:B495"/>
    <mergeCell ref="A496:B496"/>
    <mergeCell ref="A462:B462"/>
    <mergeCell ref="A459:B459"/>
    <mergeCell ref="A460:B460"/>
    <mergeCell ref="A461:B461"/>
    <mergeCell ref="E25:H25"/>
    <mergeCell ref="A490:B490"/>
    <mergeCell ref="C35:H35"/>
    <mergeCell ref="A36:B36"/>
    <mergeCell ref="C36:H36"/>
    <mergeCell ref="A482:B482"/>
    <mergeCell ref="A483:B483"/>
    <mergeCell ref="A484:B484"/>
    <mergeCell ref="A485:B485"/>
    <mergeCell ref="A486:B486"/>
    <mergeCell ref="A477:B477"/>
    <mergeCell ref="A487:B487"/>
    <mergeCell ref="A488:B488"/>
    <mergeCell ref="A489:B489"/>
    <mergeCell ref="A68:B68"/>
    <mergeCell ref="A69:B69"/>
    <mergeCell ref="A70:B70"/>
    <mergeCell ref="A71:B71"/>
    <mergeCell ref="A481:B481"/>
    <mergeCell ref="A472:B472"/>
    <mergeCell ref="A463:H463"/>
    <mergeCell ref="A464:B464"/>
    <mergeCell ref="A465:B465"/>
    <mergeCell ref="A451:B451"/>
    <mergeCell ref="L285:M285"/>
    <mergeCell ref="I2:O4"/>
    <mergeCell ref="I1:O1"/>
    <mergeCell ref="K106:Q106"/>
    <mergeCell ref="K107:Q109"/>
    <mergeCell ref="A116:B116"/>
    <mergeCell ref="C116:H116"/>
    <mergeCell ref="A118:B118"/>
    <mergeCell ref="C118:H118"/>
    <mergeCell ref="A119:B119"/>
    <mergeCell ref="E119:F119"/>
    <mergeCell ref="G119:H119"/>
    <mergeCell ref="A51:H51"/>
    <mergeCell ref="A52:C52"/>
    <mergeCell ref="C49:H49"/>
    <mergeCell ref="A15:B15"/>
    <mergeCell ref="C15:D15"/>
    <mergeCell ref="E15:F15"/>
    <mergeCell ref="A457:B457"/>
    <mergeCell ref="A458:B458"/>
    <mergeCell ref="A290:H290"/>
    <mergeCell ref="A291:B291"/>
    <mergeCell ref="L291:M291"/>
    <mergeCell ref="I55:M55"/>
    <mergeCell ref="I54:M54"/>
    <mergeCell ref="A286:B286"/>
    <mergeCell ref="L286:M286"/>
    <mergeCell ref="A287:B287"/>
    <mergeCell ref="L287:M287"/>
    <mergeCell ref="A288:B288"/>
    <mergeCell ref="L288:M288"/>
    <mergeCell ref="A289:B289"/>
    <mergeCell ref="L289:M289"/>
    <mergeCell ref="A216:B216"/>
    <mergeCell ref="D216:E216"/>
    <mergeCell ref="F216:H216"/>
    <mergeCell ref="A281:H281"/>
    <mergeCell ref="A282:B282"/>
    <mergeCell ref="L282:M282"/>
    <mergeCell ref="A72:B72"/>
    <mergeCell ref="A73:B73"/>
    <mergeCell ref="A58:C58"/>
    <mergeCell ref="D58:H58"/>
    <mergeCell ref="A211:E211"/>
    <mergeCell ref="A283:B283"/>
    <mergeCell ref="L283:M283"/>
    <mergeCell ref="A284:B284"/>
    <mergeCell ref="L284:M284"/>
    <mergeCell ref="A285:B285"/>
    <mergeCell ref="A23:D23"/>
    <mergeCell ref="A24:D24"/>
    <mergeCell ref="E24:H24"/>
    <mergeCell ref="E23:H23"/>
    <mergeCell ref="A25:D25"/>
    <mergeCell ref="A30:B30"/>
    <mergeCell ref="C30:E30"/>
    <mergeCell ref="A31:B31"/>
    <mergeCell ref="C31:E31"/>
    <mergeCell ref="A32:B32"/>
    <mergeCell ref="C32:E32"/>
    <mergeCell ref="C33:E33"/>
    <mergeCell ref="A29:B29"/>
    <mergeCell ref="F211:H211"/>
    <mergeCell ref="A207:E207"/>
    <mergeCell ref="F207:H207"/>
    <mergeCell ref="A208:E208"/>
    <mergeCell ref="F208:H208"/>
    <mergeCell ref="A209:E209"/>
  </mergeCells>
  <dataValidations count="5">
    <dataValidation type="list" allowBlank="1" showInputMessage="1" showErrorMessage="1" sqref="D232:D233" xr:uid="{00000000-0002-0000-0000-000000000000}">
      <formula1>"Carpet area,RERA Carpet area"</formula1>
    </dataValidation>
    <dataValidation type="list" allowBlank="1" showInputMessage="1" showErrorMessage="1" sqref="H232" xr:uid="{00000000-0002-0000-0000-000001000000}">
      <formula1>"Saleable area Loading :,Builder Saleable Area"</formula1>
    </dataValidation>
    <dataValidation type="list" allowBlank="1" showInputMessage="1" showErrorMessage="1" sqref="H233" xr:uid="{00000000-0002-0000-0000-000002000000}">
      <formula1>".45,.50,.55,.60"</formula1>
    </dataValidation>
    <dataValidation type="list" allowBlank="1" showInputMessage="1" showErrorMessage="1" sqref="B232:B233" xr:uid="{00000000-0002-0000-0000-000003000000}">
      <formula1>"Shop No. (Sale Plan),Sale / Rehab,Sale / Mhada"</formula1>
    </dataValidation>
    <dataValidation type="list" allowBlank="1" showInputMessage="1" showErrorMessage="1" sqref="E232:E233" xr:uid="{00000000-0002-0000-0000-000004000000}">
      <formula1>"Attached Loft area,Attached Otla area,Attached Mezzanine area"</formula1>
    </dataValidation>
  </dataValidations>
  <hyperlinks>
    <hyperlink ref="C36" r:id="rId1" xr:uid="{00000000-0004-0000-0000-000000000000}"/>
  </hyperlinks>
  <printOptions horizontalCentered="1"/>
  <pageMargins left="0.39370078740157483" right="0.39370078740157483" top="0.78740157480314965" bottom="0.78740157480314965" header="0.19685039370078741" footer="0.19685039370078741"/>
  <pageSetup paperSize="9" scale="84" fitToHeight="0" orientation="portrait" r:id="rId2"/>
  <headerFooter>
    <oddHeader>&amp;C&amp;G</oddHeader>
    <oddFooter>&amp;L&amp;"Times New Roman,Bold"&amp;12Ref No: &amp;F&amp;C&amp;G&amp;R&amp;"Times New Roman,Bold"&amp;12                                                                   &amp;P</oddFooter>
  </headerFooter>
  <rowBreaks count="6" manualBreakCount="6">
    <brk id="73" max="16383" man="1"/>
    <brk id="115" max="16383" man="1"/>
    <brk id="157" max="16383" man="1"/>
    <brk id="628" max="16383" man="1"/>
    <brk id="669" max="7" man="1"/>
    <brk id="713"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36"/>
  <sheetViews>
    <sheetView workbookViewId="0">
      <selection activeCell="M197" sqref="M197"/>
    </sheetView>
  </sheetViews>
  <sheetFormatPr defaultRowHeight="14.4" x14ac:dyDescent="0.3"/>
  <cols>
    <col min="2" max="2" width="12.33203125" customWidth="1"/>
  </cols>
  <sheetData>
    <row r="2" spans="1:12" x14ac:dyDescent="0.3">
      <c r="B2" s="3" t="s">
        <v>78</v>
      </c>
      <c r="C2" s="169"/>
      <c r="D2" s="169"/>
    </row>
    <row r="3" spans="1:12" x14ac:dyDescent="0.3">
      <c r="D3" s="4"/>
      <c r="E3" s="4"/>
      <c r="F3" s="4"/>
      <c r="G3" s="4"/>
      <c r="H3" s="4"/>
      <c r="I3" s="4"/>
    </row>
    <row r="4" spans="1:12" x14ac:dyDescent="0.3">
      <c r="A4" s="3" t="s">
        <v>79</v>
      </c>
      <c r="B4" s="5" t="s">
        <v>80</v>
      </c>
      <c r="C4" s="170" t="s">
        <v>81</v>
      </c>
      <c r="D4" s="170"/>
      <c r="E4" s="170"/>
      <c r="F4" s="6"/>
      <c r="G4" s="170" t="s">
        <v>82</v>
      </c>
      <c r="H4" s="170"/>
      <c r="I4" s="170"/>
      <c r="J4" s="170" t="s">
        <v>83</v>
      </c>
      <c r="K4" s="170"/>
      <c r="L4" s="170"/>
    </row>
    <row r="5" spans="1:12" x14ac:dyDescent="0.3">
      <c r="A5" s="3">
        <v>202</v>
      </c>
      <c r="B5" s="5"/>
      <c r="C5" s="5" t="s">
        <v>84</v>
      </c>
      <c r="D5" s="5" t="s">
        <v>85</v>
      </c>
      <c r="E5" s="5" t="s">
        <v>59</v>
      </c>
      <c r="F5" s="5"/>
      <c r="G5" s="5" t="s">
        <v>84</v>
      </c>
      <c r="H5" s="5" t="s">
        <v>85</v>
      </c>
      <c r="I5" s="5" t="s">
        <v>59</v>
      </c>
      <c r="J5" s="5" t="s">
        <v>84</v>
      </c>
      <c r="K5" s="5" t="s">
        <v>85</v>
      </c>
      <c r="L5" s="5" t="s">
        <v>59</v>
      </c>
    </row>
    <row r="6" spans="1:12" x14ac:dyDescent="0.3">
      <c r="B6" s="7" t="s">
        <v>86</v>
      </c>
      <c r="C6" s="7">
        <v>4.5</v>
      </c>
      <c r="D6" s="7">
        <v>2.9</v>
      </c>
      <c r="E6" s="7">
        <f>C6*D6</f>
        <v>13.049999999999999</v>
      </c>
      <c r="F6" s="7" t="s">
        <v>87</v>
      </c>
      <c r="G6" s="7"/>
      <c r="H6" s="7"/>
      <c r="I6" s="7">
        <f>G6*H6</f>
        <v>0</v>
      </c>
      <c r="J6" s="7"/>
      <c r="K6" s="7"/>
      <c r="L6" s="7">
        <f>J6*K6</f>
        <v>0</v>
      </c>
    </row>
    <row r="7" spans="1:12" x14ac:dyDescent="0.3">
      <c r="B7" s="7"/>
      <c r="C7" s="7"/>
      <c r="D7" s="7"/>
      <c r="E7" s="7">
        <f t="shared" ref="E7:E33" si="0">C7*D7</f>
        <v>0</v>
      </c>
      <c r="F7" s="7" t="s">
        <v>88</v>
      </c>
      <c r="G7" s="7"/>
      <c r="H7" s="7"/>
      <c r="I7" s="7">
        <f t="shared" ref="I7:I29" si="1">G7*H7</f>
        <v>0</v>
      </c>
      <c r="J7" s="7"/>
      <c r="K7" s="7"/>
      <c r="L7" s="7">
        <f t="shared" ref="L7:L29" si="2">J7*K7</f>
        <v>0</v>
      </c>
    </row>
    <row r="8" spans="1:12" x14ac:dyDescent="0.3">
      <c r="B8" s="7"/>
      <c r="C8" s="7"/>
      <c r="D8" s="7"/>
      <c r="E8" s="7">
        <f t="shared" si="0"/>
        <v>0</v>
      </c>
      <c r="F8" s="7"/>
      <c r="G8" s="7"/>
      <c r="H8" s="7"/>
      <c r="I8" s="7">
        <f t="shared" si="1"/>
        <v>0</v>
      </c>
      <c r="J8" s="7"/>
      <c r="K8" s="7"/>
      <c r="L8" s="7">
        <f t="shared" si="2"/>
        <v>0</v>
      </c>
    </row>
    <row r="9" spans="1:12" x14ac:dyDescent="0.3">
      <c r="B9" s="7" t="s">
        <v>89</v>
      </c>
      <c r="C9" s="7">
        <v>1.88</v>
      </c>
      <c r="D9" s="7">
        <v>2.13</v>
      </c>
      <c r="E9" s="7">
        <f t="shared" si="0"/>
        <v>4.0043999999999995</v>
      </c>
      <c r="F9" s="7" t="s">
        <v>87</v>
      </c>
      <c r="G9" s="7"/>
      <c r="H9" s="7"/>
      <c r="I9" s="7">
        <f t="shared" si="1"/>
        <v>0</v>
      </c>
      <c r="J9" s="7"/>
      <c r="K9" s="7"/>
      <c r="L9" s="7">
        <f t="shared" si="2"/>
        <v>0</v>
      </c>
    </row>
    <row r="10" spans="1:12" x14ac:dyDescent="0.3">
      <c r="B10" s="7"/>
      <c r="C10" s="7"/>
      <c r="D10" s="7"/>
      <c r="E10" s="7">
        <f t="shared" si="0"/>
        <v>0</v>
      </c>
      <c r="F10" s="7" t="s">
        <v>88</v>
      </c>
      <c r="G10" s="7"/>
      <c r="H10" s="7"/>
      <c r="I10" s="7">
        <f t="shared" si="1"/>
        <v>0</v>
      </c>
      <c r="J10" s="7"/>
      <c r="K10" s="7"/>
      <c r="L10" s="7">
        <f t="shared" si="2"/>
        <v>0</v>
      </c>
    </row>
    <row r="11" spans="1:12" x14ac:dyDescent="0.3">
      <c r="B11" s="7"/>
      <c r="C11" s="7"/>
      <c r="D11" s="7"/>
      <c r="E11" s="7">
        <f t="shared" si="0"/>
        <v>0</v>
      </c>
      <c r="F11" s="7"/>
      <c r="G11" s="7"/>
      <c r="H11" s="7"/>
      <c r="I11" s="7">
        <f t="shared" si="1"/>
        <v>0</v>
      </c>
      <c r="J11" s="7"/>
      <c r="K11" s="7"/>
      <c r="L11" s="7">
        <f t="shared" si="2"/>
        <v>0</v>
      </c>
    </row>
    <row r="12" spans="1:12" x14ac:dyDescent="0.3">
      <c r="B12" s="7"/>
      <c r="C12" s="7"/>
      <c r="D12" s="7"/>
      <c r="E12" s="7">
        <f t="shared" si="0"/>
        <v>0</v>
      </c>
      <c r="F12" s="7"/>
      <c r="G12" s="7"/>
      <c r="H12" s="7"/>
      <c r="I12" s="7">
        <f t="shared" si="1"/>
        <v>0</v>
      </c>
      <c r="J12" s="7"/>
      <c r="K12" s="7"/>
      <c r="L12" s="7">
        <f t="shared" si="2"/>
        <v>0</v>
      </c>
    </row>
    <row r="13" spans="1:12" x14ac:dyDescent="0.3">
      <c r="B13" s="7" t="s">
        <v>90</v>
      </c>
      <c r="C13" s="7"/>
      <c r="D13" s="7"/>
      <c r="E13" s="7">
        <f t="shared" si="0"/>
        <v>0</v>
      </c>
      <c r="F13" s="7" t="s">
        <v>87</v>
      </c>
      <c r="G13" s="7"/>
      <c r="H13" s="7"/>
      <c r="I13" s="7">
        <f t="shared" si="1"/>
        <v>0</v>
      </c>
      <c r="J13" s="7"/>
      <c r="K13" s="7"/>
      <c r="L13" s="7">
        <f t="shared" si="2"/>
        <v>0</v>
      </c>
    </row>
    <row r="14" spans="1:12" x14ac:dyDescent="0.3">
      <c r="B14" s="7"/>
      <c r="C14" s="7"/>
      <c r="D14" s="7"/>
      <c r="E14" s="7">
        <f t="shared" si="0"/>
        <v>0</v>
      </c>
      <c r="F14" s="7" t="s">
        <v>88</v>
      </c>
      <c r="G14" s="7"/>
      <c r="H14" s="7"/>
      <c r="I14" s="7">
        <f t="shared" si="1"/>
        <v>0</v>
      </c>
      <c r="J14" s="7"/>
      <c r="K14" s="7"/>
      <c r="L14" s="7">
        <f t="shared" si="2"/>
        <v>0</v>
      </c>
    </row>
    <row r="15" spans="1:12" x14ac:dyDescent="0.3">
      <c r="B15" s="7"/>
      <c r="C15" s="7"/>
      <c r="D15" s="7"/>
      <c r="E15" s="7">
        <f t="shared" si="0"/>
        <v>0</v>
      </c>
      <c r="F15" s="7"/>
      <c r="G15" s="7"/>
      <c r="H15" s="7"/>
      <c r="I15" s="7">
        <f t="shared" si="1"/>
        <v>0</v>
      </c>
      <c r="J15" s="7"/>
      <c r="K15" s="7"/>
      <c r="L15" s="7">
        <f t="shared" si="2"/>
        <v>0</v>
      </c>
    </row>
    <row r="16" spans="1:12" x14ac:dyDescent="0.3">
      <c r="B16" s="7"/>
      <c r="C16" s="7"/>
      <c r="D16" s="7"/>
      <c r="E16" s="7">
        <f t="shared" si="0"/>
        <v>0</v>
      </c>
      <c r="F16" s="7"/>
      <c r="G16" s="7"/>
      <c r="H16" s="7"/>
      <c r="I16" s="7">
        <f t="shared" si="1"/>
        <v>0</v>
      </c>
      <c r="J16" s="7"/>
      <c r="K16" s="7"/>
      <c r="L16" s="7">
        <f t="shared" si="2"/>
        <v>0</v>
      </c>
    </row>
    <row r="17" spans="2:12" x14ac:dyDescent="0.3">
      <c r="B17" s="7" t="s">
        <v>91</v>
      </c>
      <c r="C17" s="7"/>
      <c r="D17" s="7"/>
      <c r="E17" s="7">
        <f t="shared" si="0"/>
        <v>0</v>
      </c>
      <c r="F17" s="7" t="s">
        <v>87</v>
      </c>
      <c r="G17" s="7"/>
      <c r="H17" s="7"/>
      <c r="I17" s="7">
        <f t="shared" si="1"/>
        <v>0</v>
      </c>
      <c r="J17" s="7"/>
      <c r="K17" s="7"/>
      <c r="L17" s="7">
        <f t="shared" si="2"/>
        <v>0</v>
      </c>
    </row>
    <row r="18" spans="2:12" x14ac:dyDescent="0.3">
      <c r="B18" s="7"/>
      <c r="C18" s="7"/>
      <c r="D18" s="7"/>
      <c r="E18" s="7">
        <f t="shared" si="0"/>
        <v>0</v>
      </c>
      <c r="F18" s="7" t="s">
        <v>88</v>
      </c>
      <c r="G18" s="7"/>
      <c r="H18" s="7"/>
      <c r="I18" s="7">
        <f t="shared" si="1"/>
        <v>0</v>
      </c>
      <c r="J18" s="7"/>
      <c r="K18" s="7"/>
      <c r="L18" s="7">
        <f t="shared" si="2"/>
        <v>0</v>
      </c>
    </row>
    <row r="19" spans="2:12" x14ac:dyDescent="0.3">
      <c r="B19" s="7"/>
      <c r="C19" s="7"/>
      <c r="D19" s="7"/>
      <c r="E19" s="7">
        <f t="shared" si="0"/>
        <v>0</v>
      </c>
      <c r="F19" s="7"/>
      <c r="G19" s="7"/>
      <c r="H19" s="7"/>
      <c r="I19" s="7">
        <f t="shared" si="1"/>
        <v>0</v>
      </c>
      <c r="J19" s="7"/>
      <c r="K19" s="7"/>
      <c r="L19" s="7">
        <f t="shared" si="2"/>
        <v>0</v>
      </c>
    </row>
    <row r="20" spans="2:12" x14ac:dyDescent="0.3">
      <c r="B20" s="7" t="s">
        <v>91</v>
      </c>
      <c r="C20" s="7"/>
      <c r="D20" s="7"/>
      <c r="E20" s="7">
        <f t="shared" si="0"/>
        <v>0</v>
      </c>
      <c r="F20" s="7" t="s">
        <v>87</v>
      </c>
      <c r="G20" s="7"/>
      <c r="H20" s="7"/>
      <c r="I20" s="7">
        <f t="shared" si="1"/>
        <v>0</v>
      </c>
      <c r="J20" s="7"/>
      <c r="K20" s="7"/>
      <c r="L20" s="7">
        <f t="shared" si="2"/>
        <v>0</v>
      </c>
    </row>
    <row r="21" spans="2:12" x14ac:dyDescent="0.3">
      <c r="B21" s="7"/>
      <c r="C21" s="7"/>
      <c r="D21" s="7"/>
      <c r="E21" s="7">
        <f t="shared" si="0"/>
        <v>0</v>
      </c>
      <c r="F21" s="7" t="s">
        <v>88</v>
      </c>
      <c r="G21" s="7"/>
      <c r="H21" s="7"/>
      <c r="I21" s="7">
        <f t="shared" si="1"/>
        <v>0</v>
      </c>
      <c r="J21" s="7"/>
      <c r="K21" s="7"/>
      <c r="L21" s="7">
        <f t="shared" si="2"/>
        <v>0</v>
      </c>
    </row>
    <row r="22" spans="2:12" x14ac:dyDescent="0.3">
      <c r="B22" s="7"/>
      <c r="C22" s="7"/>
      <c r="D22" s="7"/>
      <c r="E22" s="7">
        <f t="shared" si="0"/>
        <v>0</v>
      </c>
      <c r="F22" s="7"/>
      <c r="G22" s="7"/>
      <c r="H22" s="7"/>
      <c r="I22" s="7">
        <f t="shared" si="1"/>
        <v>0</v>
      </c>
      <c r="J22" s="7"/>
      <c r="K22" s="7"/>
      <c r="L22" s="7">
        <f t="shared" si="2"/>
        <v>0</v>
      </c>
    </row>
    <row r="23" spans="2:12" x14ac:dyDescent="0.3">
      <c r="B23" s="7" t="s">
        <v>92</v>
      </c>
      <c r="C23" s="7">
        <v>1.9</v>
      </c>
      <c r="D23" s="7">
        <v>1.07</v>
      </c>
      <c r="E23" s="7">
        <f t="shared" si="0"/>
        <v>2.0329999999999999</v>
      </c>
      <c r="F23" s="7" t="s">
        <v>93</v>
      </c>
      <c r="G23" s="7"/>
      <c r="H23" s="7"/>
      <c r="I23" s="7">
        <f t="shared" si="1"/>
        <v>0</v>
      </c>
      <c r="J23" s="7"/>
      <c r="K23" s="7"/>
      <c r="L23" s="7">
        <f t="shared" si="2"/>
        <v>0</v>
      </c>
    </row>
    <row r="24" spans="2:12" x14ac:dyDescent="0.3">
      <c r="B24" s="7" t="s">
        <v>94</v>
      </c>
      <c r="C24" s="7"/>
      <c r="D24" s="7"/>
      <c r="E24" s="7">
        <f t="shared" si="0"/>
        <v>0</v>
      </c>
      <c r="F24" s="7" t="s">
        <v>93</v>
      </c>
      <c r="G24" s="7"/>
      <c r="H24" s="7"/>
      <c r="I24" s="7">
        <f t="shared" si="1"/>
        <v>0</v>
      </c>
      <c r="J24" s="7"/>
      <c r="K24" s="7"/>
      <c r="L24" s="7">
        <f t="shared" si="2"/>
        <v>0</v>
      </c>
    </row>
    <row r="25" spans="2:12" x14ac:dyDescent="0.3">
      <c r="B25" s="7" t="s">
        <v>95</v>
      </c>
      <c r="C25" s="7"/>
      <c r="D25" s="7"/>
      <c r="E25" s="7">
        <f t="shared" si="0"/>
        <v>0</v>
      </c>
      <c r="F25" s="7" t="s">
        <v>93</v>
      </c>
      <c r="G25" s="7"/>
      <c r="H25" s="7"/>
      <c r="I25" s="7">
        <f t="shared" si="1"/>
        <v>0</v>
      </c>
      <c r="J25" s="7"/>
      <c r="K25" s="7"/>
      <c r="L25" s="7">
        <f t="shared" si="2"/>
        <v>0</v>
      </c>
    </row>
    <row r="26" spans="2:12" x14ac:dyDescent="0.3">
      <c r="B26" s="7"/>
      <c r="C26" s="7"/>
      <c r="D26" s="7"/>
      <c r="E26" s="7">
        <f t="shared" si="0"/>
        <v>0</v>
      </c>
      <c r="F26" s="7"/>
      <c r="G26" s="7"/>
      <c r="H26" s="7"/>
      <c r="I26" s="7">
        <f t="shared" si="1"/>
        <v>0</v>
      </c>
      <c r="J26" s="7"/>
      <c r="K26" s="7"/>
      <c r="L26" s="7">
        <f t="shared" si="2"/>
        <v>0</v>
      </c>
    </row>
    <row r="27" spans="2:12" x14ac:dyDescent="0.3">
      <c r="B27" s="7" t="s">
        <v>96</v>
      </c>
      <c r="C27" s="7"/>
      <c r="D27" s="7"/>
      <c r="E27" s="7">
        <f t="shared" si="0"/>
        <v>0</v>
      </c>
      <c r="F27" s="7"/>
      <c r="G27" s="7"/>
      <c r="H27" s="7"/>
      <c r="I27" s="7">
        <f t="shared" si="1"/>
        <v>0</v>
      </c>
      <c r="J27" s="7"/>
      <c r="K27" s="7"/>
      <c r="L27" s="7">
        <f t="shared" si="2"/>
        <v>0</v>
      </c>
    </row>
    <row r="28" spans="2:12" x14ac:dyDescent="0.3">
      <c r="B28" s="7" t="s">
        <v>97</v>
      </c>
      <c r="C28" s="7"/>
      <c r="D28" s="7"/>
      <c r="E28" s="7">
        <f t="shared" si="0"/>
        <v>0</v>
      </c>
      <c r="F28" s="7"/>
      <c r="G28" s="7"/>
      <c r="H28" s="7"/>
      <c r="I28" s="7">
        <f t="shared" si="1"/>
        <v>0</v>
      </c>
      <c r="J28" s="7"/>
      <c r="K28" s="7"/>
      <c r="L28" s="7">
        <f t="shared" si="2"/>
        <v>0</v>
      </c>
    </row>
    <row r="29" spans="2:12" x14ac:dyDescent="0.3">
      <c r="B29" s="7" t="s">
        <v>98</v>
      </c>
      <c r="C29" s="7"/>
      <c r="D29" s="7"/>
      <c r="E29" s="7">
        <f t="shared" si="0"/>
        <v>0</v>
      </c>
      <c r="F29" s="7"/>
      <c r="G29" s="7"/>
      <c r="H29" s="7"/>
      <c r="I29" s="7">
        <f t="shared" si="1"/>
        <v>0</v>
      </c>
      <c r="J29" s="7"/>
      <c r="K29" s="7"/>
      <c r="L29" s="7">
        <f t="shared" si="2"/>
        <v>0</v>
      </c>
    </row>
    <row r="30" spans="2:12" x14ac:dyDescent="0.3">
      <c r="B30" s="7" t="s">
        <v>99</v>
      </c>
      <c r="C30" s="7"/>
      <c r="D30" s="7"/>
      <c r="E30" s="7">
        <f t="shared" si="0"/>
        <v>0</v>
      </c>
      <c r="F30" s="7"/>
      <c r="G30" s="7"/>
      <c r="H30" s="7"/>
      <c r="I30" s="7">
        <f>G30*H30</f>
        <v>0</v>
      </c>
      <c r="J30" s="7"/>
      <c r="K30" s="7"/>
      <c r="L30" s="7">
        <f>J30*K30</f>
        <v>0</v>
      </c>
    </row>
    <row r="31" spans="2:12" x14ac:dyDescent="0.3">
      <c r="B31" s="7"/>
      <c r="C31" s="7"/>
      <c r="D31" s="7"/>
      <c r="E31" s="7">
        <f t="shared" si="0"/>
        <v>0</v>
      </c>
      <c r="F31" s="7"/>
      <c r="G31" s="7"/>
      <c r="H31" s="7"/>
      <c r="I31" s="7">
        <f>G31*H31</f>
        <v>0</v>
      </c>
      <c r="J31" s="7"/>
      <c r="K31" s="7"/>
      <c r="L31" s="7">
        <f>J31*K31</f>
        <v>0</v>
      </c>
    </row>
    <row r="32" spans="2:12" x14ac:dyDescent="0.3">
      <c r="B32" s="7"/>
      <c r="C32" s="7"/>
      <c r="D32" s="7"/>
      <c r="E32" s="7">
        <f t="shared" si="0"/>
        <v>0</v>
      </c>
      <c r="F32" s="7"/>
      <c r="G32" s="7"/>
      <c r="H32" s="7"/>
      <c r="I32" s="7">
        <f>G32*H32</f>
        <v>0</v>
      </c>
      <c r="J32" s="7"/>
      <c r="K32" s="7"/>
      <c r="L32" s="7">
        <f>J32*K32</f>
        <v>0</v>
      </c>
    </row>
    <row r="33" spans="2:12" x14ac:dyDescent="0.3">
      <c r="B33" s="7"/>
      <c r="C33" s="7"/>
      <c r="D33" s="7"/>
      <c r="E33" s="7">
        <f t="shared" si="0"/>
        <v>0</v>
      </c>
      <c r="F33" s="7"/>
      <c r="G33" s="7"/>
      <c r="H33" s="7"/>
      <c r="I33" s="7">
        <f>G33*H33</f>
        <v>0</v>
      </c>
      <c r="J33" s="7"/>
      <c r="K33" s="7"/>
      <c r="L33" s="7">
        <f>J33*K33</f>
        <v>0</v>
      </c>
    </row>
    <row r="34" spans="2:12" x14ac:dyDescent="0.3">
      <c r="B34" s="7" t="s">
        <v>60</v>
      </c>
      <c r="C34" s="7"/>
      <c r="D34" s="7">
        <f>E34*10.764</f>
        <v>205.45677359999996</v>
      </c>
      <c r="E34" s="7">
        <f>SUM(E6:E33)</f>
        <v>19.087399999999999</v>
      </c>
      <c r="F34" s="7"/>
      <c r="G34" s="7"/>
      <c r="H34" s="7">
        <f>I34*10.764</f>
        <v>0</v>
      </c>
      <c r="I34" s="7">
        <f>SUM(I6:I33)</f>
        <v>0</v>
      </c>
      <c r="J34" s="7"/>
      <c r="K34" s="7">
        <f>L34*10.764</f>
        <v>0</v>
      </c>
      <c r="L34" s="7">
        <f>SUM(L6:L33)</f>
        <v>0</v>
      </c>
    </row>
    <row r="36" spans="2:12" x14ac:dyDescent="0.3">
      <c r="D36">
        <f>D34+H34</f>
        <v>205.45677359999996</v>
      </c>
      <c r="E36">
        <f>E34+I34</f>
        <v>19.087399999999999</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C16" sqref="C16"/>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Flat detail</vt:lpstr>
      <vt:lpstr>Note</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2025-09-17T09:01:35Z</cp:lastPrinted>
  <dcterms:created xsi:type="dcterms:W3CDTF">2019-07-16T09:29:46Z</dcterms:created>
  <dcterms:modified xsi:type="dcterms:W3CDTF">2025-09-17T09:03:15Z</dcterms:modified>
</cp:coreProperties>
</file>