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D:\Kunal\Sept 25\Axis\Dump\"/>
    </mc:Choice>
  </mc:AlternateContent>
  <xr:revisionPtr revIDLastSave="0" documentId="13_ncr:1_{2251159F-5E1E-43E0-9BE9-D0FBE256C2BC}" xr6:coauthVersionLast="47" xr6:coauthVersionMax="47" xr10:uidLastSave="{00000000-0000-0000-0000-000000000000}"/>
  <bookViews>
    <workbookView xWindow="-108" yWindow="-108" windowWidth="23256" windowHeight="12456" tabRatio="857" xr2:uid="{00000000-000D-0000-FFFF-FFFF00000000}"/>
  </bookViews>
  <sheets>
    <sheet name="Sheet1" sheetId="1" r:id="rId1"/>
    <sheet name="Note" sheetId="19" r:id="rId2"/>
    <sheet name="valuation" sheetId="20" r:id="rId3"/>
    <sheet name="C % 1A,C" sheetId="16" r:id="rId4"/>
    <sheet name="B" sheetId="18" r:id="rId5"/>
    <sheet name="D" sheetId="17" r:id="rId6"/>
  </sheets>
  <definedNames>
    <definedName name="_xlnm.Print_Area" localSheetId="0">Sheet1!$A$1:$J$375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0" i="1" l="1"/>
  <c r="I214" i="1"/>
  <c r="I188" i="1"/>
  <c r="I178" i="1"/>
  <c r="D199" i="1"/>
  <c r="D200" i="1"/>
  <c r="D201" i="1"/>
  <c r="D202" i="1"/>
  <c r="E207" i="1"/>
  <c r="E206" i="1"/>
  <c r="E205" i="1"/>
  <c r="E204" i="1"/>
  <c r="D207" i="1"/>
  <c r="D206" i="1"/>
  <c r="D205" i="1"/>
  <c r="D204" i="1"/>
  <c r="D197" i="1"/>
  <c r="D196" i="1"/>
  <c r="I204" i="1"/>
  <c r="I199" i="1"/>
  <c r="I196" i="1"/>
  <c r="E175" i="1"/>
  <c r="E174" i="1"/>
  <c r="E173" i="1"/>
  <c r="E172" i="1"/>
  <c r="E171" i="1"/>
  <c r="E170" i="1"/>
  <c r="D175" i="1"/>
  <c r="F175" i="1" s="1"/>
  <c r="H175" i="1" s="1"/>
  <c r="D174" i="1"/>
  <c r="D173" i="1"/>
  <c r="D172" i="1"/>
  <c r="D171" i="1"/>
  <c r="D170" i="1"/>
  <c r="K170" i="1"/>
  <c r="I170" i="1"/>
  <c r="I163" i="1"/>
  <c r="I149" i="1"/>
  <c r="F205" i="1" l="1"/>
  <c r="H205" i="1" s="1"/>
  <c r="F174" i="1"/>
  <c r="H174" i="1" s="1"/>
  <c r="F171" i="1"/>
  <c r="H171" i="1" s="1"/>
  <c r="F206" i="1"/>
  <c r="H206" i="1" s="1"/>
  <c r="F204" i="1"/>
  <c r="H204" i="1" s="1"/>
  <c r="F207" i="1"/>
  <c r="H207" i="1" s="1"/>
  <c r="F173" i="1"/>
  <c r="H173" i="1" s="1"/>
  <c r="F172" i="1"/>
  <c r="H172" i="1" s="1"/>
  <c r="F170" i="1"/>
  <c r="H170" i="1" s="1"/>
  <c r="F37" i="1"/>
  <c r="F38" i="1" l="1"/>
  <c r="F39" i="1" s="1"/>
  <c r="F3" i="1" l="1"/>
  <c r="D97" i="1" l="1"/>
  <c r="D96" i="1"/>
  <c r="L95" i="1"/>
  <c r="D95" i="1"/>
  <c r="L94" i="1"/>
  <c r="D94" i="1"/>
  <c r="L93" i="1"/>
  <c r="D93" i="1"/>
  <c r="L92" i="1"/>
  <c r="D92" i="1"/>
  <c r="D91" i="1"/>
  <c r="L90" i="1"/>
  <c r="L91" i="1" s="1"/>
  <c r="L96" i="1" s="1"/>
  <c r="L97" i="1" s="1"/>
  <c r="C89" i="1" s="1"/>
  <c r="D90" i="1"/>
  <c r="L89" i="1"/>
  <c r="C88" i="1" s="1"/>
  <c r="L88" i="1"/>
  <c r="L87" i="1"/>
  <c r="D89" i="1" l="1"/>
  <c r="F88" i="1"/>
  <c r="H88" i="1"/>
  <c r="D88" i="1"/>
  <c r="D111" i="1"/>
  <c r="D110" i="1"/>
  <c r="L109" i="1"/>
  <c r="D109" i="1"/>
  <c r="L108" i="1"/>
  <c r="D108" i="1"/>
  <c r="L107" i="1"/>
  <c r="D107" i="1"/>
  <c r="L106" i="1"/>
  <c r="D106" i="1"/>
  <c r="D105" i="1"/>
  <c r="L104" i="1"/>
  <c r="L105" i="1" s="1"/>
  <c r="L110" i="1" s="1"/>
  <c r="L111" i="1" s="1"/>
  <c r="C103" i="1" s="1"/>
  <c r="F102" i="1" s="1"/>
  <c r="D104" i="1"/>
  <c r="L103" i="1"/>
  <c r="C102" i="1" s="1"/>
  <c r="D102" i="1" s="1"/>
  <c r="L102" i="1"/>
  <c r="L101" i="1"/>
  <c r="D83" i="1"/>
  <c r="D82" i="1"/>
  <c r="L81" i="1"/>
  <c r="D81" i="1"/>
  <c r="L80" i="1"/>
  <c r="D80" i="1"/>
  <c r="L79" i="1"/>
  <c r="D79" i="1"/>
  <c r="L78" i="1"/>
  <c r="D78" i="1"/>
  <c r="D77" i="1"/>
  <c r="L76" i="1"/>
  <c r="L77" i="1" s="1"/>
  <c r="L82" i="1" s="1"/>
  <c r="L83" i="1" s="1"/>
  <c r="C75" i="1" s="1"/>
  <c r="D76" i="1"/>
  <c r="L75" i="1"/>
  <c r="C74" i="1" s="1"/>
  <c r="D74" i="1" s="1"/>
  <c r="L74" i="1"/>
  <c r="L73" i="1"/>
  <c r="L67" i="1"/>
  <c r="L66" i="1"/>
  <c r="L65" i="1"/>
  <c r="L64" i="1"/>
  <c r="K84" i="1" l="1"/>
  <c r="C86" i="1" s="1"/>
  <c r="K98" i="1"/>
  <c r="C100" i="1" s="1"/>
  <c r="D103" i="1"/>
  <c r="H102" i="1"/>
  <c r="D75" i="1"/>
  <c r="F74" i="1"/>
  <c r="K70" i="1" s="1"/>
  <c r="C72" i="1" s="1"/>
  <c r="H74" i="1"/>
  <c r="L60" i="1"/>
  <c r="D69" i="1"/>
  <c r="D67" i="1"/>
  <c r="D65" i="1"/>
  <c r="D63" i="1"/>
  <c r="L61" i="1"/>
  <c r="C60" i="1" s="1"/>
  <c r="D60" i="1" s="1"/>
  <c r="L59" i="1"/>
  <c r="L62" i="1"/>
  <c r="L63" i="1" s="1"/>
  <c r="L68" i="1" s="1"/>
  <c r="L69" i="1" s="1"/>
  <c r="C61" i="1" s="1"/>
  <c r="D68" i="1"/>
  <c r="D66" i="1"/>
  <c r="D64" i="1"/>
  <c r="D62" i="1"/>
  <c r="G11" i="20"/>
  <c r="G10" i="20"/>
  <c r="G9" i="20"/>
  <c r="G8" i="20"/>
  <c r="G7" i="20"/>
  <c r="G6" i="20"/>
  <c r="G5" i="20"/>
  <c r="G12" i="20" s="1"/>
  <c r="B6" i="17"/>
  <c r="J6" i="17" s="1"/>
  <c r="G14" i="17" s="1"/>
  <c r="B6" i="18"/>
  <c r="J6" i="18" s="1"/>
  <c r="G14" i="18" s="1"/>
  <c r="E10" i="18"/>
  <c r="E9" i="18"/>
  <c r="E8" i="18"/>
  <c r="O7" i="18"/>
  <c r="H19" i="18" s="1"/>
  <c r="N7" i="18"/>
  <c r="H18" i="18" s="1"/>
  <c r="M7" i="18"/>
  <c r="H17" i="18" s="1"/>
  <c r="L7" i="18"/>
  <c r="H16" i="18" s="1"/>
  <c r="K7" i="18"/>
  <c r="H15" i="18" s="1"/>
  <c r="E7" i="18"/>
  <c r="O6" i="18"/>
  <c r="G19" i="18" s="1"/>
  <c r="N6" i="18"/>
  <c r="G18" i="18" s="1"/>
  <c r="M6" i="18"/>
  <c r="G17" i="18" s="1"/>
  <c r="L6" i="18"/>
  <c r="G16" i="18" s="1"/>
  <c r="K6" i="18"/>
  <c r="G15" i="18" s="1"/>
  <c r="I6" i="18"/>
  <c r="G13" i="18" s="1"/>
  <c r="E6" i="18"/>
  <c r="E4" i="18"/>
  <c r="D50" i="1"/>
  <c r="D186" i="1"/>
  <c r="F186" i="1" s="1"/>
  <c r="H186" i="1" s="1"/>
  <c r="D185" i="1"/>
  <c r="F185" i="1" s="1"/>
  <c r="H185" i="1" s="1"/>
  <c r="D184" i="1"/>
  <c r="F184" i="1" s="1"/>
  <c r="H184" i="1" s="1"/>
  <c r="D183" i="1"/>
  <c r="F183" i="1" s="1"/>
  <c r="H183" i="1" s="1"/>
  <c r="D182" i="1"/>
  <c r="F182" i="1" s="1"/>
  <c r="H182" i="1" s="1"/>
  <c r="D181" i="1"/>
  <c r="F181" i="1" s="1"/>
  <c r="H181" i="1" s="1"/>
  <c r="D180" i="1"/>
  <c r="F180" i="1" s="1"/>
  <c r="D161" i="1"/>
  <c r="F161" i="1" s="1"/>
  <c r="H161" i="1" s="1"/>
  <c r="D160" i="1"/>
  <c r="F160" i="1" s="1"/>
  <c r="H160" i="1" s="1"/>
  <c r="D159" i="1"/>
  <c r="F159" i="1" s="1"/>
  <c r="H159" i="1" s="1"/>
  <c r="D158" i="1"/>
  <c r="F158" i="1" s="1"/>
  <c r="H158" i="1" s="1"/>
  <c r="D157" i="1"/>
  <c r="F157" i="1" s="1"/>
  <c r="H157" i="1" s="1"/>
  <c r="D156" i="1"/>
  <c r="F156" i="1" s="1"/>
  <c r="H156" i="1" s="1"/>
  <c r="D155" i="1"/>
  <c r="F155" i="1" s="1"/>
  <c r="H155" i="1" s="1"/>
  <c r="D154" i="1"/>
  <c r="F154" i="1" s="1"/>
  <c r="H154" i="1" s="1"/>
  <c r="D153" i="1"/>
  <c r="F153" i="1" s="1"/>
  <c r="H153" i="1" s="1"/>
  <c r="D152" i="1"/>
  <c r="F152" i="1" s="1"/>
  <c r="H152" i="1" s="1"/>
  <c r="D151" i="1"/>
  <c r="F151" i="1" s="1"/>
  <c r="H151" i="1" s="1"/>
  <c r="D150" i="1"/>
  <c r="F150" i="1" s="1"/>
  <c r="H150" i="1" s="1"/>
  <c r="D149" i="1"/>
  <c r="F149" i="1" s="1"/>
  <c r="E232" i="1"/>
  <c r="B6" i="16"/>
  <c r="J6" i="16" s="1"/>
  <c r="G14" i="16" s="1"/>
  <c r="E10" i="17"/>
  <c r="E9" i="17"/>
  <c r="E8" i="17"/>
  <c r="K7" i="17"/>
  <c r="H15" i="17" s="1"/>
  <c r="O7" i="17"/>
  <c r="H19" i="17" s="1"/>
  <c r="N7" i="17"/>
  <c r="H18" i="17" s="1"/>
  <c r="M7" i="17"/>
  <c r="H17" i="17" s="1"/>
  <c r="L7" i="17"/>
  <c r="H16" i="17" s="1"/>
  <c r="E7" i="17"/>
  <c r="O6" i="17"/>
  <c r="G19" i="17" s="1"/>
  <c r="N6" i="17"/>
  <c r="G18" i="17" s="1"/>
  <c r="M6" i="17"/>
  <c r="G17" i="17" s="1"/>
  <c r="L6" i="17"/>
  <c r="G16" i="17" s="1"/>
  <c r="I6" i="17"/>
  <c r="I7" i="17" s="1"/>
  <c r="H13" i="17" s="1"/>
  <c r="E6" i="17"/>
  <c r="E4" i="17"/>
  <c r="O7" i="16"/>
  <c r="H19" i="16" s="1"/>
  <c r="E9" i="16"/>
  <c r="M6" i="16"/>
  <c r="G17" i="16" s="1"/>
  <c r="L7" i="16"/>
  <c r="H16" i="16" s="1"/>
  <c r="E8" i="16"/>
  <c r="K6" i="16"/>
  <c r="G15" i="16" s="1"/>
  <c r="M7" i="16"/>
  <c r="H17" i="16" s="1"/>
  <c r="N6" i="16"/>
  <c r="G18" i="16" s="1"/>
  <c r="I6" i="16"/>
  <c r="G13" i="16" s="1"/>
  <c r="E4" i="16"/>
  <c r="N7" i="16"/>
  <c r="H18" i="16" s="1"/>
  <c r="E6" i="16"/>
  <c r="K7" i="16"/>
  <c r="H15" i="16" s="1"/>
  <c r="E10" i="16"/>
  <c r="O6" i="16"/>
  <c r="G19" i="16" s="1"/>
  <c r="K6" i="17"/>
  <c r="G15" i="17" s="1"/>
  <c r="L6" i="16"/>
  <c r="G16" i="16" s="1"/>
  <c r="E7" i="16"/>
  <c r="H129" i="1"/>
  <c r="D218" i="1"/>
  <c r="F218" i="1" s="1"/>
  <c r="H218" i="1" s="1"/>
  <c r="D217" i="1"/>
  <c r="F217" i="1" s="1"/>
  <c r="H217" i="1" s="1"/>
  <c r="D216" i="1"/>
  <c r="F216" i="1" s="1"/>
  <c r="H216" i="1" s="1"/>
  <c r="D215" i="1"/>
  <c r="F215" i="1" s="1"/>
  <c r="H215" i="1" s="1"/>
  <c r="D214" i="1"/>
  <c r="F214" i="1" s="1"/>
  <c r="H214" i="1" s="1"/>
  <c r="D212" i="1"/>
  <c r="F212" i="1" s="1"/>
  <c r="H212" i="1" s="1"/>
  <c r="D211" i="1"/>
  <c r="F211" i="1" s="1"/>
  <c r="H211" i="1" s="1"/>
  <c r="D210" i="1"/>
  <c r="F210" i="1" s="1"/>
  <c r="F202" i="1"/>
  <c r="H202" i="1" s="1"/>
  <c r="F201" i="1"/>
  <c r="H201" i="1" s="1"/>
  <c r="F200" i="1"/>
  <c r="H200" i="1" s="1"/>
  <c r="F199" i="1"/>
  <c r="H199" i="1" s="1"/>
  <c r="F197" i="1"/>
  <c r="H197" i="1" s="1"/>
  <c r="F196" i="1"/>
  <c r="D193" i="1"/>
  <c r="F193" i="1" s="1"/>
  <c r="H193" i="1" s="1"/>
  <c r="D192" i="1"/>
  <c r="F192" i="1" s="1"/>
  <c r="H192" i="1" s="1"/>
  <c r="D191" i="1"/>
  <c r="F191" i="1" s="1"/>
  <c r="H191" i="1" s="1"/>
  <c r="D190" i="1"/>
  <c r="F190" i="1" s="1"/>
  <c r="H190" i="1" s="1"/>
  <c r="D189" i="1"/>
  <c r="F189" i="1" s="1"/>
  <c r="H189" i="1" s="1"/>
  <c r="D188" i="1"/>
  <c r="F188" i="1" s="1"/>
  <c r="H188" i="1" s="1"/>
  <c r="D179" i="1"/>
  <c r="F179" i="1" s="1"/>
  <c r="H179" i="1" s="1"/>
  <c r="D178" i="1"/>
  <c r="F178" i="1" s="1"/>
  <c r="D168" i="1"/>
  <c r="F168" i="1" s="1"/>
  <c r="H168" i="1" s="1"/>
  <c r="D167" i="1"/>
  <c r="F167" i="1" s="1"/>
  <c r="H167" i="1" s="1"/>
  <c r="D166" i="1"/>
  <c r="F166" i="1" s="1"/>
  <c r="H166" i="1" s="1"/>
  <c r="D165" i="1"/>
  <c r="F165" i="1" s="1"/>
  <c r="H165" i="1" s="1"/>
  <c r="D164" i="1"/>
  <c r="F164" i="1" s="1"/>
  <c r="H164" i="1" s="1"/>
  <c r="D163" i="1"/>
  <c r="F163" i="1" s="1"/>
  <c r="J7" i="18"/>
  <c r="H14" i="18" s="1"/>
  <c r="E5" i="18"/>
  <c r="I7" i="18" l="1"/>
  <c r="H13" i="18" s="1"/>
  <c r="H210" i="1"/>
  <c r="I140" i="1" s="1"/>
  <c r="E140" i="1"/>
  <c r="C140" i="1"/>
  <c r="H196" i="1"/>
  <c r="I139" i="1" s="1"/>
  <c r="C139" i="1"/>
  <c r="E139" i="1"/>
  <c r="H180" i="1"/>
  <c r="I133" i="1" s="1"/>
  <c r="E133" i="1"/>
  <c r="C133" i="1"/>
  <c r="H178" i="1"/>
  <c r="I138" i="1" s="1"/>
  <c r="C138" i="1"/>
  <c r="E138" i="1"/>
  <c r="H163" i="1"/>
  <c r="I137" i="1" s="1"/>
  <c r="C137" i="1"/>
  <c r="E137" i="1"/>
  <c r="H149" i="1"/>
  <c r="I132" i="1" s="1"/>
  <c r="C132" i="1"/>
  <c r="E132" i="1"/>
  <c r="J7" i="17"/>
  <c r="H14" i="17" s="1"/>
  <c r="H20" i="17" s="1"/>
  <c r="E5" i="17"/>
  <c r="F60" i="1"/>
  <c r="K56" i="1" s="1"/>
  <c r="C58" i="1" s="1"/>
  <c r="D61" i="1"/>
  <c r="H60" i="1"/>
  <c r="I7" i="16"/>
  <c r="H13" i="16" s="1"/>
  <c r="G13" i="17"/>
  <c r="G20" i="17" s="1"/>
  <c r="G20" i="16"/>
  <c r="G20" i="18"/>
  <c r="H20" i="18"/>
  <c r="E5" i="16"/>
  <c r="J7" i="16"/>
  <c r="H14" i="16" s="1"/>
  <c r="D48" i="1"/>
  <c r="E141" i="1" l="1"/>
  <c r="I141" i="1"/>
  <c r="C134" i="1"/>
  <c r="C141" i="1"/>
  <c r="I134" i="1"/>
  <c r="I142" i="1" s="1"/>
  <c r="E134" i="1"/>
  <c r="E142" i="1" s="1"/>
  <c r="C142" i="1"/>
  <c r="H20" i="16"/>
</calcChain>
</file>

<file path=xl/sharedStrings.xml><?xml version="1.0" encoding="utf-8"?>
<sst xmlns="http://schemas.openxmlformats.org/spreadsheetml/2006/main" count="576" uniqueCount="253">
  <si>
    <t>Date:</t>
  </si>
  <si>
    <t>CPC Name:</t>
  </si>
  <si>
    <t>Date Of Property Visit</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</si>
  <si>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</si>
  <si>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</si>
  <si>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</si>
  <si>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</si>
  <si>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</si>
  <si>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</si>
  <si>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</si>
  <si>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</si>
  <si>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</si>
  <si>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</si>
  <si>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</si>
  <si>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</si>
  <si>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</si>
  <si>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</si>
  <si>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</si>
  <si>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</si>
  <si>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</si>
  <si>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</si>
  <si>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</si>
  <si>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</si>
  <si>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</si>
  <si>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</si>
  <si>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Building details floor wise</t>
  </si>
  <si>
    <t>Authorized Signatory
                                                                                                                                                                                                                                                                                     Name &amp; Seal of the agency</t>
  </si>
  <si>
    <t>2) I/We have no direct or Indirect Interest in the property being valued</t>
  </si>
  <si>
    <t>Quality of infrastructure in vicinity</t>
  </si>
  <si>
    <t>Description</t>
  </si>
  <si>
    <t>Attached Terrace area</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</si>
  <si>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</si>
  <si>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</si>
  <si>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</si>
  <si>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</si>
  <si>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</si>
  <si>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</si>
  <si>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</si>
  <si>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</si>
  <si>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</si>
  <si>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</si>
  <si>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Gross Carpet area</t>
  </si>
  <si>
    <t xml:space="preserve">Latitude &amp; Longitude </t>
  </si>
  <si>
    <t>Plot No</t>
  </si>
  <si>
    <t>Latitude</t>
  </si>
  <si>
    <t>Longitude</t>
  </si>
  <si>
    <t>Flooring</t>
  </si>
  <si>
    <t>Finishing</t>
  </si>
  <si>
    <t xml:space="preserve">Valuation Report </t>
  </si>
  <si>
    <t xml:space="preserve">Details of Flats in Building   </t>
  </si>
  <si>
    <t>1. Copy of Plans. 2. Copy of CC.</t>
  </si>
  <si>
    <t>Yes</t>
  </si>
  <si>
    <t xml:space="preserve">Residential </t>
  </si>
  <si>
    <t>Type of Structure : RCC Framed Structure</t>
  </si>
  <si>
    <t>O. Certificate No.: NA</t>
  </si>
  <si>
    <t>Date of approval: NA</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</si>
  <si>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</si>
  <si>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</si>
  <si>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</si>
  <si>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</si>
  <si>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</si>
  <si>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</si>
  <si>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</si>
  <si>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Expiry date: NA</t>
  </si>
  <si>
    <t>Projected life of the structure: 60 Years After Completion</t>
  </si>
  <si>
    <t>Material laying at Site: :Bricks, Cement &amp; Steel etc.</t>
  </si>
  <si>
    <t>Wheather the construction is as per approved Building plan : Under Construction</t>
  </si>
  <si>
    <t xml:space="preserve">4)  The saleable area is as per Our Calculation.  </t>
  </si>
  <si>
    <t>Does the boundaries at site match, as mentioned in the Docoumentation: NA</t>
  </si>
  <si>
    <t>Ground Floor For Parking &amp; Commercial</t>
  </si>
  <si>
    <t>Fungible area</t>
  </si>
  <si>
    <t>all available at  1 to 2 km.</t>
  </si>
  <si>
    <t xml:space="preserve">Approved Layout Plan :         </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</si>
  <si>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</si>
  <si>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</si>
  <si>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</si>
  <si>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</si>
  <si>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</si>
  <si>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</si>
  <si>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</si>
  <si>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</si>
  <si>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</si>
  <si>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</si>
  <si>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</si>
  <si>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</si>
  <si>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</si>
  <si>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units residential</t>
  </si>
  <si>
    <t>Approved no of Floors</t>
  </si>
  <si>
    <t>Floor rise rate  Per Sq. Ft.</t>
  </si>
  <si>
    <t>Development charges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</si>
  <si>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</si>
  <si>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</si>
  <si>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Society formation charges</t>
  </si>
  <si>
    <t>Carpet area</t>
  </si>
  <si>
    <t xml:space="preserve">Recommended rate of Parking </t>
  </si>
  <si>
    <t>Approved area of the building in Sq.Mt</t>
  </si>
  <si>
    <t>Middle class</t>
  </si>
  <si>
    <t>Axis Goregaon.</t>
  </si>
  <si>
    <t>Gut No</t>
  </si>
  <si>
    <t>179, 180 &amp; 181</t>
  </si>
  <si>
    <t>Umroli(E)</t>
  </si>
  <si>
    <t>Village Umroli(E) Road</t>
  </si>
  <si>
    <t>Palghar</t>
  </si>
  <si>
    <t>401 404.</t>
  </si>
  <si>
    <t>Opp.Railway Station</t>
  </si>
  <si>
    <t>Approved usage of the Property: Residential &amp; Commercial.                                                                                                                                                    (Restrictive convenants in regards to land use , if any)</t>
  </si>
  <si>
    <t>Railway station</t>
  </si>
  <si>
    <t>Open</t>
  </si>
  <si>
    <t>Near By Umroli Railway Station</t>
  </si>
  <si>
    <t>1BHK</t>
  </si>
  <si>
    <t>2BHK</t>
  </si>
  <si>
    <t>Ground Floor For Residential &amp; Commercial</t>
  </si>
  <si>
    <t>1RK</t>
  </si>
  <si>
    <t>Ground Floor For Residential &amp; Parking</t>
  </si>
  <si>
    <t>1,00,000/-</t>
  </si>
  <si>
    <t>Saleable area</t>
  </si>
  <si>
    <t>Name / no of the Building</t>
  </si>
  <si>
    <t>Rate of the flat Per Sq. Ft. (on Saleable area) = Building no.1 - Ideal Garden</t>
  </si>
  <si>
    <t>Building no.1 - Ideal Garden</t>
  </si>
  <si>
    <t>Distress valuation of the property Per Sq. Ft. = Building no.1 - Ideal Garden</t>
  </si>
  <si>
    <t>Particulars</t>
  </si>
  <si>
    <t xml:space="preserve">totaL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</si>
  <si>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</si>
  <si>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</si>
  <si>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</si>
  <si>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</si>
  <si>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</si>
  <si>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</si>
  <si>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</si>
  <si>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</si>
  <si>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</si>
  <si>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</si>
  <si>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</si>
  <si>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</si>
  <si>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</si>
  <si>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</si>
  <si>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</si>
  <si>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</si>
  <si>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</si>
  <si>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</si>
  <si>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</si>
  <si>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Proposed no of Floors</t>
  </si>
  <si>
    <t>total no of floor considered 5 because shops are 100% completed so I want to give them %</t>
  </si>
  <si>
    <t xml:space="preserve">Building no.1 - Ideal Garden = Wing A - Type B1a
Wing B - Type B1b
Wing C - Type C2
Wing D - Type D1
</t>
  </si>
  <si>
    <t>Google Map :</t>
  </si>
  <si>
    <t>Ideal Garden</t>
  </si>
  <si>
    <t>Shop</t>
  </si>
  <si>
    <t>MHSL/K.1/MJ.1/NAP/SR/229/17</t>
  </si>
  <si>
    <t>22/03/2019.</t>
  </si>
  <si>
    <t>Rate of the shop Per Sq. Ft. (on Saleable area) = Building no.1 - Ideal Garden</t>
  </si>
  <si>
    <t>Ideal City- Ideal Garden, Building no.1, Gut No.179, 180 &amp; 181, Sarpada, Umroli(E), Opp.Railway Station, Village. Umroli, Tal.Palghar, Dist.Palghar.</t>
  </si>
  <si>
    <t>MHSL/K.1/MJ.1/NAP/SR/229/17
Approval no. of Floors = Gr.+ 3rd Floor</t>
  </si>
  <si>
    <t>Type -B1a (A Wing)</t>
  </si>
  <si>
    <t>Type -B1b (B Wing)</t>
  </si>
  <si>
    <t>Type -C2 (C Wing)</t>
  </si>
  <si>
    <t>Type- D1 (D Wing)</t>
  </si>
  <si>
    <t xml:space="preserve">PHOTOGRAPHS OF PROPERTY : </t>
  </si>
  <si>
    <t>1st to 3rd Floor</t>
  </si>
  <si>
    <t>20/03/2020.</t>
  </si>
  <si>
    <t>Pratiksha</t>
  </si>
  <si>
    <t xml:space="preserve"> Recommended rate considered as per Builder cost sheet &amp; Shop's rate as per market inquire.</t>
  </si>
  <si>
    <t>Undertaking:</t>
  </si>
  <si>
    <t>03/02/2021.</t>
  </si>
  <si>
    <t>Market Research Data</t>
  </si>
  <si>
    <t>Source</t>
  </si>
  <si>
    <t>Distance from proposed property</t>
  </si>
  <si>
    <t>Flat</t>
  </si>
  <si>
    <t>Net Carpet</t>
  </si>
  <si>
    <t>Saleable Area</t>
  </si>
  <si>
    <t>Rate on Saleable</t>
  </si>
  <si>
    <t>Market Value</t>
  </si>
  <si>
    <t>Housing</t>
  </si>
  <si>
    <t>Proptiger</t>
  </si>
  <si>
    <t>Magic Brick</t>
  </si>
  <si>
    <t>99 Acres</t>
  </si>
  <si>
    <t>Average</t>
  </si>
  <si>
    <t xml:space="preserve">Valuation Adopted </t>
  </si>
  <si>
    <t>100000/-</t>
  </si>
  <si>
    <t>RERA No</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</si>
  <si>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</si>
  <si>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</si>
  <si>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</si>
  <si>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</si>
  <si>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</si>
  <si>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</si>
  <si>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</si>
  <si>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</si>
  <si>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</si>
  <si>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</si>
  <si>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</si>
  <si>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</si>
  <si>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</si>
  <si>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</si>
  <si>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</si>
  <si>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</si>
  <si>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</si>
  <si>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</si>
  <si>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</si>
  <si>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</si>
  <si>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</si>
  <si>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</si>
  <si>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</si>
  <si>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</si>
  <si>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</si>
  <si>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</si>
  <si>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</si>
  <si>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</si>
  <si>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</si>
  <si>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</si>
  <si>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</si>
  <si>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</si>
  <si>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</si>
  <si>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Gr.+1st to 4th Floor</t>
  </si>
  <si>
    <t xml:space="preserve">Building No.1 : Type -D1 (D Wing) = Gr.+1st to 4th Floor
</t>
  </si>
  <si>
    <t>Building No.1 :Type -C2 (C Wing)</t>
  </si>
  <si>
    <t xml:space="preserve">Building No.1 : Type -B1a (A Wing) </t>
  </si>
  <si>
    <t>Pramoter has been change for this project</t>
  </si>
  <si>
    <t xml:space="preserve">4 Wings </t>
  </si>
  <si>
    <t>Building No.1 : Type -B1a (A &amp; C Wing) = P99000013416
Building no.1 (D Wing) - P99000016177</t>
  </si>
  <si>
    <t>Location Link</t>
  </si>
  <si>
    <t>https://goo.gl/maps/XnKtBiZjsWqtuA739?coh=178572&amp;entry=tt</t>
  </si>
  <si>
    <t>Gajanan Builders &amp; Developers</t>
  </si>
  <si>
    <t>Shree Shiv Kripa Builders &amp; Developer</t>
  </si>
  <si>
    <t>Name of the builder group (Building No. 1 Wing D)</t>
  </si>
  <si>
    <t>Name of the builder group (Building No. 1 Wing A, B &amp; C)</t>
  </si>
  <si>
    <t>29/03/2023.</t>
  </si>
  <si>
    <t xml:space="preserve">C.certificate No  
Valid Up to: </t>
  </si>
  <si>
    <t xml:space="preserve">Building No.1 : Type -B1b (B Wing) = Gr.+1st to 4th Floor
</t>
  </si>
  <si>
    <t xml:space="preserve">Office No. 1031, Wing J, Akshar Business Park, Plot No. 03 Sector 25, Near APMC Market, Vashi, 
Navi Mumbai, Maharashtra 400703 TEL: 022-46090378/79/80                                                                                                                                                        E mail : vsjcapf@gmail.com. Web site : www.vsjadon.com </t>
  </si>
  <si>
    <t xml:space="preserve">MHSL/K.1/MJ/B.S.P/S.R/C.R/74/2021  </t>
  </si>
  <si>
    <t xml:space="preserve">Building plan approval No
</t>
  </si>
  <si>
    <t>Floor</t>
  </si>
  <si>
    <t>1st Floor</t>
  </si>
  <si>
    <t>2nd to 4th Floor</t>
  </si>
  <si>
    <t>MHSL/K.1/MJ/B.S.P/S.R/C.R/74/2021  
Bldg No. 1(Type B1a) = 2nd to 4th Floor
Bldg No.2(Type C2) =Gr + 2nd to 4th Floor</t>
  </si>
  <si>
    <t>Remark No. 12</t>
  </si>
  <si>
    <t>Remark No. 11</t>
  </si>
  <si>
    <t>Commercial Area Details :</t>
  </si>
  <si>
    <t>Building &amp; Wing</t>
  </si>
  <si>
    <t>No. of Units</t>
  </si>
  <si>
    <t>Total Carpet Area</t>
  </si>
  <si>
    <t>Total Saleable Area</t>
  </si>
  <si>
    <t>Total</t>
  </si>
  <si>
    <t>Residential Area Details :</t>
  </si>
  <si>
    <t>Grand Total</t>
  </si>
  <si>
    <t>Type-B1a &amp; C2 = Gr.+1st to 4th Floor
Type-B1b &amp; D1 = Gr + 1st to 3rd Floor</t>
  </si>
  <si>
    <t>MHSL/K.1/T.1/NAP/SR-74/2021                                                                                      Type-B1a, B1b, C2 &amp; D1 = Gr + 1st to 4th Floor</t>
  </si>
  <si>
    <t>Type-B1a, B1b, C2 &amp; D1 = Gr + 1st to 4th Floor</t>
  </si>
  <si>
    <t>Flats = 80
Shops = 20</t>
  </si>
  <si>
    <t>See Construction details</t>
  </si>
  <si>
    <t xml:space="preserve">No of floors at site : </t>
  </si>
  <si>
    <t>Building No.1B1a (A &amp; C Wing) = 31/03/2028
Building No 1 D Wing = 31/12/2025</t>
  </si>
  <si>
    <r>
      <t xml:space="preserve">Remarks:  
1. Wing A &amp; C = Construction work is in process at the time of visit (Very slow speed).
Wing B &amp; D = Construction work same as last visit 19/06/2025 but work is in process at the time of visit (Very slow speed).
2. We considered saleable area as per our calculation.
3. We have considered rate by verifying it from market inquire.
4. Recommended rate should be considered as all inclusive rate if other charges are not mentioned. (Excluding GST &amp; other government Taxes)
5. We have considered Other charges from cost sheet.
5. Car parking is subjected to authentic documentation.
6. We updated revised Approved plans of Type B1a, B1b, C2 &amp; D1, layout &amp; CC on 05/04/2019.
8. Building No.1 : Type -B1a (B Wing) =  Not Registered on RERA.
9. We hvae updated revised approved CC for building no. 1 Type B1a, B1b, C2 &amp; D1 on 27/12/2023.
10. We have updated approved layout plan &amp; floor plan of Building No. 1 (Type B1a) = 2nd to 4th Floor &amp; Building No. 1 (Type C2) = Gr + 2nd to 4th Floor on 29/08/2024.
11. The approved Layout Plan &amp; Floor plan does not consist the complete date.
12. As discussed with the Builder &amp; Bank Officials, the clarification letter for the date which is not mentioned in the plans is attached below, which is provided by the bank officials on mail.
13. As per the builder, the corrected plans will get soon. Send the revised approved plans as soon as they are available.
14. As checked on RERA portal on dated 17/09/2025, we have observed that above project is kept under abeyance.
15. </t>
    </r>
    <r>
      <rPr>
        <b/>
        <sz val="11"/>
        <color rgb="FFFF0000"/>
        <rFont val="Times New Roman"/>
        <family val="1"/>
      </rPr>
      <t>As per RERA, completion period of project name Ideal Garden Building No.1(A &amp; C Wing) is expired on Date 31/03/2025 but still project is under construction.</t>
    </r>
    <r>
      <rPr>
        <b/>
        <sz val="11"/>
        <color indexed="8"/>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</si>
</sst>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_);_(* \(#,##0\);_(* &quot;-&quot;??_);_(@_)"/>
  </numFmts>
  <fonts count="25"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4"/>
      <color indexed="8"/>
      <name val="Times New Roman"/>
      <family val="1"/>
    </font>
    <font>
      <b/>
      <sz val="11.5"/>
      <color indexed="8"/>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1"/>
      <color theme="1"/>
      <name val="Times New Roman"/>
      <family val="1"/>
    </font>
    <font>
      <sz val="11"/>
      <color rgb="FFFF0000"/>
      <name val="Calibri"/>
      <family val="2"/>
    </font>
    <font>
      <sz val="12"/>
      <color theme="1"/>
      <name val="Times New Roman"/>
      <family val="1"/>
    </font>
    <font>
      <sz val="12"/>
      <name val="Times New Roman"/>
      <family val="1"/>
    </font>
    <font>
      <b/>
      <sz val="12"/>
      <name val="Times New Roman"/>
      <family val="1"/>
    </font>
    <font>
      <sz val="11"/>
      <color rgb="FF000000"/>
      <name val="Times New Roman"/>
      <family val="1"/>
    </font>
    <font>
      <b/>
      <sz val="11"/>
      <color rgb="FFFF0000"/>
      <name val="Times New Roman"/>
      <family val="1"/>
    </font>
    <font>
      <u/>
      <sz val="11"/>
      <color theme="10"/>
      <name val="Calibri"/>
      <family val="2"/>
      <scheme val="minor"/>
    </font>
    <font>
      <b/>
      <sz val="12"/>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s>
  <borders count="4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13" fillId="0" borderId="0"/>
    <xf numFmtId="0" fontId="13" fillId="0" borderId="0"/>
    <xf numFmtId="0" fontId="23" fillId="0" borderId="0" applyNumberFormat="0" applyFill="0" applyBorder="0" applyAlignment="0" applyProtection="0"/>
  </cellStyleXfs>
  <cellXfs count="258">
    <xf numFmtId="0" fontId="0" fillId="0" borderId="0" xfId="0"/>
    <xf numFmtId="0" fontId="5" fillId="0" borderId="1" xfId="0" applyFont="1" applyBorder="1" applyAlignment="1">
      <alignment vertical="top"/>
    </xf>
    <xf numFmtId="0" fontId="4" fillId="0" borderId="2" xfId="0" applyFont="1" applyBorder="1" applyAlignment="1">
      <alignment vertical="top"/>
    </xf>
    <xf numFmtId="0" fontId="4" fillId="0" borderId="2" xfId="0" applyFont="1" applyBorder="1" applyAlignment="1">
      <alignment vertical="top" wrapText="1"/>
    </xf>
    <xf numFmtId="1" fontId="6" fillId="0" borderId="2" xfId="0" applyNumberFormat="1" applyFont="1" applyBorder="1" applyAlignment="1">
      <alignment horizontal="center" vertical="top" wrapText="1"/>
    </xf>
    <xf numFmtId="1" fontId="3" fillId="0" borderId="2" xfId="0" applyNumberFormat="1" applyFont="1" applyBorder="1" applyAlignment="1">
      <alignment horizontal="center" vertical="top" wrapText="1"/>
    </xf>
    <xf numFmtId="0" fontId="0" fillId="0" borderId="2" xfId="0" applyBorder="1"/>
    <xf numFmtId="0" fontId="14" fillId="2" borderId="2" xfId="0" applyFont="1" applyFill="1" applyBorder="1"/>
    <xf numFmtId="0" fontId="0" fillId="0" borderId="3" xfId="0" applyBorder="1"/>
    <xf numFmtId="0" fontId="0" fillId="0" borderId="0" xfId="0" applyAlignment="1">
      <alignment wrapText="1"/>
    </xf>
    <xf numFmtId="0" fontId="0" fillId="0" borderId="2" xfId="0" applyBorder="1" applyAlignment="1">
      <alignment wrapText="1"/>
    </xf>
    <xf numFmtId="2" fontId="0" fillId="0" borderId="0" xfId="0" applyNumberFormat="1"/>
    <xf numFmtId="1" fontId="0" fillId="0" borderId="0" xfId="0" applyNumberFormat="1"/>
    <xf numFmtId="0" fontId="0" fillId="2" borderId="0" xfId="0" applyFill="1"/>
    <xf numFmtId="1" fontId="12" fillId="0" borderId="2" xfId="0" applyNumberFormat="1" applyFont="1" applyBorder="1" applyAlignment="1">
      <alignment horizontal="center" vertical="top" wrapText="1"/>
    </xf>
    <xf numFmtId="14" fontId="1" fillId="0" borderId="0" xfId="3" applyNumberFormat="1"/>
    <xf numFmtId="0" fontId="1" fillId="0" borderId="0" xfId="3"/>
    <xf numFmtId="0" fontId="13" fillId="0" borderId="0" xfId="4"/>
    <xf numFmtId="0" fontId="14" fillId="0" borderId="2" xfId="4" applyFont="1" applyBorder="1" applyAlignment="1">
      <alignment horizontal="center" vertical="top" wrapText="1"/>
    </xf>
    <xf numFmtId="0" fontId="13" fillId="0" borderId="2" xfId="4" applyBorder="1" applyAlignment="1">
      <alignment horizontal="center" vertical="center"/>
    </xf>
    <xf numFmtId="0" fontId="13" fillId="0" borderId="2" xfId="4" applyBorder="1" applyAlignment="1">
      <alignment horizontal="left" vertical="center"/>
    </xf>
    <xf numFmtId="1" fontId="13" fillId="0" borderId="2" xfId="4" applyNumberFormat="1" applyBorder="1" applyAlignment="1">
      <alignment horizontal="center" vertical="center"/>
    </xf>
    <xf numFmtId="166" fontId="13" fillId="0" borderId="2" xfId="1" applyNumberFormat="1" applyFont="1" applyBorder="1" applyAlignment="1">
      <alignment horizontal="right" vertical="center"/>
    </xf>
    <xf numFmtId="0" fontId="13" fillId="0" borderId="2" xfId="4" applyBorder="1" applyAlignment="1">
      <alignment horizontal="left" vertical="center" wrapText="1"/>
    </xf>
    <xf numFmtId="0" fontId="14" fillId="0" borderId="2" xfId="4" applyFont="1" applyBorder="1" applyAlignment="1">
      <alignment horizontal="center" vertical="center"/>
    </xf>
    <xf numFmtId="1" fontId="15" fillId="0" borderId="2" xfId="4" applyNumberFormat="1" applyFont="1" applyBorder="1" applyAlignment="1">
      <alignment horizontal="center" vertical="center"/>
    </xf>
    <xf numFmtId="0" fontId="1" fillId="0" borderId="2" xfId="3" applyBorder="1" applyAlignment="1">
      <alignment horizontal="center" vertical="center"/>
    </xf>
    <xf numFmtId="0" fontId="17" fillId="0" borderId="0" xfId="3" applyFont="1"/>
    <xf numFmtId="0" fontId="18" fillId="0" borderId="18" xfId="5" applyFont="1" applyBorder="1" applyProtection="1">
      <protection hidden="1"/>
    </xf>
    <xf numFmtId="0" fontId="18" fillId="0" borderId="0" xfId="5" applyFont="1" applyProtection="1">
      <protection hidden="1"/>
    </xf>
    <xf numFmtId="0" fontId="21" fillId="0" borderId="0" xfId="0" applyFont="1" applyProtection="1">
      <protection hidden="1"/>
    </xf>
    <xf numFmtId="0" fontId="21" fillId="0" borderId="31" xfId="0" applyFont="1" applyBorder="1" applyProtection="1">
      <protection hidden="1"/>
    </xf>
    <xf numFmtId="0" fontId="19" fillId="0" borderId="2" xfId="5" applyFont="1" applyBorder="1" applyAlignment="1" applyProtection="1">
      <alignment horizontal="center" vertical="top" wrapText="1"/>
      <protection locked="0"/>
    </xf>
    <xf numFmtId="0" fontId="19" fillId="0" borderId="20" xfId="5" applyFont="1" applyBorder="1" applyAlignment="1" applyProtection="1">
      <alignment horizontal="center" vertical="top"/>
      <protection locked="0"/>
    </xf>
    <xf numFmtId="0" fontId="19" fillId="0" borderId="2" xfId="5" applyFont="1" applyBorder="1" applyAlignment="1" applyProtection="1">
      <alignment horizontal="center" vertical="top"/>
      <protection locked="0"/>
    </xf>
    <xf numFmtId="1" fontId="10" fillId="0" borderId="2" xfId="0" applyNumberFormat="1" applyFont="1" applyBorder="1" applyAlignment="1">
      <alignment horizontal="center" vertical="center" wrapText="1"/>
    </xf>
    <xf numFmtId="0" fontId="4" fillId="0" borderId="1" xfId="0" applyFont="1" applyBorder="1" applyAlignment="1">
      <alignment vertical="top"/>
    </xf>
    <xf numFmtId="0" fontId="4" fillId="0" borderId="2" xfId="0" applyFont="1" applyBorder="1" applyAlignment="1">
      <alignment horizontal="center" vertical="top"/>
    </xf>
    <xf numFmtId="0" fontId="18" fillId="0" borderId="19" xfId="5" applyFont="1" applyBorder="1" applyProtection="1">
      <protection hidden="1"/>
    </xf>
    <xf numFmtId="0" fontId="18" fillId="0" borderId="22" xfId="5" applyFont="1" applyBorder="1" applyProtection="1">
      <protection hidden="1"/>
    </xf>
    <xf numFmtId="0" fontId="18" fillId="0" borderId="22" xfId="5" applyFont="1" applyBorder="1"/>
    <xf numFmtId="0" fontId="19" fillId="0" borderId="2" xfId="5" applyFont="1" applyBorder="1" applyAlignment="1" applyProtection="1">
      <alignment horizontal="center" wrapText="1"/>
      <protection locked="0"/>
    </xf>
    <xf numFmtId="0" fontId="21" fillId="0" borderId="22" xfId="0" applyFont="1" applyBorder="1" applyProtection="1">
      <protection hidden="1"/>
    </xf>
    <xf numFmtId="1" fontId="19" fillId="0" borderId="2" xfId="5" applyNumberFormat="1" applyFont="1" applyBorder="1" applyAlignment="1" applyProtection="1">
      <alignment horizontal="center" wrapText="1"/>
      <protection locked="0"/>
    </xf>
    <xf numFmtId="1" fontId="0" fillId="0" borderId="22" xfId="0" applyNumberFormat="1" applyBorder="1"/>
    <xf numFmtId="1" fontId="0" fillId="0" borderId="22" xfId="0" applyNumberFormat="1" applyBorder="1" applyAlignment="1">
      <alignment horizontal="right"/>
    </xf>
    <xf numFmtId="0" fontId="19" fillId="0" borderId="27" xfId="5" applyFont="1" applyBorder="1" applyAlignment="1" applyProtection="1">
      <alignment horizontal="center" wrapText="1"/>
      <protection locked="0"/>
    </xf>
    <xf numFmtId="1" fontId="0" fillId="0" borderId="32" xfId="0" applyNumberFormat="1" applyBorder="1"/>
    <xf numFmtId="0" fontId="2" fillId="0" borderId="0" xfId="2"/>
    <xf numFmtId="0" fontId="16" fillId="0" borderId="0" xfId="0" applyFont="1"/>
    <xf numFmtId="0" fontId="14" fillId="0" borderId="0" xfId="0" applyFont="1"/>
    <xf numFmtId="0" fontId="4" fillId="3" borderId="2" xfId="0" applyFont="1" applyFill="1" applyBorder="1" applyAlignment="1">
      <alignment vertical="top"/>
    </xf>
    <xf numFmtId="1" fontId="0" fillId="0" borderId="2" xfId="0" applyNumberFormat="1" applyBorder="1" applyAlignment="1">
      <alignment horizontal="center" vertical="center"/>
    </xf>
    <xf numFmtId="0" fontId="18" fillId="0" borderId="0" xfId="0" applyFont="1" applyAlignment="1">
      <alignment horizontal="center" vertical="center"/>
    </xf>
    <xf numFmtId="0" fontId="18" fillId="0" borderId="0" xfId="5" applyFont="1"/>
    <xf numFmtId="1" fontId="24" fillId="0" borderId="39" xfId="0" applyNumberFormat="1" applyFont="1" applyBorder="1" applyAlignment="1">
      <alignment horizontal="center" vertical="center"/>
    </xf>
    <xf numFmtId="0" fontId="24" fillId="0" borderId="19" xfId="0" applyFont="1" applyBorder="1" applyAlignment="1">
      <alignment horizontal="center" vertical="center"/>
    </xf>
    <xf numFmtId="1" fontId="24" fillId="0" borderId="38" xfId="0" applyNumberFormat="1" applyFont="1" applyBorder="1" applyAlignment="1" applyProtection="1">
      <alignment horizontal="center" vertical="top" wrapText="1"/>
      <protection locked="0"/>
    </xf>
    <xf numFmtId="0" fontId="24" fillId="0" borderId="18" xfId="0" applyFont="1" applyBorder="1" applyAlignment="1" applyProtection="1">
      <alignment horizontal="center" vertical="top" wrapText="1"/>
      <protection locked="0"/>
    </xf>
    <xf numFmtId="0" fontId="24" fillId="0" borderId="19" xfId="0" applyFont="1" applyBorder="1" applyAlignment="1" applyProtection="1">
      <alignment horizontal="center" vertical="top" wrapText="1"/>
      <protection locked="0"/>
    </xf>
    <xf numFmtId="1" fontId="6" fillId="0" borderId="3" xfId="0" applyNumberFormat="1" applyFont="1" applyBorder="1" applyAlignment="1" applyProtection="1">
      <alignment horizontal="center" vertical="center" wrapText="1"/>
      <protection locked="0"/>
    </xf>
    <xf numFmtId="1" fontId="24" fillId="0" borderId="3" xfId="0" applyNumberFormat="1"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1" fontId="6" fillId="0" borderId="36" xfId="0" applyNumberFormat="1" applyFont="1" applyBorder="1" applyAlignment="1" applyProtection="1">
      <alignment horizontal="center" vertical="center" wrapText="1"/>
      <protection locked="0"/>
    </xf>
    <xf numFmtId="1" fontId="6" fillId="0" borderId="37" xfId="0" applyNumberFormat="1" applyFont="1" applyBorder="1" applyAlignment="1" applyProtection="1">
      <alignment horizontal="center" vertical="center" wrapText="1"/>
      <protection locked="0"/>
    </xf>
    <xf numFmtId="0" fontId="24" fillId="0" borderId="37" xfId="0" applyFont="1" applyBorder="1" applyAlignment="1" applyProtection="1">
      <alignment horizontal="center" vertical="center"/>
      <protection locked="0"/>
    </xf>
    <xf numFmtId="1" fontId="6" fillId="0" borderId="6" xfId="0" applyNumberFormat="1" applyFont="1" applyBorder="1" applyAlignment="1" applyProtection="1">
      <alignment horizontal="center" vertical="center" wrapText="1"/>
      <protection locked="0"/>
    </xf>
    <xf numFmtId="1" fontId="6" fillId="0" borderId="7" xfId="0" applyNumberFormat="1" applyFont="1" applyBorder="1" applyAlignment="1" applyProtection="1">
      <alignment horizontal="center" vertical="center" wrapText="1"/>
      <protection locked="0"/>
    </xf>
    <xf numFmtId="0" fontId="24" fillId="0" borderId="2" xfId="0" applyFont="1" applyBorder="1" applyAlignment="1">
      <alignment horizontal="center" vertical="center"/>
    </xf>
    <xf numFmtId="0" fontId="24" fillId="0" borderId="2" xfId="0" applyFont="1" applyBorder="1" applyAlignment="1" applyProtection="1">
      <alignment horizontal="center" vertical="top" wrapText="1"/>
      <protection locked="0"/>
    </xf>
    <xf numFmtId="1" fontId="18" fillId="0" borderId="2" xfId="0" applyNumberFormat="1" applyFont="1" applyBorder="1" applyAlignment="1">
      <alignment horizontal="center" vertical="center"/>
    </xf>
    <xf numFmtId="0" fontId="18" fillId="0" borderId="2"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1" fontId="18" fillId="0" borderId="2" xfId="0" applyNumberFormat="1" applyFont="1" applyBorder="1" applyAlignment="1" applyProtection="1">
      <alignment horizontal="center" vertical="top" wrapText="1"/>
      <protection locked="0"/>
    </xf>
    <xf numFmtId="0" fontId="18" fillId="0" borderId="2"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4" xfId="0" applyNumberFormat="1" applyFont="1" applyBorder="1" applyAlignment="1" applyProtection="1">
      <alignment horizontal="center" vertical="center" wrapText="1"/>
      <protection locked="0"/>
    </xf>
    <xf numFmtId="1" fontId="6" fillId="0" borderId="5"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center" wrapText="1"/>
      <protection locked="0"/>
    </xf>
    <xf numFmtId="1" fontId="18" fillId="0" borderId="2" xfId="0" applyNumberFormat="1"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1" fontId="6" fillId="0" borderId="2" xfId="0" applyNumberFormat="1" applyFont="1" applyBorder="1" applyAlignment="1" applyProtection="1">
      <alignment horizontal="center" vertical="center" wrapText="1"/>
      <protection locked="0"/>
    </xf>
    <xf numFmtId="1" fontId="24" fillId="0" borderId="2" xfId="0" applyNumberFormat="1"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1" fontId="6" fillId="0" borderId="2" xfId="0" applyNumberFormat="1" applyFont="1" applyBorder="1" applyAlignment="1" applyProtection="1">
      <alignment horizontal="center" vertical="top" wrapText="1"/>
      <protection locked="0"/>
    </xf>
    <xf numFmtId="1" fontId="18" fillId="0" borderId="3" xfId="0" applyNumberFormat="1" applyFont="1" applyBorder="1" applyAlignment="1" applyProtection="1">
      <alignment horizontal="center" vertical="top" wrapText="1"/>
      <protection locked="0"/>
    </xf>
    <xf numFmtId="0" fontId="18" fillId="0" borderId="3" xfId="0" applyFont="1" applyBorder="1" applyAlignment="1" applyProtection="1">
      <alignment horizontal="center" vertical="top" wrapText="1"/>
      <protection locked="0"/>
    </xf>
    <xf numFmtId="1" fontId="18" fillId="0" borderId="3" xfId="0" applyNumberFormat="1" applyFont="1" applyBorder="1" applyAlignment="1">
      <alignment horizontal="center" vertical="center"/>
    </xf>
    <xf numFmtId="0" fontId="18" fillId="0" borderId="3" xfId="0" applyFont="1" applyBorder="1" applyAlignment="1">
      <alignment horizontal="center" vertical="center"/>
    </xf>
    <xf numFmtId="1" fontId="10" fillId="0" borderId="6" xfId="0" applyNumberFormat="1" applyFont="1" applyBorder="1" applyAlignment="1">
      <alignment horizontal="center" vertical="center" wrapText="1"/>
    </xf>
    <xf numFmtId="1" fontId="10" fillId="0" borderId="8" xfId="0" applyNumberFormat="1" applyFont="1" applyBorder="1" applyAlignment="1">
      <alignment horizontal="center" vertical="center" wrapText="1"/>
    </xf>
    <xf numFmtId="1" fontId="10" fillId="0" borderId="12" xfId="0" applyNumberFormat="1" applyFont="1" applyBorder="1" applyAlignment="1">
      <alignment horizontal="center" vertical="center" wrapText="1"/>
    </xf>
    <xf numFmtId="1" fontId="10" fillId="0" borderId="13"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1" fontId="10" fillId="0" borderId="11" xfId="0" applyNumberFormat="1" applyFont="1" applyBorder="1" applyAlignment="1">
      <alignment horizontal="center" vertical="center" wrapText="1"/>
    </xf>
    <xf numFmtId="0" fontId="4" fillId="0" borderId="2" xfId="0" applyFont="1" applyBorder="1" applyAlignment="1">
      <alignment vertical="top" wrapText="1"/>
    </xf>
    <xf numFmtId="1" fontId="6" fillId="0" borderId="2"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4"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1" fontId="10" fillId="0" borderId="5" xfId="0" applyNumberFormat="1" applyFont="1" applyBorder="1" applyAlignment="1">
      <alignment horizontal="center" vertical="center" wrapText="1"/>
    </xf>
    <xf numFmtId="0" fontId="19" fillId="0" borderId="20" xfId="5" applyFont="1" applyBorder="1" applyAlignment="1" applyProtection="1">
      <alignment horizontal="center" vertical="top" wrapText="1"/>
      <protection locked="0"/>
    </xf>
    <xf numFmtId="0" fontId="19" fillId="0" borderId="2" xfId="5" applyFont="1" applyBorder="1" applyAlignment="1" applyProtection="1">
      <alignment horizontal="center" vertical="top" wrapText="1"/>
      <protection locked="0"/>
    </xf>
    <xf numFmtId="9" fontId="19" fillId="0" borderId="6" xfId="5" applyNumberFormat="1" applyFont="1" applyBorder="1" applyAlignment="1" applyProtection="1">
      <alignment horizontal="center" vertical="center" wrapText="1"/>
      <protection hidden="1"/>
    </xf>
    <xf numFmtId="9" fontId="19" fillId="0" borderId="7" xfId="5" applyNumberFormat="1" applyFont="1" applyBorder="1" applyAlignment="1" applyProtection="1">
      <alignment horizontal="center" vertical="center" wrapText="1"/>
      <protection hidden="1"/>
    </xf>
    <xf numFmtId="9" fontId="19" fillId="0" borderId="25" xfId="5" applyNumberFormat="1" applyFont="1" applyBorder="1" applyAlignment="1" applyProtection="1">
      <alignment horizontal="center" vertical="center" wrapText="1"/>
      <protection hidden="1"/>
    </xf>
    <xf numFmtId="9" fontId="19" fillId="0" borderId="12" xfId="5" applyNumberFormat="1" applyFont="1" applyBorder="1" applyAlignment="1" applyProtection="1">
      <alignment horizontal="center" vertical="center" wrapText="1"/>
      <protection hidden="1"/>
    </xf>
    <xf numFmtId="9" fontId="19" fillId="0" borderId="0" xfId="5" applyNumberFormat="1" applyFont="1" applyAlignment="1" applyProtection="1">
      <alignment horizontal="center" vertical="center" wrapText="1"/>
      <protection hidden="1"/>
    </xf>
    <xf numFmtId="9" fontId="19" fillId="0" borderId="22" xfId="5" applyNumberFormat="1" applyFont="1" applyBorder="1" applyAlignment="1" applyProtection="1">
      <alignment horizontal="center" vertical="center" wrapText="1"/>
      <protection hidden="1"/>
    </xf>
    <xf numFmtId="9" fontId="19" fillId="0" borderId="30" xfId="5" applyNumberFormat="1" applyFont="1" applyBorder="1" applyAlignment="1" applyProtection="1">
      <alignment horizontal="center" vertical="center" wrapText="1"/>
      <protection hidden="1"/>
    </xf>
    <xf numFmtId="9" fontId="19" fillId="0" borderId="31" xfId="5" applyNumberFormat="1" applyFont="1" applyBorder="1" applyAlignment="1" applyProtection="1">
      <alignment horizontal="center" vertical="center" wrapText="1"/>
      <protection hidden="1"/>
    </xf>
    <xf numFmtId="9" fontId="19" fillId="0" borderId="32" xfId="5" applyNumberFormat="1" applyFont="1" applyBorder="1" applyAlignment="1" applyProtection="1">
      <alignment horizontal="center" vertical="center" wrapText="1"/>
      <protection hidden="1"/>
    </xf>
    <xf numFmtId="9" fontId="19" fillId="0" borderId="1" xfId="5" applyNumberFormat="1" applyFont="1" applyBorder="1" applyAlignment="1" applyProtection="1">
      <alignment horizontal="center" vertical="center" wrapText="1"/>
      <protection hidden="1"/>
    </xf>
    <xf numFmtId="9" fontId="19" fillId="0" borderId="5" xfId="5" applyNumberFormat="1" applyFont="1" applyBorder="1" applyAlignment="1" applyProtection="1">
      <alignment horizontal="center" vertical="center" wrapText="1"/>
      <protection hidden="1"/>
    </xf>
    <xf numFmtId="0" fontId="19" fillId="0" borderId="20" xfId="5" applyFont="1" applyBorder="1" applyAlignment="1" applyProtection="1">
      <alignment horizontal="center" vertical="top"/>
      <protection locked="0"/>
    </xf>
    <xf numFmtId="0" fontId="19" fillId="0" borderId="2" xfId="5" applyFont="1" applyBorder="1" applyAlignment="1" applyProtection="1">
      <alignment horizontal="center" vertical="top"/>
      <protection locked="0"/>
    </xf>
    <xf numFmtId="0" fontId="20" fillId="0" borderId="14" xfId="5" applyFont="1" applyBorder="1" applyAlignment="1" applyProtection="1">
      <alignment horizontal="center" vertical="top" wrapText="1"/>
      <protection locked="0"/>
    </xf>
    <xf numFmtId="0" fontId="20" fillId="0" borderId="15" xfId="5" applyFont="1" applyBorder="1" applyAlignment="1" applyProtection="1">
      <alignment horizontal="center" vertical="top" wrapText="1"/>
      <protection locked="0"/>
    </xf>
    <xf numFmtId="0" fontId="20" fillId="0" borderId="16" xfId="5" applyFont="1" applyBorder="1" applyAlignment="1" applyProtection="1">
      <alignment horizontal="left" vertical="top" wrapText="1"/>
      <protection locked="0"/>
    </xf>
    <xf numFmtId="0" fontId="20" fillId="0" borderId="17" xfId="5" applyFont="1" applyBorder="1" applyAlignment="1" applyProtection="1">
      <alignment horizontal="left" vertical="top" wrapText="1"/>
      <protection locked="0"/>
    </xf>
    <xf numFmtId="0" fontId="20" fillId="0" borderId="35" xfId="5" applyFont="1" applyBorder="1" applyAlignment="1" applyProtection="1">
      <alignment horizontal="left" vertical="top" wrapText="1"/>
      <protection locked="0"/>
    </xf>
    <xf numFmtId="0" fontId="19" fillId="0" borderId="1" xfId="5" applyFont="1" applyBorder="1" applyAlignment="1" applyProtection="1">
      <alignment horizontal="center" vertical="top"/>
      <protection locked="0"/>
    </xf>
    <xf numFmtId="0" fontId="19" fillId="0" borderId="5" xfId="5" applyFont="1" applyBorder="1" applyAlignment="1" applyProtection="1">
      <alignment horizontal="center" vertical="top"/>
      <protection locked="0"/>
    </xf>
    <xf numFmtId="0" fontId="19" fillId="0" borderId="21" xfId="5" applyFont="1" applyBorder="1" applyAlignment="1" applyProtection="1">
      <alignment horizontal="center" vertical="top"/>
      <protection locked="0"/>
    </xf>
    <xf numFmtId="0" fontId="20" fillId="0" borderId="2" xfId="5" applyFont="1" applyBorder="1" applyAlignment="1" applyProtection="1">
      <alignment horizontal="left" vertical="top"/>
      <protection locked="0"/>
    </xf>
    <xf numFmtId="0" fontId="20" fillId="0" borderId="2" xfId="5" applyFont="1" applyBorder="1" applyAlignment="1" applyProtection="1">
      <alignment horizontal="left" vertical="top" wrapText="1"/>
      <protection locked="0"/>
    </xf>
    <xf numFmtId="9" fontId="19" fillId="0" borderId="2" xfId="5" applyNumberFormat="1" applyFont="1" applyBorder="1" applyAlignment="1" applyProtection="1">
      <alignment horizontal="center" vertical="center" wrapText="1"/>
      <protection hidden="1"/>
    </xf>
    <xf numFmtId="0" fontId="4" fillId="0" borderId="2" xfId="0" applyFont="1" applyBorder="1" applyAlignment="1">
      <alignment horizontal="left" vertical="top"/>
    </xf>
    <xf numFmtId="0" fontId="19" fillId="0" borderId="24" xfId="5" applyFont="1" applyBorder="1" applyAlignment="1" applyProtection="1">
      <alignment horizontal="center" vertical="top" wrapText="1"/>
      <protection locked="0"/>
    </xf>
    <xf numFmtId="9" fontId="19" fillId="0" borderId="27" xfId="5" applyNumberFormat="1" applyFont="1" applyBorder="1" applyAlignment="1" applyProtection="1">
      <alignment horizontal="center" vertical="center" wrapText="1"/>
      <protection hidden="1"/>
    </xf>
    <xf numFmtId="14" fontId="4" fillId="0" borderId="2" xfId="0" applyNumberFormat="1" applyFont="1" applyBorder="1" applyAlignment="1">
      <alignment horizontal="left" vertical="top"/>
    </xf>
    <xf numFmtId="17" fontId="4" fillId="3" borderId="1" xfId="0" applyNumberFormat="1" applyFont="1" applyFill="1" applyBorder="1" applyAlignment="1">
      <alignment horizontal="left" vertical="top"/>
    </xf>
    <xf numFmtId="0" fontId="4" fillId="3" borderId="4" xfId="0" applyFont="1" applyFill="1" applyBorder="1" applyAlignment="1">
      <alignment horizontal="left" vertical="top"/>
    </xf>
    <xf numFmtId="0" fontId="4" fillId="3" borderId="5" xfId="0" applyFont="1" applyFill="1" applyBorder="1" applyAlignment="1">
      <alignment horizontal="left" vertical="top"/>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1" fontId="6" fillId="0" borderId="2" xfId="0" applyNumberFormat="1" applyFont="1" applyBorder="1" applyAlignment="1">
      <alignment horizontal="center" vertical="top" wrapText="1"/>
    </xf>
    <xf numFmtId="0" fontId="19" fillId="0" borderId="26" xfId="5" applyFont="1" applyBorder="1" applyAlignment="1" applyProtection="1">
      <alignment horizontal="center" vertical="top" wrapText="1"/>
      <protection locked="0"/>
    </xf>
    <xf numFmtId="0" fontId="19" fillId="0" borderId="27" xfId="5" applyFont="1" applyBorder="1" applyAlignment="1" applyProtection="1">
      <alignment horizontal="center" vertical="top" wrapText="1"/>
      <protection locked="0"/>
    </xf>
    <xf numFmtId="9" fontId="19" fillId="0" borderId="28" xfId="5" applyNumberFormat="1" applyFont="1" applyBorder="1" applyAlignment="1" applyProtection="1">
      <alignment horizontal="center" vertical="center" wrapText="1"/>
      <protection hidden="1"/>
    </xf>
    <xf numFmtId="9" fontId="19" fillId="0" borderId="29" xfId="5" applyNumberFormat="1" applyFont="1" applyBorder="1" applyAlignment="1" applyProtection="1">
      <alignment horizontal="center" vertical="center" wrapText="1"/>
      <protection hidden="1"/>
    </xf>
    <xf numFmtId="0" fontId="20" fillId="0" borderId="20" xfId="5" applyFont="1" applyBorder="1" applyAlignment="1" applyProtection="1">
      <alignment horizontal="left" vertical="top"/>
      <protection locked="0"/>
    </xf>
    <xf numFmtId="0" fontId="20" fillId="0" borderId="1" xfId="5" applyFont="1" applyBorder="1" applyAlignment="1" applyProtection="1">
      <alignment horizontal="left" vertical="top" wrapText="1"/>
      <protection locked="0"/>
    </xf>
    <xf numFmtId="0" fontId="20" fillId="0" borderId="4" xfId="5" applyFont="1" applyBorder="1" applyAlignment="1" applyProtection="1">
      <alignment horizontal="left" vertical="top" wrapText="1"/>
      <protection locked="0"/>
    </xf>
    <xf numFmtId="0" fontId="20" fillId="0" borderId="21" xfId="5" applyFont="1" applyBorder="1" applyAlignment="1" applyProtection="1">
      <alignment horizontal="left" vertical="top" wrapText="1"/>
      <protection locked="0"/>
    </xf>
    <xf numFmtId="0" fontId="19" fillId="0" borderId="23" xfId="5" applyFont="1" applyBorder="1" applyAlignment="1" applyProtection="1">
      <alignment horizontal="center" vertical="top" wrapText="1"/>
      <protection locked="0"/>
    </xf>
    <xf numFmtId="0" fontId="19" fillId="0" borderId="5" xfId="5" applyFont="1" applyBorder="1" applyAlignment="1" applyProtection="1">
      <alignment horizontal="center" vertical="top" wrapText="1"/>
      <protection locked="0"/>
    </xf>
    <xf numFmtId="0" fontId="8" fillId="0" borderId="6" xfId="0" applyFont="1" applyBorder="1" applyAlignment="1">
      <alignment vertical="top" wrapText="1"/>
    </xf>
    <xf numFmtId="0" fontId="8" fillId="0" borderId="7" xfId="0" applyFont="1" applyBorder="1" applyAlignment="1">
      <alignment vertical="top" wrapText="1"/>
    </xf>
    <xf numFmtId="0" fontId="8" fillId="0" borderId="8" xfId="0" applyFont="1" applyBorder="1" applyAlignment="1">
      <alignment vertical="top" wrapText="1"/>
    </xf>
    <xf numFmtId="0" fontId="8" fillId="0" borderId="12" xfId="0" applyFont="1" applyBorder="1" applyAlignment="1">
      <alignment vertical="top" wrapText="1"/>
    </xf>
    <xf numFmtId="0" fontId="8" fillId="0" borderId="0" xfId="0" applyFont="1" applyAlignment="1">
      <alignment vertical="top" wrapText="1"/>
    </xf>
    <xf numFmtId="0" fontId="8" fillId="0" borderId="13" xfId="0" applyFont="1" applyBorder="1" applyAlignment="1">
      <alignment vertical="top" wrapText="1"/>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7" fillId="0" borderId="1" xfId="0" applyFont="1" applyBorder="1" applyAlignment="1">
      <alignment horizontal="left" vertical="top"/>
    </xf>
    <xf numFmtId="0" fontId="7" fillId="0" borderId="4" xfId="0" applyFont="1" applyBorder="1" applyAlignment="1">
      <alignment horizontal="left" vertical="top"/>
    </xf>
    <xf numFmtId="0" fontId="7" fillId="0" borderId="5" xfId="0" applyFont="1" applyBorder="1" applyAlignment="1">
      <alignment horizontal="left" vertical="top"/>
    </xf>
    <xf numFmtId="0" fontId="3" fillId="0" borderId="1"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horizontal="center" vertical="top"/>
    </xf>
    <xf numFmtId="0" fontId="0" fillId="0" borderId="2" xfId="0" applyBorder="1"/>
    <xf numFmtId="2" fontId="4" fillId="0" borderId="1" xfId="0" applyNumberFormat="1" applyFont="1" applyBorder="1" applyAlignment="1">
      <alignment horizontal="left" vertical="top" wrapText="1"/>
    </xf>
    <xf numFmtId="2" fontId="4" fillId="0" borderId="4" xfId="0" applyNumberFormat="1" applyFont="1" applyBorder="1" applyAlignment="1">
      <alignment horizontal="left" vertical="top" wrapText="1"/>
    </xf>
    <xf numFmtId="2" fontId="4" fillId="0" borderId="5" xfId="0" applyNumberFormat="1" applyFont="1" applyBorder="1" applyAlignment="1">
      <alignment horizontal="left" vertical="top" wrapText="1"/>
    </xf>
    <xf numFmtId="0" fontId="4" fillId="0" borderId="1" xfId="0" applyFont="1" applyBorder="1" applyAlignment="1">
      <alignment horizontal="center" vertical="top"/>
    </xf>
    <xf numFmtId="0" fontId="4" fillId="0" borderId="5" xfId="0" applyFont="1" applyBorder="1" applyAlignment="1">
      <alignment horizontal="center" vertical="top"/>
    </xf>
    <xf numFmtId="0" fontId="9" fillId="0" borderId="2" xfId="0" applyFont="1" applyBorder="1" applyAlignment="1">
      <alignment horizontal="left" vertical="top" wrapText="1"/>
    </xf>
    <xf numFmtId="0" fontId="5" fillId="0" borderId="1"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4" fillId="0" borderId="1" xfId="0" applyFont="1" applyBorder="1" applyAlignment="1">
      <alignment vertical="top"/>
    </xf>
    <xf numFmtId="0" fontId="4" fillId="0" borderId="4" xfId="0" applyFont="1" applyBorder="1" applyAlignment="1">
      <alignment vertical="top"/>
    </xf>
    <xf numFmtId="0" fontId="4" fillId="0" borderId="5" xfId="0" applyFont="1" applyBorder="1" applyAlignment="1">
      <alignment vertical="top"/>
    </xf>
    <xf numFmtId="0" fontId="5" fillId="0" borderId="4" xfId="0" applyFont="1" applyBorder="1" applyAlignment="1">
      <alignment vertical="top"/>
    </xf>
    <xf numFmtId="0" fontId="5" fillId="0" borderId="5" xfId="0" applyFont="1" applyBorder="1" applyAlignment="1">
      <alignment vertical="top"/>
    </xf>
    <xf numFmtId="0" fontId="9" fillId="0" borderId="1" xfId="0" applyFont="1" applyBorder="1" applyAlignment="1">
      <alignment horizontal="center" vertical="top"/>
    </xf>
    <xf numFmtId="0" fontId="9" fillId="0" borderId="5" xfId="0" applyFont="1" applyBorder="1" applyAlignment="1">
      <alignment horizontal="center" vertical="top"/>
    </xf>
    <xf numFmtId="0" fontId="5" fillId="0" borderId="1" xfId="0" applyFont="1" applyBorder="1" applyAlignment="1">
      <alignment horizontal="center" vertical="top"/>
    </xf>
    <xf numFmtId="0" fontId="5" fillId="0" borderId="5" xfId="0" applyFont="1" applyBorder="1" applyAlignment="1">
      <alignment horizontal="center" vertical="top"/>
    </xf>
    <xf numFmtId="0" fontId="3" fillId="0" borderId="1"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1" xfId="2" applyFont="1" applyBorder="1" applyAlignment="1">
      <alignment horizontal="left" vertical="top" wrapText="1"/>
    </xf>
    <xf numFmtId="0" fontId="3" fillId="0" borderId="4" xfId="2" applyFont="1" applyBorder="1" applyAlignment="1">
      <alignment horizontal="left" vertical="top" wrapText="1"/>
    </xf>
    <xf numFmtId="0" fontId="3" fillId="0" borderId="5" xfId="2" applyFont="1" applyBorder="1" applyAlignment="1">
      <alignment horizontal="left"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12" xfId="0" applyFont="1" applyBorder="1" applyAlignment="1">
      <alignment horizontal="center" vertical="top" wrapText="1"/>
    </xf>
    <xf numFmtId="0" fontId="3" fillId="0" borderId="0" xfId="0" applyFont="1" applyAlignment="1">
      <alignment horizontal="center" vertical="top" wrapText="1"/>
    </xf>
    <xf numFmtId="0" fontId="3" fillId="0" borderId="13"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11" fillId="0" borderId="2" xfId="0" applyFont="1" applyBorder="1" applyAlignment="1">
      <alignment horizontal="center" vertical="top"/>
    </xf>
    <xf numFmtId="0" fontId="3" fillId="0" borderId="2" xfId="0" applyFont="1" applyBorder="1" applyAlignment="1">
      <alignment horizontal="center" vertical="top"/>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5" fillId="0" borderId="1" xfId="0" applyFont="1" applyBorder="1" applyAlignment="1">
      <alignment vertical="top"/>
    </xf>
    <xf numFmtId="165" fontId="4" fillId="0" borderId="1" xfId="0" applyNumberFormat="1" applyFont="1" applyBorder="1" applyAlignment="1">
      <alignment horizontal="left" vertical="top"/>
    </xf>
    <xf numFmtId="165" fontId="4" fillId="0" borderId="4" xfId="0" applyNumberFormat="1" applyFont="1" applyBorder="1" applyAlignment="1">
      <alignment horizontal="left" vertical="top"/>
    </xf>
    <xf numFmtId="165" fontId="4" fillId="0" borderId="5" xfId="0" applyNumberFormat="1" applyFont="1" applyBorder="1" applyAlignment="1">
      <alignment horizontal="left" vertical="top"/>
    </xf>
    <xf numFmtId="1" fontId="4" fillId="0" borderId="1" xfId="0" applyNumberFormat="1" applyFont="1" applyBorder="1" applyAlignment="1">
      <alignment horizontal="left" vertical="top"/>
    </xf>
    <xf numFmtId="1" fontId="4" fillId="0" borderId="4" xfId="0" applyNumberFormat="1" applyFont="1" applyBorder="1" applyAlignment="1">
      <alignment horizontal="left" vertical="top"/>
    </xf>
    <xf numFmtId="1" fontId="4" fillId="0" borderId="5" xfId="0" applyNumberFormat="1" applyFont="1" applyBorder="1" applyAlignment="1">
      <alignment horizontal="left" vertical="top"/>
    </xf>
    <xf numFmtId="14" fontId="4" fillId="0" borderId="2" xfId="0" applyNumberFormat="1" applyFont="1" applyBorder="1" applyAlignment="1">
      <alignment horizontal="left" vertical="top" wrapText="1"/>
    </xf>
    <xf numFmtId="0" fontId="3" fillId="0" borderId="2" xfId="0" applyFont="1" applyBorder="1" applyAlignment="1">
      <alignment vertical="top"/>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4" xfId="0" applyFont="1" applyBorder="1" applyAlignment="1">
      <alignment horizontal="center" vertical="top"/>
    </xf>
    <xf numFmtId="0" fontId="4" fillId="0" borderId="2" xfId="0" applyFont="1" applyBorder="1" applyAlignment="1">
      <alignment horizontal="left" vertical="top" wrapText="1"/>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2" xfId="0" applyFont="1" applyBorder="1" applyAlignment="1">
      <alignment horizontal="center" vertical="top" wrapText="1"/>
    </xf>
    <xf numFmtId="0" fontId="3" fillId="0" borderId="1" xfId="0" applyFont="1" applyBorder="1" applyAlignment="1">
      <alignment horizontal="center" vertical="top"/>
    </xf>
    <xf numFmtId="0" fontId="3" fillId="0" borderId="4" xfId="0" applyFont="1" applyBorder="1" applyAlignment="1">
      <alignment horizontal="center" vertical="top"/>
    </xf>
    <xf numFmtId="0" fontId="3" fillId="0" borderId="5" xfId="0" applyFont="1" applyBorder="1" applyAlignment="1">
      <alignment horizontal="center" vertical="top"/>
    </xf>
    <xf numFmtId="14" fontId="4" fillId="0" borderId="1" xfId="0" applyNumberFormat="1" applyFont="1" applyBorder="1" applyAlignment="1">
      <alignment horizontal="left" vertical="top"/>
    </xf>
    <xf numFmtId="14" fontId="4" fillId="0" borderId="4" xfId="0" applyNumberFormat="1" applyFont="1" applyBorder="1" applyAlignment="1">
      <alignment horizontal="left" vertical="top"/>
    </xf>
    <xf numFmtId="14" fontId="4" fillId="0" borderId="5" xfId="0" applyNumberFormat="1" applyFont="1" applyBorder="1" applyAlignment="1">
      <alignment horizontal="left" vertical="top"/>
    </xf>
    <xf numFmtId="0" fontId="9" fillId="0" borderId="1" xfId="0" applyFont="1" applyBorder="1" applyAlignment="1">
      <alignment horizontal="left" vertical="top"/>
    </xf>
    <xf numFmtId="0" fontId="9" fillId="0" borderId="5" xfId="0" applyFont="1" applyBorder="1" applyAlignment="1">
      <alignment horizontal="left" vertical="top"/>
    </xf>
    <xf numFmtId="0" fontId="4" fillId="3" borderId="1" xfId="0" applyFont="1" applyFill="1" applyBorder="1" applyAlignment="1">
      <alignment horizontal="left" vertical="top"/>
    </xf>
    <xf numFmtId="0" fontId="4" fillId="3" borderId="2" xfId="0" applyFont="1" applyFill="1" applyBorder="1" applyAlignment="1">
      <alignment horizontal="left" vertical="top" wrapText="1"/>
    </xf>
    <xf numFmtId="0" fontId="23" fillId="0" borderId="1" xfId="6" applyFill="1" applyBorder="1" applyAlignment="1">
      <alignment horizontal="center" vertical="top"/>
    </xf>
    <xf numFmtId="0" fontId="4" fillId="3" borderId="1" xfId="0" applyFont="1" applyFill="1" applyBorder="1" applyAlignment="1">
      <alignment horizontal="left" vertical="top" wrapText="1"/>
    </xf>
    <xf numFmtId="0" fontId="4" fillId="3" borderId="5" xfId="0" applyFont="1" applyFill="1" applyBorder="1" applyAlignment="1">
      <alignment horizontal="left" vertical="top" wrapText="1"/>
    </xf>
    <xf numFmtId="0" fontId="20" fillId="0" borderId="33" xfId="5" applyFont="1" applyBorder="1" applyAlignment="1" applyProtection="1">
      <alignment horizontal="left" vertical="top" wrapText="1"/>
      <protection locked="0"/>
    </xf>
    <xf numFmtId="0" fontId="20" fillId="0" borderId="33" xfId="5" applyFont="1" applyBorder="1" applyAlignment="1" applyProtection="1">
      <alignment horizontal="center" vertical="center" wrapText="1"/>
      <protection locked="0"/>
    </xf>
    <xf numFmtId="0" fontId="20" fillId="0" borderId="34" xfId="5" applyFont="1" applyBorder="1" applyAlignment="1" applyProtection="1">
      <alignment horizontal="center" vertical="center" wrapText="1"/>
      <protection locked="0"/>
    </xf>
    <xf numFmtId="0" fontId="20" fillId="0" borderId="2" xfId="5" applyFont="1" applyBorder="1" applyAlignment="1" applyProtection="1">
      <alignment horizontal="center" vertical="top" wrapText="1"/>
      <protection locked="0"/>
    </xf>
    <xf numFmtId="0" fontId="20" fillId="0" borderId="2" xfId="5" applyFont="1" applyBorder="1" applyAlignment="1" applyProtection="1">
      <alignment horizontal="center" vertical="center" wrapText="1"/>
      <protection locked="0"/>
    </xf>
    <xf numFmtId="0" fontId="14" fillId="0" borderId="2" xfId="4" applyFont="1" applyBorder="1" applyAlignment="1">
      <alignment horizontal="left"/>
    </xf>
  </cellXfs>
  <cellStyles count="7">
    <cellStyle name="Comma 2" xfId="1" xr:uid="{00000000-0005-0000-0000-000000000000}"/>
    <cellStyle name="Excel Built-in Normal" xfId="2" xr:uid="{00000000-0005-0000-0000-000001000000}"/>
    <cellStyle name="Excel Built-in Normal 2" xfId="3" xr:uid="{00000000-0005-0000-0000-000002000000}"/>
    <cellStyle name="Hyperlink" xfId="6" builtinId="8"/>
    <cellStyle name="Normal" xfId="0" builtinId="0"/>
    <cellStyle name="Normal 3" xfId="5" xr:uid="{00000000-0005-0000-0000-000005000000}"/>
    <cellStyle name="Normal 4" xfId="4"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g"/><Relationship Id="rId28" Type="http://schemas.openxmlformats.org/officeDocument/2006/relationships/image" Target="../media/image28.jpe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g"/><Relationship Id="rId27" Type="http://schemas.openxmlformats.org/officeDocument/2006/relationships/image" Target="../media/image27.jpg"/><Relationship Id="rId30" Type="http://schemas.openxmlformats.org/officeDocument/2006/relationships/image" Target="../media/image3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xdr:from>
      <xdr:col>2</xdr:col>
      <xdr:colOff>386231</xdr:colOff>
      <xdr:row>343</xdr:row>
      <xdr:rowOff>664</xdr:rowOff>
    </xdr:from>
    <xdr:to>
      <xdr:col>8</xdr:col>
      <xdr:colOff>485775</xdr:colOff>
      <xdr:row>374</xdr:row>
      <xdr:rowOff>7102</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948331" y="71864884"/>
          <a:ext cx="4008604" cy="5675718"/>
          <a:chOff x="1900706" y="73047889"/>
          <a:chExt cx="3919069" cy="5911938"/>
        </a:xfrm>
      </xdr:grpSpPr>
      <xdr:pic>
        <xdr:nvPicPr>
          <xdr:cNvPr id="1784" name="Picture 8">
            <a:extLst>
              <a:ext uri="{FF2B5EF4-FFF2-40B4-BE49-F238E27FC236}">
                <a16:creationId xmlns:a16="http://schemas.microsoft.com/office/drawing/2014/main" id="{00000000-0008-0000-0000-0000F806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900706" y="73047889"/>
            <a:ext cx="3885452" cy="2880000"/>
          </a:xfrm>
          <a:prstGeom prst="rect">
            <a:avLst/>
          </a:prstGeom>
          <a:noFill/>
          <a:ln w="9525">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pic>
        <xdr:nvPicPr>
          <xdr:cNvPr id="1785" name="Picture 9">
            <a:extLst>
              <a:ext uri="{FF2B5EF4-FFF2-40B4-BE49-F238E27FC236}">
                <a16:creationId xmlns:a16="http://schemas.microsoft.com/office/drawing/2014/main" id="{00000000-0008-0000-0000-0000F906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923120" y="76079827"/>
            <a:ext cx="3896655" cy="2880000"/>
          </a:xfrm>
          <a:prstGeom prst="rect">
            <a:avLst/>
          </a:prstGeom>
          <a:noFill/>
          <a:ln w="9525">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xdr:from>
      <xdr:col>13</xdr:col>
      <xdr:colOff>256688</xdr:colOff>
      <xdr:row>234</xdr:row>
      <xdr:rowOff>85725</xdr:rowOff>
    </xdr:from>
    <xdr:to>
      <xdr:col>14</xdr:col>
      <xdr:colOff>215900</xdr:colOff>
      <xdr:row>235</xdr:row>
      <xdr:rowOff>168275</xdr:rowOff>
    </xdr:to>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8695838" y="45986700"/>
          <a:ext cx="568812" cy="273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Wing B</a:t>
          </a:r>
        </a:p>
      </xdr:txBody>
    </xdr:sp>
    <xdr:clientData/>
  </xdr:twoCellAnchor>
  <xdr:twoCellAnchor>
    <xdr:from>
      <xdr:col>23</xdr:col>
      <xdr:colOff>428625</xdr:colOff>
      <xdr:row>239</xdr:row>
      <xdr:rowOff>53794</xdr:rowOff>
    </xdr:from>
    <xdr:to>
      <xdr:col>24</xdr:col>
      <xdr:colOff>454603</xdr:colOff>
      <xdr:row>240</xdr:row>
      <xdr:rowOff>158749</xdr:rowOff>
    </xdr:to>
    <xdr:sp macro="" textlink="">
      <xdr:nvSpPr>
        <xdr:cNvPr id="38" name="TextBox 37">
          <a:extLst>
            <a:ext uri="{FF2B5EF4-FFF2-40B4-BE49-F238E27FC236}">
              <a16:creationId xmlns:a16="http://schemas.microsoft.com/office/drawing/2014/main" id="{00000000-0008-0000-0000-000026000000}"/>
            </a:ext>
          </a:extLst>
        </xdr:cNvPr>
        <xdr:cNvSpPr txBox="1"/>
      </xdr:nvSpPr>
      <xdr:spPr>
        <a:xfrm>
          <a:off x="14963775" y="46907269"/>
          <a:ext cx="635578" cy="295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Wing C</a:t>
          </a:r>
        </a:p>
      </xdr:txBody>
    </xdr:sp>
    <xdr:clientData/>
  </xdr:twoCellAnchor>
  <xdr:twoCellAnchor>
    <xdr:from>
      <xdr:col>12</xdr:col>
      <xdr:colOff>114140</xdr:colOff>
      <xdr:row>242</xdr:row>
      <xdr:rowOff>76199</xdr:rowOff>
    </xdr:from>
    <xdr:to>
      <xdr:col>13</xdr:col>
      <xdr:colOff>142875</xdr:colOff>
      <xdr:row>243</xdr:row>
      <xdr:rowOff>133350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8334215" y="47853599"/>
          <a:ext cx="638335" cy="247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Wing A</a:t>
          </a:r>
        </a:p>
      </xdr:txBody>
    </xdr:sp>
    <xdr:clientData/>
  </xdr:twoCellAnchor>
  <xdr:twoCellAnchor>
    <xdr:from>
      <xdr:col>11</xdr:col>
      <xdr:colOff>390525</xdr:colOff>
      <xdr:row>241</xdr:row>
      <xdr:rowOff>47625</xdr:rowOff>
    </xdr:from>
    <xdr:to>
      <xdr:col>12</xdr:col>
      <xdr:colOff>542925</xdr:colOff>
      <xdr:row>242</xdr:row>
      <xdr:rowOff>114300</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8001000" y="47634525"/>
          <a:ext cx="762000"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Wing B</a:t>
          </a:r>
        </a:p>
      </xdr:txBody>
    </xdr:sp>
    <xdr:clientData/>
  </xdr:twoCellAnchor>
  <xdr:twoCellAnchor>
    <xdr:from>
      <xdr:col>11</xdr:col>
      <xdr:colOff>581025</xdr:colOff>
      <xdr:row>238</xdr:row>
      <xdr:rowOff>171450</xdr:rowOff>
    </xdr:from>
    <xdr:to>
      <xdr:col>13</xdr:col>
      <xdr:colOff>0</xdr:colOff>
      <xdr:row>240</xdr:row>
      <xdr:rowOff>66675</xdr:rowOff>
    </xdr:to>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8191500" y="47186850"/>
          <a:ext cx="638175"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Wing C</a:t>
          </a:r>
        </a:p>
      </xdr:txBody>
    </xdr:sp>
    <xdr:clientData/>
  </xdr:twoCellAnchor>
  <xdr:twoCellAnchor>
    <xdr:from>
      <xdr:col>12</xdr:col>
      <xdr:colOff>371315</xdr:colOff>
      <xdr:row>236</xdr:row>
      <xdr:rowOff>152400</xdr:rowOff>
    </xdr:from>
    <xdr:to>
      <xdr:col>13</xdr:col>
      <xdr:colOff>485775</xdr:colOff>
      <xdr:row>238</xdr:row>
      <xdr:rowOff>47626</xdr:rowOff>
    </xdr:to>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8591390" y="46367700"/>
          <a:ext cx="724060" cy="2762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Wing A</a:t>
          </a:r>
        </a:p>
      </xdr:txBody>
    </xdr:sp>
    <xdr:clientData/>
  </xdr:twoCellAnchor>
  <xdr:twoCellAnchor>
    <xdr:from>
      <xdr:col>17</xdr:col>
      <xdr:colOff>333375</xdr:colOff>
      <xdr:row>251</xdr:row>
      <xdr:rowOff>47625</xdr:rowOff>
    </xdr:from>
    <xdr:to>
      <xdr:col>18</xdr:col>
      <xdr:colOff>447835</xdr:colOff>
      <xdr:row>252</xdr:row>
      <xdr:rowOff>133351</xdr:rowOff>
    </xdr:to>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11601450" y="49120425"/>
          <a:ext cx="724060" cy="2762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Wing B</a:t>
          </a:r>
        </a:p>
      </xdr:txBody>
    </xdr:sp>
    <xdr:clientData/>
  </xdr:twoCellAnchor>
  <xdr:twoCellAnchor>
    <xdr:from>
      <xdr:col>15</xdr:col>
      <xdr:colOff>381000</xdr:colOff>
      <xdr:row>251</xdr:row>
      <xdr:rowOff>66675</xdr:rowOff>
    </xdr:from>
    <xdr:to>
      <xdr:col>16</xdr:col>
      <xdr:colOff>495460</xdr:colOff>
      <xdr:row>252</xdr:row>
      <xdr:rowOff>152401</xdr:rowOff>
    </xdr:to>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10429875" y="49139475"/>
          <a:ext cx="724060" cy="2762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Wing C</a:t>
          </a:r>
        </a:p>
      </xdr:txBody>
    </xdr:sp>
    <xdr:clientData/>
  </xdr:twoCellAnchor>
  <xdr:twoCellAnchor>
    <xdr:from>
      <xdr:col>11</xdr:col>
      <xdr:colOff>352425</xdr:colOff>
      <xdr:row>257</xdr:row>
      <xdr:rowOff>152400</xdr:rowOff>
    </xdr:from>
    <xdr:to>
      <xdr:col>12</xdr:col>
      <xdr:colOff>466885</xdr:colOff>
      <xdr:row>259</xdr:row>
      <xdr:rowOff>47626</xdr:rowOff>
    </xdr:to>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8696325" y="50368200"/>
          <a:ext cx="724060" cy="2762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Wing B</a:t>
          </a:r>
        </a:p>
      </xdr:txBody>
    </xdr:sp>
    <xdr:clientData/>
  </xdr:twoCellAnchor>
  <xdr:twoCellAnchor>
    <xdr:from>
      <xdr:col>10</xdr:col>
      <xdr:colOff>228600</xdr:colOff>
      <xdr:row>251</xdr:row>
      <xdr:rowOff>0</xdr:rowOff>
    </xdr:from>
    <xdr:to>
      <xdr:col>11</xdr:col>
      <xdr:colOff>343060</xdr:colOff>
      <xdr:row>252</xdr:row>
      <xdr:rowOff>85726</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7229475" y="49072800"/>
          <a:ext cx="724060" cy="2762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Wing C</a:t>
          </a:r>
        </a:p>
      </xdr:txBody>
    </xdr:sp>
    <xdr:clientData/>
  </xdr:twoCellAnchor>
  <xdr:twoCellAnchor>
    <xdr:from>
      <xdr:col>18</xdr:col>
      <xdr:colOff>342900</xdr:colOff>
      <xdr:row>252</xdr:row>
      <xdr:rowOff>104775</xdr:rowOff>
    </xdr:from>
    <xdr:to>
      <xdr:col>19</xdr:col>
      <xdr:colOff>266700</xdr:colOff>
      <xdr:row>254</xdr:row>
      <xdr:rowOff>47625</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a:xfrm>
          <a:off x="12220575" y="49368075"/>
          <a:ext cx="533400" cy="3238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66675</xdr:colOff>
      <xdr:row>252</xdr:row>
      <xdr:rowOff>104775</xdr:rowOff>
    </xdr:from>
    <xdr:to>
      <xdr:col>16</xdr:col>
      <xdr:colOff>180975</xdr:colOff>
      <xdr:row>254</xdr:row>
      <xdr:rowOff>76200</xdr:rowOff>
    </xdr:to>
    <xdr:cxnSp macro="">
      <xdr:nvCxnSpPr>
        <xdr:cNvPr id="25" name="Straight Arrow Connector 24">
          <a:extLst>
            <a:ext uri="{FF2B5EF4-FFF2-40B4-BE49-F238E27FC236}">
              <a16:creationId xmlns:a16="http://schemas.microsoft.com/office/drawing/2014/main" id="{00000000-0008-0000-0000-000019000000}"/>
            </a:ext>
          </a:extLst>
        </xdr:cNvPr>
        <xdr:cNvCxnSpPr/>
      </xdr:nvCxnSpPr>
      <xdr:spPr>
        <a:xfrm>
          <a:off x="10725150" y="49368075"/>
          <a:ext cx="114300" cy="3524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590550</xdr:colOff>
      <xdr:row>252</xdr:row>
      <xdr:rowOff>28575</xdr:rowOff>
    </xdr:from>
    <xdr:to>
      <xdr:col>13</xdr:col>
      <xdr:colOff>514350</xdr:colOff>
      <xdr:row>253</xdr:row>
      <xdr:rowOff>161925</xdr:rowOff>
    </xdr:to>
    <xdr:cxnSp macro="">
      <xdr:nvCxnSpPr>
        <xdr:cNvPr id="27" name="Straight Arrow Connector 26">
          <a:extLst>
            <a:ext uri="{FF2B5EF4-FFF2-40B4-BE49-F238E27FC236}">
              <a16:creationId xmlns:a16="http://schemas.microsoft.com/office/drawing/2014/main" id="{00000000-0008-0000-0000-00001B000000}"/>
            </a:ext>
          </a:extLst>
        </xdr:cNvPr>
        <xdr:cNvCxnSpPr/>
      </xdr:nvCxnSpPr>
      <xdr:spPr>
        <a:xfrm>
          <a:off x="8810625" y="49291875"/>
          <a:ext cx="533400" cy="3238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314325</xdr:colOff>
      <xdr:row>252</xdr:row>
      <xdr:rowOff>28575</xdr:rowOff>
    </xdr:from>
    <xdr:to>
      <xdr:col>10</xdr:col>
      <xdr:colOff>428625</xdr:colOff>
      <xdr:row>254</xdr:row>
      <xdr:rowOff>0</xdr:rowOff>
    </xdr:to>
    <xdr:cxnSp macro="">
      <xdr:nvCxnSpPr>
        <xdr:cNvPr id="28" name="Straight Arrow Connector 27">
          <a:extLst>
            <a:ext uri="{FF2B5EF4-FFF2-40B4-BE49-F238E27FC236}">
              <a16:creationId xmlns:a16="http://schemas.microsoft.com/office/drawing/2014/main" id="{00000000-0008-0000-0000-00001C000000}"/>
            </a:ext>
          </a:extLst>
        </xdr:cNvPr>
        <xdr:cNvCxnSpPr/>
      </xdr:nvCxnSpPr>
      <xdr:spPr>
        <a:xfrm>
          <a:off x="7315200" y="49291875"/>
          <a:ext cx="114300" cy="3524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218915</xdr:colOff>
      <xdr:row>236</xdr:row>
      <xdr:rowOff>142875</xdr:rowOff>
    </xdr:from>
    <xdr:to>
      <xdr:col>15</xdr:col>
      <xdr:colOff>333375</xdr:colOff>
      <xdr:row>238</xdr:row>
      <xdr:rowOff>38101</xdr:rowOff>
    </xdr:to>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9658190" y="46358175"/>
          <a:ext cx="724060" cy="2762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Wing D</a:t>
          </a:r>
        </a:p>
      </xdr:txBody>
    </xdr:sp>
    <xdr:clientData/>
  </xdr:twoCellAnchor>
  <xdr:twoCellAnchor>
    <xdr:from>
      <xdr:col>12</xdr:col>
      <xdr:colOff>123825</xdr:colOff>
      <xdr:row>239</xdr:row>
      <xdr:rowOff>133350</xdr:rowOff>
    </xdr:from>
    <xdr:to>
      <xdr:col>13</xdr:col>
      <xdr:colOff>152400</xdr:colOff>
      <xdr:row>241</xdr:row>
      <xdr:rowOff>28575</xdr:rowOff>
    </xdr:to>
    <xdr:sp macro="" textlink="">
      <xdr:nvSpPr>
        <xdr:cNvPr id="42" name="TextBox 41">
          <a:extLst>
            <a:ext uri="{FF2B5EF4-FFF2-40B4-BE49-F238E27FC236}">
              <a16:creationId xmlns:a16="http://schemas.microsoft.com/office/drawing/2014/main" id="{00000000-0008-0000-0000-00002A000000}"/>
            </a:ext>
          </a:extLst>
        </xdr:cNvPr>
        <xdr:cNvSpPr txBox="1"/>
      </xdr:nvSpPr>
      <xdr:spPr>
        <a:xfrm>
          <a:off x="9077325" y="46920150"/>
          <a:ext cx="638175"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Wing C</a:t>
          </a:r>
        </a:p>
      </xdr:txBody>
    </xdr:sp>
    <xdr:clientData/>
  </xdr:twoCellAnchor>
  <xdr:twoCellAnchor>
    <xdr:from>
      <xdr:col>14</xdr:col>
      <xdr:colOff>399890</xdr:colOff>
      <xdr:row>240</xdr:row>
      <xdr:rowOff>28575</xdr:rowOff>
    </xdr:from>
    <xdr:to>
      <xdr:col>15</xdr:col>
      <xdr:colOff>514350</xdr:colOff>
      <xdr:row>241</xdr:row>
      <xdr:rowOff>114301</xdr:rowOff>
    </xdr:to>
    <xdr:sp macro="" textlink="">
      <xdr:nvSpPr>
        <xdr:cNvPr id="43" name="TextBox 42">
          <a:extLst>
            <a:ext uri="{FF2B5EF4-FFF2-40B4-BE49-F238E27FC236}">
              <a16:creationId xmlns:a16="http://schemas.microsoft.com/office/drawing/2014/main" id="{00000000-0008-0000-0000-00002B000000}"/>
            </a:ext>
          </a:extLst>
        </xdr:cNvPr>
        <xdr:cNvSpPr txBox="1"/>
      </xdr:nvSpPr>
      <xdr:spPr>
        <a:xfrm>
          <a:off x="10572590" y="47005875"/>
          <a:ext cx="724060" cy="2762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Wing D</a:t>
          </a:r>
        </a:p>
      </xdr:txBody>
    </xdr:sp>
    <xdr:clientData/>
  </xdr:twoCellAnchor>
  <xdr:twoCellAnchor editAs="oneCell">
    <xdr:from>
      <xdr:col>10</xdr:col>
      <xdr:colOff>390525</xdr:colOff>
      <xdr:row>195</xdr:row>
      <xdr:rowOff>180975</xdr:rowOff>
    </xdr:from>
    <xdr:to>
      <xdr:col>17</xdr:col>
      <xdr:colOff>142875</xdr:colOff>
      <xdr:row>206</xdr:row>
      <xdr:rowOff>133350</xdr:rowOff>
    </xdr:to>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rotWithShape="1">
        <a:blip xmlns:r="http://schemas.openxmlformats.org/officeDocument/2006/relationships" r:embed="rId3"/>
        <a:srcRect l="34041" t="41146" r="35066" b="29427"/>
        <a:stretch/>
      </xdr:blipFill>
      <xdr:spPr>
        <a:xfrm>
          <a:off x="8124825" y="39347775"/>
          <a:ext cx="4019550" cy="2152650"/>
        </a:xfrm>
        <a:prstGeom prst="rect">
          <a:avLst/>
        </a:prstGeom>
        <a:ln>
          <a:solidFill>
            <a:schemeClr val="tx1"/>
          </a:solidFill>
        </a:ln>
      </xdr:spPr>
    </xdr:pic>
    <xdr:clientData/>
  </xdr:twoCellAnchor>
  <xdr:twoCellAnchor editAs="oneCell">
    <xdr:from>
      <xdr:col>2</xdr:col>
      <xdr:colOff>200025</xdr:colOff>
      <xdr:row>310</xdr:row>
      <xdr:rowOff>171450</xdr:rowOff>
    </xdr:from>
    <xdr:to>
      <xdr:col>8</xdr:col>
      <xdr:colOff>609600</xdr:colOff>
      <xdr:row>341</xdr:row>
      <xdr:rowOff>76200</xdr:rowOff>
    </xdr:to>
    <xdr:pic>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rotWithShape="1">
        <a:blip xmlns:r="http://schemas.openxmlformats.org/officeDocument/2006/relationships" r:embed="rId4"/>
        <a:srcRect l="31260" t="11198" r="36237" b="9376"/>
        <a:stretch/>
      </xdr:blipFill>
      <xdr:spPr>
        <a:xfrm>
          <a:off x="1714500" y="57473850"/>
          <a:ext cx="4229100" cy="5810250"/>
        </a:xfrm>
        <a:prstGeom prst="rect">
          <a:avLst/>
        </a:prstGeom>
        <a:ln>
          <a:solidFill>
            <a:schemeClr val="tx1"/>
          </a:solidFill>
        </a:ln>
      </xdr:spPr>
    </xdr:pic>
    <xdr:clientData/>
  </xdr:twoCellAnchor>
  <xdr:twoCellAnchor editAs="oneCell">
    <xdr:from>
      <xdr:col>1</xdr:col>
      <xdr:colOff>695324</xdr:colOff>
      <xdr:row>278</xdr:row>
      <xdr:rowOff>9525</xdr:rowOff>
    </xdr:from>
    <xdr:to>
      <xdr:col>9</xdr:col>
      <xdr:colOff>408811</xdr:colOff>
      <xdr:row>306</xdr:row>
      <xdr:rowOff>75525</xdr:rowOff>
    </xdr:to>
    <xdr:pic>
      <xdr:nvPicPr>
        <xdr:cNvPr id="53" name="Picture 52">
          <a:extLst>
            <a:ext uri="{FF2B5EF4-FFF2-40B4-BE49-F238E27FC236}">
              <a16:creationId xmlns:a16="http://schemas.microsoft.com/office/drawing/2014/main" id="{00000000-0008-0000-0000-000035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1276349" y="57778650"/>
          <a:ext cx="5209412" cy="5400000"/>
        </a:xfrm>
        <a:prstGeom prst="rect">
          <a:avLst/>
        </a:prstGeom>
        <a:ln>
          <a:solidFill>
            <a:schemeClr val="tx1"/>
          </a:solidFill>
        </a:ln>
      </xdr:spPr>
    </xdr:pic>
    <xdr:clientData/>
  </xdr:twoCellAnchor>
  <xdr:twoCellAnchor editAs="oneCell">
    <xdr:from>
      <xdr:col>11</xdr:col>
      <xdr:colOff>104775</xdr:colOff>
      <xdr:row>275</xdr:row>
      <xdr:rowOff>19050</xdr:rowOff>
    </xdr:from>
    <xdr:to>
      <xdr:col>19</xdr:col>
      <xdr:colOff>428625</xdr:colOff>
      <xdr:row>282</xdr:row>
      <xdr:rowOff>125550</xdr:rowOff>
    </xdr:to>
    <xdr:pic>
      <xdr:nvPicPr>
        <xdr:cNvPr id="54" name="Picture 53">
          <a:extLst>
            <a:ext uri="{FF2B5EF4-FFF2-40B4-BE49-F238E27FC236}">
              <a16:creationId xmlns:a16="http://schemas.microsoft.com/office/drawing/2014/main" id="{00000000-0008-0000-0000-000036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r="5411"/>
        <a:stretch/>
      </xdr:blipFill>
      <xdr:spPr>
        <a:xfrm>
          <a:off x="8448675" y="57216675"/>
          <a:ext cx="5200650" cy="1440000"/>
        </a:xfrm>
        <a:prstGeom prst="rect">
          <a:avLst/>
        </a:prstGeom>
        <a:ln>
          <a:solidFill>
            <a:schemeClr val="tx1"/>
          </a:solidFill>
        </a:ln>
      </xdr:spPr>
    </xdr:pic>
    <xdr:clientData/>
  </xdr:twoCellAnchor>
  <xdr:twoCellAnchor editAs="oneCell">
    <xdr:from>
      <xdr:col>11</xdr:col>
      <xdr:colOff>85725</xdr:colOff>
      <xdr:row>283</xdr:row>
      <xdr:rowOff>48387</xdr:rowOff>
    </xdr:from>
    <xdr:to>
      <xdr:col>19</xdr:col>
      <xdr:colOff>163365</xdr:colOff>
      <xdr:row>300</xdr:row>
      <xdr:rowOff>49887</xdr:rowOff>
    </xdr:to>
    <xdr:pic>
      <xdr:nvPicPr>
        <xdr:cNvPr id="55" name="Picture 54">
          <a:extLst>
            <a:ext uri="{FF2B5EF4-FFF2-40B4-BE49-F238E27FC236}">
              <a16:creationId xmlns:a16="http://schemas.microsoft.com/office/drawing/2014/main" id="{00000000-0008-0000-0000-000037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8429625" y="58770012"/>
          <a:ext cx="4954440" cy="3240000"/>
        </a:xfrm>
        <a:prstGeom prst="rect">
          <a:avLst/>
        </a:prstGeom>
        <a:ln>
          <a:solidFill>
            <a:schemeClr val="tx1"/>
          </a:solidFill>
        </a:ln>
      </xdr:spPr>
    </xdr:pic>
    <xdr:clientData/>
  </xdr:twoCellAnchor>
  <xdr:twoCellAnchor editAs="oneCell">
    <xdr:from>
      <xdr:col>11</xdr:col>
      <xdr:colOff>50800</xdr:colOff>
      <xdr:row>7</xdr:row>
      <xdr:rowOff>127000</xdr:rowOff>
    </xdr:from>
    <xdr:to>
      <xdr:col>20</xdr:col>
      <xdr:colOff>38650</xdr:colOff>
      <xdr:row>17</xdr:row>
      <xdr:rowOff>7750</xdr:rowOff>
    </xdr:to>
    <xdr:pic>
      <xdr:nvPicPr>
        <xdr:cNvPr id="56" name="Pictur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8788400" y="1816100"/>
          <a:ext cx="5760000" cy="3024000"/>
        </a:xfrm>
        <a:prstGeom prst="rect">
          <a:avLst/>
        </a:prstGeom>
        <a:ln>
          <a:solidFill>
            <a:schemeClr val="tx1"/>
          </a:solidFill>
        </a:ln>
      </xdr:spPr>
    </xdr:pic>
    <xdr:clientData/>
  </xdr:twoCellAnchor>
  <xdr:twoCellAnchor>
    <xdr:from>
      <xdr:col>11</xdr:col>
      <xdr:colOff>0</xdr:colOff>
      <xdr:row>231</xdr:row>
      <xdr:rowOff>0</xdr:rowOff>
    </xdr:from>
    <xdr:to>
      <xdr:col>11</xdr:col>
      <xdr:colOff>596574</xdr:colOff>
      <xdr:row>232</xdr:row>
      <xdr:rowOff>86760</xdr:rowOff>
    </xdr:to>
    <xdr:sp macro="" textlink="">
      <xdr:nvSpPr>
        <xdr:cNvPr id="57" name="TextBox 56">
          <a:extLst>
            <a:ext uri="{FF2B5EF4-FFF2-40B4-BE49-F238E27FC236}">
              <a16:creationId xmlns:a16="http://schemas.microsoft.com/office/drawing/2014/main" id="{00000000-0008-0000-0000-000039000000}"/>
            </a:ext>
          </a:extLst>
        </xdr:cNvPr>
        <xdr:cNvSpPr txBox="1"/>
      </xdr:nvSpPr>
      <xdr:spPr>
        <a:xfrm>
          <a:off x="8737600" y="51574700"/>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050" b="0" cap="none" spc="0">
              <a:ln w="0"/>
              <a:solidFill>
                <a:sysClr val="windowText" lastClr="000000"/>
              </a:solidFill>
              <a:effectLst>
                <a:outerShdw blurRad="38100" dist="25400" dir="5400000" algn="ctr" rotWithShape="0">
                  <a:srgbClr val="6E747A">
                    <a:alpha val="43000"/>
                  </a:srgbClr>
                </a:outerShdw>
              </a:effectLst>
            </a:rPr>
            <a:t>Wing A</a:t>
          </a:r>
        </a:p>
      </xdr:txBody>
    </xdr:sp>
    <xdr:clientData/>
  </xdr:twoCellAnchor>
  <xdr:twoCellAnchor>
    <xdr:from>
      <xdr:col>11</xdr:col>
      <xdr:colOff>138430</xdr:colOff>
      <xdr:row>233</xdr:row>
      <xdr:rowOff>44450</xdr:rowOff>
    </xdr:from>
    <xdr:to>
      <xdr:col>21</xdr:col>
      <xdr:colOff>213565</xdr:colOff>
      <xdr:row>272</xdr:row>
      <xdr:rowOff>153538</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8710930" y="51791870"/>
          <a:ext cx="6399735" cy="7241408"/>
          <a:chOff x="679450" y="51943000"/>
          <a:chExt cx="6514035" cy="7290938"/>
        </a:xfrm>
      </xdr:grpSpPr>
      <xdr:pic>
        <xdr:nvPicPr>
          <xdr:cNvPr id="60" name="Pictur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893769" y="51943000"/>
            <a:ext cx="2049863" cy="2736000"/>
          </a:xfrm>
          <a:prstGeom prst="rect">
            <a:avLst/>
          </a:prstGeom>
          <a:ln>
            <a:solidFill>
              <a:schemeClr val="tx1"/>
            </a:solidFill>
          </a:ln>
        </xdr:spPr>
      </xdr:pic>
      <xdr:pic>
        <xdr:nvPicPr>
          <xdr:cNvPr id="61" name="Pictur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704501" y="54778469"/>
            <a:ext cx="2049863" cy="2736000"/>
          </a:xfrm>
          <a:prstGeom prst="rect">
            <a:avLst/>
          </a:prstGeom>
          <a:ln>
            <a:solidFill>
              <a:schemeClr val="tx1"/>
            </a:solidFill>
          </a:ln>
        </xdr:spPr>
      </xdr:pic>
      <xdr:pic>
        <xdr:nvPicPr>
          <xdr:cNvPr id="62" name="Pictur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679450" y="57613938"/>
            <a:ext cx="1213736" cy="1620000"/>
          </a:xfrm>
          <a:prstGeom prst="rect">
            <a:avLst/>
          </a:prstGeom>
          <a:ln>
            <a:solidFill>
              <a:schemeClr val="tx1"/>
            </a:solidFill>
          </a:ln>
        </xdr:spPr>
      </xdr:pic>
      <xdr:pic>
        <xdr:nvPicPr>
          <xdr:cNvPr id="63" name="Pictur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704501" y="51943000"/>
            <a:ext cx="2049863" cy="2736000"/>
          </a:xfrm>
          <a:prstGeom prst="rect">
            <a:avLst/>
          </a:prstGeom>
          <a:ln>
            <a:solidFill>
              <a:schemeClr val="tx1"/>
            </a:solidFill>
          </a:ln>
        </xdr:spPr>
      </xdr:pic>
      <xdr:pic>
        <xdr:nvPicPr>
          <xdr:cNvPr id="64" name="Picture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5080993" y="51943000"/>
            <a:ext cx="2049863" cy="2736000"/>
          </a:xfrm>
          <a:prstGeom prst="rect">
            <a:avLst/>
          </a:prstGeom>
          <a:ln>
            <a:solidFill>
              <a:schemeClr val="tx1"/>
            </a:solidFill>
          </a:ln>
        </xdr:spPr>
      </xdr:pic>
      <xdr:pic>
        <xdr:nvPicPr>
          <xdr:cNvPr id="65" name="Picture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001617" y="57613938"/>
            <a:ext cx="1213736" cy="1620000"/>
          </a:xfrm>
          <a:prstGeom prst="rect">
            <a:avLst/>
          </a:prstGeom>
          <a:ln>
            <a:solidFill>
              <a:schemeClr val="tx1"/>
            </a:solidFill>
          </a:ln>
        </xdr:spPr>
      </xdr:pic>
      <xdr:pic>
        <xdr:nvPicPr>
          <xdr:cNvPr id="70" name="Picture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893768" y="54778469"/>
            <a:ext cx="2049863" cy="2736000"/>
          </a:xfrm>
          <a:prstGeom prst="rect">
            <a:avLst/>
          </a:prstGeom>
          <a:ln>
            <a:solidFill>
              <a:schemeClr val="tx1"/>
            </a:solidFill>
          </a:ln>
        </xdr:spPr>
      </xdr:pic>
      <xdr:pic>
        <xdr:nvPicPr>
          <xdr:cNvPr id="71" name="Picture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3323784" y="57613938"/>
            <a:ext cx="1213736" cy="1620000"/>
          </a:xfrm>
          <a:prstGeom prst="rect">
            <a:avLst/>
          </a:prstGeom>
          <a:ln>
            <a:solidFill>
              <a:schemeClr val="tx1"/>
            </a:solidFill>
          </a:ln>
        </xdr:spPr>
      </xdr:pic>
      <xdr:pic>
        <xdr:nvPicPr>
          <xdr:cNvPr id="72" name="Pictur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5979750" y="57613938"/>
            <a:ext cx="1213735" cy="1620000"/>
          </a:xfrm>
          <a:prstGeom prst="rect">
            <a:avLst/>
          </a:prstGeom>
          <a:ln>
            <a:solidFill>
              <a:schemeClr val="tx1"/>
            </a:solidFill>
          </a:ln>
        </xdr:spPr>
      </xdr:pic>
      <xdr:pic>
        <xdr:nvPicPr>
          <xdr:cNvPr id="73" name="Picture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4645951" y="57613938"/>
            <a:ext cx="1213736" cy="1620000"/>
          </a:xfrm>
          <a:prstGeom prst="rect">
            <a:avLst/>
          </a:prstGeom>
          <a:ln>
            <a:solidFill>
              <a:schemeClr val="tx1"/>
            </a:solidFill>
          </a:ln>
        </xdr:spPr>
      </xdr:pic>
      <xdr:pic>
        <xdr:nvPicPr>
          <xdr:cNvPr id="74" name="Pictur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5080992" y="54778469"/>
            <a:ext cx="2049863" cy="2736000"/>
          </a:xfrm>
          <a:prstGeom prst="rect">
            <a:avLst/>
          </a:prstGeom>
          <a:ln>
            <a:solidFill>
              <a:schemeClr val="tx1"/>
            </a:solidFill>
          </a:ln>
        </xdr:spPr>
      </xdr:pic>
    </xdr:grpSp>
    <xdr:clientData/>
  </xdr:twoCellAnchor>
  <xdr:twoCellAnchor editAs="oneCell">
    <xdr:from>
      <xdr:col>11</xdr:col>
      <xdr:colOff>487680</xdr:colOff>
      <xdr:row>214</xdr:row>
      <xdr:rowOff>175260</xdr:rowOff>
    </xdr:from>
    <xdr:to>
      <xdr:col>17</xdr:col>
      <xdr:colOff>292920</xdr:colOff>
      <xdr:row>218</xdr:row>
      <xdr:rowOff>1407780</xdr:rowOff>
    </xdr:to>
    <xdr:pic>
      <xdr:nvPicPr>
        <xdr:cNvPr id="5" name="Picture 4">
          <a:extLst>
            <a:ext uri="{FF2B5EF4-FFF2-40B4-BE49-F238E27FC236}">
              <a16:creationId xmlns:a16="http://schemas.microsoft.com/office/drawing/2014/main" id="{8296756C-9016-CB72-2846-BEB054EB6139}"/>
            </a:ext>
          </a:extLst>
        </xdr:cNvPr>
        <xdr:cNvPicPr>
          <a:picLocks noChangeAspect="1"/>
        </xdr:cNvPicPr>
      </xdr:nvPicPr>
      <xdr:blipFill>
        <a:blip xmlns:r="http://schemas.openxmlformats.org/officeDocument/2006/relationships" r:embed="rId20"/>
        <a:stretch>
          <a:fillRect/>
        </a:stretch>
      </xdr:blipFill>
      <xdr:spPr>
        <a:xfrm>
          <a:off x="9060180" y="44927520"/>
          <a:ext cx="3600000" cy="2025000"/>
        </a:xfrm>
        <a:prstGeom prst="rect">
          <a:avLst/>
        </a:prstGeom>
      </xdr:spPr>
    </xdr:pic>
    <xdr:clientData/>
  </xdr:twoCellAnchor>
  <xdr:twoCellAnchor>
    <xdr:from>
      <xdr:col>1</xdr:col>
      <xdr:colOff>403861</xdr:colOff>
      <xdr:row>232</xdr:row>
      <xdr:rowOff>76200</xdr:rowOff>
    </xdr:from>
    <xdr:to>
      <xdr:col>9</xdr:col>
      <xdr:colOff>525781</xdr:colOff>
      <xdr:row>275</xdr:row>
      <xdr:rowOff>60960</xdr:rowOff>
    </xdr:to>
    <xdr:grpSp>
      <xdr:nvGrpSpPr>
        <xdr:cNvPr id="6" name="Group 5">
          <a:extLst>
            <a:ext uri="{FF2B5EF4-FFF2-40B4-BE49-F238E27FC236}">
              <a16:creationId xmlns:a16="http://schemas.microsoft.com/office/drawing/2014/main" id="{E258C659-EBAC-8CD1-BEEC-A01EB38BD57D}"/>
            </a:ext>
          </a:extLst>
        </xdr:cNvPr>
        <xdr:cNvGrpSpPr/>
      </xdr:nvGrpSpPr>
      <xdr:grpSpPr>
        <a:xfrm>
          <a:off x="1005841" y="51640740"/>
          <a:ext cx="5760720" cy="7848600"/>
          <a:chOff x="97379" y="167640"/>
          <a:chExt cx="6009975" cy="8762160"/>
        </a:xfrm>
      </xdr:grpSpPr>
      <xdr:grpSp>
        <xdr:nvGrpSpPr>
          <xdr:cNvPr id="7" name="Group 6">
            <a:extLst>
              <a:ext uri="{FF2B5EF4-FFF2-40B4-BE49-F238E27FC236}">
                <a16:creationId xmlns:a16="http://schemas.microsoft.com/office/drawing/2014/main" id="{C329DDC6-3076-4FB9-D64E-7C2BCCC7EA46}"/>
              </a:ext>
            </a:extLst>
          </xdr:cNvPr>
          <xdr:cNvGrpSpPr/>
        </xdr:nvGrpSpPr>
        <xdr:grpSpPr>
          <a:xfrm>
            <a:off x="135896" y="2846939"/>
            <a:ext cx="5932941" cy="2161744"/>
            <a:chOff x="168475" y="2876128"/>
            <a:chExt cx="5932941" cy="2161744"/>
          </a:xfrm>
        </xdr:grpSpPr>
        <xdr:pic>
          <xdr:nvPicPr>
            <xdr:cNvPr id="32" name="Picture 31">
              <a:extLst>
                <a:ext uri="{FF2B5EF4-FFF2-40B4-BE49-F238E27FC236}">
                  <a16:creationId xmlns:a16="http://schemas.microsoft.com/office/drawing/2014/main" id="{AFCA564F-0C92-FA37-7683-D31CD364CF61}"/>
                </a:ext>
              </a:extLst>
            </xdr:cNvPr>
            <xdr:cNvPicPr>
              <a:picLocks noChangeAspect="1"/>
            </xdr:cNvPicPr>
          </xdr:nvPicPr>
          <xdr:blipFill>
            <a:blip xmlns:r="http://schemas.openxmlformats.org/officeDocument/2006/relationships" r:embed="rId21" cstate="hqprint">
              <a:extLst>
                <a:ext uri="{28A0092B-C50C-407E-A947-70E740481C1C}">
                  <a14:useLocalDpi xmlns:a14="http://schemas.microsoft.com/office/drawing/2010/main"/>
                </a:ext>
              </a:extLst>
            </a:blip>
            <a:stretch>
              <a:fillRect/>
            </a:stretch>
          </xdr:blipFill>
          <xdr:spPr>
            <a:xfrm>
              <a:off x="3221416" y="2876128"/>
              <a:ext cx="2880000" cy="2161743"/>
            </a:xfrm>
            <a:prstGeom prst="rect">
              <a:avLst/>
            </a:prstGeom>
            <a:ln>
              <a:solidFill>
                <a:schemeClr val="tx1"/>
              </a:solidFill>
            </a:ln>
          </xdr:spPr>
        </xdr:pic>
        <xdr:pic>
          <xdr:nvPicPr>
            <xdr:cNvPr id="33" name="Picture 32">
              <a:extLst>
                <a:ext uri="{FF2B5EF4-FFF2-40B4-BE49-F238E27FC236}">
                  <a16:creationId xmlns:a16="http://schemas.microsoft.com/office/drawing/2014/main" id="{B5D2A556-14EF-0B6D-A449-CF2D968542F7}"/>
                </a:ext>
              </a:extLst>
            </xdr:cNvPr>
            <xdr:cNvPicPr>
              <a:picLocks noChangeAspect="1"/>
            </xdr:cNvPicPr>
          </xdr:nvPicPr>
          <xdr:blipFill>
            <a:blip xmlns:r="http://schemas.openxmlformats.org/officeDocument/2006/relationships" r:embed="rId22" cstate="hqprint">
              <a:extLst>
                <a:ext uri="{28A0092B-C50C-407E-A947-70E740481C1C}">
                  <a14:useLocalDpi xmlns:a14="http://schemas.microsoft.com/office/drawing/2010/main"/>
                </a:ext>
              </a:extLst>
            </a:blip>
            <a:stretch>
              <a:fillRect/>
            </a:stretch>
          </xdr:blipFill>
          <xdr:spPr>
            <a:xfrm>
              <a:off x="168475" y="2876129"/>
              <a:ext cx="2880000" cy="2161743"/>
            </a:xfrm>
            <a:prstGeom prst="rect">
              <a:avLst/>
            </a:prstGeom>
            <a:ln>
              <a:solidFill>
                <a:schemeClr val="tx1"/>
              </a:solidFill>
            </a:ln>
          </xdr:spPr>
        </xdr:pic>
      </xdr:grpSp>
      <xdr:grpSp>
        <xdr:nvGrpSpPr>
          <xdr:cNvPr id="8" name="Group 7">
            <a:extLst>
              <a:ext uri="{FF2B5EF4-FFF2-40B4-BE49-F238E27FC236}">
                <a16:creationId xmlns:a16="http://schemas.microsoft.com/office/drawing/2014/main" id="{AF64FADE-3BEF-65F6-2EFF-1E73C82D1A79}"/>
              </a:ext>
            </a:extLst>
          </xdr:cNvPr>
          <xdr:cNvGrpSpPr/>
        </xdr:nvGrpSpPr>
        <xdr:grpSpPr>
          <a:xfrm>
            <a:off x="97379" y="167640"/>
            <a:ext cx="6009975" cy="2520000"/>
            <a:chOff x="91441" y="167640"/>
            <a:chExt cx="6009975" cy="2520000"/>
          </a:xfrm>
        </xdr:grpSpPr>
        <xdr:pic>
          <xdr:nvPicPr>
            <xdr:cNvPr id="26" name="Picture 25">
              <a:extLst>
                <a:ext uri="{FF2B5EF4-FFF2-40B4-BE49-F238E27FC236}">
                  <a16:creationId xmlns:a16="http://schemas.microsoft.com/office/drawing/2014/main" id="{78759C4D-3426-9044-ECD1-3D1FA7B67E56}"/>
                </a:ext>
              </a:extLst>
            </xdr:cNvPr>
            <xdr:cNvPicPr>
              <a:picLocks noChangeAspect="1"/>
            </xdr:cNvPicPr>
          </xdr:nvPicPr>
          <xdr:blipFill>
            <a:blip xmlns:r="http://schemas.openxmlformats.org/officeDocument/2006/relationships" r:embed="rId23" cstate="hqprint">
              <a:extLst>
                <a:ext uri="{28A0092B-C50C-407E-A947-70E740481C1C}">
                  <a14:useLocalDpi xmlns:a14="http://schemas.microsoft.com/office/drawing/2010/main"/>
                </a:ext>
              </a:extLst>
            </a:blip>
            <a:stretch>
              <a:fillRect/>
            </a:stretch>
          </xdr:blipFill>
          <xdr:spPr>
            <a:xfrm>
              <a:off x="91441" y="167640"/>
              <a:ext cx="1888031" cy="2520000"/>
            </a:xfrm>
            <a:prstGeom prst="rect">
              <a:avLst/>
            </a:prstGeom>
            <a:ln>
              <a:solidFill>
                <a:schemeClr val="tx1"/>
              </a:solidFill>
            </a:ln>
          </xdr:spPr>
        </xdr:pic>
        <xdr:pic>
          <xdr:nvPicPr>
            <xdr:cNvPr id="29" name="Picture 28">
              <a:extLst>
                <a:ext uri="{FF2B5EF4-FFF2-40B4-BE49-F238E27FC236}">
                  <a16:creationId xmlns:a16="http://schemas.microsoft.com/office/drawing/2014/main" id="{9C7C77EE-3B71-79E2-2C37-26F129E3DD4B}"/>
                </a:ext>
              </a:extLst>
            </xdr:cNvPr>
            <xdr:cNvPicPr>
              <a:picLocks noChangeAspect="1"/>
            </xdr:cNvPicPr>
          </xdr:nvPicPr>
          <xdr:blipFill>
            <a:blip xmlns:r="http://schemas.openxmlformats.org/officeDocument/2006/relationships" r:embed="rId24" cstate="hqprint">
              <a:extLst>
                <a:ext uri="{28A0092B-C50C-407E-A947-70E740481C1C}">
                  <a14:useLocalDpi xmlns:a14="http://schemas.microsoft.com/office/drawing/2010/main"/>
                </a:ext>
              </a:extLst>
            </a:blip>
            <a:stretch>
              <a:fillRect/>
            </a:stretch>
          </xdr:blipFill>
          <xdr:spPr>
            <a:xfrm>
              <a:off x="2152413" y="167640"/>
              <a:ext cx="1888031" cy="2520000"/>
            </a:xfrm>
            <a:prstGeom prst="rect">
              <a:avLst/>
            </a:prstGeom>
            <a:ln>
              <a:solidFill>
                <a:schemeClr val="tx1"/>
              </a:solidFill>
            </a:ln>
          </xdr:spPr>
        </xdr:pic>
        <xdr:pic>
          <xdr:nvPicPr>
            <xdr:cNvPr id="31" name="Picture 30">
              <a:extLst>
                <a:ext uri="{FF2B5EF4-FFF2-40B4-BE49-F238E27FC236}">
                  <a16:creationId xmlns:a16="http://schemas.microsoft.com/office/drawing/2014/main" id="{E041D137-094C-59B3-98C1-540746607593}"/>
                </a:ext>
              </a:extLst>
            </xdr:cNvPr>
            <xdr:cNvPicPr>
              <a:picLocks noChangeAspect="1"/>
            </xdr:cNvPicPr>
          </xdr:nvPicPr>
          <xdr:blipFill>
            <a:blip xmlns:r="http://schemas.openxmlformats.org/officeDocument/2006/relationships" r:embed="rId25" cstate="hqprint">
              <a:extLst>
                <a:ext uri="{28A0092B-C50C-407E-A947-70E740481C1C}">
                  <a14:useLocalDpi xmlns:a14="http://schemas.microsoft.com/office/drawing/2010/main"/>
                </a:ext>
              </a:extLst>
            </a:blip>
            <a:stretch>
              <a:fillRect/>
            </a:stretch>
          </xdr:blipFill>
          <xdr:spPr>
            <a:xfrm>
              <a:off x="4213385" y="167640"/>
              <a:ext cx="1888031" cy="2520000"/>
            </a:xfrm>
            <a:prstGeom prst="rect">
              <a:avLst/>
            </a:prstGeom>
            <a:ln>
              <a:solidFill>
                <a:schemeClr val="tx1"/>
              </a:solidFill>
            </a:ln>
          </xdr:spPr>
        </xdr:pic>
      </xdr:grpSp>
      <xdr:grpSp>
        <xdr:nvGrpSpPr>
          <xdr:cNvPr id="9" name="Group 8">
            <a:extLst>
              <a:ext uri="{FF2B5EF4-FFF2-40B4-BE49-F238E27FC236}">
                <a16:creationId xmlns:a16="http://schemas.microsoft.com/office/drawing/2014/main" id="{50B2E4A7-F8F5-3D61-7950-8D421A7CFF2B}"/>
              </a:ext>
            </a:extLst>
          </xdr:cNvPr>
          <xdr:cNvGrpSpPr/>
        </xdr:nvGrpSpPr>
        <xdr:grpSpPr>
          <a:xfrm>
            <a:off x="1165154" y="7127281"/>
            <a:ext cx="3874424" cy="1802519"/>
            <a:chOff x="586222" y="7127281"/>
            <a:chExt cx="3874424" cy="1802519"/>
          </a:xfrm>
        </xdr:grpSpPr>
        <xdr:pic>
          <xdr:nvPicPr>
            <xdr:cNvPr id="18" name="Picture 17">
              <a:extLst>
                <a:ext uri="{FF2B5EF4-FFF2-40B4-BE49-F238E27FC236}">
                  <a16:creationId xmlns:a16="http://schemas.microsoft.com/office/drawing/2014/main" id="{76AA78C0-36A1-1FD5-A2EC-50BF79E6491F}"/>
                </a:ext>
              </a:extLst>
            </xdr:cNvPr>
            <xdr:cNvPicPr>
              <a:picLocks noChangeAspect="1"/>
            </xdr:cNvPicPr>
          </xdr:nvPicPr>
          <xdr:blipFill>
            <a:blip xmlns:r="http://schemas.openxmlformats.org/officeDocument/2006/relationships" r:embed="rId26" cstate="hqprint">
              <a:extLst>
                <a:ext uri="{28A0092B-C50C-407E-A947-70E740481C1C}">
                  <a14:useLocalDpi xmlns:a14="http://schemas.microsoft.com/office/drawing/2010/main"/>
                </a:ext>
              </a:extLst>
            </a:blip>
            <a:stretch>
              <a:fillRect/>
            </a:stretch>
          </xdr:blipFill>
          <xdr:spPr>
            <a:xfrm>
              <a:off x="3112052" y="7127281"/>
              <a:ext cx="1348594" cy="1800000"/>
            </a:xfrm>
            <a:prstGeom prst="rect">
              <a:avLst/>
            </a:prstGeom>
            <a:ln>
              <a:solidFill>
                <a:schemeClr val="tx1"/>
              </a:solidFill>
            </a:ln>
          </xdr:spPr>
        </xdr:pic>
        <xdr:pic>
          <xdr:nvPicPr>
            <xdr:cNvPr id="20" name="Picture 19">
              <a:extLst>
                <a:ext uri="{FF2B5EF4-FFF2-40B4-BE49-F238E27FC236}">
                  <a16:creationId xmlns:a16="http://schemas.microsoft.com/office/drawing/2014/main" id="{2216A134-02C0-A926-590C-40A169549A26}"/>
                </a:ext>
              </a:extLst>
            </xdr:cNvPr>
            <xdr:cNvPicPr>
              <a:picLocks noChangeAspect="1"/>
            </xdr:cNvPicPr>
          </xdr:nvPicPr>
          <xdr:blipFill>
            <a:blip xmlns:r="http://schemas.openxmlformats.org/officeDocument/2006/relationships" r:embed="rId27" cstate="hqprint">
              <a:extLst>
                <a:ext uri="{28A0092B-C50C-407E-A947-70E740481C1C}">
                  <a14:useLocalDpi xmlns:a14="http://schemas.microsoft.com/office/drawing/2010/main"/>
                </a:ext>
              </a:extLst>
            </a:blip>
            <a:stretch>
              <a:fillRect/>
            </a:stretch>
          </xdr:blipFill>
          <xdr:spPr>
            <a:xfrm>
              <a:off x="586222" y="7129800"/>
              <a:ext cx="2398065" cy="1800000"/>
            </a:xfrm>
            <a:prstGeom prst="rect">
              <a:avLst/>
            </a:prstGeom>
            <a:ln>
              <a:solidFill>
                <a:schemeClr val="tx1"/>
              </a:solidFill>
            </a:ln>
          </xdr:spPr>
        </xdr:pic>
      </xdr:grpSp>
      <xdr:grpSp>
        <xdr:nvGrpSpPr>
          <xdr:cNvPr id="10" name="Group 9">
            <a:extLst>
              <a:ext uri="{FF2B5EF4-FFF2-40B4-BE49-F238E27FC236}">
                <a16:creationId xmlns:a16="http://schemas.microsoft.com/office/drawing/2014/main" id="{23F6D5F7-D74B-2469-F3BE-91AAC32F4CCD}"/>
              </a:ext>
            </a:extLst>
          </xdr:cNvPr>
          <xdr:cNvGrpSpPr/>
        </xdr:nvGrpSpPr>
        <xdr:grpSpPr>
          <a:xfrm>
            <a:off x="213531" y="5167982"/>
            <a:ext cx="5777671" cy="1800000"/>
            <a:chOff x="159334" y="5182576"/>
            <a:chExt cx="5777671" cy="1800000"/>
          </a:xfrm>
        </xdr:grpSpPr>
        <xdr:pic>
          <xdr:nvPicPr>
            <xdr:cNvPr id="12" name="Picture 11">
              <a:extLst>
                <a:ext uri="{FF2B5EF4-FFF2-40B4-BE49-F238E27FC236}">
                  <a16:creationId xmlns:a16="http://schemas.microsoft.com/office/drawing/2014/main" id="{2808CECA-151C-9650-4D68-70B25A2ED5A5}"/>
                </a:ext>
              </a:extLst>
            </xdr:cNvPr>
            <xdr:cNvPicPr>
              <a:picLocks noChangeAspect="1"/>
            </xdr:cNvPicPr>
          </xdr:nvPicPr>
          <xdr:blipFill>
            <a:blip xmlns:r="http://schemas.openxmlformats.org/officeDocument/2006/relationships" r:embed="rId28" cstate="hqprint">
              <a:extLst>
                <a:ext uri="{28A0092B-C50C-407E-A947-70E740481C1C}">
                  <a14:useLocalDpi xmlns:a14="http://schemas.microsoft.com/office/drawing/2010/main"/>
                </a:ext>
              </a:extLst>
            </a:blip>
            <a:stretch>
              <a:fillRect/>
            </a:stretch>
          </xdr:blipFill>
          <xdr:spPr>
            <a:xfrm>
              <a:off x="3112052" y="5182576"/>
              <a:ext cx="1348594" cy="1800000"/>
            </a:xfrm>
            <a:prstGeom prst="rect">
              <a:avLst/>
            </a:prstGeom>
            <a:ln>
              <a:solidFill>
                <a:schemeClr val="tx1"/>
              </a:solidFill>
            </a:ln>
          </xdr:spPr>
        </xdr:pic>
        <xdr:pic>
          <xdr:nvPicPr>
            <xdr:cNvPr id="15" name="Picture 14">
              <a:extLst>
                <a:ext uri="{FF2B5EF4-FFF2-40B4-BE49-F238E27FC236}">
                  <a16:creationId xmlns:a16="http://schemas.microsoft.com/office/drawing/2014/main" id="{5E7DFB8A-8BB3-0B7D-C24F-01B9E825AB88}"/>
                </a:ext>
              </a:extLst>
            </xdr:cNvPr>
            <xdr:cNvPicPr>
              <a:picLocks noChangeAspect="1"/>
            </xdr:cNvPicPr>
          </xdr:nvPicPr>
          <xdr:blipFill>
            <a:blip xmlns:r="http://schemas.openxmlformats.org/officeDocument/2006/relationships" r:embed="rId29" cstate="hqprint">
              <a:extLst>
                <a:ext uri="{28A0092B-C50C-407E-A947-70E740481C1C}">
                  <a14:useLocalDpi xmlns:a14="http://schemas.microsoft.com/office/drawing/2010/main"/>
                </a:ext>
              </a:extLst>
            </a:blip>
            <a:stretch>
              <a:fillRect/>
            </a:stretch>
          </xdr:blipFill>
          <xdr:spPr>
            <a:xfrm>
              <a:off x="1635693" y="5182576"/>
              <a:ext cx="1348594" cy="1800000"/>
            </a:xfrm>
            <a:prstGeom prst="rect">
              <a:avLst/>
            </a:prstGeom>
            <a:ln>
              <a:solidFill>
                <a:schemeClr val="tx1"/>
              </a:solidFill>
            </a:ln>
          </xdr:spPr>
        </xdr:pic>
        <xdr:pic>
          <xdr:nvPicPr>
            <xdr:cNvPr id="16" name="Picture 15">
              <a:extLst>
                <a:ext uri="{FF2B5EF4-FFF2-40B4-BE49-F238E27FC236}">
                  <a16:creationId xmlns:a16="http://schemas.microsoft.com/office/drawing/2014/main" id="{CC999F09-A573-9DAA-DD88-6978680231AA}"/>
                </a:ext>
              </a:extLst>
            </xdr:cNvPr>
            <xdr:cNvPicPr>
              <a:picLocks noChangeAspect="1"/>
            </xdr:cNvPicPr>
          </xdr:nvPicPr>
          <xdr:blipFill>
            <a:blip xmlns:r="http://schemas.openxmlformats.org/officeDocument/2006/relationships" r:embed="rId30" cstate="hqprint">
              <a:extLst>
                <a:ext uri="{28A0092B-C50C-407E-A947-70E740481C1C}">
                  <a14:useLocalDpi xmlns:a14="http://schemas.microsoft.com/office/drawing/2010/main"/>
                </a:ext>
              </a:extLst>
            </a:blip>
            <a:stretch>
              <a:fillRect/>
            </a:stretch>
          </xdr:blipFill>
          <xdr:spPr>
            <a:xfrm>
              <a:off x="159334" y="5182576"/>
              <a:ext cx="1348594" cy="1800000"/>
            </a:xfrm>
            <a:prstGeom prst="rect">
              <a:avLst/>
            </a:prstGeom>
            <a:ln>
              <a:solidFill>
                <a:schemeClr val="tx1"/>
              </a:solidFill>
            </a:ln>
          </xdr:spPr>
        </xdr:pic>
        <xdr:pic>
          <xdr:nvPicPr>
            <xdr:cNvPr id="17" name="Picture 16">
              <a:extLst>
                <a:ext uri="{FF2B5EF4-FFF2-40B4-BE49-F238E27FC236}">
                  <a16:creationId xmlns:a16="http://schemas.microsoft.com/office/drawing/2014/main" id="{534483D6-FD9F-D90A-1914-3D93AE8728EF}"/>
                </a:ext>
              </a:extLst>
            </xdr:cNvPr>
            <xdr:cNvPicPr>
              <a:picLocks noChangeAspect="1"/>
            </xdr:cNvPicPr>
          </xdr:nvPicPr>
          <xdr:blipFill>
            <a:blip xmlns:r="http://schemas.openxmlformats.org/officeDocument/2006/relationships" r:embed="rId31" cstate="hqprint">
              <a:extLst>
                <a:ext uri="{28A0092B-C50C-407E-A947-70E740481C1C}">
                  <a14:useLocalDpi xmlns:a14="http://schemas.microsoft.com/office/drawing/2010/main"/>
                </a:ext>
              </a:extLst>
            </a:blip>
            <a:stretch>
              <a:fillRect/>
            </a:stretch>
          </xdr:blipFill>
          <xdr:spPr>
            <a:xfrm>
              <a:off x="4588411" y="5182576"/>
              <a:ext cx="1348594" cy="180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6</xdr:col>
      <xdr:colOff>260350</xdr:colOff>
      <xdr:row>24</xdr:row>
      <xdr:rowOff>120650</xdr:rowOff>
    </xdr:to>
    <xdr:pic>
      <xdr:nvPicPr>
        <xdr:cNvPr id="8214" name="Picture 1">
          <a:extLst>
            <a:ext uri="{FF2B5EF4-FFF2-40B4-BE49-F238E27FC236}">
              <a16:creationId xmlns:a16="http://schemas.microsoft.com/office/drawing/2014/main" id="{00000000-0008-0000-0100-0000162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9550" y="920750"/>
          <a:ext cx="269875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XnKtBiZjsWqtuA739?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43"/>
  <sheetViews>
    <sheetView tabSelected="1" view="pageBreakPreview" zoomScaleNormal="100" zoomScaleSheetLayoutView="100" zoomScalePageLayoutView="85" workbookViewId="0">
      <selection activeCell="M7" sqref="M7"/>
    </sheetView>
  </sheetViews>
  <sheetFormatPr defaultColWidth="9.21875" defaultRowHeight="14.4" x14ac:dyDescent="0.3"/>
  <cols>
    <col min="1" max="1" width="8.77734375" customWidth="1"/>
    <col min="2" max="2" width="14" customWidth="1"/>
    <col min="3" max="3" width="14.44140625" customWidth="1"/>
    <col min="4" max="4" width="7.21875" customWidth="1"/>
    <col min="5" max="5" width="6.77734375" customWidth="1"/>
    <col min="6" max="6" width="9" customWidth="1"/>
    <col min="7" max="8" width="9.77734375" customWidth="1"/>
    <col min="9" max="9" width="11.21875" customWidth="1"/>
    <col min="10" max="10" width="24.77734375" customWidth="1"/>
  </cols>
  <sheetData>
    <row r="1" spans="1:12" ht="43.95" customHeight="1" x14ac:dyDescent="0.3">
      <c r="A1" s="163" t="s">
        <v>228</v>
      </c>
      <c r="B1" s="164"/>
      <c r="C1" s="164"/>
      <c r="D1" s="164"/>
      <c r="E1" s="164"/>
      <c r="F1" s="164"/>
      <c r="G1" s="164"/>
      <c r="H1" s="164"/>
      <c r="I1" s="164"/>
      <c r="J1" s="165"/>
    </row>
    <row r="2" spans="1:12" x14ac:dyDescent="0.3">
      <c r="A2" s="239" t="s">
        <v>48</v>
      </c>
      <c r="B2" s="240"/>
      <c r="C2" s="240"/>
      <c r="D2" s="240"/>
      <c r="E2" s="240"/>
      <c r="F2" s="240"/>
      <c r="G2" s="240"/>
      <c r="H2" s="240"/>
      <c r="I2" s="240"/>
      <c r="J2" s="241"/>
    </row>
    <row r="3" spans="1:12" x14ac:dyDescent="0.3">
      <c r="A3" s="177" t="s">
        <v>0</v>
      </c>
      <c r="B3" s="178"/>
      <c r="C3" s="178"/>
      <c r="D3" s="178"/>
      <c r="E3" s="179"/>
      <c r="F3" s="242" t="str">
        <f ca="1">TEXT(TODAY(),"DD/MM/YYYY")</f>
        <v>17/09/2025</v>
      </c>
      <c r="G3" s="243"/>
      <c r="H3" s="243"/>
      <c r="I3" s="243"/>
      <c r="J3" s="244"/>
    </row>
    <row r="4" spans="1:12" x14ac:dyDescent="0.3">
      <c r="A4" s="177" t="s">
        <v>1</v>
      </c>
      <c r="B4" s="178"/>
      <c r="C4" s="178"/>
      <c r="D4" s="178"/>
      <c r="E4" s="179"/>
      <c r="F4" s="137" t="s">
        <v>97</v>
      </c>
      <c r="G4" s="138"/>
      <c r="H4" s="138"/>
      <c r="I4" s="138"/>
      <c r="J4" s="139"/>
    </row>
    <row r="5" spans="1:12" x14ac:dyDescent="0.3">
      <c r="A5" s="177" t="s">
        <v>2</v>
      </c>
      <c r="B5" s="178"/>
      <c r="C5" s="178"/>
      <c r="D5" s="178"/>
      <c r="E5" s="179"/>
      <c r="F5" s="242">
        <v>45909</v>
      </c>
      <c r="G5" s="243"/>
      <c r="H5" s="243"/>
      <c r="I5" s="243"/>
      <c r="J5" s="244"/>
    </row>
    <row r="6" spans="1:12" ht="16.5" customHeight="1" x14ac:dyDescent="0.3">
      <c r="A6" s="137" t="s">
        <v>224</v>
      </c>
      <c r="B6" s="178"/>
      <c r="C6" s="178"/>
      <c r="D6" s="178"/>
      <c r="E6" s="179"/>
      <c r="F6" s="166" t="s">
        <v>221</v>
      </c>
      <c r="G6" s="167"/>
      <c r="H6" s="167"/>
      <c r="I6" s="167"/>
      <c r="J6" s="168"/>
    </row>
    <row r="7" spans="1:12" ht="15" customHeight="1" x14ac:dyDescent="0.3">
      <c r="A7" s="137" t="s">
        <v>223</v>
      </c>
      <c r="B7" s="178"/>
      <c r="C7" s="178"/>
      <c r="D7" s="178"/>
      <c r="E7" s="179"/>
      <c r="F7" s="166" t="s">
        <v>222</v>
      </c>
      <c r="G7" s="167"/>
      <c r="H7" s="167"/>
      <c r="I7" s="167"/>
      <c r="J7" s="168"/>
      <c r="L7" t="s">
        <v>216</v>
      </c>
    </row>
    <row r="8" spans="1:12" x14ac:dyDescent="0.3">
      <c r="A8" s="177" t="s">
        <v>3</v>
      </c>
      <c r="B8" s="178"/>
      <c r="C8" s="178"/>
      <c r="D8" s="178"/>
      <c r="E8" s="179"/>
      <c r="F8" s="189" t="s">
        <v>145</v>
      </c>
      <c r="G8" s="190"/>
      <c r="H8" s="190"/>
      <c r="I8" s="190"/>
      <c r="J8" s="191"/>
    </row>
    <row r="9" spans="1:12" ht="63" customHeight="1" x14ac:dyDescent="0.3">
      <c r="A9" s="137" t="s">
        <v>116</v>
      </c>
      <c r="B9" s="138"/>
      <c r="C9" s="138"/>
      <c r="D9" s="138"/>
      <c r="E9" s="139"/>
      <c r="F9" s="166" t="s">
        <v>143</v>
      </c>
      <c r="G9" s="138"/>
      <c r="H9" s="138"/>
      <c r="I9" s="138"/>
      <c r="J9" s="139"/>
    </row>
    <row r="10" spans="1:12" x14ac:dyDescent="0.3">
      <c r="A10" s="177" t="s">
        <v>4</v>
      </c>
      <c r="B10" s="178"/>
      <c r="C10" s="178"/>
      <c r="D10" s="178"/>
      <c r="E10" s="179"/>
      <c r="F10" s="137" t="s">
        <v>50</v>
      </c>
      <c r="G10" s="138"/>
      <c r="H10" s="138"/>
      <c r="I10" s="138"/>
      <c r="J10" s="139"/>
    </row>
    <row r="11" spans="1:12" ht="33" customHeight="1" x14ac:dyDescent="0.3">
      <c r="A11" s="137" t="s">
        <v>178</v>
      </c>
      <c r="B11" s="178"/>
      <c r="C11" s="178"/>
      <c r="D11" s="178"/>
      <c r="E11" s="179"/>
      <c r="F11" s="166" t="s">
        <v>218</v>
      </c>
      <c r="G11" s="138"/>
      <c r="H11" s="138"/>
      <c r="I11" s="138"/>
      <c r="J11" s="139"/>
    </row>
    <row r="12" spans="1:12" x14ac:dyDescent="0.3">
      <c r="A12" s="130" t="s">
        <v>72</v>
      </c>
      <c r="B12" s="130"/>
      <c r="C12" s="137" t="s">
        <v>147</v>
      </c>
      <c r="D12" s="138"/>
      <c r="E12" s="138"/>
      <c r="F12" s="138"/>
      <c r="G12" s="139"/>
      <c r="H12" s="2" t="s">
        <v>73</v>
      </c>
      <c r="I12" s="169" t="s">
        <v>148</v>
      </c>
      <c r="J12" s="169"/>
    </row>
    <row r="13" spans="1:12" ht="32.25" customHeight="1" x14ac:dyDescent="0.3">
      <c r="A13" s="231" t="s">
        <v>74</v>
      </c>
      <c r="B13" s="231"/>
      <c r="C13" s="166" t="s">
        <v>150</v>
      </c>
      <c r="D13" s="167"/>
      <c r="E13" s="167"/>
      <c r="F13" s="167"/>
      <c r="G13" s="167"/>
      <c r="H13" s="167"/>
      <c r="I13" s="167"/>
      <c r="J13" s="168"/>
    </row>
    <row r="14" spans="1:12" ht="15" customHeight="1" x14ac:dyDescent="0.3">
      <c r="A14" s="36" t="s">
        <v>98</v>
      </c>
      <c r="B14" s="174" t="s">
        <v>99</v>
      </c>
      <c r="C14" s="230"/>
      <c r="D14" s="175"/>
      <c r="E14" s="36" t="s">
        <v>43</v>
      </c>
      <c r="F14" s="37" t="s">
        <v>58</v>
      </c>
      <c r="G14" s="3" t="s">
        <v>75</v>
      </c>
      <c r="H14" s="238" t="s">
        <v>100</v>
      </c>
      <c r="I14" s="238"/>
      <c r="J14" s="238"/>
    </row>
    <row r="15" spans="1:12" x14ac:dyDescent="0.3">
      <c r="A15" s="1" t="s">
        <v>5</v>
      </c>
      <c r="B15" s="137" t="s">
        <v>101</v>
      </c>
      <c r="C15" s="138"/>
      <c r="D15" s="138"/>
      <c r="E15" s="139"/>
      <c r="F15" s="2" t="s">
        <v>76</v>
      </c>
      <c r="G15" s="174" t="s">
        <v>102</v>
      </c>
      <c r="H15" s="230"/>
      <c r="I15" s="230"/>
      <c r="J15" s="175"/>
    </row>
    <row r="16" spans="1:12" x14ac:dyDescent="0.3">
      <c r="A16" s="1" t="s">
        <v>6</v>
      </c>
      <c r="B16" s="137" t="s">
        <v>102</v>
      </c>
      <c r="C16" s="138"/>
      <c r="D16" s="138"/>
      <c r="E16" s="139"/>
      <c r="F16" s="2" t="s">
        <v>77</v>
      </c>
      <c r="G16" s="174" t="s">
        <v>103</v>
      </c>
      <c r="H16" s="230"/>
      <c r="I16" s="230"/>
      <c r="J16" s="175"/>
    </row>
    <row r="17" spans="1:10" ht="32.25" customHeight="1" x14ac:dyDescent="0.3">
      <c r="A17" s="130" t="s">
        <v>78</v>
      </c>
      <c r="B17" s="130"/>
      <c r="C17" s="130" t="s">
        <v>104</v>
      </c>
      <c r="D17" s="130"/>
      <c r="E17" s="130"/>
      <c r="F17" s="231" t="s">
        <v>60</v>
      </c>
      <c r="G17" s="231"/>
      <c r="H17" s="207" t="s">
        <v>108</v>
      </c>
      <c r="I17" s="207"/>
      <c r="J17" s="208"/>
    </row>
    <row r="18" spans="1:10" ht="15" customHeight="1" x14ac:dyDescent="0.3">
      <c r="A18" s="224" t="s">
        <v>62</v>
      </c>
      <c r="B18" s="225"/>
      <c r="C18" s="225"/>
      <c r="D18" s="225"/>
      <c r="E18" s="226"/>
      <c r="F18" s="232" t="s">
        <v>71</v>
      </c>
      <c r="G18" s="233"/>
      <c r="H18" s="233"/>
      <c r="I18" s="233"/>
      <c r="J18" s="234"/>
    </row>
    <row r="19" spans="1:10" x14ac:dyDescent="0.3">
      <c r="A19" s="227"/>
      <c r="B19" s="228"/>
      <c r="C19" s="228"/>
      <c r="D19" s="228"/>
      <c r="E19" s="229"/>
      <c r="F19" s="235"/>
      <c r="G19" s="236"/>
      <c r="H19" s="236"/>
      <c r="I19" s="236"/>
      <c r="J19" s="237"/>
    </row>
    <row r="20" spans="1:10" ht="15" customHeight="1" x14ac:dyDescent="0.3">
      <c r="A20" s="218" t="s">
        <v>7</v>
      </c>
      <c r="B20" s="219"/>
      <c r="C20" s="219"/>
      <c r="D20" s="219"/>
      <c r="E20" s="220"/>
      <c r="F20" s="224" t="s">
        <v>51</v>
      </c>
      <c r="G20" s="225"/>
      <c r="H20" s="225"/>
      <c r="I20" s="225"/>
      <c r="J20" s="226"/>
    </row>
    <row r="21" spans="1:10" x14ac:dyDescent="0.3">
      <c r="A21" s="221"/>
      <c r="B21" s="222"/>
      <c r="C21" s="222"/>
      <c r="D21" s="222"/>
      <c r="E21" s="223"/>
      <c r="F21" s="227"/>
      <c r="G21" s="228"/>
      <c r="H21" s="228"/>
      <c r="I21" s="228"/>
      <c r="J21" s="229"/>
    </row>
    <row r="22" spans="1:10" x14ac:dyDescent="0.3">
      <c r="A22" s="177" t="s">
        <v>8</v>
      </c>
      <c r="B22" s="178"/>
      <c r="C22" s="178"/>
      <c r="D22" s="178"/>
      <c r="E22" s="179"/>
      <c r="F22" s="180" t="s">
        <v>96</v>
      </c>
      <c r="G22" s="181"/>
      <c r="H22" s="181"/>
      <c r="I22" s="181"/>
      <c r="J22" s="182"/>
    </row>
    <row r="23" spans="1:10" x14ac:dyDescent="0.3">
      <c r="A23" s="177" t="s">
        <v>9</v>
      </c>
      <c r="B23" s="178"/>
      <c r="C23" s="178"/>
      <c r="D23" s="178"/>
      <c r="E23" s="179"/>
      <c r="F23" s="180" t="s">
        <v>61</v>
      </c>
      <c r="G23" s="181"/>
      <c r="H23" s="181"/>
      <c r="I23" s="181"/>
      <c r="J23" s="182"/>
    </row>
    <row r="24" spans="1:10" x14ac:dyDescent="0.3">
      <c r="A24" s="177" t="s">
        <v>10</v>
      </c>
      <c r="B24" s="178"/>
      <c r="C24" s="178"/>
      <c r="D24" s="178"/>
      <c r="E24" s="179"/>
      <c r="F24" s="180" t="s">
        <v>52</v>
      </c>
      <c r="G24" s="181"/>
      <c r="H24" s="181"/>
      <c r="I24" s="181"/>
      <c r="J24" s="182"/>
    </row>
    <row r="25" spans="1:10" x14ac:dyDescent="0.3">
      <c r="A25" s="177" t="s">
        <v>28</v>
      </c>
      <c r="B25" s="178"/>
      <c r="C25" s="178"/>
      <c r="D25" s="178"/>
      <c r="E25" s="179"/>
      <c r="F25" s="180" t="s">
        <v>79</v>
      </c>
      <c r="G25" s="183"/>
      <c r="H25" s="183"/>
      <c r="I25" s="183"/>
      <c r="J25" s="184"/>
    </row>
    <row r="26" spans="1:10" x14ac:dyDescent="0.3">
      <c r="A26" s="187" t="s">
        <v>11</v>
      </c>
      <c r="B26" s="188"/>
      <c r="C26" s="187" t="s">
        <v>12</v>
      </c>
      <c r="D26" s="188"/>
      <c r="E26" s="174" t="s">
        <v>13</v>
      </c>
      <c r="F26" s="188"/>
      <c r="G26" s="174" t="s">
        <v>59</v>
      </c>
      <c r="H26" s="175"/>
      <c r="I26" s="187" t="s">
        <v>14</v>
      </c>
      <c r="J26" s="188"/>
    </row>
    <row r="27" spans="1:10" x14ac:dyDescent="0.3">
      <c r="A27" s="174" t="s">
        <v>15</v>
      </c>
      <c r="B27" s="175"/>
      <c r="C27" s="174" t="s">
        <v>58</v>
      </c>
      <c r="D27" s="175"/>
      <c r="E27" s="174" t="s">
        <v>58</v>
      </c>
      <c r="F27" s="175"/>
      <c r="G27" s="174" t="s">
        <v>58</v>
      </c>
      <c r="H27" s="175"/>
      <c r="I27" s="174" t="s">
        <v>58</v>
      </c>
      <c r="J27" s="175"/>
    </row>
    <row r="28" spans="1:10" x14ac:dyDescent="0.3">
      <c r="A28" s="185" t="s">
        <v>16</v>
      </c>
      <c r="B28" s="186"/>
      <c r="C28" s="174" t="s">
        <v>107</v>
      </c>
      <c r="D28" s="175"/>
      <c r="E28" s="174" t="s">
        <v>106</v>
      </c>
      <c r="F28" s="175"/>
      <c r="G28" s="174" t="s">
        <v>107</v>
      </c>
      <c r="H28" s="175"/>
      <c r="I28" s="174" t="s">
        <v>107</v>
      </c>
      <c r="J28" s="175"/>
    </row>
    <row r="29" spans="1:10" x14ac:dyDescent="0.3">
      <c r="A29" s="137" t="s">
        <v>68</v>
      </c>
      <c r="B29" s="138"/>
      <c r="C29" s="138"/>
      <c r="D29" s="138"/>
      <c r="E29" s="138"/>
      <c r="F29" s="138"/>
      <c r="G29" s="138"/>
      <c r="H29" s="138"/>
      <c r="I29" s="138"/>
      <c r="J29" s="139"/>
    </row>
    <row r="30" spans="1:10" x14ac:dyDescent="0.3">
      <c r="A30" s="137" t="s">
        <v>53</v>
      </c>
      <c r="B30" s="138"/>
      <c r="C30" s="138"/>
      <c r="D30" s="138"/>
      <c r="E30" s="138"/>
      <c r="F30" s="138"/>
      <c r="G30" s="138"/>
      <c r="H30" s="138"/>
      <c r="I30" s="138"/>
      <c r="J30" s="139"/>
    </row>
    <row r="31" spans="1:10" x14ac:dyDescent="0.3">
      <c r="A31" s="245" t="s">
        <v>42</v>
      </c>
      <c r="B31" s="246"/>
      <c r="C31" s="174" t="s">
        <v>44</v>
      </c>
      <c r="D31" s="175"/>
      <c r="E31" s="187">
        <v>19.755695100000001</v>
      </c>
      <c r="F31" s="188"/>
      <c r="G31" s="174" t="s">
        <v>45</v>
      </c>
      <c r="H31" s="175"/>
      <c r="I31" s="187">
        <v>72.7584406</v>
      </c>
      <c r="J31" s="188"/>
    </row>
    <row r="32" spans="1:10" x14ac:dyDescent="0.3">
      <c r="A32" s="245" t="s">
        <v>219</v>
      </c>
      <c r="B32" s="246"/>
      <c r="C32" s="249" t="s">
        <v>220</v>
      </c>
      <c r="D32" s="230"/>
      <c r="E32" s="230"/>
      <c r="F32" s="230"/>
      <c r="G32" s="230"/>
      <c r="H32" s="230"/>
      <c r="I32" s="230"/>
      <c r="J32" s="175"/>
    </row>
    <row r="33" spans="1:10" x14ac:dyDescent="0.3">
      <c r="A33" s="189" t="s">
        <v>17</v>
      </c>
      <c r="B33" s="190"/>
      <c r="C33" s="190"/>
      <c r="D33" s="190"/>
      <c r="E33" s="190"/>
      <c r="F33" s="190"/>
      <c r="G33" s="190"/>
      <c r="H33" s="190"/>
      <c r="I33" s="190"/>
      <c r="J33" s="191"/>
    </row>
    <row r="34" spans="1:10" ht="15" customHeight="1" x14ac:dyDescent="0.3">
      <c r="A34" s="224" t="s">
        <v>105</v>
      </c>
      <c r="B34" s="225"/>
      <c r="C34" s="225"/>
      <c r="D34" s="225"/>
      <c r="E34" s="225"/>
      <c r="F34" s="225"/>
      <c r="G34" s="225"/>
      <c r="H34" s="225"/>
      <c r="I34" s="225"/>
      <c r="J34" s="226"/>
    </row>
    <row r="35" spans="1:10" x14ac:dyDescent="0.3">
      <c r="A35" s="227"/>
      <c r="B35" s="228"/>
      <c r="C35" s="228"/>
      <c r="D35" s="228"/>
      <c r="E35" s="228"/>
      <c r="F35" s="228"/>
      <c r="G35" s="228"/>
      <c r="H35" s="228"/>
      <c r="I35" s="228"/>
      <c r="J35" s="229"/>
    </row>
    <row r="36" spans="1:10" ht="16.5" customHeight="1" x14ac:dyDescent="0.3">
      <c r="A36" s="137" t="s">
        <v>80</v>
      </c>
      <c r="B36" s="178"/>
      <c r="C36" s="178"/>
      <c r="D36" s="178"/>
      <c r="E36" s="179"/>
      <c r="F36" s="171">
        <v>12302.82</v>
      </c>
      <c r="G36" s="172"/>
      <c r="H36" s="172"/>
      <c r="I36" s="172"/>
      <c r="J36" s="173"/>
    </row>
    <row r="37" spans="1:10" x14ac:dyDescent="0.3">
      <c r="A37" s="177" t="s">
        <v>18</v>
      </c>
      <c r="B37" s="178"/>
      <c r="C37" s="178"/>
      <c r="D37" s="178"/>
      <c r="E37" s="179"/>
      <c r="F37" s="210">
        <f>13533.1/F36</f>
        <v>1.099999837435645</v>
      </c>
      <c r="G37" s="211"/>
      <c r="H37" s="211"/>
      <c r="I37" s="211"/>
      <c r="J37" s="212"/>
    </row>
    <row r="38" spans="1:10" x14ac:dyDescent="0.3">
      <c r="A38" s="177" t="s">
        <v>19</v>
      </c>
      <c r="B38" s="178"/>
      <c r="C38" s="178"/>
      <c r="D38" s="178"/>
      <c r="E38" s="179"/>
      <c r="F38" s="213">
        <f>F40/F36-F37</f>
        <v>0.28341713525842027</v>
      </c>
      <c r="G38" s="214"/>
      <c r="H38" s="214"/>
      <c r="I38" s="214"/>
      <c r="J38" s="215"/>
    </row>
    <row r="39" spans="1:10" x14ac:dyDescent="0.3">
      <c r="A39" s="177" t="s">
        <v>20</v>
      </c>
      <c r="B39" s="178"/>
      <c r="C39" s="178"/>
      <c r="D39" s="178"/>
      <c r="E39" s="179"/>
      <c r="F39" s="210">
        <f>F37+F38</f>
        <v>1.3834169726940653</v>
      </c>
      <c r="G39" s="211"/>
      <c r="H39" s="211"/>
      <c r="I39" s="211"/>
      <c r="J39" s="212"/>
    </row>
    <row r="40" spans="1:10" x14ac:dyDescent="0.3">
      <c r="A40" s="137" t="s">
        <v>81</v>
      </c>
      <c r="B40" s="178"/>
      <c r="C40" s="178"/>
      <c r="D40" s="178"/>
      <c r="E40" s="179"/>
      <c r="F40" s="210">
        <v>17019.93</v>
      </c>
      <c r="G40" s="211"/>
      <c r="H40" s="211"/>
      <c r="I40" s="211"/>
      <c r="J40" s="212"/>
    </row>
    <row r="41" spans="1:10" x14ac:dyDescent="0.3">
      <c r="A41" s="177" t="s">
        <v>21</v>
      </c>
      <c r="B41" s="178"/>
      <c r="C41" s="178"/>
      <c r="D41" s="178"/>
      <c r="E41" s="179"/>
      <c r="F41" s="137" t="s">
        <v>217</v>
      </c>
      <c r="G41" s="138"/>
      <c r="H41" s="138"/>
      <c r="I41" s="138"/>
      <c r="J41" s="139"/>
    </row>
    <row r="42" spans="1:10" x14ac:dyDescent="0.3">
      <c r="A42" s="189" t="s">
        <v>83</v>
      </c>
      <c r="B42" s="190"/>
      <c r="C42" s="190"/>
      <c r="D42" s="190"/>
      <c r="E42" s="190"/>
      <c r="F42" s="190"/>
      <c r="G42" s="190"/>
      <c r="H42" s="190"/>
      <c r="I42" s="190"/>
      <c r="J42" s="191"/>
    </row>
    <row r="43" spans="1:10" ht="16.5" customHeight="1" x14ac:dyDescent="0.3">
      <c r="A43" s="248" t="s">
        <v>82</v>
      </c>
      <c r="B43" s="248"/>
      <c r="C43" s="247" t="s">
        <v>229</v>
      </c>
      <c r="D43" s="135"/>
      <c r="E43" s="135"/>
      <c r="F43" s="136"/>
      <c r="G43" s="51" t="s">
        <v>73</v>
      </c>
      <c r="H43" s="134">
        <v>44986</v>
      </c>
      <c r="I43" s="135"/>
      <c r="J43" s="136"/>
    </row>
    <row r="44" spans="1:10" ht="48.75" customHeight="1" x14ac:dyDescent="0.3">
      <c r="A44" s="250" t="s">
        <v>230</v>
      </c>
      <c r="B44" s="251"/>
      <c r="C44" s="250" t="s">
        <v>234</v>
      </c>
      <c r="D44" s="135"/>
      <c r="E44" s="135"/>
      <c r="F44" s="136"/>
      <c r="G44" s="51" t="s">
        <v>73</v>
      </c>
      <c r="H44" s="134">
        <v>44986</v>
      </c>
      <c r="I44" s="135"/>
      <c r="J44" s="136"/>
    </row>
    <row r="45" spans="1:10" ht="31.5" customHeight="1" x14ac:dyDescent="0.3">
      <c r="A45" s="231" t="s">
        <v>84</v>
      </c>
      <c r="B45" s="231"/>
      <c r="C45" s="231" t="s">
        <v>151</v>
      </c>
      <c r="D45" s="130"/>
      <c r="E45" s="130"/>
      <c r="F45" s="130"/>
      <c r="G45" s="2" t="s">
        <v>73</v>
      </c>
      <c r="H45" s="130" t="s">
        <v>148</v>
      </c>
      <c r="I45" s="130"/>
      <c r="J45" s="130"/>
    </row>
    <row r="46" spans="1:10" ht="48.75" customHeight="1" x14ac:dyDescent="0.3">
      <c r="A46" s="231" t="s">
        <v>226</v>
      </c>
      <c r="B46" s="231"/>
      <c r="C46" s="231" t="s">
        <v>246</v>
      </c>
      <c r="D46" s="231"/>
      <c r="E46" s="231"/>
      <c r="F46" s="231"/>
      <c r="G46" s="2" t="s">
        <v>73</v>
      </c>
      <c r="H46" s="133" t="s">
        <v>225</v>
      </c>
      <c r="I46" s="130"/>
      <c r="J46" s="130"/>
    </row>
    <row r="47" spans="1:10" x14ac:dyDescent="0.3">
      <c r="A47" s="231" t="s">
        <v>54</v>
      </c>
      <c r="B47" s="231"/>
      <c r="C47" s="231" t="s">
        <v>58</v>
      </c>
      <c r="D47" s="231"/>
      <c r="E47" s="231"/>
      <c r="F47" s="231" t="s">
        <v>55</v>
      </c>
      <c r="G47" s="2" t="s">
        <v>73</v>
      </c>
      <c r="H47" s="130" t="s">
        <v>58</v>
      </c>
      <c r="I47" s="130" t="s">
        <v>63</v>
      </c>
      <c r="J47" s="130"/>
    </row>
    <row r="48" spans="1:10" ht="30.45" customHeight="1" x14ac:dyDescent="0.3">
      <c r="A48" s="130" t="s">
        <v>91</v>
      </c>
      <c r="B48" s="130"/>
      <c r="C48" s="130"/>
      <c r="D48" s="169" t="str">
        <f>H46</f>
        <v>29/03/2023.</v>
      </c>
      <c r="E48" s="169"/>
      <c r="F48" s="169" t="s">
        <v>85</v>
      </c>
      <c r="G48" s="170"/>
      <c r="H48" s="216" t="s">
        <v>251</v>
      </c>
      <c r="I48" s="130"/>
      <c r="J48" s="130"/>
    </row>
    <row r="49" spans="1:12" x14ac:dyDescent="0.3">
      <c r="A49" s="217" t="s">
        <v>22</v>
      </c>
      <c r="B49" s="217"/>
      <c r="C49" s="217"/>
      <c r="D49" s="217"/>
      <c r="E49" s="217"/>
      <c r="F49" s="217"/>
      <c r="G49" s="217"/>
      <c r="H49" s="217"/>
      <c r="I49" s="217"/>
      <c r="J49" s="217"/>
    </row>
    <row r="50" spans="1:12" ht="31.5" customHeight="1" x14ac:dyDescent="0.3">
      <c r="A50" s="137" t="s">
        <v>95</v>
      </c>
      <c r="B50" s="138"/>
      <c r="C50" s="139"/>
      <c r="D50" s="174">
        <f>F40</f>
        <v>17019.93</v>
      </c>
      <c r="E50" s="175"/>
      <c r="F50" s="176" t="s">
        <v>86</v>
      </c>
      <c r="G50" s="176"/>
      <c r="H50" s="176"/>
      <c r="I50" s="176" t="s">
        <v>248</v>
      </c>
      <c r="J50" s="176"/>
    </row>
    <row r="51" spans="1:12" x14ac:dyDescent="0.3">
      <c r="A51" s="130" t="s">
        <v>250</v>
      </c>
      <c r="B51" s="130"/>
      <c r="C51" s="166" t="s">
        <v>249</v>
      </c>
      <c r="D51" s="167"/>
      <c r="E51" s="167"/>
      <c r="F51" s="167"/>
      <c r="G51" s="167"/>
      <c r="H51" s="167"/>
      <c r="I51" s="167"/>
      <c r="J51" s="168"/>
    </row>
    <row r="52" spans="1:12" ht="30.75" customHeight="1" x14ac:dyDescent="0.3">
      <c r="A52" s="130" t="s">
        <v>87</v>
      </c>
      <c r="B52" s="130"/>
      <c r="C52" s="166" t="s">
        <v>245</v>
      </c>
      <c r="D52" s="167"/>
      <c r="E52" s="167"/>
      <c r="F52" s="167"/>
      <c r="G52" s="167"/>
      <c r="H52" s="167"/>
      <c r="I52" s="167"/>
      <c r="J52" s="168"/>
    </row>
    <row r="53" spans="1:12" ht="15" customHeight="1" x14ac:dyDescent="0.3">
      <c r="A53" s="2" t="s">
        <v>141</v>
      </c>
      <c r="B53" s="2"/>
      <c r="C53" s="96" t="s">
        <v>247</v>
      </c>
      <c r="D53" s="96"/>
      <c r="E53" s="96"/>
      <c r="F53" s="96"/>
      <c r="G53" s="96"/>
      <c r="H53" s="96"/>
      <c r="I53" s="96"/>
      <c r="J53" s="96"/>
    </row>
    <row r="54" spans="1:12" x14ac:dyDescent="0.3">
      <c r="A54" s="137" t="s">
        <v>56</v>
      </c>
      <c r="B54" s="138"/>
      <c r="C54" s="138"/>
      <c r="D54" s="138"/>
      <c r="E54" s="139"/>
      <c r="F54" s="166" t="s">
        <v>64</v>
      </c>
      <c r="G54" s="167"/>
      <c r="H54" s="167"/>
      <c r="I54" s="167"/>
      <c r="J54" s="168"/>
    </row>
    <row r="55" spans="1:12" ht="15" thickBot="1" x14ac:dyDescent="0.35">
      <c r="A55" s="232" t="s">
        <v>65</v>
      </c>
      <c r="B55" s="233"/>
      <c r="C55" s="233"/>
      <c r="D55" s="233"/>
      <c r="E55" s="233"/>
      <c r="F55" s="233"/>
      <c r="G55" s="233"/>
      <c r="H55" s="233"/>
      <c r="I55" s="233"/>
      <c r="J55" s="234"/>
    </row>
    <row r="56" spans="1:12" ht="15.6" x14ac:dyDescent="0.3">
      <c r="A56" s="119" t="s">
        <v>179</v>
      </c>
      <c r="B56" s="120"/>
      <c r="C56" s="252" t="s">
        <v>215</v>
      </c>
      <c r="D56" s="252"/>
      <c r="E56" s="252"/>
      <c r="F56" s="252"/>
      <c r="G56" s="253" t="s">
        <v>212</v>
      </c>
      <c r="H56" s="253"/>
      <c r="I56" s="253"/>
      <c r="J56" s="254"/>
      <c r="K56" s="28" t="str">
        <f>(IF(F60&gt;99%,"All work completed. Please provide OC.",IF(F60&gt;89.8%,"Plinth, RCC, Brick, Plaster, Flooring, Painting work Completed. Finishing work is in process.",IF(F60&lt;94%,(IF(C60=0,"Work not yet Started.",IF(D60=25%,"Piling work in process",IF(D60=50%,"Excavation work in process",IF(D60=100%,"Excavation work Completed. ","0")))&amp;(IF(C61=0%,"",IF(C61=L62,"Footing work is process",IF(C61=L63,"Footing work Completed",IF(C61=L64,"1st Basement Completed",IF(C61=L65,"1st &amp; 2nd Basement Completed",IF(C61=L66,"1st to 3rd Basement Completed",IF(C61=L67,"1st to 4th Basement Completed",IF(C61=L68,"Plinth work is process",IF(C61=L69,"Plinth work completed","0")))))))))))&amp;(IF(C62=(D57+G57+I57),", RCC Slab",IF(C62&gt;0,", RCC upto "&amp;C62&amp;" Slab",""))&amp;(IF(C63=I57,", Brickwork",IF(C63&gt;0,", Brickwork upto "&amp;C63&amp;" Floor",""))&amp;(IF(C64=I57,", Internal Plaster",IF(C64&gt;0,", Internal Plaster upto "&amp;C64&amp;" Floor",""))&amp;(IF(C65=I57,", External Plaster",IF(C65&gt;0,", External Plaster upto "&amp;C65&amp;" Floor",""))&amp;(IF(C66=I57,", Flooring",IF(C66&gt;0,", Flooring upto "&amp;C66&amp;" Floor",""))&amp;(IF(C67=I57,", Painting",IF(C67&gt;0,", Painting upto "&amp;C67&amp;" Floor",""))&amp;(IF(C68&gt;0,", Finishing upto "&amp;C68&amp;" Floor","")&amp;(IF(C62&gt;0.5," Completed",""))))))))))))))</f>
        <v>Excavation work Completed. Plinth work completed, RCC Slab, Brickwork, Internal Plaster, External Plaster upto 3 Floor, Flooring upto 3 Floor, Painting upto 2 Floor Completed</v>
      </c>
      <c r="L56" s="38"/>
    </row>
    <row r="57" spans="1:12" ht="15.6" x14ac:dyDescent="0.3">
      <c r="A57" s="33" t="s">
        <v>180</v>
      </c>
      <c r="B57" s="34">
        <v>0</v>
      </c>
      <c r="C57" s="34" t="s">
        <v>181</v>
      </c>
      <c r="D57" s="34">
        <v>1</v>
      </c>
      <c r="E57" s="124" t="s">
        <v>182</v>
      </c>
      <c r="F57" s="125"/>
      <c r="G57" s="34">
        <v>0</v>
      </c>
      <c r="H57" s="34" t="s">
        <v>183</v>
      </c>
      <c r="I57" s="124">
        <v>4</v>
      </c>
      <c r="J57" s="126"/>
      <c r="K57" s="29"/>
      <c r="L57" s="39"/>
    </row>
    <row r="58" spans="1:12" ht="36" customHeight="1" x14ac:dyDescent="0.3">
      <c r="A58" s="145" t="s">
        <v>184</v>
      </c>
      <c r="B58" s="127"/>
      <c r="C58" s="146" t="str">
        <f>K56</f>
        <v>Excavation work Completed. Plinth work completed, RCC Slab, Brickwork, Internal Plaster, External Plaster upto 3 Floor, Flooring upto 3 Floor, Painting upto 2 Floor Completed</v>
      </c>
      <c r="D58" s="147"/>
      <c r="E58" s="147"/>
      <c r="F58" s="147"/>
      <c r="G58" s="147"/>
      <c r="H58" s="147"/>
      <c r="I58" s="147"/>
      <c r="J58" s="148"/>
      <c r="K58" s="29" t="s">
        <v>185</v>
      </c>
      <c r="L58" s="39"/>
    </row>
    <row r="59" spans="1:12" ht="15.6" x14ac:dyDescent="0.3">
      <c r="A59" s="149" t="s">
        <v>33</v>
      </c>
      <c r="B59" s="150"/>
      <c r="C59" s="32" t="s">
        <v>186</v>
      </c>
      <c r="D59" s="105" t="s">
        <v>187</v>
      </c>
      <c r="E59" s="105"/>
      <c r="F59" s="105" t="s">
        <v>188</v>
      </c>
      <c r="G59" s="105"/>
      <c r="H59" s="105" t="s">
        <v>189</v>
      </c>
      <c r="I59" s="105"/>
      <c r="J59" s="131"/>
      <c r="K59" s="30" t="s">
        <v>190</v>
      </c>
      <c r="L59" s="40">
        <f>I57*25%</f>
        <v>1</v>
      </c>
    </row>
    <row r="60" spans="1:12" ht="15.6" x14ac:dyDescent="0.3">
      <c r="A60" s="104" t="s">
        <v>191</v>
      </c>
      <c r="B60" s="105"/>
      <c r="C60" s="41">
        <f>L61</f>
        <v>4</v>
      </c>
      <c r="D60" s="115">
        <f>((100/I57)*C60)/100</f>
        <v>1</v>
      </c>
      <c r="E60" s="116"/>
      <c r="F60" s="129">
        <f>(((C61/I57*10)+(40/(D57+G57+I57)*C62)+(7.5/(I57)*C63)+(7.5/(I57)*C64)+(10/I57*C65)+(10/I57*C66)+(5/I57*C67)+(5/I57*C68)+(5/I57*C69))/100)</f>
        <v>0.82499999999999996</v>
      </c>
      <c r="G60" s="129"/>
      <c r="H60" s="106">
        <f>((((C60/I57)*20)+((C61/I57)*25)+(30/(I57+G57+D57)*C62)+(5/I57*C63)+(5/I57*C64)+(5/I57*C65)+(5/I57*C66)+(0/I57*C67)+(0/I57*C68)+(5/I57*C69))/100)</f>
        <v>0.92500000000000004</v>
      </c>
      <c r="I60" s="107"/>
      <c r="J60" s="108"/>
      <c r="K60" s="30" t="s">
        <v>192</v>
      </c>
      <c r="L60" s="42">
        <f>I57*50%</f>
        <v>2</v>
      </c>
    </row>
    <row r="61" spans="1:12" ht="15.6" x14ac:dyDescent="0.3">
      <c r="A61" s="104" t="s">
        <v>34</v>
      </c>
      <c r="B61" s="105"/>
      <c r="C61" s="43">
        <f>L69</f>
        <v>4</v>
      </c>
      <c r="D61" s="115">
        <f>((100/I57)*C61)/100</f>
        <v>1</v>
      </c>
      <c r="E61" s="116"/>
      <c r="F61" s="129"/>
      <c r="G61" s="129"/>
      <c r="H61" s="109"/>
      <c r="I61" s="110"/>
      <c r="J61" s="111"/>
      <c r="K61" s="30" t="s">
        <v>193</v>
      </c>
      <c r="L61" s="42">
        <f>I57</f>
        <v>4</v>
      </c>
    </row>
    <row r="62" spans="1:12" ht="15.6" x14ac:dyDescent="0.3">
      <c r="A62" s="117" t="s">
        <v>194</v>
      </c>
      <c r="B62" s="118"/>
      <c r="C62" s="43">
        <v>5</v>
      </c>
      <c r="D62" s="115">
        <f>((100/(D57+G57+I57))*C62)/100</f>
        <v>1</v>
      </c>
      <c r="E62" s="116"/>
      <c r="F62" s="129"/>
      <c r="G62" s="129"/>
      <c r="H62" s="109"/>
      <c r="I62" s="110"/>
      <c r="J62" s="111"/>
      <c r="K62" s="30" t="s">
        <v>195</v>
      </c>
      <c r="L62" s="44">
        <f>(IF(B57&gt;1,(I57/(B57+2)),I57/4))</f>
        <v>1</v>
      </c>
    </row>
    <row r="63" spans="1:12" ht="15.6" x14ac:dyDescent="0.3">
      <c r="A63" s="104" t="s">
        <v>196</v>
      </c>
      <c r="B63" s="105" t="s">
        <v>197</v>
      </c>
      <c r="C63" s="41">
        <v>4</v>
      </c>
      <c r="D63" s="115">
        <f>((100/I57)*C63)/100</f>
        <v>1</v>
      </c>
      <c r="E63" s="116"/>
      <c r="F63" s="129"/>
      <c r="G63" s="129"/>
      <c r="H63" s="109"/>
      <c r="I63" s="110"/>
      <c r="J63" s="111"/>
      <c r="K63" s="30" t="s">
        <v>198</v>
      </c>
      <c r="L63" s="44">
        <f>(IF(B57&gt;1,(I57/(B57+2)+L62),I57/4+L62))</f>
        <v>2</v>
      </c>
    </row>
    <row r="64" spans="1:12" ht="15.6" x14ac:dyDescent="0.3">
      <c r="A64" s="104" t="s">
        <v>199</v>
      </c>
      <c r="B64" s="105" t="s">
        <v>197</v>
      </c>
      <c r="C64" s="41">
        <v>4</v>
      </c>
      <c r="D64" s="115">
        <f>((100/I57)*C64)/100</f>
        <v>1</v>
      </c>
      <c r="E64" s="116"/>
      <c r="F64" s="129"/>
      <c r="G64" s="129"/>
      <c r="H64" s="109"/>
      <c r="I64" s="110"/>
      <c r="J64" s="111"/>
      <c r="K64" s="30" t="s">
        <v>200</v>
      </c>
      <c r="L64" s="44">
        <f>(IF(B57&gt;1,(I57/(B57+2)+L63),0))</f>
        <v>0</v>
      </c>
    </row>
    <row r="65" spans="1:12" ht="15.6" x14ac:dyDescent="0.3">
      <c r="A65" s="117" t="s">
        <v>201</v>
      </c>
      <c r="B65" s="118" t="s">
        <v>202</v>
      </c>
      <c r="C65" s="41">
        <v>3</v>
      </c>
      <c r="D65" s="115">
        <f>((100/(I57))*C65)/100</f>
        <v>0.75</v>
      </c>
      <c r="E65" s="116"/>
      <c r="F65" s="129"/>
      <c r="G65" s="129"/>
      <c r="H65" s="109"/>
      <c r="I65" s="110"/>
      <c r="J65" s="111"/>
      <c r="K65" s="30" t="s">
        <v>203</v>
      </c>
      <c r="L65" s="44">
        <f>(IF(B57&gt;2,(I57/(B57+2)+L64),0))</f>
        <v>0</v>
      </c>
    </row>
    <row r="66" spans="1:12" ht="15.6" x14ac:dyDescent="0.3">
      <c r="A66" s="104" t="s">
        <v>204</v>
      </c>
      <c r="B66" s="105" t="s">
        <v>204</v>
      </c>
      <c r="C66" s="41">
        <v>3</v>
      </c>
      <c r="D66" s="115">
        <f>((100/I57)*C66)/100</f>
        <v>0.75</v>
      </c>
      <c r="E66" s="116"/>
      <c r="F66" s="129"/>
      <c r="G66" s="129"/>
      <c r="H66" s="109"/>
      <c r="I66" s="110"/>
      <c r="J66" s="111"/>
      <c r="K66" s="30" t="s">
        <v>205</v>
      </c>
      <c r="L66" s="45">
        <f>(IF(B57&gt;3,(I57/(B57+2)+L65),0))</f>
        <v>0</v>
      </c>
    </row>
    <row r="67" spans="1:12" ht="15" customHeight="1" x14ac:dyDescent="0.3">
      <c r="A67" s="104" t="s">
        <v>206</v>
      </c>
      <c r="B67" s="105"/>
      <c r="C67" s="41">
        <v>2</v>
      </c>
      <c r="D67" s="115">
        <f>((100/I57)*C67)/100</f>
        <v>0.5</v>
      </c>
      <c r="E67" s="116"/>
      <c r="F67" s="129"/>
      <c r="G67" s="129"/>
      <c r="H67" s="109"/>
      <c r="I67" s="110"/>
      <c r="J67" s="111"/>
      <c r="K67" s="30" t="s">
        <v>207</v>
      </c>
      <c r="L67" s="44">
        <f>(IF(B57&gt;4,(I57/(B57+2)+L66),0))</f>
        <v>0</v>
      </c>
    </row>
    <row r="68" spans="1:12" ht="15.6" x14ac:dyDescent="0.3">
      <c r="A68" s="104" t="s">
        <v>208</v>
      </c>
      <c r="B68" s="105" t="s">
        <v>208</v>
      </c>
      <c r="C68" s="41">
        <v>0</v>
      </c>
      <c r="D68" s="115">
        <f>((100/(I57))*C68)/100</f>
        <v>0</v>
      </c>
      <c r="E68" s="116"/>
      <c r="F68" s="129"/>
      <c r="G68" s="129"/>
      <c r="H68" s="109"/>
      <c r="I68" s="110"/>
      <c r="J68" s="111"/>
      <c r="K68" s="30" t="s">
        <v>209</v>
      </c>
      <c r="L68" s="44">
        <f>(IF(B57=1,(I57/(B57+3)+L63),IF(B57=0,(I57/4+L63),IF(B57&gt;1,0))))</f>
        <v>3</v>
      </c>
    </row>
    <row r="69" spans="1:12" ht="16.2" thickBot="1" x14ac:dyDescent="0.35">
      <c r="A69" s="141" t="s">
        <v>210</v>
      </c>
      <c r="B69" s="142"/>
      <c r="C69" s="46">
        <v>0</v>
      </c>
      <c r="D69" s="143">
        <f>((100/(I57))*C69)/100</f>
        <v>0</v>
      </c>
      <c r="E69" s="144"/>
      <c r="F69" s="132"/>
      <c r="G69" s="132"/>
      <c r="H69" s="112"/>
      <c r="I69" s="113"/>
      <c r="J69" s="114"/>
      <c r="K69" s="31" t="s">
        <v>211</v>
      </c>
      <c r="L69" s="47">
        <f>(IF(B57&gt;1.5,(I57/(B57+2)+L63+MAX(0,L64-L63)+MAX(0,L65-L64)+MAX(0,L66-L65)+MAX(0,L67-L66)+MAX(0,L68-L67)),IF(B57=1,(I57/(B57+3)+L68),IF(B57=0,I57/4+L68))))</f>
        <v>4</v>
      </c>
    </row>
    <row r="70" spans="1:12" ht="15.6" x14ac:dyDescent="0.3">
      <c r="A70" s="119" t="s">
        <v>179</v>
      </c>
      <c r="B70" s="120"/>
      <c r="C70" s="121" t="s">
        <v>227</v>
      </c>
      <c r="D70" s="122"/>
      <c r="E70" s="122"/>
      <c r="F70" s="122"/>
      <c r="G70" s="122"/>
      <c r="H70" s="122"/>
      <c r="I70" s="122"/>
      <c r="J70" s="123"/>
      <c r="K70" s="28" t="str">
        <f>(IF(F74&gt;99%,"All work completed. Please provide OC.",IF(F74&gt;89.8%,"Plinth, RCC, Brick, Plaster, Flooring, Painting work Completed. Finishing work is in process.",IF(F74&lt;94%,(IF(C74=0,"Work not yet Started.",IF(D74=25%,"Piling work in process",IF(D74=50%,"Excavation work in process",IF(D74=100%,"Excavation work Completed. ","0")))&amp;(IF(C75=0%,"",IF(C75=L76,"Footing work is process",IF(C75=L77,"Footing work Completed",IF(C75=L78,"1st Basement Completed",IF(C75=L79,"1st &amp; 2nd Basement Completed",IF(C75=L80,"1st to 3rd Basement Completed",IF(C75=L81,"1st to 4th Basement Completed",IF(C75=L82,"Plinth work is process",IF(C75=L83,"Plinth work completed","0")))))))))))&amp;(IF(C76=(D71+G71+I71),", RCC Slab",IF(C76&gt;0,", RCC upto "&amp;C76&amp;" Slab",""))&amp;(IF(C77=I71,", Brickwork",IF(C77&gt;0,", Brickwork upto "&amp;C77&amp;" Floor",""))&amp;(IF(C78=I71,", Internal Plaster",IF(C78&gt;0,", Internal Plaster upto "&amp;C78&amp;" Floor",""))&amp;(IF(C79=I71,", External Plaster",IF(C79&gt;0,", External Plaster upto "&amp;C79&amp;" Floor",""))&amp;(IF(C80=I71,", Flooring",IF(C80&gt;0,", Flooring upto "&amp;C80&amp;" Floor",""))&amp;(IF(C81=I71,", Painting",IF(C81&gt;0,", Painting upto "&amp;C81&amp;" Floor",""))&amp;(IF(C82&gt;0,", Finishing upto "&amp;C82&amp;" Floor","")&amp;(IF(C76&gt;0.5," Completed",""))))))))))))))</f>
        <v>Excavation work Completed. Plinth work completed, RCC Slab, Brickwork, Internal Plaster upto 3 Floor, External Plaster upto 1 Floor Completed</v>
      </c>
      <c r="L70" s="38"/>
    </row>
    <row r="71" spans="1:12" ht="15.6" x14ac:dyDescent="0.3">
      <c r="A71" s="33" t="s">
        <v>180</v>
      </c>
      <c r="B71" s="34">
        <v>0</v>
      </c>
      <c r="C71" s="34" t="s">
        <v>181</v>
      </c>
      <c r="D71" s="34">
        <v>1</v>
      </c>
      <c r="E71" s="124" t="s">
        <v>182</v>
      </c>
      <c r="F71" s="125"/>
      <c r="G71" s="34">
        <v>0</v>
      </c>
      <c r="H71" s="34" t="s">
        <v>183</v>
      </c>
      <c r="I71" s="124">
        <v>4</v>
      </c>
      <c r="J71" s="126"/>
      <c r="K71" s="29"/>
      <c r="L71" s="39"/>
    </row>
    <row r="72" spans="1:12" ht="36" customHeight="1" x14ac:dyDescent="0.3">
      <c r="A72" s="127" t="s">
        <v>184</v>
      </c>
      <c r="B72" s="127"/>
      <c r="C72" s="128" t="str">
        <f>K70</f>
        <v>Excavation work Completed. Plinth work completed, RCC Slab, Brickwork, Internal Plaster upto 3 Floor, External Plaster upto 1 Floor Completed</v>
      </c>
      <c r="D72" s="128"/>
      <c r="E72" s="128"/>
      <c r="F72" s="128"/>
      <c r="G72" s="128"/>
      <c r="H72" s="128"/>
      <c r="I72" s="128"/>
      <c r="J72" s="128"/>
      <c r="K72" s="29" t="s">
        <v>185</v>
      </c>
      <c r="L72" s="39"/>
    </row>
    <row r="73" spans="1:12" ht="15.6" x14ac:dyDescent="0.3">
      <c r="A73" s="105" t="s">
        <v>33</v>
      </c>
      <c r="B73" s="105"/>
      <c r="C73" s="32" t="s">
        <v>186</v>
      </c>
      <c r="D73" s="105" t="s">
        <v>187</v>
      </c>
      <c r="E73" s="105"/>
      <c r="F73" s="105" t="s">
        <v>188</v>
      </c>
      <c r="G73" s="105"/>
      <c r="H73" s="105" t="s">
        <v>189</v>
      </c>
      <c r="I73" s="105"/>
      <c r="J73" s="105"/>
      <c r="K73" s="30" t="s">
        <v>190</v>
      </c>
      <c r="L73" s="40">
        <f>I71*25%</f>
        <v>1</v>
      </c>
    </row>
    <row r="74" spans="1:12" ht="15.6" x14ac:dyDescent="0.3">
      <c r="A74" s="105" t="s">
        <v>191</v>
      </c>
      <c r="B74" s="105"/>
      <c r="C74" s="41">
        <f>L75</f>
        <v>4</v>
      </c>
      <c r="D74" s="129">
        <f>((100/I71)*C74)/100</f>
        <v>1</v>
      </c>
      <c r="E74" s="129"/>
      <c r="F74" s="129">
        <f>(((C75/I71*10)+(40/(D71+G71+I71)*C76)+(7.5/(I71)*C77)+(7.5/(I71)*C78)+(10/I71*C79)+(10/I71*C80)+(5/I71*C81)+(5/I71*C82)+(5/I71*C83))/100)</f>
        <v>0.65625</v>
      </c>
      <c r="G74" s="129"/>
      <c r="H74" s="129">
        <f>((((C74/I71)*20)+((C75/I71)*25)+(30/(I71+G71+D71)*C76)+(5/I71*C77)+(5/I71*C78)+(5/I71*C79)+(5/I71*C80)+(0/I71*C81)+(0/I71*C82)+(5/I71*C83))/100)</f>
        <v>0.85</v>
      </c>
      <c r="I74" s="129"/>
      <c r="J74" s="129"/>
      <c r="K74" s="30" t="s">
        <v>192</v>
      </c>
      <c r="L74" s="42">
        <f>I71*50%</f>
        <v>2</v>
      </c>
    </row>
    <row r="75" spans="1:12" ht="15.6" x14ac:dyDescent="0.3">
      <c r="A75" s="105" t="s">
        <v>34</v>
      </c>
      <c r="B75" s="105"/>
      <c r="C75" s="43">
        <f>L83</f>
        <v>4</v>
      </c>
      <c r="D75" s="129">
        <f>((100/I71)*C75)/100</f>
        <v>1</v>
      </c>
      <c r="E75" s="129"/>
      <c r="F75" s="129"/>
      <c r="G75" s="129"/>
      <c r="H75" s="129"/>
      <c r="I75" s="129"/>
      <c r="J75" s="129"/>
      <c r="K75" s="30" t="s">
        <v>193</v>
      </c>
      <c r="L75" s="42">
        <f>I71</f>
        <v>4</v>
      </c>
    </row>
    <row r="76" spans="1:12" ht="15.6" x14ac:dyDescent="0.3">
      <c r="A76" s="118" t="s">
        <v>194</v>
      </c>
      <c r="B76" s="118"/>
      <c r="C76" s="43">
        <v>5</v>
      </c>
      <c r="D76" s="129">
        <f>((100/(D71+G71+I71))*C76)/100</f>
        <v>1</v>
      </c>
      <c r="E76" s="129"/>
      <c r="F76" s="129"/>
      <c r="G76" s="129"/>
      <c r="H76" s="129"/>
      <c r="I76" s="129"/>
      <c r="J76" s="129"/>
      <c r="K76" s="30" t="s">
        <v>195</v>
      </c>
      <c r="L76" s="44">
        <f>(IF(B71&gt;1,(I71/(B71+2)),I71/4))</f>
        <v>1</v>
      </c>
    </row>
    <row r="77" spans="1:12" ht="15.6" x14ac:dyDescent="0.3">
      <c r="A77" s="105" t="s">
        <v>196</v>
      </c>
      <c r="B77" s="105" t="s">
        <v>197</v>
      </c>
      <c r="C77" s="41">
        <v>4</v>
      </c>
      <c r="D77" s="129">
        <f>((100/I71)*C77)/100</f>
        <v>1</v>
      </c>
      <c r="E77" s="129"/>
      <c r="F77" s="129"/>
      <c r="G77" s="129"/>
      <c r="H77" s="129"/>
      <c r="I77" s="129"/>
      <c r="J77" s="129"/>
      <c r="K77" s="30" t="s">
        <v>198</v>
      </c>
      <c r="L77" s="44">
        <f>(IF(B71&gt;1,(I71/(B71+2)+L76),I71/4+L76))</f>
        <v>2</v>
      </c>
    </row>
    <row r="78" spans="1:12" ht="15.6" x14ac:dyDescent="0.3">
      <c r="A78" s="105" t="s">
        <v>199</v>
      </c>
      <c r="B78" s="105" t="s">
        <v>197</v>
      </c>
      <c r="C78" s="41">
        <v>3</v>
      </c>
      <c r="D78" s="129">
        <f>((100/I71)*C78)/100</f>
        <v>0.75</v>
      </c>
      <c r="E78" s="129"/>
      <c r="F78" s="129"/>
      <c r="G78" s="129"/>
      <c r="H78" s="129"/>
      <c r="I78" s="129"/>
      <c r="J78" s="129"/>
      <c r="K78" s="30" t="s">
        <v>200</v>
      </c>
      <c r="L78" s="44">
        <f>(IF(B71&gt;1,(I71/(B71+2)+L77),0))</f>
        <v>0</v>
      </c>
    </row>
    <row r="79" spans="1:12" ht="15.6" x14ac:dyDescent="0.3">
      <c r="A79" s="105" t="s">
        <v>201</v>
      </c>
      <c r="B79" s="105" t="s">
        <v>202</v>
      </c>
      <c r="C79" s="41">
        <v>1</v>
      </c>
      <c r="D79" s="129">
        <f>((100/(I71))*C79)/100</f>
        <v>0.25</v>
      </c>
      <c r="E79" s="129"/>
      <c r="F79" s="129"/>
      <c r="G79" s="129"/>
      <c r="H79" s="129"/>
      <c r="I79" s="129"/>
      <c r="J79" s="129"/>
      <c r="K79" s="30" t="s">
        <v>203</v>
      </c>
      <c r="L79" s="44">
        <f>(IF(B71&gt;2,(I71/(B71+2)+L78),0))</f>
        <v>0</v>
      </c>
    </row>
    <row r="80" spans="1:12" ht="15.6" x14ac:dyDescent="0.3">
      <c r="A80" s="105" t="s">
        <v>204</v>
      </c>
      <c r="B80" s="105" t="s">
        <v>204</v>
      </c>
      <c r="C80" s="41">
        <v>0</v>
      </c>
      <c r="D80" s="129">
        <f>((100/I71)*C80)/100</f>
        <v>0</v>
      </c>
      <c r="E80" s="129"/>
      <c r="F80" s="129"/>
      <c r="G80" s="129"/>
      <c r="H80" s="129"/>
      <c r="I80" s="129"/>
      <c r="J80" s="129"/>
      <c r="K80" s="30" t="s">
        <v>205</v>
      </c>
      <c r="L80" s="45">
        <f>(IF(B71&gt;3,(I71/(B71+2)+L79),0))</f>
        <v>0</v>
      </c>
    </row>
    <row r="81" spans="1:12" ht="15" customHeight="1" x14ac:dyDescent="0.3">
      <c r="A81" s="105" t="s">
        <v>206</v>
      </c>
      <c r="B81" s="105"/>
      <c r="C81" s="41">
        <v>0</v>
      </c>
      <c r="D81" s="129">
        <f>((100/I71)*C81)/100</f>
        <v>0</v>
      </c>
      <c r="E81" s="129"/>
      <c r="F81" s="129"/>
      <c r="G81" s="129"/>
      <c r="H81" s="129"/>
      <c r="I81" s="129"/>
      <c r="J81" s="129"/>
      <c r="K81" s="30" t="s">
        <v>207</v>
      </c>
      <c r="L81" s="44">
        <f>(IF(B71&gt;4,(I71/(B71+2)+L80),0))</f>
        <v>0</v>
      </c>
    </row>
    <row r="82" spans="1:12" ht="15.6" x14ac:dyDescent="0.3">
      <c r="A82" s="105" t="s">
        <v>208</v>
      </c>
      <c r="B82" s="105" t="s">
        <v>208</v>
      </c>
      <c r="C82" s="41">
        <v>0</v>
      </c>
      <c r="D82" s="129">
        <f>((100/(I71))*C82)/100</f>
        <v>0</v>
      </c>
      <c r="E82" s="129"/>
      <c r="F82" s="129"/>
      <c r="G82" s="129"/>
      <c r="H82" s="129"/>
      <c r="I82" s="129"/>
      <c r="J82" s="129"/>
      <c r="K82" s="30" t="s">
        <v>209</v>
      </c>
      <c r="L82" s="44">
        <f>(IF(B71=1,(I71/(B71+3)+L77),IF(B71=0,(I71/4+L77),IF(B71&gt;1,0))))</f>
        <v>3</v>
      </c>
    </row>
    <row r="83" spans="1:12" ht="16.2" thickBot="1" x14ac:dyDescent="0.35">
      <c r="A83" s="105" t="s">
        <v>210</v>
      </c>
      <c r="B83" s="105"/>
      <c r="C83" s="41">
        <v>0</v>
      </c>
      <c r="D83" s="129">
        <f>((100/(I71))*C83)/100</f>
        <v>0</v>
      </c>
      <c r="E83" s="129"/>
      <c r="F83" s="129"/>
      <c r="G83" s="129"/>
      <c r="H83" s="129"/>
      <c r="I83" s="129"/>
      <c r="J83" s="129"/>
      <c r="K83" s="31" t="s">
        <v>211</v>
      </c>
      <c r="L83" s="47">
        <f>(IF(B71&gt;1.5,(I71/(B71+2)+L77+MAX(0,L78-L77)+MAX(0,L79-L78)+MAX(0,L80-L79)+MAX(0,L81-L80)+MAX(0,L82-L81)),IF(B71=1,(I71/(B71+3)+L82),IF(B71=0,I71/4+L82))))</f>
        <v>4</v>
      </c>
    </row>
    <row r="84" spans="1:12" ht="15.6" x14ac:dyDescent="0.3">
      <c r="A84" s="255" t="s">
        <v>179</v>
      </c>
      <c r="B84" s="255"/>
      <c r="C84" s="128" t="s">
        <v>214</v>
      </c>
      <c r="D84" s="128"/>
      <c r="E84" s="128"/>
      <c r="F84" s="128"/>
      <c r="G84" s="256" t="s">
        <v>212</v>
      </c>
      <c r="H84" s="256"/>
      <c r="I84" s="256"/>
      <c r="J84" s="256"/>
      <c r="K84" s="28" t="str">
        <f>(IF(F88&gt;99%,"All work completed. Please provide OC.",IF(F88&gt;89.8%,"Plinth, RCC, Brick, Plaster, Flooring, Painting work Completed. Finishing work is in process.",IF(F88&lt;94%,(IF(C88=0,"Work not yet Started.",IF(D88=25%,"Piling work in process",IF(D88=50%,"Excavation work in process",IF(D88=100%,"Excavation work Completed. ","0")))&amp;(IF(C89=0%,"",IF(C89=L90,"Footing work is process",IF(C89=L91,"Footing work Completed",IF(C89=L92,"1st Basement Completed",IF(C89=L93,"1st &amp; 2nd Basement Completed",IF(C89=L94,"1st to 3rd Basement Completed",IF(C89=L95,"1st to 4th Basement Completed",IF(C89=L96,"Plinth work is process",IF(C89=L97,"Plinth work completed","0")))))))))))&amp;(IF(C90=(D85+G85+I85),", RCC Slab",IF(C90&gt;0,", RCC upto "&amp;C90&amp;" Slab",""))&amp;(IF(C91=I85,", Brickwork",IF(C91&gt;0,", Brickwork upto "&amp;C91&amp;" Floor",""))&amp;(IF(C92=I85,", Internal Plaster",IF(C92&gt;0,", Internal Plaster upto "&amp;C92&amp;" Floor",""))&amp;(IF(C93=I85,", External Plaster",IF(C93&gt;0,", External Plaster upto "&amp;C93&amp;" Floor",""))&amp;(IF(C94=I85,", Flooring",IF(C94&gt;0,", Flooring upto "&amp;C94&amp;" Floor",""))&amp;(IF(C95=I85,", Painting",IF(C95&gt;0,", Painting upto "&amp;C95&amp;" Floor",""))&amp;(IF(C96&gt;0,", Finishing upto "&amp;C96&amp;" Floor","")&amp;(IF(C90&gt;0.5," Completed",""))))))))))))))</f>
        <v>Excavation work Completed. Plinth work completed, RCC Slab, Brickwork, Internal Plaster, External Plaster upto 3 Floor, Flooring upto 3 Floor, Painting upto 1 Floor Completed</v>
      </c>
      <c r="L84" s="38"/>
    </row>
    <row r="85" spans="1:12" ht="15.6" x14ac:dyDescent="0.3">
      <c r="A85" s="34" t="s">
        <v>180</v>
      </c>
      <c r="B85" s="34">
        <v>0</v>
      </c>
      <c r="C85" s="34" t="s">
        <v>181</v>
      </c>
      <c r="D85" s="34">
        <v>1</v>
      </c>
      <c r="E85" s="118" t="s">
        <v>182</v>
      </c>
      <c r="F85" s="118"/>
      <c r="G85" s="34">
        <v>0</v>
      </c>
      <c r="H85" s="34" t="s">
        <v>183</v>
      </c>
      <c r="I85" s="118">
        <v>4</v>
      </c>
      <c r="J85" s="118"/>
      <c r="K85" s="29"/>
      <c r="L85" s="39"/>
    </row>
    <row r="86" spans="1:12" ht="35.25" customHeight="1" x14ac:dyDescent="0.3">
      <c r="A86" s="127" t="s">
        <v>184</v>
      </c>
      <c r="B86" s="127"/>
      <c r="C86" s="128" t="str">
        <f>K84</f>
        <v>Excavation work Completed. Plinth work completed, RCC Slab, Brickwork, Internal Plaster, External Plaster upto 3 Floor, Flooring upto 3 Floor, Painting upto 1 Floor Completed</v>
      </c>
      <c r="D86" s="128"/>
      <c r="E86" s="128"/>
      <c r="F86" s="128"/>
      <c r="G86" s="128"/>
      <c r="H86" s="128"/>
      <c r="I86" s="128"/>
      <c r="J86" s="128"/>
      <c r="K86" s="29" t="s">
        <v>185</v>
      </c>
      <c r="L86" s="39"/>
    </row>
    <row r="87" spans="1:12" ht="15.6" x14ac:dyDescent="0.3">
      <c r="A87" s="149" t="s">
        <v>33</v>
      </c>
      <c r="B87" s="150"/>
      <c r="C87" s="32" t="s">
        <v>186</v>
      </c>
      <c r="D87" s="105" t="s">
        <v>187</v>
      </c>
      <c r="E87" s="105"/>
      <c r="F87" s="105" t="s">
        <v>188</v>
      </c>
      <c r="G87" s="105"/>
      <c r="H87" s="105" t="s">
        <v>189</v>
      </c>
      <c r="I87" s="105"/>
      <c r="J87" s="131"/>
      <c r="K87" s="30" t="s">
        <v>190</v>
      </c>
      <c r="L87" s="40">
        <f>I85*25%</f>
        <v>1</v>
      </c>
    </row>
    <row r="88" spans="1:12" ht="15.6" x14ac:dyDescent="0.3">
      <c r="A88" s="104" t="s">
        <v>191</v>
      </c>
      <c r="B88" s="105"/>
      <c r="C88" s="41">
        <f>L89</f>
        <v>4</v>
      </c>
      <c r="D88" s="115">
        <f>((100/I85)*C88)/100</f>
        <v>1</v>
      </c>
      <c r="E88" s="116"/>
      <c r="F88" s="129">
        <f>(((C89/I85*10)+(40/(D85+G85+I85)*C90)+(7.5/(I85)*C91)+(7.5/(I85)*C92)+(10/I85*C93)+(10/I85*C94)+(5/I85*C95)+(5/I85*C96)+(5/I85*C97))/100)</f>
        <v>0.8125</v>
      </c>
      <c r="G88" s="129"/>
      <c r="H88" s="106">
        <f>((((C88/I85)*20)+((C89/I85)*25)+(30/(I85+G85+D85)*C90)+(5/I85*C91)+(5/I85*C92)+(5/I85*C93)+(5/I85*C94)+(0/I85*C95)+(0/I85*C96)+(5/I85*C97))/100)</f>
        <v>0.92500000000000004</v>
      </c>
      <c r="I88" s="107"/>
      <c r="J88" s="108"/>
      <c r="K88" s="30" t="s">
        <v>192</v>
      </c>
      <c r="L88" s="42">
        <f>I85*50%</f>
        <v>2</v>
      </c>
    </row>
    <row r="89" spans="1:12" ht="15.6" x14ac:dyDescent="0.3">
      <c r="A89" s="104" t="s">
        <v>34</v>
      </c>
      <c r="B89" s="105"/>
      <c r="C89" s="43">
        <f>L97</f>
        <v>4</v>
      </c>
      <c r="D89" s="115">
        <f>((100/I85)*C89)/100</f>
        <v>1</v>
      </c>
      <c r="E89" s="116"/>
      <c r="F89" s="129"/>
      <c r="G89" s="129"/>
      <c r="H89" s="109"/>
      <c r="I89" s="110"/>
      <c r="J89" s="111"/>
      <c r="K89" s="30" t="s">
        <v>193</v>
      </c>
      <c r="L89" s="42">
        <f>I85</f>
        <v>4</v>
      </c>
    </row>
    <row r="90" spans="1:12" ht="15.6" x14ac:dyDescent="0.3">
      <c r="A90" s="117" t="s">
        <v>194</v>
      </c>
      <c r="B90" s="118"/>
      <c r="C90" s="43">
        <v>5</v>
      </c>
      <c r="D90" s="115">
        <f>((100/(D85+G85+I85))*C90)/100</f>
        <v>1</v>
      </c>
      <c r="E90" s="116"/>
      <c r="F90" s="129"/>
      <c r="G90" s="129"/>
      <c r="H90" s="109"/>
      <c r="I90" s="110"/>
      <c r="J90" s="111"/>
      <c r="K90" s="30" t="s">
        <v>195</v>
      </c>
      <c r="L90" s="44">
        <f>(IF(B85&gt;1,(I85/(B85+2)),I85/4))</f>
        <v>1</v>
      </c>
    </row>
    <row r="91" spans="1:12" ht="15.6" x14ac:dyDescent="0.3">
      <c r="A91" s="104" t="s">
        <v>196</v>
      </c>
      <c r="B91" s="105" t="s">
        <v>197</v>
      </c>
      <c r="C91" s="41">
        <v>4</v>
      </c>
      <c r="D91" s="115">
        <f>((100/I85)*C91)/100</f>
        <v>1</v>
      </c>
      <c r="E91" s="116"/>
      <c r="F91" s="129"/>
      <c r="G91" s="129"/>
      <c r="H91" s="109"/>
      <c r="I91" s="110"/>
      <c r="J91" s="111"/>
      <c r="K91" s="30" t="s">
        <v>198</v>
      </c>
      <c r="L91" s="44">
        <f>(IF(B85&gt;1,(I85/(B85+2)+L90),I85/4+L90))</f>
        <v>2</v>
      </c>
    </row>
    <row r="92" spans="1:12" ht="15.6" x14ac:dyDescent="0.3">
      <c r="A92" s="104" t="s">
        <v>199</v>
      </c>
      <c r="B92" s="105" t="s">
        <v>197</v>
      </c>
      <c r="C92" s="41">
        <v>4</v>
      </c>
      <c r="D92" s="115">
        <f>((100/I85)*C92)/100</f>
        <v>1</v>
      </c>
      <c r="E92" s="116"/>
      <c r="F92" s="129"/>
      <c r="G92" s="129"/>
      <c r="H92" s="109"/>
      <c r="I92" s="110"/>
      <c r="J92" s="111"/>
      <c r="K92" s="30" t="s">
        <v>200</v>
      </c>
      <c r="L92" s="44">
        <f>(IF(B85&gt;1,(I85/(B85+2)+L91),0))</f>
        <v>0</v>
      </c>
    </row>
    <row r="93" spans="1:12" ht="15.6" x14ac:dyDescent="0.3">
      <c r="A93" s="117" t="s">
        <v>201</v>
      </c>
      <c r="B93" s="118" t="s">
        <v>202</v>
      </c>
      <c r="C93" s="41">
        <v>3</v>
      </c>
      <c r="D93" s="115">
        <f>((100/(I85))*C93)/100</f>
        <v>0.75</v>
      </c>
      <c r="E93" s="116"/>
      <c r="F93" s="129"/>
      <c r="G93" s="129"/>
      <c r="H93" s="109"/>
      <c r="I93" s="110"/>
      <c r="J93" s="111"/>
      <c r="K93" s="30" t="s">
        <v>203</v>
      </c>
      <c r="L93" s="44">
        <f>(IF(B85&gt;2,(I85/(B85+2)+L92),0))</f>
        <v>0</v>
      </c>
    </row>
    <row r="94" spans="1:12" ht="15.6" x14ac:dyDescent="0.3">
      <c r="A94" s="104" t="s">
        <v>204</v>
      </c>
      <c r="B94" s="105" t="s">
        <v>204</v>
      </c>
      <c r="C94" s="41">
        <v>3</v>
      </c>
      <c r="D94" s="115">
        <f>((100/I85)*C94)/100</f>
        <v>0.75</v>
      </c>
      <c r="E94" s="116"/>
      <c r="F94" s="129"/>
      <c r="G94" s="129"/>
      <c r="H94" s="109"/>
      <c r="I94" s="110"/>
      <c r="J94" s="111"/>
      <c r="K94" s="30" t="s">
        <v>205</v>
      </c>
      <c r="L94" s="45">
        <f>(IF(B85&gt;3,(I85/(B85+2)+L93),0))</f>
        <v>0</v>
      </c>
    </row>
    <row r="95" spans="1:12" ht="15" customHeight="1" x14ac:dyDescent="0.3">
      <c r="A95" s="104" t="s">
        <v>206</v>
      </c>
      <c r="B95" s="105"/>
      <c r="C95" s="41">
        <v>1</v>
      </c>
      <c r="D95" s="115">
        <f>((100/I85)*C95)/100</f>
        <v>0.25</v>
      </c>
      <c r="E95" s="116"/>
      <c r="F95" s="129"/>
      <c r="G95" s="129"/>
      <c r="H95" s="109"/>
      <c r="I95" s="110"/>
      <c r="J95" s="111"/>
      <c r="K95" s="30" t="s">
        <v>207</v>
      </c>
      <c r="L95" s="44">
        <f>(IF(B85&gt;4,(I85/(B85+2)+L94),0))</f>
        <v>0</v>
      </c>
    </row>
    <row r="96" spans="1:12" ht="15.6" x14ac:dyDescent="0.3">
      <c r="A96" s="104" t="s">
        <v>208</v>
      </c>
      <c r="B96" s="105" t="s">
        <v>208</v>
      </c>
      <c r="C96" s="41">
        <v>0</v>
      </c>
      <c r="D96" s="115">
        <f>((100/(I85))*C96)/100</f>
        <v>0</v>
      </c>
      <c r="E96" s="116"/>
      <c r="F96" s="129"/>
      <c r="G96" s="129"/>
      <c r="H96" s="109"/>
      <c r="I96" s="110"/>
      <c r="J96" s="111"/>
      <c r="K96" s="30" t="s">
        <v>209</v>
      </c>
      <c r="L96" s="44">
        <f>(IF(B85=1,(I85/(B85+3)+L91),IF(B85=0,(I85/4+L91),IF(B85&gt;1,0))))</f>
        <v>3</v>
      </c>
    </row>
    <row r="97" spans="1:12" ht="16.2" thickBot="1" x14ac:dyDescent="0.35">
      <c r="A97" s="141" t="s">
        <v>210</v>
      </c>
      <c r="B97" s="142"/>
      <c r="C97" s="46">
        <v>0</v>
      </c>
      <c r="D97" s="143">
        <f>((100/(I85))*C97)/100</f>
        <v>0</v>
      </c>
      <c r="E97" s="144"/>
      <c r="F97" s="132"/>
      <c r="G97" s="132"/>
      <c r="H97" s="112"/>
      <c r="I97" s="113"/>
      <c r="J97" s="114"/>
      <c r="K97" s="31" t="s">
        <v>211</v>
      </c>
      <c r="L97" s="47">
        <f>(IF(B85&gt;1.5,(I85/(B85+2)+L91+MAX(0,L92-L91)+MAX(0,L93-L92)+MAX(0,L94-L93)+MAX(0,L95-L94)+MAX(0,L96-L95)),IF(B85=1,(I85/(B85+3)+L96),IF(B85=0,I85/4+L96))))</f>
        <v>4</v>
      </c>
    </row>
    <row r="98" spans="1:12" ht="15.6" x14ac:dyDescent="0.3">
      <c r="A98" s="119" t="s">
        <v>179</v>
      </c>
      <c r="B98" s="120"/>
      <c r="C98" s="121" t="s">
        <v>213</v>
      </c>
      <c r="D98" s="122"/>
      <c r="E98" s="122"/>
      <c r="F98" s="122"/>
      <c r="G98" s="122"/>
      <c r="H98" s="122"/>
      <c r="I98" s="122"/>
      <c r="J98" s="123"/>
      <c r="K98" s="28" t="str">
        <f>(IF(F102&gt;99%,"All work completed. Please provide OC.",IF(F102&gt;89.8%,"Plinth, RCC, Brick, Plaster, Flooring, Painting work Completed. Finishing work is in process.",IF(F102&lt;94%,(IF(C102=0,"Work not yet Started.",IF(D102=25%,"Piling work in process",IF(D102=50%,"Excavation work in process",IF(D102=100%,"Excavation work Completed. ","0")))&amp;(IF(C103=0%,"",IF(C103=L104,"Footing work is process",IF(C103=L105,"Footing work Completed",IF(C103=L106,"1st Basement Completed",IF(C103=L107,"1st &amp; 2nd Basement Completed",IF(C103=L108,"1st to 3rd Basement Completed",IF(C103=L109,"1st to 4th Basement Completed",IF(C103=L110,"Plinth work is process",IF(C103=L111,"Plinth work completed","0")))))))))))&amp;(IF(C104=(D99+G99+I99),", RCC Slab",IF(C104&gt;0,", RCC upto "&amp;C104&amp;" Slab",""))&amp;(IF(C105=I99,", Brickwork",IF(C105&gt;0,", Brickwork upto "&amp;C105&amp;" Floor",""))&amp;(IF(C106=I99,", Internal Plaster",IF(C106&gt;0,", Internal Plaster upto "&amp;C106&amp;" Floor",""))&amp;(IF(C107=I99,", External Plaster",IF(C107&gt;0,", External Plaster upto "&amp;C107&amp;" Floor",""))&amp;(IF(C108=I99,", Flooring",IF(C108&gt;0,", Flooring upto "&amp;C108&amp;" Floor",""))&amp;(IF(C109=I99,", Painting",IF(C109&gt;0,", Painting upto "&amp;C109&amp;" Floor",""))&amp;(IF(C110&gt;0,", Finishing upto "&amp;C110&amp;" Floor","")&amp;(IF(C104&gt;0.5," Completed",""))))))))))))))</f>
        <v>Excavation work Completed. Plinth work completed, RCC Slab, Brickwork, Internal Plaster upto 3 Floor, External Plaster upto 3 Floor Completed</v>
      </c>
      <c r="L98" s="38"/>
    </row>
    <row r="99" spans="1:12" ht="15.6" x14ac:dyDescent="0.3">
      <c r="A99" s="33" t="s">
        <v>180</v>
      </c>
      <c r="B99" s="34">
        <v>0</v>
      </c>
      <c r="C99" s="34" t="s">
        <v>181</v>
      </c>
      <c r="D99" s="34">
        <v>1</v>
      </c>
      <c r="E99" s="124" t="s">
        <v>182</v>
      </c>
      <c r="F99" s="125"/>
      <c r="G99" s="34">
        <v>0</v>
      </c>
      <c r="H99" s="34" t="s">
        <v>183</v>
      </c>
      <c r="I99" s="124">
        <v>4</v>
      </c>
      <c r="J99" s="126"/>
      <c r="K99" s="29"/>
      <c r="L99" s="39"/>
    </row>
    <row r="100" spans="1:12" ht="33.75" customHeight="1" x14ac:dyDescent="0.3">
      <c r="A100" s="145" t="s">
        <v>184</v>
      </c>
      <c r="B100" s="127"/>
      <c r="C100" s="146" t="str">
        <f>K98</f>
        <v>Excavation work Completed. Plinth work completed, RCC Slab, Brickwork, Internal Plaster upto 3 Floor, External Plaster upto 3 Floor Completed</v>
      </c>
      <c r="D100" s="147"/>
      <c r="E100" s="147"/>
      <c r="F100" s="147"/>
      <c r="G100" s="147"/>
      <c r="H100" s="147"/>
      <c r="I100" s="147"/>
      <c r="J100" s="148"/>
      <c r="K100" s="29" t="s">
        <v>185</v>
      </c>
      <c r="L100" s="39"/>
    </row>
    <row r="101" spans="1:12" ht="15.6" x14ac:dyDescent="0.3">
      <c r="A101" s="149" t="s">
        <v>33</v>
      </c>
      <c r="B101" s="150"/>
      <c r="C101" s="32" t="s">
        <v>186</v>
      </c>
      <c r="D101" s="105" t="s">
        <v>187</v>
      </c>
      <c r="E101" s="105"/>
      <c r="F101" s="105" t="s">
        <v>188</v>
      </c>
      <c r="G101" s="105"/>
      <c r="H101" s="105" t="s">
        <v>189</v>
      </c>
      <c r="I101" s="105"/>
      <c r="J101" s="131"/>
      <c r="K101" s="30" t="s">
        <v>190</v>
      </c>
      <c r="L101" s="40">
        <f>I99*25%</f>
        <v>1</v>
      </c>
    </row>
    <row r="102" spans="1:12" ht="15.6" x14ac:dyDescent="0.3">
      <c r="A102" s="104" t="s">
        <v>191</v>
      </c>
      <c r="B102" s="105"/>
      <c r="C102" s="41">
        <f>L103</f>
        <v>4</v>
      </c>
      <c r="D102" s="115">
        <f>((100/I99)*C102)/100</f>
        <v>1</v>
      </c>
      <c r="E102" s="116"/>
      <c r="F102" s="129">
        <f>(((C103/I99*10)+(40/(D99+G99+I99)*C104)+(7.5/(I99)*C105)+(7.5/(I99)*C106)+(10/I99*C107)+(10/I99*C108)+(5/I99*C109)+(5/I99*C110)+(5/I99*C111))/100)</f>
        <v>0.70625000000000004</v>
      </c>
      <c r="G102" s="129"/>
      <c r="H102" s="106">
        <f>((((C102/I99)*20)+((C103/I99)*25)+(30/(I99+G99+D99)*C104)+(5/I99*C105)+(5/I99*C106)+(5/I99*C107)+(5/I99*C108)+(0/I99*C109)+(0/I99*C110)+(5/I99*C111))/100)</f>
        <v>0.875</v>
      </c>
      <c r="I102" s="107"/>
      <c r="J102" s="108"/>
      <c r="K102" s="30" t="s">
        <v>192</v>
      </c>
      <c r="L102" s="42">
        <f>I99*50%</f>
        <v>2</v>
      </c>
    </row>
    <row r="103" spans="1:12" ht="15.6" x14ac:dyDescent="0.3">
      <c r="A103" s="104" t="s">
        <v>34</v>
      </c>
      <c r="B103" s="105"/>
      <c r="C103" s="43">
        <f>L111</f>
        <v>4</v>
      </c>
      <c r="D103" s="115">
        <f>((100/I99)*C103)/100</f>
        <v>1</v>
      </c>
      <c r="E103" s="116"/>
      <c r="F103" s="129"/>
      <c r="G103" s="129"/>
      <c r="H103" s="109"/>
      <c r="I103" s="110"/>
      <c r="J103" s="111"/>
      <c r="K103" s="30" t="s">
        <v>193</v>
      </c>
      <c r="L103" s="42">
        <f>I99</f>
        <v>4</v>
      </c>
    </row>
    <row r="104" spans="1:12" ht="15.6" x14ac:dyDescent="0.3">
      <c r="A104" s="117" t="s">
        <v>194</v>
      </c>
      <c r="B104" s="118"/>
      <c r="C104" s="43">
        <v>5</v>
      </c>
      <c r="D104" s="115">
        <f>((100/(D99+G99+I99))*C104)/100</f>
        <v>1</v>
      </c>
      <c r="E104" s="116"/>
      <c r="F104" s="129"/>
      <c r="G104" s="129"/>
      <c r="H104" s="109"/>
      <c r="I104" s="110"/>
      <c r="J104" s="111"/>
      <c r="K104" s="30" t="s">
        <v>195</v>
      </c>
      <c r="L104" s="44">
        <f>(IF(B99&gt;1,(I99/(B99+2)),I99/4))</f>
        <v>1</v>
      </c>
    </row>
    <row r="105" spans="1:12" ht="15.6" x14ac:dyDescent="0.3">
      <c r="A105" s="104" t="s">
        <v>196</v>
      </c>
      <c r="B105" s="105" t="s">
        <v>197</v>
      </c>
      <c r="C105" s="41">
        <v>4</v>
      </c>
      <c r="D105" s="115">
        <f>((100/I99)*C105)/100</f>
        <v>1</v>
      </c>
      <c r="E105" s="116"/>
      <c r="F105" s="129"/>
      <c r="G105" s="129"/>
      <c r="H105" s="109"/>
      <c r="I105" s="110"/>
      <c r="J105" s="111"/>
      <c r="K105" s="30" t="s">
        <v>198</v>
      </c>
      <c r="L105" s="44">
        <f>(IF(B99&gt;1,(I99/(B99+2)+L104),I99/4+L104))</f>
        <v>2</v>
      </c>
    </row>
    <row r="106" spans="1:12" ht="15.6" x14ac:dyDescent="0.3">
      <c r="A106" s="104" t="s">
        <v>199</v>
      </c>
      <c r="B106" s="105" t="s">
        <v>197</v>
      </c>
      <c r="C106" s="41">
        <v>3</v>
      </c>
      <c r="D106" s="115">
        <f>((100/I99)*C106)/100</f>
        <v>0.75</v>
      </c>
      <c r="E106" s="116"/>
      <c r="F106" s="129"/>
      <c r="G106" s="129"/>
      <c r="H106" s="109"/>
      <c r="I106" s="110"/>
      <c r="J106" s="111"/>
      <c r="K106" s="30" t="s">
        <v>200</v>
      </c>
      <c r="L106" s="44">
        <f>(IF(B99&gt;1,(I99/(B99+2)+L105),0))</f>
        <v>0</v>
      </c>
    </row>
    <row r="107" spans="1:12" ht="15.6" x14ac:dyDescent="0.3">
      <c r="A107" s="117" t="s">
        <v>201</v>
      </c>
      <c r="B107" s="118" t="s">
        <v>202</v>
      </c>
      <c r="C107" s="41">
        <v>3</v>
      </c>
      <c r="D107" s="115">
        <f>((100/(I99))*C107)/100</f>
        <v>0.75</v>
      </c>
      <c r="E107" s="116"/>
      <c r="F107" s="129"/>
      <c r="G107" s="129"/>
      <c r="H107" s="109"/>
      <c r="I107" s="110"/>
      <c r="J107" s="111"/>
      <c r="K107" s="30" t="s">
        <v>203</v>
      </c>
      <c r="L107" s="44">
        <f>(IF(B99&gt;2,(I99/(B99+2)+L106),0))</f>
        <v>0</v>
      </c>
    </row>
    <row r="108" spans="1:12" ht="15.6" x14ac:dyDescent="0.3">
      <c r="A108" s="104" t="s">
        <v>204</v>
      </c>
      <c r="B108" s="105" t="s">
        <v>204</v>
      </c>
      <c r="C108" s="41">
        <v>0</v>
      </c>
      <c r="D108" s="115">
        <f>((100/I99)*C108)/100</f>
        <v>0</v>
      </c>
      <c r="E108" s="116"/>
      <c r="F108" s="129"/>
      <c r="G108" s="129"/>
      <c r="H108" s="109"/>
      <c r="I108" s="110"/>
      <c r="J108" s="111"/>
      <c r="K108" s="30" t="s">
        <v>205</v>
      </c>
      <c r="L108" s="45">
        <f>(IF(B99&gt;3,(I99/(B99+2)+L107),0))</f>
        <v>0</v>
      </c>
    </row>
    <row r="109" spans="1:12" ht="15" customHeight="1" x14ac:dyDescent="0.3">
      <c r="A109" s="104" t="s">
        <v>206</v>
      </c>
      <c r="B109" s="105"/>
      <c r="C109" s="41">
        <v>0</v>
      </c>
      <c r="D109" s="115">
        <f>((100/I99)*C109)/100</f>
        <v>0</v>
      </c>
      <c r="E109" s="116"/>
      <c r="F109" s="129"/>
      <c r="G109" s="129"/>
      <c r="H109" s="109"/>
      <c r="I109" s="110"/>
      <c r="J109" s="111"/>
      <c r="K109" s="30" t="s">
        <v>207</v>
      </c>
      <c r="L109" s="44">
        <f>(IF(B99&gt;4,(I99/(B99+2)+L108),0))</f>
        <v>0</v>
      </c>
    </row>
    <row r="110" spans="1:12" ht="15.6" x14ac:dyDescent="0.3">
      <c r="A110" s="104" t="s">
        <v>208</v>
      </c>
      <c r="B110" s="105" t="s">
        <v>208</v>
      </c>
      <c r="C110" s="41">
        <v>0</v>
      </c>
      <c r="D110" s="115">
        <f>((100/(I99))*C110)/100</f>
        <v>0</v>
      </c>
      <c r="E110" s="116"/>
      <c r="F110" s="129"/>
      <c r="G110" s="129"/>
      <c r="H110" s="109"/>
      <c r="I110" s="110"/>
      <c r="J110" s="111"/>
      <c r="K110" s="30" t="s">
        <v>209</v>
      </c>
      <c r="L110" s="44">
        <f>(IF(B99=1,(I99/(B99+3)+L105),IF(B99=0,(I99/4+L105),IF(B99&gt;1,0))))</f>
        <v>3</v>
      </c>
    </row>
    <row r="111" spans="1:12" ht="16.2" thickBot="1" x14ac:dyDescent="0.35">
      <c r="A111" s="141" t="s">
        <v>210</v>
      </c>
      <c r="B111" s="142"/>
      <c r="C111" s="46">
        <v>0</v>
      </c>
      <c r="D111" s="143">
        <f>((100/(I99))*C111)/100</f>
        <v>0</v>
      </c>
      <c r="E111" s="144"/>
      <c r="F111" s="132"/>
      <c r="G111" s="132"/>
      <c r="H111" s="112"/>
      <c r="I111" s="113"/>
      <c r="J111" s="114"/>
      <c r="K111" s="31" t="s">
        <v>211</v>
      </c>
      <c r="L111" s="47">
        <f>(IF(B99&gt;1.5,(I99/(B99+2)+L105+MAX(0,L106-L105)+MAX(0,L107-L106)+MAX(0,L108-L107)+MAX(0,L109-L108)+MAX(0,L110-L109)),IF(B99=1,(I99/(B99+3)+L110),IF(B99=0,I99/4+L110))))</f>
        <v>4</v>
      </c>
    </row>
    <row r="112" spans="1:12" x14ac:dyDescent="0.3">
      <c r="A112" s="137" t="s">
        <v>66</v>
      </c>
      <c r="B112" s="138"/>
      <c r="C112" s="138"/>
      <c r="D112" s="138"/>
      <c r="E112" s="138"/>
      <c r="F112" s="138"/>
      <c r="G112" s="138"/>
      <c r="H112" s="138"/>
      <c r="I112" s="138"/>
      <c r="J112" s="139"/>
    </row>
    <row r="113" spans="1:10" x14ac:dyDescent="0.3">
      <c r="A113" s="137" t="s">
        <v>57</v>
      </c>
      <c r="B113" s="138"/>
      <c r="C113" s="138"/>
      <c r="D113" s="138"/>
      <c r="E113" s="138"/>
      <c r="F113" s="138"/>
      <c r="G113" s="138"/>
      <c r="H113" s="138"/>
      <c r="I113" s="138"/>
      <c r="J113" s="139"/>
    </row>
    <row r="114" spans="1:10" ht="15" customHeight="1" x14ac:dyDescent="0.3">
      <c r="A114" s="151" t="s">
        <v>90</v>
      </c>
      <c r="B114" s="152"/>
      <c r="C114" s="152"/>
      <c r="D114" s="152"/>
      <c r="E114" s="152"/>
      <c r="F114" s="152"/>
      <c r="G114" s="152"/>
      <c r="H114" s="152"/>
      <c r="I114" s="152"/>
      <c r="J114" s="153"/>
    </row>
    <row r="115" spans="1:10" x14ac:dyDescent="0.3">
      <c r="A115" s="154"/>
      <c r="B115" s="155"/>
      <c r="C115" s="155"/>
      <c r="D115" s="155"/>
      <c r="E115" s="155"/>
      <c r="F115" s="155"/>
      <c r="G115" s="155"/>
      <c r="H115" s="155"/>
      <c r="I115" s="155"/>
      <c r="J115" s="156"/>
    </row>
    <row r="116" spans="1:10" ht="2.25" customHeight="1" x14ac:dyDescent="0.3">
      <c r="A116" s="154"/>
      <c r="B116" s="155"/>
      <c r="C116" s="155"/>
      <c r="D116" s="155"/>
      <c r="E116" s="155"/>
      <c r="F116" s="155"/>
      <c r="G116" s="155"/>
      <c r="H116" s="155"/>
      <c r="I116" s="155"/>
      <c r="J116" s="156"/>
    </row>
    <row r="117" spans="1:10" ht="15" hidden="1" customHeight="1" x14ac:dyDescent="0.3">
      <c r="A117" s="154"/>
      <c r="B117" s="155"/>
      <c r="C117" s="155"/>
      <c r="D117" s="155"/>
      <c r="E117" s="155"/>
      <c r="F117" s="155"/>
      <c r="G117" s="155"/>
      <c r="H117" s="155"/>
      <c r="I117" s="155"/>
      <c r="J117" s="156"/>
    </row>
    <row r="118" spans="1:10" ht="15" hidden="1" customHeight="1" x14ac:dyDescent="0.3">
      <c r="A118" s="154"/>
      <c r="B118" s="155"/>
      <c r="C118" s="155"/>
      <c r="D118" s="155"/>
      <c r="E118" s="155"/>
      <c r="F118" s="155"/>
      <c r="G118" s="155"/>
      <c r="H118" s="155"/>
      <c r="I118" s="155"/>
      <c r="J118" s="156"/>
    </row>
    <row r="119" spans="1:10" ht="15" hidden="1" customHeight="1" x14ac:dyDescent="0.3">
      <c r="A119" s="154"/>
      <c r="B119" s="155"/>
      <c r="C119" s="155"/>
      <c r="D119" s="155"/>
      <c r="E119" s="155"/>
      <c r="F119" s="155"/>
      <c r="G119" s="155"/>
      <c r="H119" s="155"/>
      <c r="I119" s="155"/>
      <c r="J119" s="156"/>
    </row>
    <row r="120" spans="1:10" ht="15" hidden="1" customHeight="1" x14ac:dyDescent="0.3">
      <c r="A120" s="157"/>
      <c r="B120" s="158"/>
      <c r="C120" s="158"/>
      <c r="D120" s="158"/>
      <c r="E120" s="158"/>
      <c r="F120" s="158"/>
      <c r="G120" s="158"/>
      <c r="H120" s="158"/>
      <c r="I120" s="158"/>
      <c r="J120" s="159"/>
    </row>
    <row r="121" spans="1:10" x14ac:dyDescent="0.3">
      <c r="A121" s="160" t="s">
        <v>23</v>
      </c>
      <c r="B121" s="161"/>
      <c r="C121" s="161"/>
      <c r="D121" s="161"/>
      <c r="E121" s="161"/>
      <c r="F121" s="161"/>
      <c r="G121" s="161"/>
      <c r="H121" s="161"/>
      <c r="I121" s="161"/>
      <c r="J121" s="162"/>
    </row>
    <row r="122" spans="1:10" x14ac:dyDescent="0.3">
      <c r="A122" s="130" t="s">
        <v>117</v>
      </c>
      <c r="B122" s="130"/>
      <c r="C122" s="130"/>
      <c r="D122" s="130"/>
      <c r="E122" s="130"/>
      <c r="F122" s="130"/>
      <c r="G122" s="130"/>
      <c r="H122" s="137">
        <v>3700</v>
      </c>
      <c r="I122" s="138"/>
      <c r="J122" s="139"/>
    </row>
    <row r="123" spans="1:10" x14ac:dyDescent="0.3">
      <c r="A123" s="130" t="s">
        <v>149</v>
      </c>
      <c r="B123" s="130"/>
      <c r="C123" s="130"/>
      <c r="D123" s="130"/>
      <c r="E123" s="130"/>
      <c r="F123" s="130"/>
      <c r="G123" s="130"/>
      <c r="H123" s="137">
        <v>6000</v>
      </c>
      <c r="I123" s="138"/>
      <c r="J123" s="139"/>
    </row>
    <row r="124" spans="1:10" hidden="1" x14ac:dyDescent="0.3">
      <c r="A124" s="130" t="s">
        <v>88</v>
      </c>
      <c r="B124" s="130"/>
      <c r="C124" s="130"/>
      <c r="D124" s="130"/>
      <c r="E124" s="130"/>
      <c r="F124" s="130"/>
      <c r="G124" s="130"/>
      <c r="H124" s="137" t="s">
        <v>58</v>
      </c>
      <c r="I124" s="138"/>
      <c r="J124" s="139"/>
    </row>
    <row r="125" spans="1:10" ht="15" customHeight="1" x14ac:dyDescent="0.3">
      <c r="A125" s="130" t="s">
        <v>92</v>
      </c>
      <c r="B125" s="130"/>
      <c r="C125" s="130"/>
      <c r="D125" s="130"/>
      <c r="E125" s="130"/>
      <c r="F125" s="130"/>
      <c r="G125" s="130"/>
      <c r="H125" s="137" t="s">
        <v>114</v>
      </c>
      <c r="I125" s="138"/>
      <c r="J125" s="139"/>
    </row>
    <row r="126" spans="1:10" x14ac:dyDescent="0.3">
      <c r="A126" s="130" t="s">
        <v>94</v>
      </c>
      <c r="B126" s="130"/>
      <c r="C126" s="130"/>
      <c r="D126" s="130"/>
      <c r="E126" s="130"/>
      <c r="F126" s="130"/>
      <c r="G126" s="130"/>
      <c r="H126" s="137" t="s">
        <v>177</v>
      </c>
      <c r="I126" s="138"/>
      <c r="J126" s="139"/>
    </row>
    <row r="127" spans="1:10" ht="15" hidden="1" customHeight="1" x14ac:dyDescent="0.3">
      <c r="A127" s="130" t="s">
        <v>89</v>
      </c>
      <c r="B127" s="130"/>
      <c r="C127" s="130"/>
      <c r="D127" s="130"/>
      <c r="E127" s="130"/>
      <c r="F127" s="130"/>
      <c r="G127" s="130"/>
      <c r="H127" s="137" t="s">
        <v>58</v>
      </c>
      <c r="I127" s="138"/>
      <c r="J127" s="139"/>
    </row>
    <row r="128" spans="1:10" hidden="1" x14ac:dyDescent="0.3">
      <c r="A128" s="130" t="s">
        <v>24</v>
      </c>
      <c r="B128" s="130"/>
      <c r="C128" s="130"/>
      <c r="D128" s="130"/>
      <c r="E128" s="130"/>
      <c r="F128" s="130"/>
      <c r="G128" s="130"/>
      <c r="H128" s="137" t="s">
        <v>58</v>
      </c>
      <c r="I128" s="138"/>
      <c r="J128" s="139"/>
    </row>
    <row r="129" spans="1:22" s="48" customFormat="1" ht="14.55" customHeight="1" x14ac:dyDescent="0.3">
      <c r="A129" s="130" t="s">
        <v>119</v>
      </c>
      <c r="B129" s="130"/>
      <c r="C129" s="130"/>
      <c r="D129" s="130"/>
      <c r="E129" s="130"/>
      <c r="F129" s="130"/>
      <c r="G129" s="130"/>
      <c r="H129" s="137">
        <f>H122*0.8</f>
        <v>2960</v>
      </c>
      <c r="I129" s="138"/>
      <c r="J129" s="139"/>
    </row>
    <row r="130" spans="1:22" s="53" customFormat="1" ht="15.75" customHeight="1" x14ac:dyDescent="0.3">
      <c r="A130" s="66" t="s">
        <v>237</v>
      </c>
      <c r="B130" s="67"/>
      <c r="C130" s="67"/>
      <c r="D130" s="67"/>
      <c r="E130" s="67"/>
      <c r="F130" s="67"/>
      <c r="G130" s="67"/>
      <c r="H130" s="67"/>
      <c r="I130" s="67"/>
      <c r="J130" s="67"/>
      <c r="R130"/>
      <c r="S130" s="54"/>
      <c r="T130"/>
      <c r="U130"/>
      <c r="V130" s="54"/>
    </row>
    <row r="131" spans="1:22" s="53" customFormat="1" ht="15.75" customHeight="1" x14ac:dyDescent="0.3">
      <c r="A131" s="85" t="s">
        <v>238</v>
      </c>
      <c r="B131" s="85"/>
      <c r="C131" s="84" t="s">
        <v>239</v>
      </c>
      <c r="D131" s="84"/>
      <c r="E131" s="69" t="s">
        <v>240</v>
      </c>
      <c r="F131" s="69"/>
      <c r="G131" s="69"/>
      <c r="H131" s="69"/>
      <c r="I131" s="68" t="s">
        <v>241</v>
      </c>
      <c r="J131" s="68"/>
      <c r="R131"/>
      <c r="S131" s="54"/>
      <c r="T131"/>
      <c r="U131" s="54"/>
      <c r="V131" s="54"/>
    </row>
    <row r="132" spans="1:22" s="53" customFormat="1" ht="15.6" x14ac:dyDescent="0.3">
      <c r="A132" s="79" t="s">
        <v>152</v>
      </c>
      <c r="B132" s="79"/>
      <c r="C132" s="80">
        <f>COUNT(F149:F161)</f>
        <v>13</v>
      </c>
      <c r="D132" s="81"/>
      <c r="E132" s="74">
        <f>SUM(F149:F161)</f>
        <v>1824.7132799999999</v>
      </c>
      <c r="F132" s="75"/>
      <c r="G132" s="75"/>
      <c r="H132" s="75"/>
      <c r="I132" s="70">
        <f>SUM(H149:H161)</f>
        <v>2737.0699199999999</v>
      </c>
      <c r="J132" s="71"/>
      <c r="R132"/>
      <c r="S132" s="54"/>
      <c r="T132"/>
      <c r="U132" s="54"/>
      <c r="V132" s="54"/>
    </row>
    <row r="133" spans="1:22" s="53" customFormat="1" ht="15.6" x14ac:dyDescent="0.3">
      <c r="A133" s="79" t="s">
        <v>153</v>
      </c>
      <c r="B133" s="79"/>
      <c r="C133" s="80">
        <f>COUNT(F180:F186)</f>
        <v>7</v>
      </c>
      <c r="D133" s="81"/>
      <c r="E133" s="74">
        <f>SUM(F180:F186)</f>
        <v>985.2289199999999</v>
      </c>
      <c r="F133" s="75"/>
      <c r="G133" s="75"/>
      <c r="H133" s="75"/>
      <c r="I133" s="70">
        <f>SUM(H180:H186)</f>
        <v>1477.84338</v>
      </c>
      <c r="J133" s="71"/>
      <c r="R133"/>
      <c r="S133" s="54"/>
      <c r="T133"/>
      <c r="U133" s="54"/>
      <c r="V133" s="54"/>
    </row>
    <row r="134" spans="1:22" s="53" customFormat="1" ht="15.6" x14ac:dyDescent="0.3">
      <c r="A134" s="82" t="s">
        <v>242</v>
      </c>
      <c r="B134" s="82"/>
      <c r="C134" s="83">
        <f>SUM(C132:C133)</f>
        <v>20</v>
      </c>
      <c r="D134" s="84"/>
      <c r="E134" s="74">
        <f>SUM(E132:E133)</f>
        <v>2809.9422</v>
      </c>
      <c r="F134" s="75"/>
      <c r="G134" s="75"/>
      <c r="H134" s="75"/>
      <c r="I134" s="70">
        <f>SUM(I132:I133)</f>
        <v>4214.9133000000002</v>
      </c>
      <c r="J134" s="71"/>
      <c r="R134"/>
      <c r="S134" s="54"/>
      <c r="T134"/>
      <c r="U134" s="54"/>
      <c r="V134" s="54"/>
    </row>
    <row r="135" spans="1:22" s="53" customFormat="1" ht="15.75" customHeight="1" x14ac:dyDescent="0.3">
      <c r="A135" s="76" t="s">
        <v>243</v>
      </c>
      <c r="B135" s="77"/>
      <c r="C135" s="77"/>
      <c r="D135" s="77"/>
      <c r="E135" s="77"/>
      <c r="F135" s="77"/>
      <c r="G135" s="77"/>
      <c r="H135" s="78"/>
      <c r="I135" s="72"/>
      <c r="J135" s="73"/>
      <c r="T135"/>
    </row>
    <row r="136" spans="1:22" s="53" customFormat="1" ht="15.75" customHeight="1" x14ac:dyDescent="0.3">
      <c r="A136" s="85" t="s">
        <v>238</v>
      </c>
      <c r="B136" s="85"/>
      <c r="C136" s="84" t="s">
        <v>239</v>
      </c>
      <c r="D136" s="84"/>
      <c r="E136" s="69" t="s">
        <v>240</v>
      </c>
      <c r="F136" s="69"/>
      <c r="G136" s="69"/>
      <c r="H136" s="69"/>
      <c r="I136" s="68" t="s">
        <v>241</v>
      </c>
      <c r="J136" s="68"/>
      <c r="T136"/>
    </row>
    <row r="137" spans="1:22" s="53" customFormat="1" ht="15.6" x14ac:dyDescent="0.3">
      <c r="A137" s="79" t="s">
        <v>152</v>
      </c>
      <c r="B137" s="79"/>
      <c r="C137" s="80">
        <f>COUNT(F163:F168)+COUNT(F170:F175)*3</f>
        <v>24</v>
      </c>
      <c r="D137" s="80"/>
      <c r="E137" s="74">
        <f>SUM(F163:F168)+SUM(F170:F175)*3</f>
        <v>10805.010839999999</v>
      </c>
      <c r="F137" s="74"/>
      <c r="G137" s="74"/>
      <c r="H137" s="74"/>
      <c r="I137" s="70">
        <f>SUM(H163:H168)+SUM(H170:H175)*3</f>
        <v>15667.265717999999</v>
      </c>
      <c r="J137" s="70"/>
      <c r="T137"/>
    </row>
    <row r="138" spans="1:22" s="53" customFormat="1" ht="15.6" x14ac:dyDescent="0.3">
      <c r="A138" s="79" t="s">
        <v>153</v>
      </c>
      <c r="B138" s="79"/>
      <c r="C138" s="80">
        <f>COUNT(F178:F179)+COUNT(F188:F193)*3</f>
        <v>20</v>
      </c>
      <c r="D138" s="80"/>
      <c r="E138" s="74">
        <f>SUM(F178:F179)+SUM(F188:F193)*3</f>
        <v>7094.3371199999992</v>
      </c>
      <c r="F138" s="74"/>
      <c r="G138" s="74"/>
      <c r="H138" s="74"/>
      <c r="I138" s="70">
        <f>SUM(H178:H179)+SUM(H188:H193)*3</f>
        <v>10286.788823999999</v>
      </c>
      <c r="J138" s="70"/>
      <c r="T138"/>
    </row>
    <row r="139" spans="1:22" s="53" customFormat="1" ht="15.6" x14ac:dyDescent="0.3">
      <c r="A139" s="79" t="s">
        <v>154</v>
      </c>
      <c r="B139" s="79"/>
      <c r="C139" s="80">
        <f>COUNT(F196:F197)+COUNT(F199:F202)+COUNT(F204:F207)*3</f>
        <v>18</v>
      </c>
      <c r="D139" s="80"/>
      <c r="E139" s="74">
        <f>SUM(F196:F197)+SUM(F199:F202)+SUM(F204:F207)*3</f>
        <v>7118.5561199999993</v>
      </c>
      <c r="F139" s="74"/>
      <c r="G139" s="74"/>
      <c r="H139" s="74"/>
      <c r="I139" s="70">
        <f>SUM(H196:H197)+SUM(H199:H202)+SUM(H204:H207)*3</f>
        <v>10321.906373999998</v>
      </c>
      <c r="J139" s="70"/>
      <c r="T139"/>
    </row>
    <row r="140" spans="1:22" s="53" customFormat="1" ht="15.6" x14ac:dyDescent="0.3">
      <c r="A140" s="79" t="s">
        <v>155</v>
      </c>
      <c r="B140" s="79"/>
      <c r="C140" s="80">
        <f>COUNT(F210:F212)+COUNT(F214:F218)*3</f>
        <v>18</v>
      </c>
      <c r="D140" s="80"/>
      <c r="E140" s="74">
        <f>SUM(F210:F212)+SUM(F214:F218)*3</f>
        <v>7359.5620799999979</v>
      </c>
      <c r="F140" s="74"/>
      <c r="G140" s="74"/>
      <c r="H140" s="74"/>
      <c r="I140" s="70">
        <f>SUM(H210:H212)+SUM(H214:H218)*3</f>
        <v>10671.365015999996</v>
      </c>
      <c r="J140" s="70"/>
      <c r="T140"/>
    </row>
    <row r="141" spans="1:22" s="53" customFormat="1" ht="16.2" thickBot="1" x14ac:dyDescent="0.35">
      <c r="A141" s="60" t="s">
        <v>242</v>
      </c>
      <c r="B141" s="60"/>
      <c r="C141" s="61">
        <f>SUM(C137:C140)</f>
        <v>80</v>
      </c>
      <c r="D141" s="62"/>
      <c r="E141" s="86">
        <f>SUM(E137:E140)</f>
        <v>32377.466159999996</v>
      </c>
      <c r="F141" s="87"/>
      <c r="G141" s="87"/>
      <c r="H141" s="87"/>
      <c r="I141" s="88">
        <f>SUM(I137:I140)</f>
        <v>46947.325931999992</v>
      </c>
      <c r="J141" s="89"/>
      <c r="T141"/>
    </row>
    <row r="142" spans="1:22" s="53" customFormat="1" ht="15.6" x14ac:dyDescent="0.3">
      <c r="A142" s="63" t="s">
        <v>244</v>
      </c>
      <c r="B142" s="64"/>
      <c r="C142" s="65">
        <f>C134+C141</f>
        <v>100</v>
      </c>
      <c r="D142" s="65"/>
      <c r="E142" s="57">
        <f>E141+E134</f>
        <v>35187.408359999994</v>
      </c>
      <c r="F142" s="58"/>
      <c r="G142" s="58"/>
      <c r="H142" s="59"/>
      <c r="I142" s="55">
        <f>I141+I134</f>
        <v>51162.239231999993</v>
      </c>
      <c r="J142" s="56"/>
      <c r="T142"/>
    </row>
    <row r="143" spans="1:22" s="48" customFormat="1" ht="17.399999999999999" x14ac:dyDescent="0.3">
      <c r="A143" s="204" t="s">
        <v>25</v>
      </c>
      <c r="B143" s="204"/>
      <c r="C143" s="204"/>
      <c r="D143" s="204"/>
      <c r="E143" s="204"/>
      <c r="F143" s="204"/>
      <c r="G143" s="204"/>
      <c r="H143" s="204"/>
      <c r="I143" s="204"/>
      <c r="J143" s="204"/>
    </row>
    <row r="144" spans="1:22" x14ac:dyDescent="0.3">
      <c r="A144" s="205" t="s">
        <v>49</v>
      </c>
      <c r="B144" s="205"/>
      <c r="C144" s="205"/>
      <c r="D144" s="205"/>
      <c r="E144" s="205"/>
      <c r="F144" s="205"/>
      <c r="G144" s="205"/>
      <c r="H144" s="205"/>
      <c r="I144" s="205"/>
      <c r="J144" s="205"/>
    </row>
    <row r="145" spans="1:10" ht="46.8" x14ac:dyDescent="0.3">
      <c r="A145" s="140" t="s">
        <v>31</v>
      </c>
      <c r="B145" s="140"/>
      <c r="C145" s="4" t="s">
        <v>29</v>
      </c>
      <c r="D145" s="5" t="s">
        <v>93</v>
      </c>
      <c r="E145" s="4" t="s">
        <v>70</v>
      </c>
      <c r="F145" s="4" t="s">
        <v>41</v>
      </c>
      <c r="G145" s="14" t="s">
        <v>30</v>
      </c>
      <c r="H145" s="4" t="s">
        <v>115</v>
      </c>
      <c r="I145" s="140" t="s">
        <v>231</v>
      </c>
      <c r="J145" s="140"/>
    </row>
    <row r="146" spans="1:10" ht="15.6" x14ac:dyDescent="0.3">
      <c r="A146" s="97" t="s">
        <v>118</v>
      </c>
      <c r="B146" s="97"/>
      <c r="C146" s="97"/>
      <c r="D146" s="97"/>
      <c r="E146" s="97"/>
      <c r="F146" s="97"/>
      <c r="G146" s="97"/>
      <c r="H146" s="97"/>
      <c r="I146" s="97"/>
      <c r="J146" s="97"/>
    </row>
    <row r="147" spans="1:10" ht="15.6" x14ac:dyDescent="0.3">
      <c r="A147" s="99" t="s">
        <v>152</v>
      </c>
      <c r="B147" s="100"/>
      <c r="C147" s="100"/>
      <c r="D147" s="100"/>
      <c r="E147" s="100"/>
      <c r="F147" s="100"/>
      <c r="G147" s="100"/>
      <c r="H147" s="100"/>
      <c r="I147" s="100"/>
      <c r="J147" s="101"/>
    </row>
    <row r="148" spans="1:10" ht="15.6" x14ac:dyDescent="0.3">
      <c r="A148" s="99" t="s">
        <v>69</v>
      </c>
      <c r="B148" s="100"/>
      <c r="C148" s="100"/>
      <c r="D148" s="100"/>
      <c r="E148" s="100"/>
      <c r="F148" s="100"/>
      <c r="G148" s="100"/>
      <c r="H148" s="100"/>
      <c r="I148" s="100"/>
      <c r="J148" s="101"/>
    </row>
    <row r="149" spans="1:10" ht="15.6" x14ac:dyDescent="0.3">
      <c r="A149" s="102">
        <v>1</v>
      </c>
      <c r="B149" s="103"/>
      <c r="C149" s="35" t="s">
        <v>146</v>
      </c>
      <c r="D149" s="35">
        <f>14.99*10.764</f>
        <v>161.35236</v>
      </c>
      <c r="E149" s="35">
        <v>0</v>
      </c>
      <c r="F149" s="35">
        <f t="shared" ref="F149:F154" si="0">E149+D149</f>
        <v>161.35236</v>
      </c>
      <c r="G149" s="35">
        <v>0</v>
      </c>
      <c r="H149" s="35">
        <f>F149*1.5+G149</f>
        <v>242.02854000000002</v>
      </c>
      <c r="I149" s="90" t="str">
        <f>A148</f>
        <v>Ground Floor For Parking &amp; Commercial</v>
      </c>
      <c r="J149" s="91"/>
    </row>
    <row r="150" spans="1:10" ht="15.6" x14ac:dyDescent="0.3">
      <c r="A150" s="102">
        <v>2</v>
      </c>
      <c r="B150" s="103"/>
      <c r="C150" s="35" t="s">
        <v>146</v>
      </c>
      <c r="D150" s="35">
        <f>12.44*10.764</f>
        <v>133.90415999999999</v>
      </c>
      <c r="E150" s="35">
        <v>0</v>
      </c>
      <c r="F150" s="35">
        <f t="shared" si="0"/>
        <v>133.90415999999999</v>
      </c>
      <c r="G150" s="35">
        <v>0</v>
      </c>
      <c r="H150" s="35">
        <f t="shared" ref="H150:H161" si="1">F150*1.5+G150</f>
        <v>200.85623999999999</v>
      </c>
      <c r="I150" s="92"/>
      <c r="J150" s="93"/>
    </row>
    <row r="151" spans="1:10" ht="15.6" x14ac:dyDescent="0.3">
      <c r="A151" s="102">
        <v>3</v>
      </c>
      <c r="B151" s="103"/>
      <c r="C151" s="35" t="s">
        <v>146</v>
      </c>
      <c r="D151" s="35">
        <f>15.4*10.764</f>
        <v>165.76560000000001</v>
      </c>
      <c r="E151" s="35">
        <v>0</v>
      </c>
      <c r="F151" s="35">
        <f t="shared" si="0"/>
        <v>165.76560000000001</v>
      </c>
      <c r="G151" s="35">
        <v>0</v>
      </c>
      <c r="H151" s="35">
        <f t="shared" si="1"/>
        <v>248.64840000000001</v>
      </c>
      <c r="I151" s="92"/>
      <c r="J151" s="93"/>
    </row>
    <row r="152" spans="1:10" ht="15.6" x14ac:dyDescent="0.3">
      <c r="A152" s="102">
        <v>4</v>
      </c>
      <c r="B152" s="103"/>
      <c r="C152" s="35" t="s">
        <v>146</v>
      </c>
      <c r="D152" s="35">
        <f>15.4*10.764</f>
        <v>165.76560000000001</v>
      </c>
      <c r="E152" s="35">
        <v>0</v>
      </c>
      <c r="F152" s="35">
        <f t="shared" si="0"/>
        <v>165.76560000000001</v>
      </c>
      <c r="G152" s="35">
        <v>0</v>
      </c>
      <c r="H152" s="35">
        <f t="shared" si="1"/>
        <v>248.64840000000001</v>
      </c>
      <c r="I152" s="92"/>
      <c r="J152" s="93"/>
    </row>
    <row r="153" spans="1:10" ht="15.6" x14ac:dyDescent="0.3">
      <c r="A153" s="102">
        <v>5</v>
      </c>
      <c r="B153" s="103"/>
      <c r="C153" s="35" t="s">
        <v>146</v>
      </c>
      <c r="D153" s="35">
        <f>10.78*10.764</f>
        <v>116.03591999999999</v>
      </c>
      <c r="E153" s="35">
        <v>0</v>
      </c>
      <c r="F153" s="35">
        <f t="shared" si="0"/>
        <v>116.03591999999999</v>
      </c>
      <c r="G153" s="35">
        <v>0</v>
      </c>
      <c r="H153" s="35">
        <f t="shared" si="1"/>
        <v>174.05387999999999</v>
      </c>
      <c r="I153" s="92"/>
      <c r="J153" s="93"/>
    </row>
    <row r="154" spans="1:10" ht="15.6" x14ac:dyDescent="0.3">
      <c r="A154" s="102">
        <v>6</v>
      </c>
      <c r="B154" s="103"/>
      <c r="C154" s="35" t="s">
        <v>146</v>
      </c>
      <c r="D154" s="35">
        <f>14.79*10.764</f>
        <v>159.19955999999999</v>
      </c>
      <c r="E154" s="35">
        <v>0</v>
      </c>
      <c r="F154" s="35">
        <f t="shared" si="0"/>
        <v>159.19955999999999</v>
      </c>
      <c r="G154" s="35">
        <v>0</v>
      </c>
      <c r="H154" s="35">
        <f t="shared" si="1"/>
        <v>238.79933999999997</v>
      </c>
      <c r="I154" s="92"/>
      <c r="J154" s="93"/>
    </row>
    <row r="155" spans="1:10" ht="15.6" x14ac:dyDescent="0.3">
      <c r="A155" s="102">
        <v>7</v>
      </c>
      <c r="B155" s="103"/>
      <c r="C155" s="35" t="s">
        <v>146</v>
      </c>
      <c r="D155" s="35">
        <f>12.64*10.764</f>
        <v>136.05696</v>
      </c>
      <c r="E155" s="35">
        <v>0</v>
      </c>
      <c r="F155" s="35">
        <f t="shared" ref="F155:F160" si="2">E155+D155</f>
        <v>136.05696</v>
      </c>
      <c r="G155" s="35">
        <v>0</v>
      </c>
      <c r="H155" s="35">
        <f t="shared" si="1"/>
        <v>204.08544000000001</v>
      </c>
      <c r="I155" s="92"/>
      <c r="J155" s="93"/>
    </row>
    <row r="156" spans="1:10" ht="15.6" x14ac:dyDescent="0.3">
      <c r="A156" s="102">
        <v>8</v>
      </c>
      <c r="B156" s="103"/>
      <c r="C156" s="35" t="s">
        <v>146</v>
      </c>
      <c r="D156" s="35">
        <f>8.8*10.764</f>
        <v>94.723200000000006</v>
      </c>
      <c r="E156" s="35">
        <v>0</v>
      </c>
      <c r="F156" s="35">
        <f t="shared" si="2"/>
        <v>94.723200000000006</v>
      </c>
      <c r="G156" s="35">
        <v>0</v>
      </c>
      <c r="H156" s="35">
        <f t="shared" si="1"/>
        <v>142.0848</v>
      </c>
      <c r="I156" s="92"/>
      <c r="J156" s="93"/>
    </row>
    <row r="157" spans="1:10" ht="15.6" x14ac:dyDescent="0.3">
      <c r="A157" s="102">
        <v>9</v>
      </c>
      <c r="B157" s="103"/>
      <c r="C157" s="35" t="s">
        <v>146</v>
      </c>
      <c r="D157" s="35">
        <f>12.32*10.764</f>
        <v>132.61248000000001</v>
      </c>
      <c r="E157" s="35">
        <v>0</v>
      </c>
      <c r="F157" s="35">
        <f t="shared" si="2"/>
        <v>132.61248000000001</v>
      </c>
      <c r="G157" s="35">
        <v>0</v>
      </c>
      <c r="H157" s="35">
        <f t="shared" si="1"/>
        <v>198.91872000000001</v>
      </c>
      <c r="I157" s="92"/>
      <c r="J157" s="93"/>
    </row>
    <row r="158" spans="1:10" ht="15.6" x14ac:dyDescent="0.3">
      <c r="A158" s="102">
        <v>10</v>
      </c>
      <c r="B158" s="103"/>
      <c r="C158" s="35" t="s">
        <v>146</v>
      </c>
      <c r="D158" s="35">
        <f>15.95*10.764</f>
        <v>171.68579999999997</v>
      </c>
      <c r="E158" s="35">
        <v>0</v>
      </c>
      <c r="F158" s="35">
        <f t="shared" si="2"/>
        <v>171.68579999999997</v>
      </c>
      <c r="G158" s="35">
        <v>0</v>
      </c>
      <c r="H158" s="35">
        <f t="shared" si="1"/>
        <v>257.52869999999996</v>
      </c>
      <c r="I158" s="92"/>
      <c r="J158" s="93"/>
    </row>
    <row r="159" spans="1:10" ht="15.6" x14ac:dyDescent="0.3">
      <c r="A159" s="102">
        <v>11</v>
      </c>
      <c r="B159" s="103"/>
      <c r="C159" s="35" t="s">
        <v>146</v>
      </c>
      <c r="D159" s="35">
        <f>12.47*10.764</f>
        <v>134.22708</v>
      </c>
      <c r="E159" s="35">
        <v>0</v>
      </c>
      <c r="F159" s="35">
        <f t="shared" si="2"/>
        <v>134.22708</v>
      </c>
      <c r="G159" s="35">
        <v>0</v>
      </c>
      <c r="H159" s="35">
        <f t="shared" si="1"/>
        <v>201.34062</v>
      </c>
      <c r="I159" s="92"/>
      <c r="J159" s="93"/>
    </row>
    <row r="160" spans="1:10" ht="15.6" x14ac:dyDescent="0.3">
      <c r="A160" s="102">
        <v>12</v>
      </c>
      <c r="B160" s="103"/>
      <c r="C160" s="35" t="s">
        <v>146</v>
      </c>
      <c r="D160" s="35">
        <f>11.44*10.764</f>
        <v>123.14015999999998</v>
      </c>
      <c r="E160" s="35">
        <v>0</v>
      </c>
      <c r="F160" s="35">
        <f t="shared" si="2"/>
        <v>123.14015999999998</v>
      </c>
      <c r="G160" s="35">
        <v>0</v>
      </c>
      <c r="H160" s="35">
        <f t="shared" si="1"/>
        <v>184.71023999999997</v>
      </c>
      <c r="I160" s="92"/>
      <c r="J160" s="93"/>
    </row>
    <row r="161" spans="1:12" ht="15.6" x14ac:dyDescent="0.3">
      <c r="A161" s="102">
        <v>13</v>
      </c>
      <c r="B161" s="103"/>
      <c r="C161" s="35" t="s">
        <v>146</v>
      </c>
      <c r="D161" s="35">
        <f>12.1*10.764</f>
        <v>130.24439999999998</v>
      </c>
      <c r="E161" s="35">
        <v>0</v>
      </c>
      <c r="F161" s="35">
        <f>E161+D161</f>
        <v>130.24439999999998</v>
      </c>
      <c r="G161" s="35">
        <v>0</v>
      </c>
      <c r="H161" s="35">
        <f t="shared" si="1"/>
        <v>195.36659999999998</v>
      </c>
      <c r="I161" s="94"/>
      <c r="J161" s="95"/>
    </row>
    <row r="162" spans="1:12" ht="15.6" x14ac:dyDescent="0.3">
      <c r="A162" s="99" t="s">
        <v>232</v>
      </c>
      <c r="B162" s="100"/>
      <c r="C162" s="100"/>
      <c r="D162" s="100"/>
      <c r="E162" s="100"/>
      <c r="F162" s="100"/>
      <c r="G162" s="100"/>
      <c r="H162" s="100"/>
      <c r="I162" s="100"/>
      <c r="J162" s="101"/>
    </row>
    <row r="163" spans="1:12" ht="15.6" x14ac:dyDescent="0.3">
      <c r="A163" s="102">
        <v>1</v>
      </c>
      <c r="B163" s="103"/>
      <c r="C163" s="35" t="s">
        <v>109</v>
      </c>
      <c r="D163" s="35">
        <f>31.54*10.764</f>
        <v>339.49655999999999</v>
      </c>
      <c r="E163" s="35">
        <v>0</v>
      </c>
      <c r="F163" s="35">
        <f t="shared" ref="F163:F168" si="3">E163+D163</f>
        <v>339.49655999999999</v>
      </c>
      <c r="G163" s="35">
        <v>0</v>
      </c>
      <c r="H163" s="35">
        <f t="shared" ref="H163:H168" si="4">F163*1.45+G163</f>
        <v>492.27001199999995</v>
      </c>
      <c r="I163" s="90" t="str">
        <f>A162</f>
        <v>1st Floor</v>
      </c>
      <c r="J163" s="91"/>
    </row>
    <row r="164" spans="1:12" ht="15.6" x14ac:dyDescent="0.3">
      <c r="A164" s="102">
        <v>2</v>
      </c>
      <c r="B164" s="103"/>
      <c r="C164" s="35" t="s">
        <v>110</v>
      </c>
      <c r="D164" s="35">
        <f>47.96*10.764</f>
        <v>516.24144000000001</v>
      </c>
      <c r="E164" s="35">
        <v>0</v>
      </c>
      <c r="F164" s="35">
        <f t="shared" si="3"/>
        <v>516.24144000000001</v>
      </c>
      <c r="G164" s="35">
        <v>0</v>
      </c>
      <c r="H164" s="35">
        <f t="shared" si="4"/>
        <v>748.55008799999996</v>
      </c>
      <c r="I164" s="92"/>
      <c r="J164" s="93"/>
    </row>
    <row r="165" spans="1:12" ht="15.6" x14ac:dyDescent="0.3">
      <c r="A165" s="102">
        <v>3</v>
      </c>
      <c r="B165" s="103"/>
      <c r="C165" s="35" t="s">
        <v>110</v>
      </c>
      <c r="D165" s="35">
        <f>47.96*10.764</f>
        <v>516.24144000000001</v>
      </c>
      <c r="E165" s="35">
        <v>0</v>
      </c>
      <c r="F165" s="35">
        <f t="shared" si="3"/>
        <v>516.24144000000001</v>
      </c>
      <c r="G165" s="35">
        <v>0</v>
      </c>
      <c r="H165" s="35">
        <f t="shared" si="4"/>
        <v>748.55008799999996</v>
      </c>
      <c r="I165" s="92"/>
      <c r="J165" s="93"/>
    </row>
    <row r="166" spans="1:12" ht="15.6" x14ac:dyDescent="0.3">
      <c r="A166" s="102">
        <v>4</v>
      </c>
      <c r="B166" s="103"/>
      <c r="C166" s="35" t="s">
        <v>109</v>
      </c>
      <c r="D166" s="35">
        <f>33.66*10.764</f>
        <v>362.31623999999994</v>
      </c>
      <c r="E166" s="35">
        <v>0</v>
      </c>
      <c r="F166" s="35">
        <f t="shared" si="3"/>
        <v>362.31623999999994</v>
      </c>
      <c r="G166" s="35">
        <v>0</v>
      </c>
      <c r="H166" s="35">
        <f t="shared" si="4"/>
        <v>525.35854799999993</v>
      </c>
      <c r="I166" s="92"/>
      <c r="J166" s="93"/>
    </row>
    <row r="167" spans="1:12" ht="15.6" x14ac:dyDescent="0.3">
      <c r="A167" s="102">
        <v>5</v>
      </c>
      <c r="B167" s="103"/>
      <c r="C167" s="35" t="s">
        <v>109</v>
      </c>
      <c r="D167" s="35">
        <f>33.94*10.764</f>
        <v>365.33015999999998</v>
      </c>
      <c r="E167" s="35">
        <v>0</v>
      </c>
      <c r="F167" s="35">
        <f t="shared" si="3"/>
        <v>365.33015999999998</v>
      </c>
      <c r="G167" s="35">
        <v>0</v>
      </c>
      <c r="H167" s="35">
        <f t="shared" si="4"/>
        <v>529.72873199999992</v>
      </c>
      <c r="I167" s="92"/>
      <c r="J167" s="93"/>
    </row>
    <row r="168" spans="1:12" ht="15.6" x14ac:dyDescent="0.3">
      <c r="A168" s="102">
        <v>6</v>
      </c>
      <c r="B168" s="103"/>
      <c r="C168" s="35" t="s">
        <v>109</v>
      </c>
      <c r="D168" s="35">
        <f>33.58*10.764</f>
        <v>361.45511999999997</v>
      </c>
      <c r="E168" s="35">
        <v>0</v>
      </c>
      <c r="F168" s="35">
        <f t="shared" si="3"/>
        <v>361.45511999999997</v>
      </c>
      <c r="G168" s="35">
        <v>0</v>
      </c>
      <c r="H168" s="35">
        <f t="shared" si="4"/>
        <v>524.10992399999998</v>
      </c>
      <c r="I168" s="94"/>
      <c r="J168" s="95"/>
    </row>
    <row r="169" spans="1:12" ht="15.6" x14ac:dyDescent="0.3">
      <c r="A169" s="99" t="s">
        <v>233</v>
      </c>
      <c r="B169" s="100"/>
      <c r="C169" s="100"/>
      <c r="D169" s="100"/>
      <c r="E169" s="100"/>
      <c r="F169" s="100"/>
      <c r="G169" s="100"/>
      <c r="H169" s="100"/>
      <c r="I169" s="100"/>
      <c r="J169" s="101"/>
    </row>
    <row r="170" spans="1:12" ht="15.6" x14ac:dyDescent="0.3">
      <c r="A170" s="102">
        <v>1</v>
      </c>
      <c r="B170" s="103"/>
      <c r="C170" s="35" t="s">
        <v>109</v>
      </c>
      <c r="D170" s="35">
        <f>30.36*10.764</f>
        <v>326.79503999999997</v>
      </c>
      <c r="E170" s="35">
        <f>(0.75*(2.75+2+2.8))*10.764</f>
        <v>60.951149999999991</v>
      </c>
      <c r="F170" s="35">
        <f t="shared" ref="F170:F175" si="5">E170+D170</f>
        <v>387.74618999999996</v>
      </c>
      <c r="G170" s="35">
        <v>0</v>
      </c>
      <c r="H170" s="35">
        <f t="shared" ref="H170:H175" si="6">F170*1.45+G170</f>
        <v>562.23197549999986</v>
      </c>
      <c r="I170" s="90" t="str">
        <f>A169</f>
        <v>2nd to 4th Floor</v>
      </c>
      <c r="J170" s="91"/>
      <c r="K170">
        <f>4.4*2.8+3.05*2+3.05*2.75+1.2*1.7+1.2*1.7</f>
        <v>30.887499999999999</v>
      </c>
      <c r="L170" s="52">
        <v>10.763999999999999</v>
      </c>
    </row>
    <row r="171" spans="1:12" ht="15.6" x14ac:dyDescent="0.3">
      <c r="A171" s="102">
        <v>2</v>
      </c>
      <c r="B171" s="103"/>
      <c r="C171" s="35" t="s">
        <v>110</v>
      </c>
      <c r="D171" s="35">
        <f>46.94*10.764</f>
        <v>505.26215999999994</v>
      </c>
      <c r="E171" s="35">
        <f>(0.75*(2.75+2.15+2.6+2.75))*10.764</f>
        <v>82.748249999999999</v>
      </c>
      <c r="F171" s="35">
        <f>E171+D171</f>
        <v>588.01040999999998</v>
      </c>
      <c r="G171" s="35">
        <v>0</v>
      </c>
      <c r="H171" s="35">
        <f t="shared" si="6"/>
        <v>852.61509449999994</v>
      </c>
      <c r="I171" s="92"/>
      <c r="J171" s="93"/>
    </row>
    <row r="172" spans="1:12" ht="15.6" x14ac:dyDescent="0.3">
      <c r="A172" s="102">
        <v>3</v>
      </c>
      <c r="B172" s="103"/>
      <c r="C172" s="35" t="s">
        <v>110</v>
      </c>
      <c r="D172" s="35">
        <f>47.77*10.764</f>
        <v>514.19628</v>
      </c>
      <c r="E172" s="35">
        <f>(0.75*(2.15+2.6+2.75))*10.764</f>
        <v>60.547499999999999</v>
      </c>
      <c r="F172" s="35">
        <f t="shared" si="5"/>
        <v>574.74378000000002</v>
      </c>
      <c r="G172" s="35">
        <v>0</v>
      </c>
      <c r="H172" s="35">
        <f>F172*1.45+G172</f>
        <v>833.37848099999997</v>
      </c>
      <c r="I172" s="92"/>
      <c r="J172" s="93"/>
    </row>
    <row r="173" spans="1:12" ht="15.6" x14ac:dyDescent="0.3">
      <c r="A173" s="102">
        <v>4</v>
      </c>
      <c r="B173" s="103"/>
      <c r="C173" s="35" t="s">
        <v>109</v>
      </c>
      <c r="D173" s="35">
        <f>33.54*10.764</f>
        <v>361.02455999999995</v>
      </c>
      <c r="E173" s="35">
        <f>(0.75*(2.25+2.75))*10.764</f>
        <v>40.364999999999995</v>
      </c>
      <c r="F173" s="35">
        <f t="shared" si="5"/>
        <v>401.38955999999996</v>
      </c>
      <c r="G173" s="35">
        <v>0</v>
      </c>
      <c r="H173" s="35">
        <f t="shared" si="6"/>
        <v>582.01486199999988</v>
      </c>
      <c r="I173" s="92"/>
      <c r="J173" s="93"/>
    </row>
    <row r="174" spans="1:12" ht="15.6" x14ac:dyDescent="0.3">
      <c r="A174" s="102">
        <v>5</v>
      </c>
      <c r="B174" s="103"/>
      <c r="C174" s="35" t="s">
        <v>109</v>
      </c>
      <c r="D174" s="35">
        <f>32.92*10.764</f>
        <v>354.35088000000002</v>
      </c>
      <c r="E174" s="35">
        <f>(0.75*(2.75+2.25+2.75))*10.764</f>
        <v>62.565749999999994</v>
      </c>
      <c r="F174" s="35">
        <f t="shared" si="5"/>
        <v>416.91663</v>
      </c>
      <c r="G174" s="35">
        <v>0</v>
      </c>
      <c r="H174" s="35">
        <f t="shared" si="6"/>
        <v>604.52911349999999</v>
      </c>
      <c r="I174" s="92"/>
      <c r="J174" s="93"/>
    </row>
    <row r="175" spans="1:12" ht="15.6" x14ac:dyDescent="0.3">
      <c r="A175" s="102">
        <v>6</v>
      </c>
      <c r="B175" s="103"/>
      <c r="C175" s="35" t="s">
        <v>109</v>
      </c>
      <c r="D175" s="35">
        <f>32.36*10.764</f>
        <v>348.32303999999999</v>
      </c>
      <c r="E175" s="35">
        <f>(0.75*(2.75+2.45+2.75))*10.764</f>
        <v>64.180350000000004</v>
      </c>
      <c r="F175" s="35">
        <f t="shared" si="5"/>
        <v>412.50338999999997</v>
      </c>
      <c r="G175" s="35">
        <v>0</v>
      </c>
      <c r="H175" s="35">
        <f t="shared" si="6"/>
        <v>598.12991549999992</v>
      </c>
      <c r="I175" s="94"/>
      <c r="J175" s="95"/>
    </row>
    <row r="176" spans="1:12" ht="15.6" x14ac:dyDescent="0.3">
      <c r="A176" s="99" t="s">
        <v>153</v>
      </c>
      <c r="B176" s="100"/>
      <c r="C176" s="100"/>
      <c r="D176" s="100"/>
      <c r="E176" s="100"/>
      <c r="F176" s="100"/>
      <c r="G176" s="100"/>
      <c r="H176" s="100"/>
      <c r="I176" s="100"/>
      <c r="J176" s="101"/>
    </row>
    <row r="177" spans="1:10" ht="15.6" x14ac:dyDescent="0.3">
      <c r="A177" s="99" t="s">
        <v>111</v>
      </c>
      <c r="B177" s="100"/>
      <c r="C177" s="100"/>
      <c r="D177" s="100"/>
      <c r="E177" s="100"/>
      <c r="F177" s="100"/>
      <c r="G177" s="100"/>
      <c r="H177" s="100"/>
      <c r="I177" s="100"/>
      <c r="J177" s="101"/>
    </row>
    <row r="178" spans="1:10" ht="15.6" x14ac:dyDescent="0.3">
      <c r="A178" s="102">
        <v>1</v>
      </c>
      <c r="B178" s="103"/>
      <c r="C178" s="35" t="s">
        <v>109</v>
      </c>
      <c r="D178" s="35">
        <f>33.94*10.764</f>
        <v>365.33015999999998</v>
      </c>
      <c r="E178" s="35">
        <v>0</v>
      </c>
      <c r="F178" s="35">
        <f>E178+D178</f>
        <v>365.33015999999998</v>
      </c>
      <c r="G178" s="35">
        <v>0</v>
      </c>
      <c r="H178" s="35">
        <f>F178*1.45+G178</f>
        <v>529.72873199999992</v>
      </c>
      <c r="I178" s="90" t="str">
        <f>A177</f>
        <v>Ground Floor For Residential &amp; Commercial</v>
      </c>
      <c r="J178" s="91"/>
    </row>
    <row r="179" spans="1:10" ht="15.6" x14ac:dyDescent="0.3">
      <c r="A179" s="102">
        <v>2</v>
      </c>
      <c r="B179" s="103"/>
      <c r="C179" s="35" t="s">
        <v>112</v>
      </c>
      <c r="D179" s="35">
        <f>23.34*10.764</f>
        <v>251.23175999999998</v>
      </c>
      <c r="E179" s="35">
        <v>0</v>
      </c>
      <c r="F179" s="35">
        <f>E179+D179</f>
        <v>251.23175999999998</v>
      </c>
      <c r="G179" s="35">
        <v>0</v>
      </c>
      <c r="H179" s="35">
        <f>F179*1.45+G179</f>
        <v>364.28605199999998</v>
      </c>
      <c r="I179" s="92"/>
      <c r="J179" s="93"/>
    </row>
    <row r="180" spans="1:10" ht="15.6" x14ac:dyDescent="0.3">
      <c r="A180" s="102">
        <v>1</v>
      </c>
      <c r="B180" s="103"/>
      <c r="C180" s="35" t="s">
        <v>146</v>
      </c>
      <c r="D180" s="35">
        <f>8*10.764</f>
        <v>86.111999999999995</v>
      </c>
      <c r="E180" s="35">
        <v>0</v>
      </c>
      <c r="F180" s="35">
        <f t="shared" ref="F180:F185" si="7">E180+D180</f>
        <v>86.111999999999995</v>
      </c>
      <c r="G180" s="35">
        <v>0</v>
      </c>
      <c r="H180" s="35">
        <f>F180*1.5+G180</f>
        <v>129.16800000000001</v>
      </c>
      <c r="I180" s="92"/>
      <c r="J180" s="93"/>
    </row>
    <row r="181" spans="1:10" ht="15.6" x14ac:dyDescent="0.3">
      <c r="A181" s="102">
        <v>2</v>
      </c>
      <c r="B181" s="103"/>
      <c r="C181" s="35" t="s">
        <v>146</v>
      </c>
      <c r="D181" s="35">
        <f>14.52*10.764</f>
        <v>156.29327999999998</v>
      </c>
      <c r="E181" s="35">
        <v>0</v>
      </c>
      <c r="F181" s="35">
        <f t="shared" si="7"/>
        <v>156.29327999999998</v>
      </c>
      <c r="G181" s="35">
        <v>0</v>
      </c>
      <c r="H181" s="35">
        <f t="shared" ref="H181:H186" si="8">F181*1.5+G181</f>
        <v>234.43991999999997</v>
      </c>
      <c r="I181" s="92"/>
      <c r="J181" s="93"/>
    </row>
    <row r="182" spans="1:10" ht="15.6" x14ac:dyDescent="0.3">
      <c r="A182" s="102">
        <v>3</v>
      </c>
      <c r="B182" s="103"/>
      <c r="C182" s="35" t="s">
        <v>146</v>
      </c>
      <c r="D182" s="35">
        <f>10.78*10.764</f>
        <v>116.03591999999999</v>
      </c>
      <c r="E182" s="35">
        <v>0</v>
      </c>
      <c r="F182" s="35">
        <f t="shared" si="7"/>
        <v>116.03591999999999</v>
      </c>
      <c r="G182" s="35">
        <v>0</v>
      </c>
      <c r="H182" s="35">
        <f t="shared" si="8"/>
        <v>174.05387999999999</v>
      </c>
      <c r="I182" s="92"/>
      <c r="J182" s="93"/>
    </row>
    <row r="183" spans="1:10" ht="15.6" x14ac:dyDescent="0.3">
      <c r="A183" s="102">
        <v>4</v>
      </c>
      <c r="B183" s="103"/>
      <c r="C183" s="35" t="s">
        <v>146</v>
      </c>
      <c r="D183" s="35">
        <f>15.4*10.764</f>
        <v>165.76560000000001</v>
      </c>
      <c r="E183" s="35">
        <v>0</v>
      </c>
      <c r="F183" s="35">
        <f t="shared" si="7"/>
        <v>165.76560000000001</v>
      </c>
      <c r="G183" s="35">
        <v>0</v>
      </c>
      <c r="H183" s="35">
        <f t="shared" si="8"/>
        <v>248.64840000000001</v>
      </c>
      <c r="I183" s="92"/>
      <c r="J183" s="93"/>
    </row>
    <row r="184" spans="1:10" ht="15.6" x14ac:dyDescent="0.3">
      <c r="A184" s="102">
        <v>5</v>
      </c>
      <c r="B184" s="103"/>
      <c r="C184" s="35" t="s">
        <v>146</v>
      </c>
      <c r="D184" s="35">
        <f>15.4*10.764</f>
        <v>165.76560000000001</v>
      </c>
      <c r="E184" s="35">
        <v>0</v>
      </c>
      <c r="F184" s="35">
        <f t="shared" si="7"/>
        <v>165.76560000000001</v>
      </c>
      <c r="G184" s="35">
        <v>0</v>
      </c>
      <c r="H184" s="35">
        <f t="shared" si="8"/>
        <v>248.64840000000001</v>
      </c>
      <c r="I184" s="92"/>
      <c r="J184" s="93"/>
    </row>
    <row r="185" spans="1:10" ht="15.6" x14ac:dyDescent="0.3">
      <c r="A185" s="102">
        <v>6</v>
      </c>
      <c r="B185" s="103"/>
      <c r="C185" s="35" t="s">
        <v>146</v>
      </c>
      <c r="D185" s="35">
        <f>12.44*10.764</f>
        <v>133.90415999999999</v>
      </c>
      <c r="E185" s="35">
        <v>0</v>
      </c>
      <c r="F185" s="35">
        <f t="shared" si="7"/>
        <v>133.90415999999999</v>
      </c>
      <c r="G185" s="35">
        <v>0</v>
      </c>
      <c r="H185" s="35">
        <f t="shared" si="8"/>
        <v>200.85623999999999</v>
      </c>
      <c r="I185" s="92"/>
      <c r="J185" s="93"/>
    </row>
    <row r="186" spans="1:10" ht="15.6" x14ac:dyDescent="0.3">
      <c r="A186" s="102">
        <v>7</v>
      </c>
      <c r="B186" s="103"/>
      <c r="C186" s="35" t="s">
        <v>146</v>
      </c>
      <c r="D186" s="35">
        <f>14.99*10.764</f>
        <v>161.35236</v>
      </c>
      <c r="E186" s="35">
        <v>0</v>
      </c>
      <c r="F186" s="35">
        <f>E186+D186</f>
        <v>161.35236</v>
      </c>
      <c r="G186" s="35">
        <v>0</v>
      </c>
      <c r="H186" s="35">
        <f t="shared" si="8"/>
        <v>242.02854000000002</v>
      </c>
      <c r="I186" s="94"/>
      <c r="J186" s="95"/>
    </row>
    <row r="187" spans="1:10" ht="15.6" x14ac:dyDescent="0.3">
      <c r="A187" s="99" t="s">
        <v>157</v>
      </c>
      <c r="B187" s="100"/>
      <c r="C187" s="100"/>
      <c r="D187" s="100"/>
      <c r="E187" s="100"/>
      <c r="F187" s="100"/>
      <c r="G187" s="100"/>
      <c r="H187" s="100"/>
      <c r="I187" s="100"/>
      <c r="J187" s="101"/>
    </row>
    <row r="188" spans="1:10" ht="15.6" x14ac:dyDescent="0.3">
      <c r="A188" s="102">
        <v>1</v>
      </c>
      <c r="B188" s="103"/>
      <c r="C188" s="35" t="s">
        <v>109</v>
      </c>
      <c r="D188" s="35">
        <f>33.58*10.764</f>
        <v>361.45511999999997</v>
      </c>
      <c r="E188" s="35">
        <v>0</v>
      </c>
      <c r="F188" s="35">
        <f t="shared" ref="F188:F193" si="9">E188+D188</f>
        <v>361.45511999999997</v>
      </c>
      <c r="G188" s="35">
        <v>0</v>
      </c>
      <c r="H188" s="35">
        <f t="shared" ref="H188:H193" si="10">F188*1.45+G188</f>
        <v>524.10992399999998</v>
      </c>
      <c r="I188" s="90" t="str">
        <f>A187</f>
        <v>1st to 3rd Floor</v>
      </c>
      <c r="J188" s="91"/>
    </row>
    <row r="189" spans="1:10" ht="15.6" x14ac:dyDescent="0.3">
      <c r="A189" s="102">
        <v>2</v>
      </c>
      <c r="B189" s="103"/>
      <c r="C189" s="35" t="s">
        <v>109</v>
      </c>
      <c r="D189" s="35">
        <f>33.94*10.764</f>
        <v>365.33015999999998</v>
      </c>
      <c r="E189" s="35">
        <v>0</v>
      </c>
      <c r="F189" s="35">
        <f t="shared" si="9"/>
        <v>365.33015999999998</v>
      </c>
      <c r="G189" s="35">
        <v>0</v>
      </c>
      <c r="H189" s="35">
        <f t="shared" si="10"/>
        <v>529.72873199999992</v>
      </c>
      <c r="I189" s="92" t="s">
        <v>58</v>
      </c>
      <c r="J189" s="93"/>
    </row>
    <row r="190" spans="1:10" ht="15.6" x14ac:dyDescent="0.3">
      <c r="A190" s="102">
        <v>3</v>
      </c>
      <c r="B190" s="103"/>
      <c r="C190" s="35" t="s">
        <v>109</v>
      </c>
      <c r="D190" s="35">
        <f>33.94*10.764</f>
        <v>365.33015999999998</v>
      </c>
      <c r="E190" s="35">
        <v>0</v>
      </c>
      <c r="F190" s="35">
        <f t="shared" si="9"/>
        <v>365.33015999999998</v>
      </c>
      <c r="G190" s="35">
        <v>0</v>
      </c>
      <c r="H190" s="35">
        <f t="shared" si="10"/>
        <v>529.72873199999992</v>
      </c>
      <c r="I190" s="92" t="s">
        <v>58</v>
      </c>
      <c r="J190" s="93"/>
    </row>
    <row r="191" spans="1:10" ht="15.6" x14ac:dyDescent="0.3">
      <c r="A191" s="102">
        <v>4</v>
      </c>
      <c r="B191" s="103"/>
      <c r="C191" s="35" t="s">
        <v>109</v>
      </c>
      <c r="D191" s="35">
        <f>33.66*10.764</f>
        <v>362.31623999999994</v>
      </c>
      <c r="E191" s="35">
        <v>0</v>
      </c>
      <c r="F191" s="35">
        <f t="shared" si="9"/>
        <v>362.31623999999994</v>
      </c>
      <c r="G191" s="35">
        <v>0</v>
      </c>
      <c r="H191" s="35">
        <f t="shared" si="10"/>
        <v>525.35854799999993</v>
      </c>
      <c r="I191" s="92" t="s">
        <v>58</v>
      </c>
      <c r="J191" s="93"/>
    </row>
    <row r="192" spans="1:10" ht="15.6" x14ac:dyDescent="0.3">
      <c r="A192" s="102">
        <v>5</v>
      </c>
      <c r="B192" s="103"/>
      <c r="C192" s="35" t="s">
        <v>109</v>
      </c>
      <c r="D192" s="35">
        <f>33.94*10.764</f>
        <v>365.33015999999998</v>
      </c>
      <c r="E192" s="35">
        <v>0</v>
      </c>
      <c r="F192" s="35">
        <f t="shared" si="9"/>
        <v>365.33015999999998</v>
      </c>
      <c r="G192" s="35">
        <v>0</v>
      </c>
      <c r="H192" s="35">
        <f t="shared" si="10"/>
        <v>529.72873199999992</v>
      </c>
      <c r="I192" s="92" t="s">
        <v>58</v>
      </c>
      <c r="J192" s="93"/>
    </row>
    <row r="193" spans="1:10" ht="15.6" x14ac:dyDescent="0.3">
      <c r="A193" s="102">
        <v>6</v>
      </c>
      <c r="B193" s="103"/>
      <c r="C193" s="35" t="s">
        <v>109</v>
      </c>
      <c r="D193" s="35">
        <f>31.54*10.764</f>
        <v>339.49655999999999</v>
      </c>
      <c r="E193" s="35">
        <v>0</v>
      </c>
      <c r="F193" s="35">
        <f t="shared" si="9"/>
        <v>339.49655999999999</v>
      </c>
      <c r="G193" s="35">
        <v>0</v>
      </c>
      <c r="H193" s="35">
        <f t="shared" si="10"/>
        <v>492.27001199999995</v>
      </c>
      <c r="I193" s="92" t="s">
        <v>58</v>
      </c>
      <c r="J193" s="93"/>
    </row>
    <row r="194" spans="1:10" ht="15.6" x14ac:dyDescent="0.3">
      <c r="A194" s="99" t="s">
        <v>154</v>
      </c>
      <c r="B194" s="100"/>
      <c r="C194" s="100"/>
      <c r="D194" s="100"/>
      <c r="E194" s="100"/>
      <c r="F194" s="100"/>
      <c r="G194" s="100"/>
      <c r="H194" s="100"/>
      <c r="I194" s="100"/>
      <c r="J194" s="101"/>
    </row>
    <row r="195" spans="1:10" ht="15.6" x14ac:dyDescent="0.3">
      <c r="A195" s="99" t="s">
        <v>113</v>
      </c>
      <c r="B195" s="100"/>
      <c r="C195" s="100"/>
      <c r="D195" s="100"/>
      <c r="E195" s="100"/>
      <c r="F195" s="100"/>
      <c r="G195" s="100"/>
      <c r="H195" s="100"/>
      <c r="I195" s="100"/>
      <c r="J195" s="101"/>
    </row>
    <row r="196" spans="1:10" ht="15.6" x14ac:dyDescent="0.3">
      <c r="A196" s="102">
        <v>1</v>
      </c>
      <c r="B196" s="103"/>
      <c r="C196" s="35" t="s">
        <v>109</v>
      </c>
      <c r="D196" s="35">
        <f>34.81*10.764</f>
        <v>374.69484</v>
      </c>
      <c r="E196" s="35">
        <v>0</v>
      </c>
      <c r="F196" s="35">
        <f>E196+D196</f>
        <v>374.69484</v>
      </c>
      <c r="G196" s="35">
        <v>0</v>
      </c>
      <c r="H196" s="35">
        <f>F196*1.45+G196</f>
        <v>543.30751799999996</v>
      </c>
      <c r="I196" s="90" t="str">
        <f>A195</f>
        <v>Ground Floor For Residential &amp; Parking</v>
      </c>
      <c r="J196" s="91"/>
    </row>
    <row r="197" spans="1:10" ht="15.6" x14ac:dyDescent="0.3">
      <c r="A197" s="102">
        <v>2</v>
      </c>
      <c r="B197" s="103"/>
      <c r="C197" s="35" t="s">
        <v>109</v>
      </c>
      <c r="D197" s="35">
        <f>34.81*10.764</f>
        <v>374.69484</v>
      </c>
      <c r="E197" s="35">
        <v>0</v>
      </c>
      <c r="F197" s="35">
        <f>E197+D197</f>
        <v>374.69484</v>
      </c>
      <c r="G197" s="35">
        <v>0</v>
      </c>
      <c r="H197" s="35">
        <f>F197*1.45+G197</f>
        <v>543.30751799999996</v>
      </c>
      <c r="I197" s="94"/>
      <c r="J197" s="95"/>
    </row>
    <row r="198" spans="1:10" ht="15.6" x14ac:dyDescent="0.3">
      <c r="A198" s="99" t="s">
        <v>232</v>
      </c>
      <c r="B198" s="100"/>
      <c r="C198" s="100"/>
      <c r="D198" s="100"/>
      <c r="E198" s="100"/>
      <c r="F198" s="100"/>
      <c r="G198" s="100"/>
      <c r="H198" s="100"/>
      <c r="I198" s="100"/>
      <c r="J198" s="101"/>
    </row>
    <row r="199" spans="1:10" ht="15.6" x14ac:dyDescent="0.3">
      <c r="A199" s="102">
        <v>1</v>
      </c>
      <c r="B199" s="103"/>
      <c r="C199" s="35" t="s">
        <v>109</v>
      </c>
      <c r="D199" s="35">
        <f>33.38*10.764</f>
        <v>359.30232000000001</v>
      </c>
      <c r="E199" s="35">
        <v>0</v>
      </c>
      <c r="F199" s="35">
        <f>E199+D199</f>
        <v>359.30232000000001</v>
      </c>
      <c r="G199" s="35">
        <v>0</v>
      </c>
      <c r="H199" s="35">
        <f>F199*1.45+G199</f>
        <v>520.98836400000005</v>
      </c>
      <c r="I199" s="90" t="str">
        <f>A198</f>
        <v>1st Floor</v>
      </c>
      <c r="J199" s="91"/>
    </row>
    <row r="200" spans="1:10" ht="15.6" x14ac:dyDescent="0.3">
      <c r="A200" s="102">
        <v>2</v>
      </c>
      <c r="B200" s="103"/>
      <c r="C200" s="35" t="s">
        <v>109</v>
      </c>
      <c r="D200" s="35">
        <f>33.38*10.764</f>
        <v>359.30232000000001</v>
      </c>
      <c r="E200" s="35">
        <v>0</v>
      </c>
      <c r="F200" s="35">
        <f>E200+D200</f>
        <v>359.30232000000001</v>
      </c>
      <c r="G200" s="35">
        <v>0</v>
      </c>
      <c r="H200" s="35">
        <f>F200*1.45+G200</f>
        <v>520.98836400000005</v>
      </c>
      <c r="I200" s="92"/>
      <c r="J200" s="93"/>
    </row>
    <row r="201" spans="1:10" ht="15.6" x14ac:dyDescent="0.3">
      <c r="A201" s="102">
        <v>3</v>
      </c>
      <c r="B201" s="103"/>
      <c r="C201" s="35" t="s">
        <v>109</v>
      </c>
      <c r="D201" s="35">
        <f>33.38*10.764</f>
        <v>359.30232000000001</v>
      </c>
      <c r="E201" s="35">
        <v>0</v>
      </c>
      <c r="F201" s="35">
        <f>E201+D201</f>
        <v>359.30232000000001</v>
      </c>
      <c r="G201" s="35">
        <v>0</v>
      </c>
      <c r="H201" s="35">
        <f>F201*1.45+G201</f>
        <v>520.98836400000005</v>
      </c>
      <c r="I201" s="92"/>
      <c r="J201" s="93"/>
    </row>
    <row r="202" spans="1:10" ht="15.6" x14ac:dyDescent="0.3">
      <c r="A202" s="102">
        <v>4</v>
      </c>
      <c r="B202" s="103"/>
      <c r="C202" s="35" t="s">
        <v>109</v>
      </c>
      <c r="D202" s="35">
        <f>33.38*10.764</f>
        <v>359.30232000000001</v>
      </c>
      <c r="E202" s="35">
        <v>0</v>
      </c>
      <c r="F202" s="35">
        <f>E202+D202</f>
        <v>359.30232000000001</v>
      </c>
      <c r="G202" s="35">
        <v>0</v>
      </c>
      <c r="H202" s="35">
        <f>F202*1.45+G202</f>
        <v>520.98836400000005</v>
      </c>
      <c r="I202" s="94"/>
      <c r="J202" s="95"/>
    </row>
    <row r="203" spans="1:10" ht="15.6" x14ac:dyDescent="0.3">
      <c r="A203" s="97" t="s">
        <v>233</v>
      </c>
      <c r="B203" s="97"/>
      <c r="C203" s="97"/>
      <c r="D203" s="97"/>
      <c r="E203" s="97"/>
      <c r="F203" s="97"/>
      <c r="G203" s="97"/>
      <c r="H203" s="97"/>
      <c r="I203" s="97"/>
      <c r="J203" s="97"/>
    </row>
    <row r="204" spans="1:10" ht="15.6" x14ac:dyDescent="0.3">
      <c r="A204" s="98">
        <v>1</v>
      </c>
      <c r="B204" s="98"/>
      <c r="C204" s="35" t="s">
        <v>109</v>
      </c>
      <c r="D204" s="35">
        <f>32.37*10.764</f>
        <v>348.43067999999994</v>
      </c>
      <c r="E204" s="35">
        <f>(0.75*(2.75+2.25+2.75))*10.764</f>
        <v>62.565749999999994</v>
      </c>
      <c r="F204" s="35">
        <f>E204+D204</f>
        <v>410.99642999999992</v>
      </c>
      <c r="G204" s="35">
        <v>0</v>
      </c>
      <c r="H204" s="35">
        <f>F204*1.45+G204</f>
        <v>595.94482349999987</v>
      </c>
      <c r="I204" s="98" t="str">
        <f>A203</f>
        <v>2nd to 4th Floor</v>
      </c>
      <c r="J204" s="98"/>
    </row>
    <row r="205" spans="1:10" ht="15.6" x14ac:dyDescent="0.3">
      <c r="A205" s="98">
        <v>2</v>
      </c>
      <c r="B205" s="98"/>
      <c r="C205" s="35" t="s">
        <v>109</v>
      </c>
      <c r="D205" s="35">
        <f>32.37*10.764</f>
        <v>348.43067999999994</v>
      </c>
      <c r="E205" s="35">
        <f>(0.75*(2.75+2.25+2.75))*10.764</f>
        <v>62.565749999999994</v>
      </c>
      <c r="F205" s="35">
        <f>E205+D205</f>
        <v>410.99642999999992</v>
      </c>
      <c r="G205" s="35">
        <v>0</v>
      </c>
      <c r="H205" s="35">
        <f>F205*1.45+G205</f>
        <v>595.94482349999987</v>
      </c>
      <c r="I205" s="98"/>
      <c r="J205" s="98"/>
    </row>
    <row r="206" spans="1:10" ht="15.6" x14ac:dyDescent="0.3">
      <c r="A206" s="98">
        <v>3</v>
      </c>
      <c r="B206" s="98"/>
      <c r="C206" s="35" t="s">
        <v>109</v>
      </c>
      <c r="D206" s="35">
        <f>32.37*10.764</f>
        <v>348.43067999999994</v>
      </c>
      <c r="E206" s="35">
        <f>(0.75*(2.75+2.25+2.75))*10.764</f>
        <v>62.565749999999994</v>
      </c>
      <c r="F206" s="35">
        <f>E206+D206</f>
        <v>410.99642999999992</v>
      </c>
      <c r="G206" s="35">
        <v>0</v>
      </c>
      <c r="H206" s="35">
        <f>F206*1.45+G206</f>
        <v>595.94482349999987</v>
      </c>
      <c r="I206" s="98"/>
      <c r="J206" s="98"/>
    </row>
    <row r="207" spans="1:10" ht="15.6" x14ac:dyDescent="0.3">
      <c r="A207" s="98">
        <v>4</v>
      </c>
      <c r="B207" s="98"/>
      <c r="C207" s="35" t="s">
        <v>109</v>
      </c>
      <c r="D207" s="35">
        <f>32.37*10.764</f>
        <v>348.43067999999994</v>
      </c>
      <c r="E207" s="35">
        <f>(0.75*(2.75+2.25+2.75))*10.764</f>
        <v>62.565749999999994</v>
      </c>
      <c r="F207" s="35">
        <f>E207+D207</f>
        <v>410.99642999999992</v>
      </c>
      <c r="G207" s="35">
        <v>0</v>
      </c>
      <c r="H207" s="35">
        <f>F207*1.45+G207</f>
        <v>595.94482349999987</v>
      </c>
      <c r="I207" s="98"/>
      <c r="J207" s="98"/>
    </row>
    <row r="208" spans="1:10" ht="15.6" x14ac:dyDescent="0.3">
      <c r="A208" s="97" t="s">
        <v>155</v>
      </c>
      <c r="B208" s="97"/>
      <c r="C208" s="97"/>
      <c r="D208" s="97"/>
      <c r="E208" s="97"/>
      <c r="F208" s="97"/>
      <c r="G208" s="97"/>
      <c r="H208" s="97"/>
      <c r="I208" s="97"/>
      <c r="J208" s="97"/>
    </row>
    <row r="209" spans="1:10" ht="15.6" x14ac:dyDescent="0.3">
      <c r="A209" s="99" t="s">
        <v>113</v>
      </c>
      <c r="B209" s="100"/>
      <c r="C209" s="100"/>
      <c r="D209" s="100"/>
      <c r="E209" s="100"/>
      <c r="F209" s="100"/>
      <c r="G209" s="100"/>
      <c r="H209" s="100"/>
      <c r="I209" s="100"/>
      <c r="J209" s="101"/>
    </row>
    <row r="210" spans="1:10" ht="15.6" x14ac:dyDescent="0.3">
      <c r="A210" s="102">
        <v>1</v>
      </c>
      <c r="B210" s="103"/>
      <c r="C210" s="35" t="s">
        <v>109</v>
      </c>
      <c r="D210" s="35">
        <f>34.91*10.764</f>
        <v>375.77123999999992</v>
      </c>
      <c r="E210" s="35">
        <v>0</v>
      </c>
      <c r="F210" s="35">
        <f>E210+D210</f>
        <v>375.77123999999992</v>
      </c>
      <c r="G210" s="35">
        <v>0</v>
      </c>
      <c r="H210" s="35">
        <f>F210*1.45+G210</f>
        <v>544.86829799999987</v>
      </c>
      <c r="I210" s="90" t="str">
        <f>A209</f>
        <v>Ground Floor For Residential &amp; Parking</v>
      </c>
      <c r="J210" s="91"/>
    </row>
    <row r="211" spans="1:10" ht="15.6" x14ac:dyDescent="0.3">
      <c r="A211" s="102">
        <v>2</v>
      </c>
      <c r="B211" s="103"/>
      <c r="C211" s="35" t="s">
        <v>109</v>
      </c>
      <c r="D211" s="35">
        <f>33.4*10.764</f>
        <v>359.51759999999996</v>
      </c>
      <c r="E211" s="35">
        <v>0</v>
      </c>
      <c r="F211" s="35">
        <f>E211+D211</f>
        <v>359.51759999999996</v>
      </c>
      <c r="G211" s="35">
        <v>0</v>
      </c>
      <c r="H211" s="35">
        <f>F211*1.45+G211</f>
        <v>521.30051999999989</v>
      </c>
      <c r="I211" s="92" t="s">
        <v>58</v>
      </c>
      <c r="J211" s="93"/>
    </row>
    <row r="212" spans="1:10" ht="15.6" x14ac:dyDescent="0.3">
      <c r="A212" s="102">
        <v>3</v>
      </c>
      <c r="B212" s="103"/>
      <c r="C212" s="35" t="s">
        <v>109</v>
      </c>
      <c r="D212" s="35">
        <f>34.91*10.764</f>
        <v>375.77123999999992</v>
      </c>
      <c r="E212" s="35">
        <v>0</v>
      </c>
      <c r="F212" s="35">
        <f>E212+D212</f>
        <v>375.77123999999992</v>
      </c>
      <c r="G212" s="35">
        <v>0</v>
      </c>
      <c r="H212" s="35">
        <f>F212*1.45+G212</f>
        <v>544.86829799999987</v>
      </c>
      <c r="I212" s="92" t="s">
        <v>58</v>
      </c>
      <c r="J212" s="93"/>
    </row>
    <row r="213" spans="1:10" ht="15.6" x14ac:dyDescent="0.3">
      <c r="A213" s="99" t="s">
        <v>157</v>
      </c>
      <c r="B213" s="100"/>
      <c r="C213" s="100"/>
      <c r="D213" s="100"/>
      <c r="E213" s="100"/>
      <c r="F213" s="100"/>
      <c r="G213" s="100"/>
      <c r="H213" s="100"/>
      <c r="I213" s="100"/>
      <c r="J213" s="101"/>
    </row>
    <row r="214" spans="1:10" ht="15.6" x14ac:dyDescent="0.3">
      <c r="A214" s="102">
        <v>1</v>
      </c>
      <c r="B214" s="103"/>
      <c r="C214" s="35" t="s">
        <v>110</v>
      </c>
      <c r="D214" s="35">
        <f>45.14*10.764</f>
        <v>485.88695999999999</v>
      </c>
      <c r="E214" s="35">
        <v>0</v>
      </c>
      <c r="F214" s="35">
        <f>E214+D214</f>
        <v>485.88695999999999</v>
      </c>
      <c r="G214" s="35">
        <v>0</v>
      </c>
      <c r="H214" s="35">
        <f>F214*1.45+G214</f>
        <v>704.53609199999994</v>
      </c>
      <c r="I214" s="90" t="str">
        <f>A213</f>
        <v>1st to 3rd Floor</v>
      </c>
      <c r="J214" s="91"/>
    </row>
    <row r="215" spans="1:10" ht="15.6" x14ac:dyDescent="0.3">
      <c r="A215" s="102">
        <v>2</v>
      </c>
      <c r="B215" s="103"/>
      <c r="C215" s="35" t="s">
        <v>109</v>
      </c>
      <c r="D215" s="35">
        <f>34.91*10.764</f>
        <v>375.77123999999992</v>
      </c>
      <c r="E215" s="35">
        <v>0</v>
      </c>
      <c r="F215" s="35">
        <f>E215+D215</f>
        <v>375.77123999999992</v>
      </c>
      <c r="G215" s="35">
        <v>0</v>
      </c>
      <c r="H215" s="35">
        <f>F215*1.45+G215</f>
        <v>544.86829799999987</v>
      </c>
      <c r="I215" s="92"/>
      <c r="J215" s="93"/>
    </row>
    <row r="216" spans="1:10" ht="15.6" x14ac:dyDescent="0.3">
      <c r="A216" s="102">
        <v>3</v>
      </c>
      <c r="B216" s="103"/>
      <c r="C216" s="35" t="s">
        <v>109</v>
      </c>
      <c r="D216" s="35">
        <f>33.4*10.764</f>
        <v>359.51759999999996</v>
      </c>
      <c r="E216" s="35">
        <v>0</v>
      </c>
      <c r="F216" s="35">
        <f>E216+D216</f>
        <v>359.51759999999996</v>
      </c>
      <c r="G216" s="35">
        <v>0</v>
      </c>
      <c r="H216" s="35">
        <f>F216*1.45+G216</f>
        <v>521.30051999999989</v>
      </c>
      <c r="I216" s="92"/>
      <c r="J216" s="93"/>
    </row>
    <row r="217" spans="1:10" ht="15.6" x14ac:dyDescent="0.3">
      <c r="A217" s="102">
        <v>4</v>
      </c>
      <c r="B217" s="103"/>
      <c r="C217" s="35" t="s">
        <v>109</v>
      </c>
      <c r="D217" s="35">
        <f>34.91*10.764</f>
        <v>375.77123999999992</v>
      </c>
      <c r="E217" s="35">
        <v>0</v>
      </c>
      <c r="F217" s="35">
        <f>E217+D217</f>
        <v>375.77123999999992</v>
      </c>
      <c r="G217" s="35">
        <v>0</v>
      </c>
      <c r="H217" s="35">
        <f>F217*1.45+G217</f>
        <v>544.86829799999987</v>
      </c>
      <c r="I217" s="92"/>
      <c r="J217" s="93"/>
    </row>
    <row r="218" spans="1:10" ht="15.6" x14ac:dyDescent="0.3">
      <c r="A218" s="102">
        <v>5</v>
      </c>
      <c r="B218" s="103"/>
      <c r="C218" s="35" t="s">
        <v>110</v>
      </c>
      <c r="D218" s="35">
        <f>45.14*10.764</f>
        <v>485.88695999999999</v>
      </c>
      <c r="E218" s="35">
        <v>0</v>
      </c>
      <c r="F218" s="35">
        <f>E218+D218</f>
        <v>485.88695999999999</v>
      </c>
      <c r="G218" s="35">
        <v>0</v>
      </c>
      <c r="H218" s="35">
        <f>F218*1.45+G218</f>
        <v>704.53609199999994</v>
      </c>
      <c r="I218" s="94"/>
      <c r="J218" s="95"/>
    </row>
    <row r="219" spans="1:10" ht="268.8" customHeight="1" x14ac:dyDescent="0.3">
      <c r="A219" s="192" t="s">
        <v>252</v>
      </c>
      <c r="B219" s="193"/>
      <c r="C219" s="193"/>
      <c r="D219" s="193"/>
      <c r="E219" s="193"/>
      <c r="F219" s="193"/>
      <c r="G219" s="193"/>
      <c r="H219" s="193"/>
      <c r="I219" s="193"/>
      <c r="J219" s="194"/>
    </row>
    <row r="220" spans="1:10" x14ac:dyDescent="0.3">
      <c r="A220" s="137" t="s">
        <v>161</v>
      </c>
      <c r="B220" s="138"/>
      <c r="C220" s="138"/>
      <c r="D220" s="138"/>
      <c r="E220" s="138"/>
      <c r="F220" s="138"/>
      <c r="G220" s="138"/>
      <c r="H220" s="138"/>
      <c r="I220" s="138"/>
      <c r="J220" s="139"/>
    </row>
    <row r="221" spans="1:10" x14ac:dyDescent="0.3">
      <c r="A221" s="177" t="s">
        <v>32</v>
      </c>
      <c r="B221" s="178"/>
      <c r="C221" s="178"/>
      <c r="D221" s="178"/>
      <c r="E221" s="178"/>
      <c r="F221" s="178"/>
      <c r="G221" s="178"/>
      <c r="H221" s="178"/>
      <c r="I221" s="178"/>
      <c r="J221" s="179"/>
    </row>
    <row r="222" spans="1:10" x14ac:dyDescent="0.3">
      <c r="A222" s="209" t="s">
        <v>27</v>
      </c>
      <c r="B222" s="183"/>
      <c r="C222" s="183"/>
      <c r="D222" s="183"/>
      <c r="E222" s="183"/>
      <c r="F222" s="183"/>
      <c r="G222" s="183"/>
      <c r="H222" s="183"/>
      <c r="I222" s="183"/>
      <c r="J222" s="184"/>
    </row>
    <row r="223" spans="1:10" x14ac:dyDescent="0.3">
      <c r="A223" s="137" t="s">
        <v>37</v>
      </c>
      <c r="B223" s="138"/>
      <c r="C223" s="138"/>
      <c r="D223" s="138"/>
      <c r="E223" s="138"/>
      <c r="F223" s="138"/>
      <c r="G223" s="138"/>
      <c r="H223" s="138"/>
      <c r="I223" s="138"/>
      <c r="J223" s="139"/>
    </row>
    <row r="224" spans="1:10" ht="16.5" customHeight="1" x14ac:dyDescent="0.3">
      <c r="A224" s="206" t="s">
        <v>67</v>
      </c>
      <c r="B224" s="207"/>
      <c r="C224" s="207"/>
      <c r="D224" s="207"/>
      <c r="E224" s="207"/>
      <c r="F224" s="207"/>
      <c r="G224" s="207"/>
      <c r="H224" s="207"/>
      <c r="I224" s="207"/>
      <c r="J224" s="208"/>
    </row>
    <row r="225" spans="1:10" x14ac:dyDescent="0.3">
      <c r="A225" s="137" t="s">
        <v>38</v>
      </c>
      <c r="B225" s="138"/>
      <c r="C225" s="138"/>
      <c r="D225" s="138"/>
      <c r="E225" s="138"/>
      <c r="F225" s="138"/>
      <c r="G225" s="138"/>
      <c r="H225" s="138"/>
      <c r="I225" s="138"/>
      <c r="J225" s="139"/>
    </row>
    <row r="226" spans="1:10" x14ac:dyDescent="0.3">
      <c r="A226" s="137" t="s">
        <v>39</v>
      </c>
      <c r="B226" s="138"/>
      <c r="C226" s="138"/>
      <c r="D226" s="138"/>
      <c r="E226" s="138"/>
      <c r="F226" s="138"/>
      <c r="G226" s="138"/>
      <c r="H226" s="138"/>
      <c r="I226" s="138"/>
      <c r="J226" s="139"/>
    </row>
    <row r="227" spans="1:10" ht="30.75" customHeight="1" x14ac:dyDescent="0.3">
      <c r="A227" s="166" t="s">
        <v>40</v>
      </c>
      <c r="B227" s="167"/>
      <c r="C227" s="167"/>
      <c r="D227" s="167"/>
      <c r="E227" s="167"/>
      <c r="F227" s="167"/>
      <c r="G227" s="167"/>
      <c r="H227" s="167"/>
      <c r="I227" s="167"/>
      <c r="J227" s="168"/>
    </row>
    <row r="228" spans="1:10" ht="15" customHeight="1" x14ac:dyDescent="0.3">
      <c r="A228" s="195" t="s">
        <v>26</v>
      </c>
      <c r="B228" s="196"/>
      <c r="C228" s="196"/>
      <c r="D228" s="196"/>
      <c r="E228" s="196"/>
      <c r="F228" s="196"/>
      <c r="G228" s="196"/>
      <c r="H228" s="196"/>
      <c r="I228" s="196"/>
      <c r="J228" s="197"/>
    </row>
    <row r="229" spans="1:10" x14ac:dyDescent="0.3">
      <c r="A229" s="198"/>
      <c r="B229" s="199"/>
      <c r="C229" s="199"/>
      <c r="D229" s="199"/>
      <c r="E229" s="199"/>
      <c r="F229" s="199"/>
      <c r="G229" s="199"/>
      <c r="H229" s="199"/>
      <c r="I229" s="199"/>
      <c r="J229" s="200"/>
    </row>
    <row r="230" spans="1:10" x14ac:dyDescent="0.3">
      <c r="A230" s="198"/>
      <c r="B230" s="199"/>
      <c r="C230" s="199"/>
      <c r="D230" s="199"/>
      <c r="E230" s="199"/>
      <c r="F230" s="199"/>
      <c r="G230" s="199"/>
      <c r="H230" s="199"/>
      <c r="I230" s="199"/>
      <c r="J230" s="200"/>
    </row>
    <row r="231" spans="1:10" x14ac:dyDescent="0.3">
      <c r="A231" s="201"/>
      <c r="B231" s="202"/>
      <c r="C231" s="202"/>
      <c r="D231" s="202"/>
      <c r="E231" s="202"/>
      <c r="F231" s="202"/>
      <c r="G231" s="202"/>
      <c r="H231" s="202"/>
      <c r="I231" s="202"/>
      <c r="J231" s="203"/>
    </row>
    <row r="232" spans="1:10" s="49" customFormat="1" ht="13.8" x14ac:dyDescent="0.25">
      <c r="A232" s="49" t="s">
        <v>156</v>
      </c>
      <c r="E232" s="49" t="str">
        <f>F8</f>
        <v>Ideal Garden</v>
      </c>
    </row>
    <row r="277" spans="1:2" x14ac:dyDescent="0.3">
      <c r="A277" s="50" t="s">
        <v>236</v>
      </c>
      <c r="B277" s="50"/>
    </row>
    <row r="310" spans="1:2" x14ac:dyDescent="0.3">
      <c r="A310" s="50" t="s">
        <v>235</v>
      </c>
      <c r="B310" s="50"/>
    </row>
    <row r="343" spans="1:2" x14ac:dyDescent="0.3">
      <c r="A343" s="50" t="s">
        <v>144</v>
      </c>
      <c r="B343" s="50"/>
    </row>
  </sheetData>
  <mergeCells count="412">
    <mergeCell ref="D96:E96"/>
    <mergeCell ref="A32:B32"/>
    <mergeCell ref="C32:J32"/>
    <mergeCell ref="C46:F46"/>
    <mergeCell ref="A46:B46"/>
    <mergeCell ref="D50:E50"/>
    <mergeCell ref="A44:B44"/>
    <mergeCell ref="C44:F44"/>
    <mergeCell ref="H44:J44"/>
    <mergeCell ref="C56:F56"/>
    <mergeCell ref="G56:J56"/>
    <mergeCell ref="A45:B45"/>
    <mergeCell ref="D69:E69"/>
    <mergeCell ref="A84:B84"/>
    <mergeCell ref="C84:F84"/>
    <mergeCell ref="G84:J84"/>
    <mergeCell ref="E85:F85"/>
    <mergeCell ref="H87:J87"/>
    <mergeCell ref="A60:B60"/>
    <mergeCell ref="D60:E60"/>
    <mergeCell ref="F60:G69"/>
    <mergeCell ref="H60:J69"/>
    <mergeCell ref="A51:B51"/>
    <mergeCell ref="C52:J52"/>
    <mergeCell ref="A65:B65"/>
    <mergeCell ref="D65:E65"/>
    <mergeCell ref="A66:B66"/>
    <mergeCell ref="D66:E66"/>
    <mergeCell ref="A67:B67"/>
    <mergeCell ref="D67:E67"/>
    <mergeCell ref="A68:B68"/>
    <mergeCell ref="A40:E40"/>
    <mergeCell ref="C43:F43"/>
    <mergeCell ref="A42:J42"/>
    <mergeCell ref="A43:B43"/>
    <mergeCell ref="E27:F27"/>
    <mergeCell ref="G28:H28"/>
    <mergeCell ref="A31:B31"/>
    <mergeCell ref="A97:B97"/>
    <mergeCell ref="D97:E97"/>
    <mergeCell ref="A47:B47"/>
    <mergeCell ref="C47:F47"/>
    <mergeCell ref="C45:F45"/>
    <mergeCell ref="A50:C50"/>
    <mergeCell ref="H47:J47"/>
    <mergeCell ref="A55:J55"/>
    <mergeCell ref="A58:B58"/>
    <mergeCell ref="C58:J58"/>
    <mergeCell ref="A59:B59"/>
    <mergeCell ref="I85:J85"/>
    <mergeCell ref="A86:B86"/>
    <mergeCell ref="C86:J86"/>
    <mergeCell ref="A87:B87"/>
    <mergeCell ref="D87:E87"/>
    <mergeCell ref="A34:J35"/>
    <mergeCell ref="A80:B80"/>
    <mergeCell ref="D80:E80"/>
    <mergeCell ref="A70:B70"/>
    <mergeCell ref="C51:J51"/>
    <mergeCell ref="A2:J2"/>
    <mergeCell ref="A3:E3"/>
    <mergeCell ref="F3:J3"/>
    <mergeCell ref="A4:E4"/>
    <mergeCell ref="F4:J4"/>
    <mergeCell ref="A6:E6"/>
    <mergeCell ref="F6:J6"/>
    <mergeCell ref="A5:E5"/>
    <mergeCell ref="F5:J5"/>
    <mergeCell ref="A7:E7"/>
    <mergeCell ref="F7:J7"/>
    <mergeCell ref="C17:E17"/>
    <mergeCell ref="B14:D14"/>
    <mergeCell ref="H14:J14"/>
    <mergeCell ref="G16:J16"/>
    <mergeCell ref="A10:E10"/>
    <mergeCell ref="F8:J8"/>
    <mergeCell ref="F10:J10"/>
    <mergeCell ref="B15:E15"/>
    <mergeCell ref="A12:B12"/>
    <mergeCell ref="I12:J12"/>
    <mergeCell ref="A8:E8"/>
    <mergeCell ref="C12:G12"/>
    <mergeCell ref="A13:B13"/>
    <mergeCell ref="C13:J13"/>
    <mergeCell ref="A9:E9"/>
    <mergeCell ref="F9:J9"/>
    <mergeCell ref="A20:E21"/>
    <mergeCell ref="F20:J21"/>
    <mergeCell ref="G15:J15"/>
    <mergeCell ref="F17:G17"/>
    <mergeCell ref="H17:J17"/>
    <mergeCell ref="A11:E11"/>
    <mergeCell ref="F11:J11"/>
    <mergeCell ref="G31:H31"/>
    <mergeCell ref="A26:B26"/>
    <mergeCell ref="C26:D26"/>
    <mergeCell ref="E26:F26"/>
    <mergeCell ref="G26:H26"/>
    <mergeCell ref="A23:E23"/>
    <mergeCell ref="B16:E16"/>
    <mergeCell ref="A17:B17"/>
    <mergeCell ref="A18:E19"/>
    <mergeCell ref="F18:J19"/>
    <mergeCell ref="A22:E22"/>
    <mergeCell ref="F22:J22"/>
    <mergeCell ref="A24:E24"/>
    <mergeCell ref="A25:E25"/>
    <mergeCell ref="F24:J24"/>
    <mergeCell ref="E31:F31"/>
    <mergeCell ref="C27:D27"/>
    <mergeCell ref="A222:J222"/>
    <mergeCell ref="A177:J177"/>
    <mergeCell ref="A223:J223"/>
    <mergeCell ref="F59:G59"/>
    <mergeCell ref="A112:J112"/>
    <mergeCell ref="A113:J113"/>
    <mergeCell ref="A37:E37"/>
    <mergeCell ref="F37:J37"/>
    <mergeCell ref="F41:J41"/>
    <mergeCell ref="F40:J40"/>
    <mergeCell ref="A208:J208"/>
    <mergeCell ref="A38:E38"/>
    <mergeCell ref="A39:E39"/>
    <mergeCell ref="F38:J38"/>
    <mergeCell ref="H48:J48"/>
    <mergeCell ref="A49:J49"/>
    <mergeCell ref="D48:E48"/>
    <mergeCell ref="I50:J50"/>
    <mergeCell ref="A152:B152"/>
    <mergeCell ref="A213:J213"/>
    <mergeCell ref="A196:B196"/>
    <mergeCell ref="F39:J39"/>
    <mergeCell ref="A185:B185"/>
    <mergeCell ref="A164:B164"/>
    <mergeCell ref="A228:J231"/>
    <mergeCell ref="A143:J143"/>
    <mergeCell ref="A144:J144"/>
    <mergeCell ref="A224:J224"/>
    <mergeCell ref="A225:J225"/>
    <mergeCell ref="A226:J226"/>
    <mergeCell ref="A227:J227"/>
    <mergeCell ref="A221:J221"/>
    <mergeCell ref="A165:B165"/>
    <mergeCell ref="A166:B166"/>
    <mergeCell ref="A167:B167"/>
    <mergeCell ref="A168:B168"/>
    <mergeCell ref="A178:B178"/>
    <mergeCell ref="A218:B218"/>
    <mergeCell ref="A210:B210"/>
    <mergeCell ref="A211:B211"/>
    <mergeCell ref="A212:B212"/>
    <mergeCell ref="A214:B214"/>
    <mergeCell ref="A215:B215"/>
    <mergeCell ref="A216:B216"/>
    <mergeCell ref="A217:B217"/>
    <mergeCell ref="A209:J209"/>
    <mergeCell ref="A198:J198"/>
    <mergeCell ref="A162:J162"/>
    <mergeCell ref="A219:J219"/>
    <mergeCell ref="A220:J220"/>
    <mergeCell ref="A148:J148"/>
    <mergeCell ref="A176:J176"/>
    <mergeCell ref="A187:J187"/>
    <mergeCell ref="A194:J194"/>
    <mergeCell ref="A184:B184"/>
    <mergeCell ref="A201:B201"/>
    <mergeCell ref="A202:B202"/>
    <mergeCell ref="A188:B188"/>
    <mergeCell ref="A189:B189"/>
    <mergeCell ref="A190:B190"/>
    <mergeCell ref="A191:B191"/>
    <mergeCell ref="A192:B192"/>
    <mergeCell ref="A159:B159"/>
    <mergeCell ref="A157:B157"/>
    <mergeCell ref="A151:B151"/>
    <mergeCell ref="A153:B153"/>
    <mergeCell ref="A154:B154"/>
    <mergeCell ref="A193:B193"/>
    <mergeCell ref="A195:J195"/>
    <mergeCell ref="A197:B197"/>
    <mergeCell ref="A155:B155"/>
    <mergeCell ref="A156:B156"/>
    <mergeCell ref="A1:J1"/>
    <mergeCell ref="A54:E54"/>
    <mergeCell ref="F54:J54"/>
    <mergeCell ref="A48:C48"/>
    <mergeCell ref="F48:G48"/>
    <mergeCell ref="F36:J36"/>
    <mergeCell ref="I28:J28"/>
    <mergeCell ref="A29:J29"/>
    <mergeCell ref="F50:H50"/>
    <mergeCell ref="A41:E41"/>
    <mergeCell ref="F23:J23"/>
    <mergeCell ref="F25:J25"/>
    <mergeCell ref="I27:J27"/>
    <mergeCell ref="A28:B28"/>
    <mergeCell ref="C31:D31"/>
    <mergeCell ref="I31:J31"/>
    <mergeCell ref="A30:J30"/>
    <mergeCell ref="A33:J33"/>
    <mergeCell ref="I26:J26"/>
    <mergeCell ref="A36:E36"/>
    <mergeCell ref="C28:D28"/>
    <mergeCell ref="E28:F28"/>
    <mergeCell ref="G27:H27"/>
    <mergeCell ref="A27:B27"/>
    <mergeCell ref="A121:J121"/>
    <mergeCell ref="C131:D131"/>
    <mergeCell ref="A132:B132"/>
    <mergeCell ref="C132:D132"/>
    <mergeCell ref="E136:H136"/>
    <mergeCell ref="I136:J136"/>
    <mergeCell ref="E137:H137"/>
    <mergeCell ref="I137:J137"/>
    <mergeCell ref="E140:H140"/>
    <mergeCell ref="A136:B136"/>
    <mergeCell ref="C136:D136"/>
    <mergeCell ref="A137:B137"/>
    <mergeCell ref="A127:G127"/>
    <mergeCell ref="A128:G128"/>
    <mergeCell ref="H128:J128"/>
    <mergeCell ref="C137:D137"/>
    <mergeCell ref="A140:B140"/>
    <mergeCell ref="C140:D140"/>
    <mergeCell ref="A138:B138"/>
    <mergeCell ref="E71:F71"/>
    <mergeCell ref="I71:J71"/>
    <mergeCell ref="D64:E64"/>
    <mergeCell ref="H125:J125"/>
    <mergeCell ref="H126:J126"/>
    <mergeCell ref="A122:G122"/>
    <mergeCell ref="A124:G124"/>
    <mergeCell ref="A125:G125"/>
    <mergeCell ref="A126:G126"/>
    <mergeCell ref="A114:J120"/>
    <mergeCell ref="F87:G87"/>
    <mergeCell ref="A96:B96"/>
    <mergeCell ref="D91:E91"/>
    <mergeCell ref="A92:B92"/>
    <mergeCell ref="D92:E92"/>
    <mergeCell ref="A93:B93"/>
    <mergeCell ref="D93:E93"/>
    <mergeCell ref="A94:B94"/>
    <mergeCell ref="D94:E94"/>
    <mergeCell ref="A95:B95"/>
    <mergeCell ref="D95:E95"/>
    <mergeCell ref="A69:B69"/>
    <mergeCell ref="A76:B76"/>
    <mergeCell ref="D76:E76"/>
    <mergeCell ref="D79:E79"/>
    <mergeCell ref="A179:B179"/>
    <mergeCell ref="A186:B186"/>
    <mergeCell ref="A181:B181"/>
    <mergeCell ref="A182:B182"/>
    <mergeCell ref="D82:E82"/>
    <mergeCell ref="A83:B83"/>
    <mergeCell ref="D83:E83"/>
    <mergeCell ref="D110:E110"/>
    <mergeCell ref="A111:B111"/>
    <mergeCell ref="D111:E111"/>
    <mergeCell ref="A100:B100"/>
    <mergeCell ref="C100:J100"/>
    <mergeCell ref="A101:B101"/>
    <mergeCell ref="D101:E101"/>
    <mergeCell ref="F101:G101"/>
    <mergeCell ref="H101:J101"/>
    <mergeCell ref="A102:B102"/>
    <mergeCell ref="D102:E102"/>
    <mergeCell ref="I145:J145"/>
    <mergeCell ref="H129:J129"/>
    <mergeCell ref="A129:G129"/>
    <mergeCell ref="H122:J122"/>
    <mergeCell ref="H124:J124"/>
    <mergeCell ref="F102:G111"/>
    <mergeCell ref="A88:B88"/>
    <mergeCell ref="D88:E88"/>
    <mergeCell ref="F88:G97"/>
    <mergeCell ref="H88:J97"/>
    <mergeCell ref="A199:B199"/>
    <mergeCell ref="A200:B200"/>
    <mergeCell ref="H46:J46"/>
    <mergeCell ref="H43:J43"/>
    <mergeCell ref="H45:J45"/>
    <mergeCell ref="A123:G123"/>
    <mergeCell ref="H123:J123"/>
    <mergeCell ref="A183:B183"/>
    <mergeCell ref="A180:B180"/>
    <mergeCell ref="A160:B160"/>
    <mergeCell ref="A161:B161"/>
    <mergeCell ref="A145:B145"/>
    <mergeCell ref="A163:B163"/>
    <mergeCell ref="A146:J146"/>
    <mergeCell ref="A147:J147"/>
    <mergeCell ref="A149:B149"/>
    <mergeCell ref="A150:B150"/>
    <mergeCell ref="A158:B158"/>
    <mergeCell ref="H127:J127"/>
    <mergeCell ref="A82:B82"/>
    <mergeCell ref="A89:B89"/>
    <mergeCell ref="A81:B81"/>
    <mergeCell ref="D81:E81"/>
    <mergeCell ref="A52:B52"/>
    <mergeCell ref="D68:E68"/>
    <mergeCell ref="A56:B56"/>
    <mergeCell ref="E57:F57"/>
    <mergeCell ref="I57:J57"/>
    <mergeCell ref="D59:E59"/>
    <mergeCell ref="H59:J59"/>
    <mergeCell ref="A61:B61"/>
    <mergeCell ref="D61:E61"/>
    <mergeCell ref="A62:B62"/>
    <mergeCell ref="D62:E62"/>
    <mergeCell ref="A63:B63"/>
    <mergeCell ref="D63:E63"/>
    <mergeCell ref="A64:B64"/>
    <mergeCell ref="C70:J70"/>
    <mergeCell ref="A77:B77"/>
    <mergeCell ref="D77:E77"/>
    <mergeCell ref="A78:B78"/>
    <mergeCell ref="D78:E78"/>
    <mergeCell ref="A79:B79"/>
    <mergeCell ref="A108:B108"/>
    <mergeCell ref="D108:E108"/>
    <mergeCell ref="A109:B109"/>
    <mergeCell ref="D109:E109"/>
    <mergeCell ref="A98:B98"/>
    <mergeCell ref="C98:J98"/>
    <mergeCell ref="E99:F99"/>
    <mergeCell ref="I99:J99"/>
    <mergeCell ref="A72:B72"/>
    <mergeCell ref="C72:J72"/>
    <mergeCell ref="A73:B73"/>
    <mergeCell ref="D73:E73"/>
    <mergeCell ref="F73:G73"/>
    <mergeCell ref="H73:J73"/>
    <mergeCell ref="A74:B74"/>
    <mergeCell ref="D74:E74"/>
    <mergeCell ref="F74:G83"/>
    <mergeCell ref="H74:J83"/>
    <mergeCell ref="A75:B75"/>
    <mergeCell ref="D75:E75"/>
    <mergeCell ref="D89:E89"/>
    <mergeCell ref="A90:B90"/>
    <mergeCell ref="D90:E90"/>
    <mergeCell ref="A91:B91"/>
    <mergeCell ref="A103:B103"/>
    <mergeCell ref="D103:E103"/>
    <mergeCell ref="A104:B104"/>
    <mergeCell ref="D104:E104"/>
    <mergeCell ref="A105:B105"/>
    <mergeCell ref="D105:E105"/>
    <mergeCell ref="A106:B106"/>
    <mergeCell ref="D106:E106"/>
    <mergeCell ref="A107:B107"/>
    <mergeCell ref="D107:E107"/>
    <mergeCell ref="I214:J218"/>
    <mergeCell ref="C53:J53"/>
    <mergeCell ref="I196:J197"/>
    <mergeCell ref="I199:J202"/>
    <mergeCell ref="A203:J203"/>
    <mergeCell ref="A204:B204"/>
    <mergeCell ref="I204:J207"/>
    <mergeCell ref="A205:B205"/>
    <mergeCell ref="A206:B206"/>
    <mergeCell ref="A207:B207"/>
    <mergeCell ref="I178:J186"/>
    <mergeCell ref="I188:J193"/>
    <mergeCell ref="I149:J161"/>
    <mergeCell ref="I163:J168"/>
    <mergeCell ref="A169:J169"/>
    <mergeCell ref="A170:B170"/>
    <mergeCell ref="I170:J175"/>
    <mergeCell ref="A171:B171"/>
    <mergeCell ref="A172:B172"/>
    <mergeCell ref="A173:B173"/>
    <mergeCell ref="A174:B174"/>
    <mergeCell ref="A175:B175"/>
    <mergeCell ref="A110:B110"/>
    <mergeCell ref="H102:J111"/>
    <mergeCell ref="I138:J138"/>
    <mergeCell ref="A139:B139"/>
    <mergeCell ref="C139:D139"/>
    <mergeCell ref="E139:H139"/>
    <mergeCell ref="I139:J139"/>
    <mergeCell ref="I140:J140"/>
    <mergeCell ref="E141:H141"/>
    <mergeCell ref="I141:J141"/>
    <mergeCell ref="I210:J212"/>
    <mergeCell ref="I142:J142"/>
    <mergeCell ref="E142:H142"/>
    <mergeCell ref="A141:B141"/>
    <mergeCell ref="C141:D141"/>
    <mergeCell ref="A142:B142"/>
    <mergeCell ref="C142:D142"/>
    <mergeCell ref="A130:J130"/>
    <mergeCell ref="I131:J131"/>
    <mergeCell ref="E131:H131"/>
    <mergeCell ref="I132:J132"/>
    <mergeCell ref="I133:J133"/>
    <mergeCell ref="I134:J134"/>
    <mergeCell ref="I135:J135"/>
    <mergeCell ref="E132:H132"/>
    <mergeCell ref="E133:H133"/>
    <mergeCell ref="E134:H134"/>
    <mergeCell ref="A135:H135"/>
    <mergeCell ref="A133:B133"/>
    <mergeCell ref="C133:D133"/>
    <mergeCell ref="A134:B134"/>
    <mergeCell ref="C134:D134"/>
    <mergeCell ref="A131:B131"/>
    <mergeCell ref="C138:D138"/>
    <mergeCell ref="E138:H138"/>
  </mergeCells>
  <phoneticPr fontId="0" type="noConversion"/>
  <hyperlinks>
    <hyperlink ref="C32" r:id="rId1" xr:uid="{00000000-0004-0000-0000-000000000000}"/>
  </hyperlinks>
  <pageMargins left="0.43307086614173229" right="0.43307086614173229" top="0.98425196850393704" bottom="0.59055118110236227" header="0.19685039370078741" footer="0.19685039370078741"/>
  <pageSetup paperSize="9" scale="81" fitToHeight="0" orientation="portrait" r:id="rId2"/>
  <headerFooter>
    <oddHeader>&amp;C&amp;G</oddHeader>
    <oddFooter>&amp;L&amp;"Times New Roman,Bold"Ref No: &amp;F&amp;C&amp;G&amp;R&amp;P</oddFooter>
  </headerFooter>
  <rowBreaks count="5" manualBreakCount="5">
    <brk id="83" max="16383" man="1"/>
    <brk id="231" max="16383" man="1"/>
    <brk id="276" max="9" man="1"/>
    <brk id="309" max="9" man="1"/>
    <brk id="342"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C6"/>
  <sheetViews>
    <sheetView workbookViewId="0">
      <selection activeCell="J20" sqref="J20"/>
    </sheetView>
  </sheetViews>
  <sheetFormatPr defaultRowHeight="14.4" x14ac:dyDescent="0.3"/>
  <cols>
    <col min="1" max="1" width="12.44140625" customWidth="1"/>
  </cols>
  <sheetData>
    <row r="4" spans="1:3" x14ac:dyDescent="0.3">
      <c r="A4" t="s">
        <v>158</v>
      </c>
      <c r="B4" t="s">
        <v>159</v>
      </c>
      <c r="C4" t="s">
        <v>160</v>
      </c>
    </row>
    <row r="6" spans="1:3" x14ac:dyDescent="0.3">
      <c r="A6" t="s">
        <v>162</v>
      </c>
      <c r="B6" t="s">
        <v>159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6"/>
  <sheetViews>
    <sheetView workbookViewId="0">
      <selection sqref="A1:B1"/>
    </sheetView>
  </sheetViews>
  <sheetFormatPr defaultColWidth="8.77734375" defaultRowHeight="14.4" x14ac:dyDescent="0.3"/>
  <cols>
    <col min="1" max="1" width="10.5546875" style="16" bestFit="1" customWidth="1"/>
    <col min="2" max="2" width="22.21875" style="16" customWidth="1"/>
    <col min="3" max="3" width="37" style="16" customWidth="1"/>
    <col min="4" max="5" width="11.44140625" style="16" customWidth="1"/>
    <col min="6" max="6" width="14" style="16" customWidth="1"/>
    <col min="7" max="7" width="20" style="16" customWidth="1"/>
    <col min="8" max="8" width="16.44140625" style="16" customWidth="1"/>
    <col min="9" max="16384" width="8.77734375" style="16"/>
  </cols>
  <sheetData>
    <row r="1" spans="1:9" ht="15" customHeight="1" x14ac:dyDescent="0.3">
      <c r="A1" s="15"/>
    </row>
    <row r="2" spans="1:9" ht="15" customHeight="1" x14ac:dyDescent="0.3">
      <c r="A2" s="17"/>
      <c r="B2" s="17"/>
      <c r="C2" s="17"/>
      <c r="D2" s="17"/>
      <c r="E2" s="17"/>
      <c r="F2" s="17"/>
      <c r="G2" s="17"/>
      <c r="H2" s="17"/>
    </row>
    <row r="3" spans="1:9" ht="15.75" customHeight="1" x14ac:dyDescent="0.3">
      <c r="A3" s="17"/>
      <c r="B3" s="257" t="s">
        <v>163</v>
      </c>
      <c r="C3" s="257"/>
      <c r="D3" s="257"/>
      <c r="E3" s="257"/>
      <c r="F3" s="257"/>
      <c r="G3" s="257"/>
      <c r="H3" s="257"/>
    </row>
    <row r="4" spans="1:9" x14ac:dyDescent="0.3">
      <c r="A4" s="17"/>
      <c r="B4" s="18" t="s">
        <v>164</v>
      </c>
      <c r="C4" s="18" t="s">
        <v>165</v>
      </c>
      <c r="D4" s="18" t="s">
        <v>166</v>
      </c>
      <c r="E4" s="18" t="s">
        <v>167</v>
      </c>
      <c r="F4" s="18" t="s">
        <v>168</v>
      </c>
      <c r="G4" s="18" t="s">
        <v>169</v>
      </c>
      <c r="H4" s="18" t="s">
        <v>170</v>
      </c>
    </row>
    <row r="5" spans="1:9" ht="15" customHeight="1" x14ac:dyDescent="0.3">
      <c r="A5" s="17"/>
      <c r="B5" s="19" t="s">
        <v>171</v>
      </c>
      <c r="C5" s="20"/>
      <c r="D5" s="19"/>
      <c r="E5" s="19"/>
      <c r="F5" s="21"/>
      <c r="G5" s="21" t="e">
        <f>H5/F5</f>
        <v>#DIV/0!</v>
      </c>
      <c r="H5" s="22"/>
    </row>
    <row r="6" spans="1:9" x14ac:dyDescent="0.3">
      <c r="A6" s="17"/>
      <c r="B6" s="19" t="s">
        <v>172</v>
      </c>
      <c r="C6" s="23"/>
      <c r="D6" s="19"/>
      <c r="E6" s="19"/>
      <c r="F6" s="21"/>
      <c r="G6" s="21" t="e">
        <f t="shared" ref="G6:G11" si="0">H6/F6</f>
        <v>#DIV/0!</v>
      </c>
      <c r="H6" s="22"/>
    </row>
    <row r="7" spans="1:9" ht="15" customHeight="1" x14ac:dyDescent="0.3">
      <c r="A7" s="17"/>
      <c r="B7" s="19" t="s">
        <v>173</v>
      </c>
      <c r="C7" s="20"/>
      <c r="D7" s="19"/>
      <c r="E7" s="19"/>
      <c r="F7" s="21"/>
      <c r="G7" s="21" t="e">
        <f t="shared" si="0"/>
        <v>#DIV/0!</v>
      </c>
      <c r="H7" s="22"/>
    </row>
    <row r="8" spans="1:9" x14ac:dyDescent="0.3">
      <c r="A8" s="17"/>
      <c r="B8" s="19" t="s">
        <v>173</v>
      </c>
      <c r="C8" s="23"/>
      <c r="D8" s="19"/>
      <c r="E8" s="19"/>
      <c r="F8" s="21"/>
      <c r="G8" s="21" t="e">
        <f t="shared" si="0"/>
        <v>#DIV/0!</v>
      </c>
      <c r="H8" s="22"/>
    </row>
    <row r="9" spans="1:9" ht="15" customHeight="1" x14ac:dyDescent="0.3">
      <c r="A9" s="17"/>
      <c r="B9" s="19" t="s">
        <v>173</v>
      </c>
      <c r="C9" s="23"/>
      <c r="D9" s="19"/>
      <c r="E9" s="19"/>
      <c r="F9" s="21"/>
      <c r="G9" s="21" t="e">
        <f t="shared" si="0"/>
        <v>#DIV/0!</v>
      </c>
      <c r="H9" s="22"/>
    </row>
    <row r="10" spans="1:9" ht="15" customHeight="1" x14ac:dyDescent="0.3">
      <c r="A10" s="17"/>
      <c r="B10" s="19" t="s">
        <v>174</v>
      </c>
      <c r="C10" s="20"/>
      <c r="D10" s="19"/>
      <c r="E10" s="19"/>
      <c r="F10" s="21"/>
      <c r="G10" s="21" t="e">
        <f t="shared" si="0"/>
        <v>#DIV/0!</v>
      </c>
      <c r="H10" s="22"/>
    </row>
    <row r="11" spans="1:9" ht="15" customHeight="1" x14ac:dyDescent="0.3">
      <c r="A11" s="17"/>
      <c r="B11" s="19" t="s">
        <v>174</v>
      </c>
      <c r="C11" s="20"/>
      <c r="D11" s="19"/>
      <c r="E11" s="19"/>
      <c r="F11" s="21"/>
      <c r="G11" s="21" t="e">
        <f t="shared" si="0"/>
        <v>#DIV/0!</v>
      </c>
      <c r="H11" s="22"/>
    </row>
    <row r="12" spans="1:9" ht="15" customHeight="1" x14ac:dyDescent="0.3">
      <c r="A12" s="17"/>
      <c r="B12" s="24" t="s">
        <v>175</v>
      </c>
      <c r="C12" s="19"/>
      <c r="D12" s="19"/>
      <c r="E12" s="19"/>
      <c r="F12" s="19"/>
      <c r="G12" s="25" t="e">
        <f>AVERAGE(G5:G11)</f>
        <v>#DIV/0!</v>
      </c>
      <c r="H12" s="19"/>
    </row>
    <row r="13" spans="1:9" ht="15" customHeight="1" x14ac:dyDescent="0.3">
      <c r="B13" s="24" t="s">
        <v>176</v>
      </c>
      <c r="C13" s="19"/>
      <c r="D13" s="19"/>
      <c r="E13" s="19"/>
      <c r="F13" s="26"/>
      <c r="G13" s="24">
        <v>32000</v>
      </c>
      <c r="H13" s="24"/>
      <c r="I13" s="27"/>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20"/>
  <sheetViews>
    <sheetView workbookViewId="0">
      <selection activeCell="E18" sqref="E18"/>
    </sheetView>
  </sheetViews>
  <sheetFormatPr defaultRowHeight="14.4" x14ac:dyDescent="0.3"/>
  <cols>
    <col min="1" max="1" width="11.21875" customWidth="1"/>
    <col min="2" max="2" width="12" customWidth="1"/>
    <col min="3" max="3" width="14.5546875" customWidth="1"/>
    <col min="4" max="4" width="4" customWidth="1"/>
    <col min="5" max="5" width="15.21875" customWidth="1"/>
    <col min="6" max="7" width="9.21875" customWidth="1"/>
    <col min="9" max="9" width="12.77734375" customWidth="1"/>
    <col min="10" max="10" width="15.21875" customWidth="1"/>
    <col min="13" max="13" width="16.5546875" customWidth="1"/>
  </cols>
  <sheetData>
    <row r="2" spans="1:15" x14ac:dyDescent="0.3">
      <c r="A2" t="s">
        <v>120</v>
      </c>
      <c r="B2" s="7" t="s">
        <v>121</v>
      </c>
      <c r="C2" s="7">
        <v>3</v>
      </c>
      <c r="E2" s="13" t="s">
        <v>142</v>
      </c>
      <c r="F2" s="13"/>
      <c r="G2" s="13"/>
      <c r="H2" s="13"/>
      <c r="I2" s="13"/>
      <c r="J2" s="13"/>
      <c r="K2" s="13"/>
    </row>
    <row r="3" spans="1:15" x14ac:dyDescent="0.3">
      <c r="B3" t="s">
        <v>122</v>
      </c>
      <c r="C3" t="s">
        <v>123</v>
      </c>
    </row>
    <row r="4" spans="1:15" x14ac:dyDescent="0.3">
      <c r="A4" t="s">
        <v>124</v>
      </c>
      <c r="B4" s="6">
        <v>10</v>
      </c>
      <c r="C4" s="6">
        <v>10</v>
      </c>
      <c r="E4" s="12">
        <f>(100/B4)*C4</f>
        <v>100</v>
      </c>
    </row>
    <row r="5" spans="1:15" x14ac:dyDescent="0.3">
      <c r="A5" t="s">
        <v>125</v>
      </c>
      <c r="B5" t="s">
        <v>126</v>
      </c>
      <c r="C5" t="s">
        <v>127</v>
      </c>
      <c r="E5" s="12">
        <f>(100/B6)*C6</f>
        <v>100</v>
      </c>
      <c r="I5" s="6" t="s">
        <v>128</v>
      </c>
      <c r="J5" s="6" t="s">
        <v>129</v>
      </c>
      <c r="K5" s="6" t="s">
        <v>130</v>
      </c>
      <c r="L5" s="6" t="s">
        <v>36</v>
      </c>
      <c r="M5" s="6" t="s">
        <v>46</v>
      </c>
      <c r="N5" s="6" t="s">
        <v>131</v>
      </c>
      <c r="O5" s="6" t="s">
        <v>47</v>
      </c>
    </row>
    <row r="6" spans="1:15" x14ac:dyDescent="0.3">
      <c r="B6" s="6">
        <f>C2+1</f>
        <v>4</v>
      </c>
      <c r="C6" s="6">
        <v>4</v>
      </c>
      <c r="E6" s="12">
        <f>(100/B8)*C8</f>
        <v>100</v>
      </c>
      <c r="F6" s="8" t="s">
        <v>132</v>
      </c>
      <c r="I6" s="8">
        <f>C4</f>
        <v>10</v>
      </c>
      <c r="J6" s="8">
        <f>40/B6*C6</f>
        <v>40</v>
      </c>
      <c r="K6" s="8">
        <f>15/B8*C8</f>
        <v>15</v>
      </c>
      <c r="L6" s="8">
        <f>10/B10*C10</f>
        <v>5</v>
      </c>
      <c r="M6" s="8">
        <f>10/B12*C12</f>
        <v>2.5</v>
      </c>
      <c r="N6" s="8">
        <f>5/B14*C14</f>
        <v>1.25</v>
      </c>
      <c r="O6" s="8">
        <f>5/B16*C16</f>
        <v>1.25</v>
      </c>
    </row>
    <row r="7" spans="1:15" x14ac:dyDescent="0.3">
      <c r="A7" t="s">
        <v>133</v>
      </c>
      <c r="B7" t="s">
        <v>134</v>
      </c>
      <c r="C7" t="s">
        <v>135</v>
      </c>
      <c r="E7" s="12">
        <f>(100/B10)*C10</f>
        <v>50</v>
      </c>
      <c r="F7" s="6" t="s">
        <v>136</v>
      </c>
      <c r="G7" s="6"/>
      <c r="H7" s="6"/>
      <c r="I7" s="6">
        <f>I6+20</f>
        <v>30</v>
      </c>
      <c r="J7" s="6">
        <f>30/B6*C6</f>
        <v>30</v>
      </c>
      <c r="K7" s="6">
        <f>15/B8*C8</f>
        <v>15</v>
      </c>
      <c r="L7" s="6">
        <f>10/B10*C10</f>
        <v>5</v>
      </c>
      <c r="M7" s="6">
        <f>5/B12*C12</f>
        <v>1.25</v>
      </c>
      <c r="N7" s="6">
        <f>5/B14*C14</f>
        <v>1.25</v>
      </c>
      <c r="O7" s="6">
        <f>5/B16*C16</f>
        <v>1.25</v>
      </c>
    </row>
    <row r="8" spans="1:15" x14ac:dyDescent="0.3">
      <c r="B8" s="6">
        <v>4</v>
      </c>
      <c r="C8" s="6">
        <v>4</v>
      </c>
      <c r="E8" s="12">
        <f>(100/B12)*C12</f>
        <v>25</v>
      </c>
    </row>
    <row r="9" spans="1:15" x14ac:dyDescent="0.3">
      <c r="A9" t="s">
        <v>137</v>
      </c>
      <c r="B9" t="s">
        <v>134</v>
      </c>
      <c r="C9" t="s">
        <v>135</v>
      </c>
      <c r="E9" s="12">
        <f>(100/B14)*C14</f>
        <v>25</v>
      </c>
    </row>
    <row r="10" spans="1:15" x14ac:dyDescent="0.3">
      <c r="B10" s="6">
        <v>4</v>
      </c>
      <c r="C10" s="6">
        <v>2</v>
      </c>
      <c r="E10" s="12">
        <f>(100/B16)*C16</f>
        <v>25</v>
      </c>
    </row>
    <row r="11" spans="1:15" x14ac:dyDescent="0.3">
      <c r="A11" t="s">
        <v>46</v>
      </c>
      <c r="B11" t="s">
        <v>134</v>
      </c>
      <c r="C11" t="s">
        <v>135</v>
      </c>
    </row>
    <row r="12" spans="1:15" x14ac:dyDescent="0.3">
      <c r="B12" s="6">
        <v>4</v>
      </c>
      <c r="C12" s="6">
        <v>1</v>
      </c>
      <c r="F12" s="6"/>
      <c r="G12" s="6" t="s">
        <v>132</v>
      </c>
      <c r="H12" s="6" t="s">
        <v>138</v>
      </c>
      <c r="L12" t="s">
        <v>139</v>
      </c>
    </row>
    <row r="13" spans="1:15" ht="31.5" customHeight="1" x14ac:dyDescent="0.3">
      <c r="A13" s="9" t="s">
        <v>131</v>
      </c>
      <c r="B13" t="s">
        <v>134</v>
      </c>
      <c r="C13" t="s">
        <v>135</v>
      </c>
      <c r="F13" s="6" t="s">
        <v>34</v>
      </c>
      <c r="G13" s="6">
        <f>I6</f>
        <v>10</v>
      </c>
      <c r="H13" s="6">
        <f>I7</f>
        <v>30</v>
      </c>
      <c r="J13" s="11"/>
      <c r="L13" t="s">
        <v>139</v>
      </c>
    </row>
    <row r="14" spans="1:15" x14ac:dyDescent="0.3">
      <c r="B14" s="6">
        <v>4</v>
      </c>
      <c r="C14" s="6">
        <v>1</v>
      </c>
      <c r="F14" s="6" t="s">
        <v>35</v>
      </c>
      <c r="G14" s="6">
        <f>J6</f>
        <v>40</v>
      </c>
      <c r="H14" s="6">
        <f>J7</f>
        <v>30</v>
      </c>
      <c r="J14" s="11"/>
    </row>
    <row r="15" spans="1:15" x14ac:dyDescent="0.3">
      <c r="A15" t="s">
        <v>47</v>
      </c>
      <c r="B15" t="s">
        <v>134</v>
      </c>
      <c r="C15" t="s">
        <v>135</v>
      </c>
      <c r="F15" s="6" t="s">
        <v>130</v>
      </c>
      <c r="G15" s="6">
        <f>K6</f>
        <v>15</v>
      </c>
      <c r="H15" s="6">
        <f>K7</f>
        <v>15</v>
      </c>
      <c r="J15" s="11"/>
    </row>
    <row r="16" spans="1:15" x14ac:dyDescent="0.3">
      <c r="B16" s="6">
        <v>4</v>
      </c>
      <c r="C16" s="6">
        <v>1</v>
      </c>
      <c r="F16" s="6" t="s">
        <v>36</v>
      </c>
      <c r="G16" s="6">
        <f>L6</f>
        <v>5</v>
      </c>
      <c r="H16" s="6">
        <f>L7</f>
        <v>5</v>
      </c>
    </row>
    <row r="17" spans="6:8" x14ac:dyDescent="0.3">
      <c r="F17" s="6" t="s">
        <v>46</v>
      </c>
      <c r="G17" s="6">
        <f>M6</f>
        <v>2.5</v>
      </c>
      <c r="H17" s="6">
        <f>M7</f>
        <v>1.25</v>
      </c>
    </row>
    <row r="18" spans="6:8" ht="29.25" customHeight="1" x14ac:dyDescent="0.3">
      <c r="F18" s="10" t="s">
        <v>131</v>
      </c>
      <c r="G18" s="6">
        <f>N6</f>
        <v>1.25</v>
      </c>
      <c r="H18" s="6">
        <f>N7</f>
        <v>1.25</v>
      </c>
    </row>
    <row r="19" spans="6:8" x14ac:dyDescent="0.3">
      <c r="F19" s="6" t="s">
        <v>47</v>
      </c>
      <c r="G19" s="6">
        <f>O6</f>
        <v>1.25</v>
      </c>
      <c r="H19" s="6">
        <f>O7</f>
        <v>1.25</v>
      </c>
    </row>
    <row r="20" spans="6:8" x14ac:dyDescent="0.3">
      <c r="F20" s="6" t="s">
        <v>140</v>
      </c>
      <c r="G20" s="6">
        <f>G13+G14+G15+G16+G17+G18+G19</f>
        <v>75</v>
      </c>
      <c r="H20" s="6">
        <f>H13+H14+H15+H16+H17+H18+H19</f>
        <v>83.75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O20"/>
  <sheetViews>
    <sheetView workbookViewId="0">
      <selection activeCell="C7" sqref="C7"/>
    </sheetView>
  </sheetViews>
  <sheetFormatPr defaultRowHeight="14.4" x14ac:dyDescent="0.3"/>
  <cols>
    <col min="1" max="1" width="11.21875" customWidth="1"/>
    <col min="2" max="2" width="12" customWidth="1"/>
    <col min="3" max="3" width="14.5546875" customWidth="1"/>
    <col min="4" max="4" width="4" customWidth="1"/>
    <col min="5" max="5" width="15.21875" customWidth="1"/>
    <col min="6" max="7" width="9.21875" customWidth="1"/>
    <col min="9" max="9" width="12.77734375" customWidth="1"/>
    <col min="10" max="10" width="15.21875" customWidth="1"/>
    <col min="13" max="13" width="16.5546875" customWidth="1"/>
  </cols>
  <sheetData>
    <row r="2" spans="1:15" x14ac:dyDescent="0.3">
      <c r="A2" t="s">
        <v>120</v>
      </c>
      <c r="B2" s="7" t="s">
        <v>121</v>
      </c>
      <c r="C2" s="7">
        <v>3</v>
      </c>
    </row>
    <row r="3" spans="1:15" x14ac:dyDescent="0.3">
      <c r="B3" t="s">
        <v>122</v>
      </c>
      <c r="C3" t="s">
        <v>123</v>
      </c>
    </row>
    <row r="4" spans="1:15" x14ac:dyDescent="0.3">
      <c r="A4" t="s">
        <v>124</v>
      </c>
      <c r="B4" s="6">
        <v>10</v>
      </c>
      <c r="C4" s="6">
        <v>10</v>
      </c>
      <c r="E4" s="12">
        <f>(100/B4)*C4</f>
        <v>100</v>
      </c>
    </row>
    <row r="5" spans="1:15" x14ac:dyDescent="0.3">
      <c r="A5" t="s">
        <v>125</v>
      </c>
      <c r="B5" t="s">
        <v>126</v>
      </c>
      <c r="C5" t="s">
        <v>127</v>
      </c>
      <c r="E5" s="12">
        <f>(100/B6)*C6</f>
        <v>100</v>
      </c>
      <c r="I5" s="6" t="s">
        <v>128</v>
      </c>
      <c r="J5" s="6" t="s">
        <v>129</v>
      </c>
      <c r="K5" s="6" t="s">
        <v>130</v>
      </c>
      <c r="L5" s="6" t="s">
        <v>36</v>
      </c>
      <c r="M5" s="6" t="s">
        <v>46</v>
      </c>
      <c r="N5" s="6" t="s">
        <v>131</v>
      </c>
      <c r="O5" s="6" t="s">
        <v>47</v>
      </c>
    </row>
    <row r="6" spans="1:15" x14ac:dyDescent="0.3">
      <c r="B6" s="6">
        <f>C2+1</f>
        <v>4</v>
      </c>
      <c r="C6" s="6">
        <v>4</v>
      </c>
      <c r="E6" s="12">
        <f>(100/B8)*C8</f>
        <v>75</v>
      </c>
      <c r="F6" s="8" t="s">
        <v>132</v>
      </c>
      <c r="I6" s="8">
        <f>C4</f>
        <v>10</v>
      </c>
      <c r="J6" s="8">
        <f>40/B6*C6</f>
        <v>40</v>
      </c>
      <c r="K6" s="8">
        <f>15/B8*C8</f>
        <v>11.25</v>
      </c>
      <c r="L6" s="8">
        <f>10/B10*C10</f>
        <v>0</v>
      </c>
      <c r="M6" s="8">
        <f>10/B12*C12</f>
        <v>0</v>
      </c>
      <c r="N6" s="8">
        <f>5/B14*C14</f>
        <v>0</v>
      </c>
      <c r="O6" s="8">
        <f>5/B16*C16</f>
        <v>0</v>
      </c>
    </row>
    <row r="7" spans="1:15" x14ac:dyDescent="0.3">
      <c r="A7" t="s">
        <v>133</v>
      </c>
      <c r="B7" t="s">
        <v>134</v>
      </c>
      <c r="C7" t="s">
        <v>135</v>
      </c>
      <c r="E7" s="12">
        <f>(100/B10)*C10</f>
        <v>0</v>
      </c>
      <c r="F7" s="6" t="s">
        <v>136</v>
      </c>
      <c r="G7" s="6"/>
      <c r="H7" s="6"/>
      <c r="I7" s="6">
        <f>I6+20</f>
        <v>30</v>
      </c>
      <c r="J7" s="6">
        <f>30/B6*C6</f>
        <v>30</v>
      </c>
      <c r="K7" s="6">
        <f>15/B8*C8</f>
        <v>11.25</v>
      </c>
      <c r="L7" s="6">
        <f>10/B10*C10</f>
        <v>0</v>
      </c>
      <c r="M7" s="6">
        <f>5/B12*C12</f>
        <v>0</v>
      </c>
      <c r="N7" s="6">
        <f>5/B14*C14</f>
        <v>0</v>
      </c>
      <c r="O7" s="6">
        <f>5/B16*C16</f>
        <v>0</v>
      </c>
    </row>
    <row r="8" spans="1:15" x14ac:dyDescent="0.3">
      <c r="B8" s="6">
        <v>4</v>
      </c>
      <c r="C8" s="6">
        <v>3</v>
      </c>
      <c r="E8" s="12">
        <f>(100/B12)*C12</f>
        <v>0</v>
      </c>
    </row>
    <row r="9" spans="1:15" x14ac:dyDescent="0.3">
      <c r="A9" t="s">
        <v>137</v>
      </c>
      <c r="B9" t="s">
        <v>134</v>
      </c>
      <c r="C9" t="s">
        <v>135</v>
      </c>
      <c r="E9" s="12">
        <f>(100/B14)*C14</f>
        <v>0</v>
      </c>
    </row>
    <row r="10" spans="1:15" x14ac:dyDescent="0.3">
      <c r="B10" s="6">
        <v>4</v>
      </c>
      <c r="C10" s="6">
        <v>0</v>
      </c>
      <c r="E10" s="12">
        <f>(100/B16)*C16</f>
        <v>0</v>
      </c>
    </row>
    <row r="11" spans="1:15" x14ac:dyDescent="0.3">
      <c r="A11" t="s">
        <v>46</v>
      </c>
      <c r="B11" t="s">
        <v>134</v>
      </c>
      <c r="C11" t="s">
        <v>135</v>
      </c>
    </row>
    <row r="12" spans="1:15" x14ac:dyDescent="0.3">
      <c r="B12" s="6">
        <v>4</v>
      </c>
      <c r="C12" s="6">
        <v>0</v>
      </c>
      <c r="F12" s="6"/>
      <c r="G12" s="6" t="s">
        <v>132</v>
      </c>
      <c r="H12" s="6" t="s">
        <v>138</v>
      </c>
      <c r="L12" t="s">
        <v>139</v>
      </c>
    </row>
    <row r="13" spans="1:15" ht="31.5" customHeight="1" x14ac:dyDescent="0.3">
      <c r="A13" s="9" t="s">
        <v>131</v>
      </c>
      <c r="B13" t="s">
        <v>134</v>
      </c>
      <c r="C13" t="s">
        <v>135</v>
      </c>
      <c r="F13" s="6" t="s">
        <v>34</v>
      </c>
      <c r="G13" s="6">
        <f>I6</f>
        <v>10</v>
      </c>
      <c r="H13" s="6">
        <f>I7</f>
        <v>30</v>
      </c>
      <c r="L13" t="s">
        <v>139</v>
      </c>
    </row>
    <row r="14" spans="1:15" x14ac:dyDescent="0.3">
      <c r="B14" s="6">
        <v>4</v>
      </c>
      <c r="C14" s="6">
        <v>0</v>
      </c>
      <c r="F14" s="6" t="s">
        <v>35</v>
      </c>
      <c r="G14" s="6">
        <f>J6</f>
        <v>40</v>
      </c>
      <c r="H14" s="6">
        <f>J7</f>
        <v>30</v>
      </c>
    </row>
    <row r="15" spans="1:15" x14ac:dyDescent="0.3">
      <c r="A15" t="s">
        <v>47</v>
      </c>
      <c r="B15" t="s">
        <v>134</v>
      </c>
      <c r="C15" t="s">
        <v>135</v>
      </c>
      <c r="F15" s="6" t="s">
        <v>130</v>
      </c>
      <c r="G15" s="6">
        <f>K6</f>
        <v>11.25</v>
      </c>
      <c r="H15" s="6">
        <f>K7</f>
        <v>11.25</v>
      </c>
    </row>
    <row r="16" spans="1:15" x14ac:dyDescent="0.3">
      <c r="B16" s="6">
        <v>4</v>
      </c>
      <c r="C16" s="6">
        <v>0</v>
      </c>
      <c r="F16" s="6" t="s">
        <v>36</v>
      </c>
      <c r="G16" s="6">
        <f>L6</f>
        <v>0</v>
      </c>
      <c r="H16" s="6">
        <f>L7</f>
        <v>0</v>
      </c>
    </row>
    <row r="17" spans="6:8" x14ac:dyDescent="0.3">
      <c r="F17" s="6" t="s">
        <v>46</v>
      </c>
      <c r="G17" s="6">
        <f>M6</f>
        <v>0</v>
      </c>
      <c r="H17" s="6">
        <f>M7</f>
        <v>0</v>
      </c>
    </row>
    <row r="18" spans="6:8" ht="29.25" customHeight="1" x14ac:dyDescent="0.3">
      <c r="F18" s="10" t="s">
        <v>131</v>
      </c>
      <c r="G18" s="6">
        <f>N6</f>
        <v>0</v>
      </c>
      <c r="H18" s="6">
        <f>N7</f>
        <v>0</v>
      </c>
    </row>
    <row r="19" spans="6:8" x14ac:dyDescent="0.3">
      <c r="F19" s="6" t="s">
        <v>47</v>
      </c>
      <c r="G19" s="6">
        <f>O6</f>
        <v>0</v>
      </c>
      <c r="H19" s="6">
        <f>O7</f>
        <v>0</v>
      </c>
    </row>
    <row r="20" spans="6:8" x14ac:dyDescent="0.3">
      <c r="F20" s="6" t="s">
        <v>140</v>
      </c>
      <c r="G20" s="6">
        <f>G13+G14+G15+G16+G17+G18+G19</f>
        <v>61.25</v>
      </c>
      <c r="H20" s="6">
        <f>H13+H14+H15+H16+H17+H18+H19</f>
        <v>71.25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20"/>
  <sheetViews>
    <sheetView workbookViewId="0">
      <selection activeCell="C8" sqref="C8"/>
    </sheetView>
  </sheetViews>
  <sheetFormatPr defaultRowHeight="14.4" x14ac:dyDescent="0.3"/>
  <cols>
    <col min="1" max="1" width="11.21875" customWidth="1"/>
    <col min="2" max="2" width="12" customWidth="1"/>
    <col min="3" max="3" width="14.5546875" customWidth="1"/>
    <col min="4" max="4" width="4" customWidth="1"/>
    <col min="5" max="5" width="15.21875" customWidth="1"/>
    <col min="6" max="7" width="9.21875" customWidth="1"/>
    <col min="9" max="9" width="12.77734375" customWidth="1"/>
    <col min="10" max="10" width="15.21875" customWidth="1"/>
    <col min="13" max="13" width="16.5546875" customWidth="1"/>
  </cols>
  <sheetData>
    <row r="2" spans="1:15" x14ac:dyDescent="0.3">
      <c r="A2" t="s">
        <v>120</v>
      </c>
      <c r="B2" s="7" t="s">
        <v>121</v>
      </c>
      <c r="C2" s="7">
        <v>3</v>
      </c>
    </row>
    <row r="3" spans="1:15" x14ac:dyDescent="0.3">
      <c r="B3" t="s">
        <v>122</v>
      </c>
      <c r="C3" t="s">
        <v>123</v>
      </c>
    </row>
    <row r="4" spans="1:15" x14ac:dyDescent="0.3">
      <c r="A4" t="s">
        <v>124</v>
      </c>
      <c r="B4" s="6">
        <v>10</v>
      </c>
      <c r="C4" s="6">
        <v>10</v>
      </c>
      <c r="E4" s="12">
        <f>(100/B4)*C4</f>
        <v>100</v>
      </c>
    </row>
    <row r="5" spans="1:15" x14ac:dyDescent="0.3">
      <c r="A5" t="s">
        <v>125</v>
      </c>
      <c r="B5" t="s">
        <v>126</v>
      </c>
      <c r="C5" t="s">
        <v>127</v>
      </c>
      <c r="E5" s="12">
        <f>(100/B6)*C6</f>
        <v>75</v>
      </c>
      <c r="I5" s="6" t="s">
        <v>128</v>
      </c>
      <c r="J5" s="6" t="s">
        <v>129</v>
      </c>
      <c r="K5" s="6" t="s">
        <v>130</v>
      </c>
      <c r="L5" s="6" t="s">
        <v>36</v>
      </c>
      <c r="M5" s="6" t="s">
        <v>46</v>
      </c>
      <c r="N5" s="6" t="s">
        <v>131</v>
      </c>
      <c r="O5" s="6" t="s">
        <v>47</v>
      </c>
    </row>
    <row r="6" spans="1:15" x14ac:dyDescent="0.3">
      <c r="B6" s="6">
        <f>C2+1</f>
        <v>4</v>
      </c>
      <c r="C6" s="6">
        <v>3</v>
      </c>
      <c r="E6" s="12">
        <f>(100/B8)*C8</f>
        <v>75</v>
      </c>
      <c r="F6" s="8" t="s">
        <v>132</v>
      </c>
      <c r="I6" s="8">
        <f>C4</f>
        <v>10</v>
      </c>
      <c r="J6" s="8">
        <f>40/B6*C6</f>
        <v>30</v>
      </c>
      <c r="K6" s="8">
        <f>15/B8*C8</f>
        <v>11.25</v>
      </c>
      <c r="L6" s="8">
        <f>10/B10*C10</f>
        <v>5</v>
      </c>
      <c r="M6" s="8">
        <f>10/B12*C12</f>
        <v>0</v>
      </c>
      <c r="N6" s="8">
        <f>5/B14*C14</f>
        <v>0</v>
      </c>
      <c r="O6" s="8">
        <f>5/B16*C16</f>
        <v>0</v>
      </c>
    </row>
    <row r="7" spans="1:15" x14ac:dyDescent="0.3">
      <c r="A7" t="s">
        <v>133</v>
      </c>
      <c r="B7" t="s">
        <v>134</v>
      </c>
      <c r="C7" t="s">
        <v>135</v>
      </c>
      <c r="E7" s="12">
        <f>(100/B10)*C10</f>
        <v>50</v>
      </c>
      <c r="F7" s="6" t="s">
        <v>136</v>
      </c>
      <c r="G7" s="6"/>
      <c r="H7" s="6"/>
      <c r="I7" s="6">
        <f>I6+20</f>
        <v>30</v>
      </c>
      <c r="J7" s="6">
        <f>30/B6*C6</f>
        <v>22.5</v>
      </c>
      <c r="K7" s="6">
        <f>15/B8*C8</f>
        <v>11.25</v>
      </c>
      <c r="L7" s="6">
        <f>10/B10*C10</f>
        <v>5</v>
      </c>
      <c r="M7" s="6">
        <f>5/B12*C12</f>
        <v>0</v>
      </c>
      <c r="N7" s="6">
        <f>5/B14*C14</f>
        <v>0</v>
      </c>
      <c r="O7" s="6">
        <f>5/B16*C16</f>
        <v>0</v>
      </c>
    </row>
    <row r="8" spans="1:15" x14ac:dyDescent="0.3">
      <c r="B8" s="6">
        <v>4</v>
      </c>
      <c r="C8" s="6">
        <v>3</v>
      </c>
      <c r="E8" s="12">
        <f>(100/B12)*C12</f>
        <v>0</v>
      </c>
    </row>
    <row r="9" spans="1:15" x14ac:dyDescent="0.3">
      <c r="A9" t="s">
        <v>137</v>
      </c>
      <c r="B9" t="s">
        <v>134</v>
      </c>
      <c r="C9" t="s">
        <v>135</v>
      </c>
      <c r="E9" s="12">
        <f>(100/B14)*C14</f>
        <v>0</v>
      </c>
    </row>
    <row r="10" spans="1:15" x14ac:dyDescent="0.3">
      <c r="B10" s="6">
        <v>4</v>
      </c>
      <c r="C10" s="6">
        <v>2</v>
      </c>
      <c r="E10" s="12">
        <f>(100/B16)*C16</f>
        <v>0</v>
      </c>
    </row>
    <row r="11" spans="1:15" x14ac:dyDescent="0.3">
      <c r="A11" t="s">
        <v>46</v>
      </c>
      <c r="B11" t="s">
        <v>134</v>
      </c>
      <c r="C11" t="s">
        <v>135</v>
      </c>
    </row>
    <row r="12" spans="1:15" x14ac:dyDescent="0.3">
      <c r="B12" s="6">
        <v>4</v>
      </c>
      <c r="C12" s="6">
        <v>0</v>
      </c>
      <c r="F12" s="6"/>
      <c r="G12" s="6" t="s">
        <v>132</v>
      </c>
      <c r="H12" s="6" t="s">
        <v>138</v>
      </c>
      <c r="L12" t="s">
        <v>139</v>
      </c>
    </row>
    <row r="13" spans="1:15" ht="31.5" customHeight="1" x14ac:dyDescent="0.3">
      <c r="A13" s="9" t="s">
        <v>131</v>
      </c>
      <c r="B13" t="s">
        <v>134</v>
      </c>
      <c r="C13" t="s">
        <v>135</v>
      </c>
      <c r="F13" s="6" t="s">
        <v>34</v>
      </c>
      <c r="G13" s="6">
        <f>I6</f>
        <v>10</v>
      </c>
      <c r="H13" s="6">
        <f>I7</f>
        <v>30</v>
      </c>
      <c r="L13" t="s">
        <v>139</v>
      </c>
    </row>
    <row r="14" spans="1:15" x14ac:dyDescent="0.3">
      <c r="B14" s="6">
        <v>4</v>
      </c>
      <c r="C14" s="6">
        <v>0</v>
      </c>
      <c r="F14" s="6" t="s">
        <v>35</v>
      </c>
      <c r="G14" s="6">
        <f>J6</f>
        <v>30</v>
      </c>
      <c r="H14" s="6">
        <f>J7</f>
        <v>22.5</v>
      </c>
    </row>
    <row r="15" spans="1:15" x14ac:dyDescent="0.3">
      <c r="A15" t="s">
        <v>47</v>
      </c>
      <c r="B15" t="s">
        <v>134</v>
      </c>
      <c r="C15" t="s">
        <v>135</v>
      </c>
      <c r="F15" s="6" t="s">
        <v>130</v>
      </c>
      <c r="G15" s="6">
        <f>K6</f>
        <v>11.25</v>
      </c>
      <c r="H15" s="6">
        <f>K7</f>
        <v>11.25</v>
      </c>
    </row>
    <row r="16" spans="1:15" x14ac:dyDescent="0.3">
      <c r="B16" s="6">
        <v>4</v>
      </c>
      <c r="C16" s="6">
        <v>0</v>
      </c>
      <c r="F16" s="6" t="s">
        <v>36</v>
      </c>
      <c r="G16" s="6">
        <f>L6</f>
        <v>5</v>
      </c>
      <c r="H16" s="6">
        <f>L7</f>
        <v>5</v>
      </c>
    </row>
    <row r="17" spans="6:8" x14ac:dyDescent="0.3">
      <c r="F17" s="6" t="s">
        <v>46</v>
      </c>
      <c r="G17" s="6">
        <f>M6</f>
        <v>0</v>
      </c>
      <c r="H17" s="6">
        <f>M7</f>
        <v>0</v>
      </c>
    </row>
    <row r="18" spans="6:8" ht="29.25" customHeight="1" x14ac:dyDescent="0.3">
      <c r="F18" s="10" t="s">
        <v>131</v>
      </c>
      <c r="G18" s="6">
        <f>N6</f>
        <v>0</v>
      </c>
      <c r="H18" s="6">
        <f>N7</f>
        <v>0</v>
      </c>
    </row>
    <row r="19" spans="6:8" x14ac:dyDescent="0.3">
      <c r="F19" s="6" t="s">
        <v>47</v>
      </c>
      <c r="G19" s="6">
        <f>O6</f>
        <v>0</v>
      </c>
      <c r="H19" s="6">
        <f>O7</f>
        <v>0</v>
      </c>
    </row>
    <row r="20" spans="6:8" x14ac:dyDescent="0.3">
      <c r="F20" s="6" t="s">
        <v>140</v>
      </c>
      <c r="G20" s="6">
        <f>G13+G14+G15+G16+G17+G18+G19</f>
        <v>56.25</v>
      </c>
      <c r="H20" s="6">
        <f>H13+H14+H15+H16+H17+H18+H19</f>
        <v>68.75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Sheet1</vt:lpstr>
      <vt:lpstr>Note</vt:lpstr>
      <vt:lpstr>valuation</vt:lpstr>
      <vt:lpstr>C % 1A,C</vt:lpstr>
      <vt:lpstr>B</vt:lpstr>
      <vt:lpstr>D</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2025-09-17T10:55:55Z</cp:lastPrinted>
  <dcterms:created xsi:type="dcterms:W3CDTF">2013-11-23T05:32:33Z</dcterms:created>
  <dcterms:modified xsi:type="dcterms:W3CDTF">2025-09-17T10:58:14Z</dcterms:modified>
</cp:coreProperties>
</file>