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EA308896-ADE9-45B8-B817-14EF8BE39B3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84" i="1"/>
  <c r="D170" i="1"/>
  <c r="M170" i="1" s="1"/>
  <c r="D169" i="1"/>
  <c r="M169" i="1" s="1"/>
  <c r="D168" i="1"/>
  <c r="M168" i="1" s="1"/>
  <c r="J167" i="1"/>
  <c r="I167" i="1"/>
  <c r="G167" i="1"/>
  <c r="D167" i="1"/>
  <c r="M167" i="1" s="1"/>
  <c r="A167" i="1"/>
  <c r="D180" i="1" l="1"/>
  <c r="J180" i="1" s="1"/>
  <c r="D188" i="1"/>
  <c r="D187" i="1"/>
  <c r="D186" i="1"/>
  <c r="D185" i="1"/>
  <c r="D158" i="1"/>
  <c r="K154" i="1"/>
  <c r="K155" i="1"/>
  <c r="A168" i="1"/>
  <c r="G133" i="1" l="1"/>
  <c r="G132" i="1"/>
  <c r="G135" i="1"/>
  <c r="G134" i="1"/>
  <c r="D162" i="1"/>
  <c r="J157" i="1"/>
  <c r="I157" i="1"/>
  <c r="I156" i="1"/>
  <c r="J156" i="1"/>
  <c r="J155" i="1"/>
  <c r="I155" i="1"/>
  <c r="D155" i="1"/>
  <c r="D177" i="1"/>
  <c r="D176" i="1"/>
  <c r="D175" i="1"/>
  <c r="D174" i="1"/>
  <c r="D163" i="1"/>
  <c r="D164" i="1"/>
  <c r="D165" i="1"/>
  <c r="D156" i="1"/>
  <c r="M156" i="1" s="1"/>
  <c r="D157" i="1"/>
  <c r="M158" i="1"/>
  <c r="I147" i="1"/>
  <c r="I146" i="1"/>
  <c r="I145" i="1"/>
  <c r="I45" i="1"/>
  <c r="G180" i="1"/>
  <c r="G185" i="1"/>
  <c r="G174" i="1"/>
  <c r="D148" i="1"/>
  <c r="D147" i="1"/>
  <c r="D146" i="1"/>
  <c r="D149" i="1"/>
  <c r="F149" i="1" s="1"/>
  <c r="D145" i="1"/>
  <c r="E42" i="1"/>
  <c r="A174" i="1"/>
  <c r="A185" i="1"/>
  <c r="A169" i="1"/>
  <c r="A155" i="1"/>
  <c r="C132" i="1" l="1"/>
  <c r="G136" i="1"/>
  <c r="C134" i="1"/>
  <c r="M155" i="1"/>
  <c r="E132" i="1"/>
  <c r="C135" i="1"/>
  <c r="C128" i="1"/>
  <c r="C129" i="1" s="1"/>
  <c r="C133" i="1"/>
  <c r="M157" i="1"/>
  <c r="E128" i="1"/>
  <c r="E129" i="1" s="1"/>
  <c r="E134" i="1"/>
  <c r="E133" i="1"/>
  <c r="E135" i="1"/>
  <c r="Z12" i="1"/>
  <c r="I14" i="1"/>
  <c r="A170" i="1"/>
  <c r="A175" i="1"/>
  <c r="A156" i="1"/>
  <c r="A186" i="1"/>
  <c r="C136" i="1" l="1"/>
  <c r="C137" i="1" s="1"/>
  <c r="E136" i="1"/>
  <c r="E137" i="1" s="1"/>
  <c r="F145" i="1"/>
  <c r="A187" i="1"/>
  <c r="A157" i="1"/>
  <c r="A176" i="1"/>
  <c r="E43" i="1" l="1"/>
  <c r="E44" i="1" s="1"/>
  <c r="A158" i="1"/>
  <c r="A188" i="1"/>
  <c r="A177" i="1"/>
  <c r="C15" i="1" l="1"/>
  <c r="E30" i="1" l="1"/>
  <c r="G155" i="1" l="1"/>
  <c r="F125" i="1" l="1"/>
  <c r="F146" i="1" l="1"/>
  <c r="F147" i="1"/>
  <c r="F148" i="1"/>
  <c r="G128" i="1" l="1"/>
  <c r="G129" i="1" s="1"/>
  <c r="B191" i="1"/>
  <c r="G137" i="1" l="1"/>
  <c r="J45" i="1" s="1"/>
  <c r="K45" i="1" s="1"/>
  <c r="B19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3" i="1"/>
  <c r="G162" i="1"/>
  <c r="A146" i="1"/>
  <c r="A147" i="1" s="1"/>
  <c r="A148" i="1" s="1"/>
  <c r="A149" i="1" s="1"/>
  <c r="G145" i="1"/>
  <c r="B85" i="1"/>
  <c r="B71" i="1"/>
  <c r="D56" i="1"/>
  <c r="G50" i="1"/>
  <c r="G51" i="1" s="1"/>
  <c r="C50" i="1"/>
  <c r="C51" i="1" s="1"/>
  <c r="E27" i="1"/>
  <c r="E25" i="1"/>
  <c r="E7" i="1"/>
  <c r="E3" i="1"/>
  <c r="D64" i="1" l="1"/>
  <c r="H85" i="1"/>
  <c r="H71" i="1"/>
  <c r="J89" i="1" l="1"/>
  <c r="J87" i="1"/>
  <c r="J90" i="1"/>
  <c r="J84" i="1"/>
  <c r="J86" i="1" s="1"/>
  <c r="D92" i="1"/>
  <c r="D94" i="1"/>
  <c r="D97" i="1"/>
  <c r="D91" i="1"/>
  <c r="D95" i="1"/>
  <c r="D96" i="1"/>
  <c r="D93" i="1"/>
  <c r="J88" i="1"/>
  <c r="D83" i="1"/>
  <c r="D81" i="1"/>
  <c r="D80" i="1"/>
  <c r="D77" i="1"/>
  <c r="D79" i="1"/>
  <c r="J76" i="1"/>
  <c r="J77" i="1" s="1"/>
  <c r="D82" i="1"/>
  <c r="J70" i="1"/>
  <c r="J72" i="1" s="1"/>
  <c r="D78" i="1"/>
  <c r="J74" i="1"/>
  <c r="J75" i="1"/>
  <c r="C74" i="1" s="1"/>
  <c r="J73" i="1"/>
  <c r="J92" i="1"/>
  <c r="J93" i="1" s="1"/>
  <c r="J94" i="1" s="1"/>
  <c r="J95" i="1" s="1"/>
  <c r="J78" i="1"/>
  <c r="J79" i="1" s="1"/>
  <c r="J80" i="1" s="1"/>
  <c r="J81" i="1" s="1"/>
  <c r="D90" i="1"/>
  <c r="D76" i="1"/>
  <c r="B99" i="1" l="1"/>
  <c r="J91" i="1"/>
  <c r="J96" i="1" s="1"/>
  <c r="J97" i="1" s="1"/>
  <c r="C89" i="1" s="1"/>
  <c r="C88" i="1"/>
  <c r="D88" i="1" s="1"/>
  <c r="J82" i="1"/>
  <c r="J83" i="1" s="1"/>
  <c r="C75" i="1" s="1"/>
  <c r="D74" i="1"/>
  <c r="H99" i="1"/>
  <c r="J103" i="1" l="1"/>
  <c r="C102" i="1" s="1"/>
  <c r="D102" i="1" s="1"/>
  <c r="J101" i="1"/>
  <c r="J98" i="1"/>
  <c r="J100" i="1" s="1"/>
  <c r="D110" i="1"/>
  <c r="D108" i="1"/>
  <c r="D106" i="1"/>
  <c r="J102" i="1"/>
  <c r="D111" i="1"/>
  <c r="D109" i="1"/>
  <c r="D107" i="1"/>
  <c r="D105" i="1"/>
  <c r="D104" i="1"/>
  <c r="J109" i="1"/>
  <c r="J107" i="1"/>
  <c r="J108" i="1"/>
  <c r="J106" i="1"/>
  <c r="J104" i="1"/>
  <c r="J105" i="1" s="1"/>
  <c r="J110" i="1" s="1"/>
  <c r="J111" i="1" s="1"/>
  <c r="C103" i="1" s="1"/>
  <c r="J85" i="1"/>
  <c r="G74" i="1"/>
  <c r="D68" i="1" s="1"/>
  <c r="D69" i="1" s="1"/>
  <c r="J71" i="1"/>
  <c r="D75" i="1"/>
  <c r="E74" i="1"/>
  <c r="E88" i="1"/>
  <c r="G88" i="1"/>
  <c r="D89" i="1"/>
  <c r="I85" i="1" s="1"/>
  <c r="I86" i="1" s="1"/>
  <c r="E102" i="1" l="1"/>
  <c r="D103" i="1"/>
  <c r="I99" i="1" s="1"/>
  <c r="I100" i="1" s="1"/>
  <c r="G102" i="1"/>
  <c r="J99" i="1"/>
  <c r="I71" i="1"/>
  <c r="I72" i="1" s="1"/>
  <c r="F69" i="1"/>
  <c r="I84" i="1"/>
  <c r="C86" i="1" s="1"/>
  <c r="I98" i="1" l="1"/>
  <c r="C100" i="1" s="1"/>
  <c r="I70" i="1"/>
  <c r="C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<sst xmlns="http://schemas.openxmlformats.org/spreadsheetml/2006/main" count="509" uniqueCount="305">
  <si>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</si>
  <si>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</si>
  <si>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</si>
  <si>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</si>
  <si>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</si>
  <si>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</si>
  <si>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</si>
  <si>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</si>
  <si>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</si>
  <si>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</si>
  <si>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</si>
  <si>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</si>
  <si>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</si>
  <si>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</si>
  <si>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</si>
  <si>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</si>
  <si>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</si>
  <si>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</si>
  <si>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</si>
  <si>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</si>
  <si>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</si>
  <si>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</si>
  <si>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</si>
  <si>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</si>
  <si>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</si>
  <si>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</si>
  <si>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</si>
  <si>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</si>
  <si>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</si>
  <si>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</si>
  <si>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</si>
  <si>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</si>
  <si>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</si>
  <si>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</si>
  <si>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</si>
  <si>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</si>
  <si>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</si>
  <si>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</si>
  <si>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</si>
  <si>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</si>
  <si>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</si>
  <si>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</si>
  <si>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</si>
  <si>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</si>
  <si>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</si>
  <si>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</si>
  <si>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</si>
  <si>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</si>
  <si>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</si>
  <si>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</si>
  <si>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</si>
  <si>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</si>
  <si>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</si>
  <si>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</si>
  <si>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</si>
  <si>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</si>
  <si>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</si>
  <si>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</si>
  <si>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</si>
  <si>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</si>
  <si>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</si>
  <si>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</si>
  <si>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</si>
  <si>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</si>
  <si>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</si>
  <si>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</si>
  <si>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</si>
  <si>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</si>
  <si>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</si>
  <si>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</si>
  <si>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</si>
  <si>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</si>
  <si>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</si>
  <si>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</si>
  <si>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</si>
  <si>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</si>
  <si>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</si>
  <si>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</si>
  <si>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</si>
  <si>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</si>
  <si>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</si>
  <si>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</si>
  <si>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</si>
  <si>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</si>
  <si>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</si>
  <si>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</si>
  <si>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</si>
  <si>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</si>
  <si>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</si>
  <si>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</si>
  <si>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</si>
  <si>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</si>
  <si>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</si>
  <si>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</si>
  <si>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</si>
  <si>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</si>
  <si>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</si>
  <si>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</si>
  <si>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</si>
  <si>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</si>
  <si>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</si>
  <si>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</si>
  <si>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</si>
  <si>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</si>
  <si>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</si>
  <si>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</si>
  <si>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</si>
  <si>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</si>
  <si>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</si>
  <si>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</si>
  <si>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</si>
  <si>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</si>
  <si>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</si>
  <si>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</si>
  <si>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</si>
  <si>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</si>
  <si>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</si>
  <si>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</si>
  <si>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</si>
  <si>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</si>
  <si>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</si>
  <si>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</si>
  <si>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</si>
  <si>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</si>
  <si>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</si>
  <si>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</si>
  <si>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</si>
  <si>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</si>
  <si>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</si>
  <si>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</si>
  <si>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</si>
  <si>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</si>
  <si>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</si>
  <si>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</si>
  <si>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</si>
  <si>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</si>
  <si>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</si>
  <si>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</si>
  <si>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</si>
  <si>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</si>
  <si>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</si>
  <si>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</si>
  <si>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</si>
  <si>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</si>
  <si>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</si>
  <si>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</si>
  <si>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</si>
  <si>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</si>
  <si>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</si>
  <si>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</si>
  <si>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</si>
  <si>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</si>
  <si>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</si>
  <si>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</si>
  <si>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</si>
  <si>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</si>
  <si>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</si>
  <si>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</si>
  <si>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</si>
  <si>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</si>
  <si>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</si>
  <si>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</si>
  <si>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</si>
  <si>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</si>
  <si>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</si>
  <si>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</si>
  <si>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</si>
  <si>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</si>
  <si>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</si>
  <si>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</si>
  <si>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</si>
  <si>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</si>
  <si>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</si>
  <si>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</si>
  <si>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</si>
  <si>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</si>
  <si>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</si>
  <si>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</si>
  <si>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</si>
  <si>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</si>
  <si>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</si>
  <si>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</si>
  <si>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</si>
  <si>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</si>
  <si>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</si>
  <si>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</si>
  <si>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</si>
  <si>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</si>
  <si>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</si>
  <si>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</si>
  <si>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</si>
  <si>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</si>
  <si>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</si>
  <si>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</si>
  <si>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</si>
  <si>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</si>
  <si>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</si>
  <si>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</si>
  <si>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</si>
  <si>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</si>
  <si>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</si>
  <si>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</si>
  <si>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</si>
  <si>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</si>
  <si>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</si>
  <si>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</si>
  <si>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</si>
  <si>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</si>
  <si>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</si>
  <si>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</si>
  <si>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</si>
  <si>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</si>
  <si>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</si>
  <si>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</si>
  <si>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</si>
  <si>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</si>
  <si>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</si>
  <si>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</si>
  <si>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</si>
  <si>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</si>
  <si>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</si>
  <si>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</si>
  <si>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</si>
  <si>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</si>
  <si>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</si>
  <si>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</si>
  <si>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</si>
  <si>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</si>
  <si>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</si>
  <si>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</si>
  <si>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</si>
  <si>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</si>
  <si>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</si>
  <si>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</si>
  <si>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</si>
  <si>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Rare Livspace</t>
  </si>
  <si>
    <t>Hrishikesh 3</t>
  </si>
  <si>
    <t>Wing A, B, C &amp; D</t>
  </si>
  <si>
    <t>P52000052666</t>
  </si>
  <si>
    <t>3/3/B</t>
  </si>
  <si>
    <t>Survey No</t>
  </si>
  <si>
    <t>Nevali</t>
  </si>
  <si>
    <t>19.023043,73.126583</t>
  </si>
  <si>
    <t>https://maps.app.goo.gl/dQzsAb5cKRbeSNqJ7</t>
  </si>
  <si>
    <t>Vasan Nagar</t>
  </si>
  <si>
    <t>Panvel Waterfall Road</t>
  </si>
  <si>
    <t>Kalamboli East</t>
  </si>
  <si>
    <t>Kartik residency co op hsg soc</t>
  </si>
  <si>
    <t>Existing Newali Village Road</t>
  </si>
  <si>
    <t>Other Plot</t>
  </si>
  <si>
    <t>Survey No. 3/Part</t>
  </si>
  <si>
    <t>Internal Road</t>
  </si>
  <si>
    <t>Open Plot</t>
  </si>
  <si>
    <t>Navi Mumbai Airport Influence Notified Area (NAINA)</t>
  </si>
  <si>
    <t>04 Wings</t>
  </si>
  <si>
    <t>Club House, Gymnasium, Kids Swimming Pool, Tennis Court, Kids Playing Area, etc,</t>
  </si>
  <si>
    <t>Building No. 1</t>
  </si>
  <si>
    <t>A Wing</t>
  </si>
  <si>
    <t>Ground Floor For Commercial &amp; Parking</t>
  </si>
  <si>
    <t>Shop</t>
  </si>
  <si>
    <t>1st to 4th Floor For Residential</t>
  </si>
  <si>
    <t>1BHK</t>
  </si>
  <si>
    <t>B Wing</t>
  </si>
  <si>
    <t>Ground Floor For Parking</t>
  </si>
  <si>
    <t>C Wing</t>
  </si>
  <si>
    <t>Ground Floor For Meter Room, Society Office, Drivers Room &amp; Parking</t>
  </si>
  <si>
    <t>D Wing</t>
  </si>
  <si>
    <t>Ground Floor For Residential &amp; Parking</t>
  </si>
  <si>
    <t>001</t>
  </si>
  <si>
    <t>-</t>
  </si>
  <si>
    <t>Parking</t>
  </si>
  <si>
    <t>2.60KM from Kalamboli Railway Station</t>
  </si>
  <si>
    <t>Wing A</t>
  </si>
  <si>
    <t>Shops</t>
  </si>
  <si>
    <t>Wing B</t>
  </si>
  <si>
    <t>Wing C</t>
  </si>
  <si>
    <t>Wing D</t>
  </si>
  <si>
    <t>Flats - 65, Shops - 05</t>
  </si>
  <si>
    <t xml:space="preserve">Airport NOC
Valid Up to: </t>
  </si>
  <si>
    <t>Builder Saleable area</t>
  </si>
  <si>
    <t>Approved Plans, CC, Sale Plans, Builder Saleable Area, Cost Sheet &amp; Airport Noc.</t>
  </si>
  <si>
    <t>Building 1 (A to D Wing) = Stilt/Ground + 1st to 4th Floor
Net Builtup Area = 2107.75sq.m</t>
  </si>
  <si>
    <t xml:space="preserve">Dated
Valid Upto </t>
  </si>
  <si>
    <t>12/04/2023
11/04/2031</t>
  </si>
  <si>
    <t xml:space="preserve">NAVI/WEST/B/030923/746042
67.19M (AMSL)
</t>
  </si>
  <si>
    <t>We considered Gross carpet area = Net carpet + Enclose balcony + Chajja Area.</t>
  </si>
  <si>
    <t>4200 to 4400</t>
  </si>
  <si>
    <t>sanket</t>
  </si>
  <si>
    <t>verbal</t>
  </si>
  <si>
    <t>CIDCO/NAINA/Panvel/Nevali/
BP-00665/CC/2023/0421</t>
  </si>
  <si>
    <t>Wing A, B, C &amp; D = Construction work is in process at the time of Visit.
Wing B = Work is same as last visit.</t>
  </si>
  <si>
    <t xml:space="preserve">Recommended Rates of the Property have been revised on 29/11/2023 &amp; 26/12/2024.
</t>
  </si>
  <si>
    <t>1st Floor For Residential</t>
  </si>
  <si>
    <t>2nd to 4th Floor For Residential</t>
  </si>
  <si>
    <t>SA changed to 696 from 650 by smith for over valued index 2 26/12/2024</t>
  </si>
  <si>
    <t>Ravindra Vishwakarma</t>
  </si>
  <si>
    <t>Wing (A) = G + 1st to 6th Floor</t>
  </si>
  <si>
    <t>Wing (B to D) = G + 1st to 5th Floor</t>
  </si>
  <si>
    <t>Wing A  = G + 1st to 6th Floor</t>
  </si>
  <si>
    <t>Wing B &amp; C = G + 1st to 5th Floor</t>
  </si>
  <si>
    <t>Wing D = G + 1st to 5th Floor</t>
  </si>
  <si>
    <t>Construction work goes beyond CC permission . Please provide Revised Approved plans &amp; CC.</t>
  </si>
  <si>
    <t>Wing A = G + 1st to 6th Floor</t>
  </si>
  <si>
    <t>As per RERA - 31/10/2025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</si>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</sst>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15" fillId="0" borderId="0" xfId="1" applyNumberFormat="1" applyFont="1"/>
    <xf numFmtId="16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9" xfId="0" applyFont="1" applyBorder="1"/>
    <xf numFmtId="0" fontId="24" fillId="2" borderId="15" xfId="0" applyFont="1" applyFill="1" applyBorder="1"/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7" fillId="2" borderId="2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 wrapText="1"/>
      <protection locked="0"/>
    </xf>
    <xf numFmtId="49" fontId="6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770491</xdr:colOff>
      <xdr:row>271</xdr:row>
      <xdr:rowOff>179177</xdr:rowOff>
    </xdr:from>
    <xdr:to>
      <xdr:col>5</xdr:col>
      <xdr:colOff>750991</xdr:colOff>
      <xdr:row>290</xdr:row>
      <xdr:rowOff>7501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9641" y="54795527"/>
          <a:ext cx="3600000" cy="36287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247651</xdr:colOff>
      <xdr:row>256</xdr:row>
      <xdr:rowOff>50286</xdr:rowOff>
    </xdr:from>
    <xdr:to>
      <xdr:col>7</xdr:col>
      <xdr:colOff>516256</xdr:colOff>
      <xdr:row>270</xdr:row>
      <xdr:rowOff>129936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247651" y="54304686"/>
          <a:ext cx="6128385" cy="2853330"/>
          <a:chOff x="247651" y="51666261"/>
          <a:chExt cx="6364605" cy="2880000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989954" y="49923958"/>
            <a:ext cx="2880000" cy="63646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76400" y="52778025"/>
            <a:ext cx="952500" cy="12192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676525" y="52778025"/>
            <a:ext cx="933450" cy="12287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3657600" y="52778024"/>
            <a:ext cx="895350" cy="12287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4610100" y="52778025"/>
            <a:ext cx="962025" cy="12382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1771650" y="54159150"/>
            <a:ext cx="72244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Wing A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2781300" y="54168675"/>
            <a:ext cx="714298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N" sz="14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Wing B</a:t>
            </a:r>
            <a:endParaRPr lang="en-IN" sz="1400">
              <a:solidFill>
                <a:srgbClr val="FF0000"/>
              </a:solidFill>
              <a:effectLst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3752850" y="54168675"/>
            <a:ext cx="70865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Wing C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4724400" y="54178200"/>
            <a:ext cx="72680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>
                <a:solidFill>
                  <a:srgbClr val="FF0000"/>
                </a:solidFill>
              </a:rPr>
              <a:t>Wing D</a:t>
            </a:r>
          </a:p>
        </xdr:txBody>
      </xdr:sp>
    </xdr:grpSp>
    <xdr:clientData/>
  </xdr:twoCellAnchor>
  <xdr:twoCellAnchor>
    <xdr:from>
      <xdr:col>1</xdr:col>
      <xdr:colOff>68580</xdr:colOff>
      <xdr:row>298</xdr:row>
      <xdr:rowOff>30480</xdr:rowOff>
    </xdr:from>
    <xdr:to>
      <xdr:col>6</xdr:col>
      <xdr:colOff>723900</xdr:colOff>
      <xdr:row>332</xdr:row>
      <xdr:rowOff>154710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B563F459-2140-62C8-8F54-254FD604352B}"/>
            </a:ext>
          </a:extLst>
        </xdr:cNvPr>
        <xdr:cNvGrpSpPr/>
      </xdr:nvGrpSpPr>
      <xdr:grpSpPr>
        <a:xfrm>
          <a:off x="853440" y="62605920"/>
          <a:ext cx="4945380" cy="6860310"/>
          <a:chOff x="609600" y="62604015"/>
          <a:chExt cx="5372496" cy="798997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09600" y="62604015"/>
            <a:ext cx="5363466" cy="39238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609600" y="66672090"/>
            <a:ext cx="5372496" cy="3921900"/>
            <a:chOff x="565030" y="4295954"/>
            <a:chExt cx="5608716" cy="396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565030" y="4295954"/>
              <a:ext cx="5608716" cy="39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>
              <a:stCxn id="39" idx="2"/>
            </xdr:cNvCxnSpPr>
          </xdr:nvCxnSpPr>
          <xdr:spPr>
            <a:xfrm>
              <a:off x="2794588" y="5205508"/>
              <a:ext cx="507373" cy="2415540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>
              <a:endCxn id="40" idx="3"/>
            </xdr:cNvCxnSpPr>
          </xdr:nvCxnSpPr>
          <xdr:spPr>
            <a:xfrm flipV="1">
              <a:off x="3301961" y="7344229"/>
              <a:ext cx="627740" cy="276820"/>
            </a:xfrm>
            <a:prstGeom prst="line">
              <a:avLst/>
            </a:prstGeom>
            <a:ln w="38100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Freeform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2794588" y="5044505"/>
              <a:ext cx="365760" cy="161003"/>
            </a:xfrm>
            <a:custGeom>
              <a:avLst/>
              <a:gdLst>
                <a:gd name="connsiteX0" fmla="*/ 365760 w 365760"/>
                <a:gd name="connsiteY0" fmla="*/ 983 h 161003"/>
                <a:gd name="connsiteX1" fmla="*/ 76200 w 365760"/>
                <a:gd name="connsiteY1" fmla="*/ 23843 h 161003"/>
                <a:gd name="connsiteX2" fmla="*/ 0 w 365760"/>
                <a:gd name="connsiteY2" fmla="*/ 161003 h 16100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365760" h="161003">
                  <a:moveTo>
                    <a:pt x="365760" y="983"/>
                  </a:moveTo>
                  <a:cubicBezTo>
                    <a:pt x="251460" y="-922"/>
                    <a:pt x="137160" y="-2827"/>
                    <a:pt x="76200" y="23843"/>
                  </a:cubicBezTo>
                  <a:cubicBezTo>
                    <a:pt x="15240" y="50513"/>
                    <a:pt x="0" y="161003"/>
                    <a:pt x="0" y="161003"/>
                  </a:cubicBezTo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0" name="Freeform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3160348" y="5044505"/>
              <a:ext cx="987790" cy="2299724"/>
            </a:xfrm>
            <a:custGeom>
              <a:avLst/>
              <a:gdLst>
                <a:gd name="connsiteX0" fmla="*/ 0 w 1006302"/>
                <a:gd name="connsiteY0" fmla="*/ 0 h 2264229"/>
                <a:gd name="connsiteX1" fmla="*/ 580571 w 1006302"/>
                <a:gd name="connsiteY1" fmla="*/ 246743 h 2264229"/>
                <a:gd name="connsiteX2" fmla="*/ 1001486 w 1006302"/>
                <a:gd name="connsiteY2" fmla="*/ 1074057 h 2264229"/>
                <a:gd name="connsiteX3" fmla="*/ 783771 w 1006302"/>
                <a:gd name="connsiteY3" fmla="*/ 2264229 h 22642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06302" h="2264229">
                  <a:moveTo>
                    <a:pt x="0" y="0"/>
                  </a:moveTo>
                  <a:cubicBezTo>
                    <a:pt x="206828" y="33867"/>
                    <a:pt x="413657" y="67734"/>
                    <a:pt x="580571" y="246743"/>
                  </a:cubicBezTo>
                  <a:cubicBezTo>
                    <a:pt x="747485" y="425752"/>
                    <a:pt x="967619" y="737809"/>
                    <a:pt x="1001486" y="1074057"/>
                  </a:cubicBezTo>
                  <a:cubicBezTo>
                    <a:pt x="1035353" y="1410305"/>
                    <a:pt x="882952" y="2039258"/>
                    <a:pt x="783771" y="2264229"/>
                  </a:cubicBezTo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 editAs="oneCell">
    <xdr:from>
      <xdr:col>9</xdr:col>
      <xdr:colOff>228600</xdr:colOff>
      <xdr:row>123</xdr:row>
      <xdr:rowOff>9525</xdr:rowOff>
    </xdr:from>
    <xdr:to>
      <xdr:col>13</xdr:col>
      <xdr:colOff>3867</xdr:colOff>
      <xdr:row>137</xdr:row>
      <xdr:rowOff>70124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4850" y="24745950"/>
          <a:ext cx="3003325" cy="288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314960</xdr:colOff>
      <xdr:row>213</xdr:row>
      <xdr:rowOff>20320</xdr:rowOff>
    </xdr:from>
    <xdr:to>
      <xdr:col>16</xdr:col>
      <xdr:colOff>22532</xdr:colOff>
      <xdr:row>253</xdr:row>
      <xdr:rowOff>20320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75780" y="45763180"/>
          <a:ext cx="6367452" cy="7917180"/>
          <a:chOff x="101600" y="45250100"/>
          <a:chExt cx="6463972" cy="8064500"/>
        </a:xfrm>
      </xdr:grpSpPr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36816" y="51752944"/>
            <a:ext cx="2397778" cy="156165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7794" y="49824152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239" y="452501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6555" y="452501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9851" y="452501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8319" y="475353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7392" y="475353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4982415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0105" y="49824152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6465" y="4753536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9345" y="51752944"/>
            <a:ext cx="1348594" cy="156165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0" name="TextBox 100">
            <a:extLst>
              <a:ext uri="{FF2B5EF4-FFF2-40B4-BE49-F238E27FC236}">
                <a16:creationId xmlns:a16="http://schemas.microsoft.com/office/drawing/2014/main" id="{AB8F71BB-82D8-4D78-90A4-77CF792B1861}"/>
              </a:ext>
            </a:extLst>
          </xdr:cNvPr>
          <xdr:cNvSpPr txBox="1"/>
        </xdr:nvSpPr>
        <xdr:spPr>
          <a:xfrm>
            <a:off x="995139" y="46367700"/>
            <a:ext cx="736600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1" name="TextBox 100">
            <a:extLst>
              <a:ext uri="{FF2B5EF4-FFF2-40B4-BE49-F238E27FC236}">
                <a16:creationId xmlns:a16="http://schemas.microsoft.com/office/drawing/2014/main" id="{AB8F71BB-82D8-4D78-90A4-77CF792B1861}"/>
              </a:ext>
            </a:extLst>
          </xdr:cNvPr>
          <xdr:cNvSpPr txBox="1"/>
        </xdr:nvSpPr>
        <xdr:spPr>
          <a:xfrm>
            <a:off x="3578355" y="46589950"/>
            <a:ext cx="736600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2" name="TextBox 100">
            <a:extLst>
              <a:ext uri="{FF2B5EF4-FFF2-40B4-BE49-F238E27FC236}">
                <a16:creationId xmlns:a16="http://schemas.microsoft.com/office/drawing/2014/main" id="{AB8F71BB-82D8-4D78-90A4-77CF792B1861}"/>
              </a:ext>
            </a:extLst>
          </xdr:cNvPr>
          <xdr:cNvSpPr txBox="1"/>
        </xdr:nvSpPr>
        <xdr:spPr>
          <a:xfrm>
            <a:off x="4991451" y="46424850"/>
            <a:ext cx="736600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C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3" name="TextBox 100">
            <a:extLst>
              <a:ext uri="{FF2B5EF4-FFF2-40B4-BE49-F238E27FC236}">
                <a16:creationId xmlns:a16="http://schemas.microsoft.com/office/drawing/2014/main" id="{AB8F71BB-82D8-4D78-90A4-77CF792B1861}"/>
              </a:ext>
            </a:extLst>
          </xdr:cNvPr>
          <xdr:cNvSpPr txBox="1"/>
        </xdr:nvSpPr>
        <xdr:spPr>
          <a:xfrm>
            <a:off x="1424119" y="48976810"/>
            <a:ext cx="736600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4" name="TextBox 100">
            <a:extLst>
              <a:ext uri="{FF2B5EF4-FFF2-40B4-BE49-F238E27FC236}">
                <a16:creationId xmlns:a16="http://schemas.microsoft.com/office/drawing/2014/main" id="{AB8F71BB-82D8-4D78-90A4-77CF792B1861}"/>
              </a:ext>
            </a:extLst>
          </xdr:cNvPr>
          <xdr:cNvSpPr txBox="1"/>
        </xdr:nvSpPr>
        <xdr:spPr>
          <a:xfrm>
            <a:off x="3012692" y="48868860"/>
            <a:ext cx="736600" cy="3114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D</a:t>
            </a:r>
            <a:endPara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83820</xdr:colOff>
      <xdr:row>214</xdr:row>
      <xdr:rowOff>30480</xdr:rowOff>
    </xdr:from>
    <xdr:to>
      <xdr:col>7</xdr:col>
      <xdr:colOff>620434</xdr:colOff>
      <xdr:row>250</xdr:row>
      <xdr:rowOff>61534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E8ED7AE-3F05-709D-D7B9-05D449606CF7}"/>
            </a:ext>
          </a:extLst>
        </xdr:cNvPr>
        <xdr:cNvGrpSpPr/>
      </xdr:nvGrpSpPr>
      <xdr:grpSpPr>
        <a:xfrm>
          <a:off x="83820" y="45971460"/>
          <a:ext cx="6396394" cy="7155754"/>
          <a:chOff x="-231838" y="135924"/>
          <a:chExt cx="6396394" cy="7155754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D33057DD-4C9B-BA80-97FF-5CDC49C51709}"/>
              </a:ext>
            </a:extLst>
          </xdr:cNvPr>
          <xdr:cNvGrpSpPr/>
        </xdr:nvGrpSpPr>
        <xdr:grpSpPr>
          <a:xfrm>
            <a:off x="-231838" y="5491678"/>
            <a:ext cx="6396394" cy="1800000"/>
            <a:chOff x="-246683" y="5588077"/>
            <a:chExt cx="6396394" cy="1800000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6B35AA76-FA1A-1F7C-AF50-8584883329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46683" y="558807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4C9F009A-D783-516A-9286-F4D12C029A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77217" y="558807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B9C4FEEA-8164-5E03-5AB8-A2F5428CE3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51933" y="558807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5386D65-E146-69AD-0633-B93E7AE9A325}"/>
              </a:ext>
            </a:extLst>
          </xdr:cNvPr>
          <xdr:cNvGrpSpPr/>
        </xdr:nvGrpSpPr>
        <xdr:grpSpPr>
          <a:xfrm>
            <a:off x="8191" y="135924"/>
            <a:ext cx="5928693" cy="5197877"/>
            <a:chOff x="263064" y="135924"/>
            <a:chExt cx="5928693" cy="5197877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E233388B-01F5-B528-A474-2F73CB9AE8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3725" y="281380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14CA560-9EF8-5CA4-CFC4-2E70944FE8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77217" y="13592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CB7AB4F3-5D70-C247-814A-E801EF5FC0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3726" y="13592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82928AAD-FCDB-AFC2-F137-38C5EFB65B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3065" y="13592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2D2E0B58-EA1E-1BFA-7A14-D358E869D8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3064" y="281380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99A04FBC-B1D4-E9C3-7A5A-30833D974E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77217" y="281380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" name="TextBox 21">
              <a:extLst>
                <a:ext uri="{FF2B5EF4-FFF2-40B4-BE49-F238E27FC236}">
                  <a16:creationId xmlns:a16="http://schemas.microsoft.com/office/drawing/2014/main" id="{A9B8A091-8CDC-5E32-227E-2A7A2C25373D}"/>
                </a:ext>
              </a:extLst>
            </xdr:cNvPr>
            <xdr:cNvSpPr txBox="1"/>
          </xdr:nvSpPr>
          <xdr:spPr>
            <a:xfrm>
              <a:off x="4578689" y="191013"/>
              <a:ext cx="64793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Wing C</a:t>
              </a:r>
              <a:endParaRPr lang="en-IN" sz="1200" b="1"/>
            </a:p>
          </xdr:txBody>
        </xdr:sp>
        <xdr:sp macro="" textlink="">
          <xdr:nvSpPr>
            <xdr:cNvPr id="13" name="TextBox 23">
              <a:extLst>
                <a:ext uri="{FF2B5EF4-FFF2-40B4-BE49-F238E27FC236}">
                  <a16:creationId xmlns:a16="http://schemas.microsoft.com/office/drawing/2014/main" id="{233DA762-77B2-11D0-A7C0-DDD1706BCFF3}"/>
                </a:ext>
              </a:extLst>
            </xdr:cNvPr>
            <xdr:cNvSpPr txBox="1"/>
          </xdr:nvSpPr>
          <xdr:spPr>
            <a:xfrm>
              <a:off x="3316132" y="311493"/>
              <a:ext cx="64793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Wing B</a:t>
              </a:r>
              <a:endParaRPr lang="en-IN" sz="1200" b="1"/>
            </a:p>
          </xdr:txBody>
        </xdr:sp>
        <xdr:sp macro="" textlink="">
          <xdr:nvSpPr>
            <xdr:cNvPr id="14" name="TextBox 24">
              <a:extLst>
                <a:ext uri="{FF2B5EF4-FFF2-40B4-BE49-F238E27FC236}">
                  <a16:creationId xmlns:a16="http://schemas.microsoft.com/office/drawing/2014/main" id="{1C0E4524-2107-C322-D569-4FD25AE98B42}"/>
                </a:ext>
              </a:extLst>
            </xdr:cNvPr>
            <xdr:cNvSpPr txBox="1"/>
          </xdr:nvSpPr>
          <xdr:spPr>
            <a:xfrm>
              <a:off x="263064" y="5045441"/>
              <a:ext cx="64793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FF00"/>
                  </a:solidFill>
                </a:rPr>
                <a:t>Wing D</a:t>
              </a:r>
              <a:endParaRPr lang="en-IN" sz="12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15" name="TextBox 25">
              <a:extLst>
                <a:ext uri="{FF2B5EF4-FFF2-40B4-BE49-F238E27FC236}">
                  <a16:creationId xmlns:a16="http://schemas.microsoft.com/office/drawing/2014/main" id="{E8B41124-843C-3C6D-2BA8-86EF1C2F3B62}"/>
                </a:ext>
              </a:extLst>
            </xdr:cNvPr>
            <xdr:cNvSpPr txBox="1"/>
          </xdr:nvSpPr>
          <xdr:spPr>
            <a:xfrm>
              <a:off x="1249698" y="329513"/>
              <a:ext cx="64793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Wing A</a:t>
              </a:r>
              <a:endParaRPr lang="en-IN" sz="12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dQzsAb5cKRbeSNqJ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97"/>
  <sheetViews>
    <sheetView tabSelected="1" view="pageBreakPreview" topLeftCell="A96" zoomScaleNormal="100" zoomScaleSheetLayoutView="100" zoomScalePageLayoutView="85" workbookViewId="0">
      <selection activeCell="M103" sqref="M103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6" width="11.77734375" style="40" customWidth="1"/>
    <col min="7" max="7" width="11.44140625" style="40" customWidth="1"/>
    <col min="8" max="8" width="10.21875" style="40" customWidth="1"/>
    <col min="9" max="9" width="17.44140625" style="21" customWidth="1"/>
    <col min="10" max="10" width="11.44140625" style="21" customWidth="1"/>
    <col min="11" max="11" width="11.777343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26" ht="46.5" customHeight="1" x14ac:dyDescent="0.3">
      <c r="A1" s="151" t="s">
        <v>165</v>
      </c>
      <c r="B1" s="151"/>
      <c r="C1" s="151"/>
      <c r="D1" s="151"/>
      <c r="E1" s="151"/>
      <c r="F1" s="151"/>
      <c r="G1" s="151"/>
      <c r="H1" s="151"/>
    </row>
    <row r="2" spans="1:26" ht="16.5" customHeight="1" x14ac:dyDescent="0.3">
      <c r="A2" s="94" t="s">
        <v>0</v>
      </c>
      <c r="B2" s="94"/>
      <c r="C2" s="94"/>
      <c r="D2" s="94"/>
      <c r="E2" s="94"/>
      <c r="F2" s="94"/>
      <c r="G2" s="94"/>
      <c r="H2" s="94"/>
    </row>
    <row r="3" spans="1:26" x14ac:dyDescent="0.3">
      <c r="A3" s="122" t="s">
        <v>1</v>
      </c>
      <c r="B3" s="122"/>
      <c r="C3" s="122"/>
      <c r="D3" s="122"/>
      <c r="E3" s="122" t="str">
        <f ca="1">TEXT(TODAY(),"DD/MM/YYYY")</f>
        <v>15/09/2025</v>
      </c>
      <c r="F3" s="122"/>
      <c r="G3" s="122"/>
      <c r="H3" s="122"/>
    </row>
    <row r="4" spans="1:26" ht="15" customHeight="1" x14ac:dyDescent="0.3">
      <c r="A4" s="122" t="s">
        <v>2</v>
      </c>
      <c r="B4" s="122"/>
      <c r="C4" s="122"/>
      <c r="D4" s="122"/>
      <c r="E4" s="122" t="s">
        <v>234</v>
      </c>
      <c r="F4" s="122"/>
      <c r="G4" s="122"/>
      <c r="H4" s="122"/>
    </row>
    <row r="5" spans="1:26" x14ac:dyDescent="0.3">
      <c r="A5" s="122" t="s">
        <v>3</v>
      </c>
      <c r="B5" s="122"/>
      <c r="C5" s="122"/>
      <c r="D5" s="122"/>
      <c r="E5" s="152">
        <v>45911</v>
      </c>
      <c r="F5" s="122"/>
      <c r="G5" s="122"/>
      <c r="H5" s="122"/>
    </row>
    <row r="6" spans="1:26" ht="16.5" customHeight="1" x14ac:dyDescent="0.3">
      <c r="A6" s="122" t="s">
        <v>4</v>
      </c>
      <c r="B6" s="122"/>
      <c r="C6" s="122"/>
      <c r="D6" s="122"/>
      <c r="E6" s="122" t="s">
        <v>235</v>
      </c>
      <c r="F6" s="122"/>
      <c r="G6" s="122"/>
      <c r="H6" s="122"/>
    </row>
    <row r="7" spans="1:26" ht="15" customHeight="1" x14ac:dyDescent="0.3">
      <c r="A7" s="122" t="s">
        <v>5</v>
      </c>
      <c r="B7" s="122"/>
      <c r="C7" s="122"/>
      <c r="D7" s="122"/>
      <c r="E7" s="122" t="str">
        <f>E6</f>
        <v>Rare Livspace</v>
      </c>
      <c r="F7" s="122"/>
      <c r="G7" s="122"/>
      <c r="H7" s="122"/>
    </row>
    <row r="8" spans="1:26" x14ac:dyDescent="0.3">
      <c r="A8" s="122" t="s">
        <v>6</v>
      </c>
      <c r="B8" s="122"/>
      <c r="C8" s="122"/>
      <c r="D8" s="122"/>
      <c r="E8" s="83" t="s">
        <v>236</v>
      </c>
      <c r="F8" s="83"/>
      <c r="G8" s="83"/>
      <c r="H8" s="83"/>
    </row>
    <row r="9" spans="1:26" x14ac:dyDescent="0.3">
      <c r="A9" s="122" t="s">
        <v>168</v>
      </c>
      <c r="B9" s="122"/>
      <c r="C9" s="122"/>
      <c r="D9" s="122"/>
      <c r="E9" s="122">
        <v>9022703322</v>
      </c>
      <c r="F9" s="122"/>
      <c r="G9" s="122"/>
      <c r="H9" s="122"/>
    </row>
    <row r="10" spans="1:26" x14ac:dyDescent="0.3">
      <c r="A10" s="122" t="s">
        <v>169</v>
      </c>
      <c r="B10" s="122"/>
      <c r="C10" s="122"/>
      <c r="D10" s="122"/>
      <c r="E10" s="122" t="s">
        <v>29</v>
      </c>
      <c r="F10" s="122"/>
      <c r="G10" s="122"/>
      <c r="H10" s="122"/>
    </row>
    <row r="11" spans="1:26" x14ac:dyDescent="0.3">
      <c r="A11" s="122" t="s">
        <v>7</v>
      </c>
      <c r="B11" s="122"/>
      <c r="C11" s="122"/>
      <c r="D11" s="122"/>
      <c r="E11" s="122" t="s">
        <v>237</v>
      </c>
      <c r="F11" s="122"/>
      <c r="G11" s="122"/>
      <c r="H11" s="122"/>
    </row>
    <row r="12" spans="1:26" x14ac:dyDescent="0.3">
      <c r="A12" s="122" t="s">
        <v>171</v>
      </c>
      <c r="B12" s="122"/>
      <c r="C12" s="122"/>
      <c r="D12" s="122"/>
      <c r="E12" s="122" t="s">
        <v>29</v>
      </c>
      <c r="F12" s="122"/>
      <c r="G12" s="122"/>
      <c r="H12" s="122"/>
      <c r="S12" s="56" t="s">
        <v>178</v>
      </c>
      <c r="T12" s="56" t="s">
        <v>188</v>
      </c>
      <c r="U12" s="56" t="s">
        <v>172</v>
      </c>
      <c r="V12" s="56" t="s">
        <v>193</v>
      </c>
      <c r="W12" s="56" t="s">
        <v>211</v>
      </c>
      <c r="X12"/>
      <c r="Y12" t="s">
        <v>193</v>
      </c>
      <c r="Z12" t="e">
        <f ca="1">OFFSET($S$12,1,MATCH($G19,$S$12:$W$12,0)-1,15,1)</f>
        <v>#VALUE!</v>
      </c>
    </row>
    <row r="13" spans="1:26" ht="32.25" customHeight="1" x14ac:dyDescent="0.3">
      <c r="A13" s="87" t="s">
        <v>8</v>
      </c>
      <c r="B13" s="87"/>
      <c r="C13" s="87"/>
      <c r="D13" s="87"/>
      <c r="E13" s="112" t="s">
        <v>280</v>
      </c>
      <c r="F13" s="112"/>
      <c r="G13" s="112"/>
      <c r="H13" s="112"/>
      <c r="S13" s="56" t="s">
        <v>179</v>
      </c>
      <c r="T13" s="56" t="s">
        <v>186</v>
      </c>
      <c r="U13" s="56" t="s">
        <v>208</v>
      </c>
      <c r="V13" s="56" t="s">
        <v>194</v>
      </c>
      <c r="W13" s="56" t="s">
        <v>212</v>
      </c>
      <c r="X13"/>
      <c r="Y13"/>
      <c r="Z13"/>
    </row>
    <row r="14" spans="1:26" x14ac:dyDescent="0.3">
      <c r="A14" s="87" t="s">
        <v>9</v>
      </c>
      <c r="B14" s="87"/>
      <c r="C14" s="87"/>
      <c r="D14" s="87"/>
      <c r="E14" s="112" t="s">
        <v>238</v>
      </c>
      <c r="F14" s="122"/>
      <c r="G14" s="122"/>
      <c r="H14" s="122"/>
      <c r="I14" s="91" t="e">
        <f ca="1">OFFSET($D$4,1,MATCH($J12,$D$4:$H$4,0)-1,15,1)</f>
        <v>#N/A</v>
      </c>
      <c r="J14" s="92"/>
      <c r="K14" s="92"/>
      <c r="L14" s="92"/>
      <c r="M14" s="92"/>
      <c r="N14" s="92"/>
      <c r="O14" s="92"/>
      <c r="P14" s="92"/>
      <c r="S14" s="56" t="s">
        <v>180</v>
      </c>
      <c r="T14" s="56" t="s">
        <v>187</v>
      </c>
      <c r="U14" s="56" t="s">
        <v>209</v>
      </c>
      <c r="V14" s="56" t="s">
        <v>195</v>
      </c>
      <c r="W14" s="56" t="s">
        <v>225</v>
      </c>
      <c r="X14"/>
      <c r="Y14"/>
      <c r="Z14"/>
    </row>
    <row r="15" spans="1:26" ht="33.75" customHeight="1" x14ac:dyDescent="0.3">
      <c r="A15" s="121" t="s">
        <v>10</v>
      </c>
      <c r="B15" s="121"/>
      <c r="C15" s="12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Hrishikesh 3, Survey No.3/3/B, near Kartik residency co op hsg soc, Panvel Waterfall Road, Vasan Nagar, Nevali, Kalamboli East, Panvel, Raigad - 413511.</v>
      </c>
      <c r="D15" s="121"/>
      <c r="E15" s="121"/>
      <c r="F15" s="121"/>
      <c r="G15" s="121"/>
      <c r="H15" s="121"/>
      <c r="S15" s="56" t="s">
        <v>181</v>
      </c>
      <c r="T15" s="56" t="s">
        <v>189</v>
      </c>
      <c r="U15" s="56" t="s">
        <v>210</v>
      </c>
      <c r="V15" s="56" t="s">
        <v>196</v>
      </c>
      <c r="W15" s="56" t="s">
        <v>213</v>
      </c>
      <c r="X15"/>
      <c r="Y15"/>
      <c r="Z15"/>
    </row>
    <row r="16" spans="1:26" x14ac:dyDescent="0.3">
      <c r="A16" s="112" t="s">
        <v>240</v>
      </c>
      <c r="B16" s="112"/>
      <c r="C16" s="112" t="s">
        <v>239</v>
      </c>
      <c r="D16" s="112"/>
      <c r="E16" s="112"/>
      <c r="F16" s="112"/>
      <c r="G16" s="112"/>
      <c r="H16" s="112"/>
      <c r="S16" s="56" t="s">
        <v>182</v>
      </c>
      <c r="T16" s="56" t="s">
        <v>190</v>
      </c>
      <c r="U16" s="56"/>
      <c r="V16" s="56" t="s">
        <v>197</v>
      </c>
      <c r="W16" s="56" t="s">
        <v>214</v>
      </c>
      <c r="X16"/>
      <c r="Y16"/>
      <c r="Z16"/>
    </row>
    <row r="17" spans="1:26" ht="15.75" customHeight="1" x14ac:dyDescent="0.3">
      <c r="A17" s="112" t="s">
        <v>163</v>
      </c>
      <c r="B17" s="112"/>
      <c r="C17" s="112" t="s">
        <v>244</v>
      </c>
      <c r="D17" s="112"/>
      <c r="E17" s="112"/>
      <c r="F17" s="112"/>
      <c r="G17" s="112"/>
      <c r="H17" s="112"/>
      <c r="S17" s="56" t="s">
        <v>183</v>
      </c>
      <c r="T17" s="56" t="s">
        <v>188</v>
      </c>
      <c r="U17" s="56"/>
      <c r="V17" s="56" t="s">
        <v>198</v>
      </c>
      <c r="W17" s="56" t="s">
        <v>215</v>
      </c>
      <c r="X17"/>
      <c r="Y17"/>
      <c r="Z17"/>
    </row>
    <row r="18" spans="1:26" ht="15.75" customHeight="1" x14ac:dyDescent="0.3">
      <c r="A18" s="121" t="s">
        <v>11</v>
      </c>
      <c r="B18" s="121"/>
      <c r="C18" s="122" t="s">
        <v>245</v>
      </c>
      <c r="D18" s="122"/>
      <c r="E18" s="121" t="s">
        <v>73</v>
      </c>
      <c r="F18" s="121"/>
      <c r="G18" s="112" t="s">
        <v>241</v>
      </c>
      <c r="H18" s="112"/>
      <c r="S18" s="56" t="s">
        <v>184</v>
      </c>
      <c r="T18" s="56" t="s">
        <v>191</v>
      </c>
      <c r="U18" s="56"/>
      <c r="V18" s="56" t="s">
        <v>199</v>
      </c>
      <c r="W18" s="56" t="s">
        <v>216</v>
      </c>
      <c r="X18"/>
      <c r="Y18"/>
      <c r="Z18"/>
    </row>
    <row r="19" spans="1:26" x14ac:dyDescent="0.3">
      <c r="A19" s="87" t="s">
        <v>13</v>
      </c>
      <c r="B19" s="87"/>
      <c r="C19" s="112" t="s">
        <v>246</v>
      </c>
      <c r="D19" s="112"/>
      <c r="E19" s="112" t="s">
        <v>12</v>
      </c>
      <c r="F19" s="112"/>
      <c r="G19" s="153" t="s">
        <v>193</v>
      </c>
      <c r="H19" s="153"/>
      <c r="S19" s="56" t="s">
        <v>185</v>
      </c>
      <c r="T19" s="56" t="s">
        <v>192</v>
      </c>
      <c r="U19" s="56"/>
      <c r="V19" s="56" t="s">
        <v>200</v>
      </c>
      <c r="W19" s="56" t="s">
        <v>217</v>
      </c>
      <c r="X19"/>
      <c r="Y19"/>
      <c r="Z19"/>
    </row>
    <row r="20" spans="1:26" x14ac:dyDescent="0.3">
      <c r="A20" s="87" t="s">
        <v>74</v>
      </c>
      <c r="B20" s="87"/>
      <c r="C20" s="112" t="s">
        <v>195</v>
      </c>
      <c r="D20" s="112"/>
      <c r="E20" s="112" t="s">
        <v>14</v>
      </c>
      <c r="F20" s="112"/>
      <c r="G20" s="112">
        <v>413511</v>
      </c>
      <c r="H20" s="112"/>
      <c r="S20" s="56"/>
      <c r="T20" s="56"/>
      <c r="U20" s="56"/>
      <c r="V20" s="56" t="s">
        <v>201</v>
      </c>
      <c r="W20" s="56" t="s">
        <v>218</v>
      </c>
      <c r="X20"/>
      <c r="Y20"/>
      <c r="Z20"/>
    </row>
    <row r="21" spans="1:26" ht="31.5" customHeight="1" x14ac:dyDescent="0.3">
      <c r="A21" s="87" t="s">
        <v>122</v>
      </c>
      <c r="B21" s="87"/>
      <c r="C21" s="112" t="s">
        <v>247</v>
      </c>
      <c r="D21" s="112"/>
      <c r="E21" s="112" t="s">
        <v>15</v>
      </c>
      <c r="F21" s="112"/>
      <c r="G21" s="112" t="s">
        <v>271</v>
      </c>
      <c r="H21" s="112"/>
      <c r="S21" s="56"/>
      <c r="T21" s="56"/>
      <c r="U21" s="56"/>
      <c r="V21" s="56" t="s">
        <v>202</v>
      </c>
      <c r="W21" s="56" t="s">
        <v>219</v>
      </c>
      <c r="X21"/>
      <c r="Y21"/>
      <c r="Z21"/>
    </row>
    <row r="22" spans="1:26" ht="15" customHeight="1" x14ac:dyDescent="0.3">
      <c r="A22" s="121" t="s">
        <v>76</v>
      </c>
      <c r="B22" s="121"/>
      <c r="C22" s="121"/>
      <c r="D22" s="121"/>
      <c r="E22" s="122" t="s">
        <v>16</v>
      </c>
      <c r="F22" s="122"/>
      <c r="G22" s="122"/>
      <c r="H22" s="122"/>
      <c r="S22" s="56"/>
      <c r="T22" s="56"/>
      <c r="U22" s="56"/>
      <c r="V22" s="56" t="s">
        <v>203</v>
      </c>
      <c r="W22" s="56" t="s">
        <v>220</v>
      </c>
      <c r="X22"/>
      <c r="Y22"/>
      <c r="Z22"/>
    </row>
    <row r="23" spans="1:26" ht="18.75" customHeight="1" x14ac:dyDescent="0.3">
      <c r="A23" s="121"/>
      <c r="B23" s="121"/>
      <c r="C23" s="121"/>
      <c r="D23" s="121"/>
      <c r="E23" s="122"/>
      <c r="F23" s="122"/>
      <c r="G23" s="122"/>
      <c r="H23" s="122"/>
      <c r="S23" s="56"/>
      <c r="T23" s="56"/>
      <c r="U23" s="56"/>
      <c r="V23" s="56" t="s">
        <v>204</v>
      </c>
      <c r="W23" s="56" t="s">
        <v>221</v>
      </c>
      <c r="X23"/>
      <c r="Y23"/>
      <c r="Z23"/>
    </row>
    <row r="24" spans="1:26" ht="15" customHeight="1" x14ac:dyDescent="0.3">
      <c r="A24" s="121" t="s">
        <v>17</v>
      </c>
      <c r="B24" s="121"/>
      <c r="C24" s="121"/>
      <c r="D24" s="121"/>
      <c r="E24" s="112" t="s">
        <v>18</v>
      </c>
      <c r="F24" s="112"/>
      <c r="G24" s="112"/>
      <c r="H24" s="112"/>
      <c r="S24" s="56"/>
      <c r="T24" s="56"/>
      <c r="U24" s="56"/>
      <c r="V24" s="56" t="s">
        <v>205</v>
      </c>
      <c r="W24" s="56" t="s">
        <v>222</v>
      </c>
      <c r="X24"/>
      <c r="Y24"/>
      <c r="Z24"/>
    </row>
    <row r="25" spans="1:26" ht="15" customHeight="1" x14ac:dyDescent="0.3">
      <c r="A25" s="87" t="s">
        <v>19</v>
      </c>
      <c r="B25" s="87"/>
      <c r="C25" s="87"/>
      <c r="D25" s="87"/>
      <c r="E25" s="112" t="str">
        <f>IF(AND(G19="Mumbai"),"Upper Class","Middle Class")</f>
        <v>Middle Class</v>
      </c>
      <c r="F25" s="112"/>
      <c r="G25" s="112"/>
      <c r="H25" s="112"/>
      <c r="S25" s="56"/>
      <c r="T25" s="56"/>
      <c r="U25" s="56"/>
      <c r="V25" s="56" t="s">
        <v>206</v>
      </c>
      <c r="W25" s="56" t="s">
        <v>223</v>
      </c>
      <c r="X25"/>
      <c r="Y25"/>
      <c r="Z25"/>
    </row>
    <row r="26" spans="1:26" x14ac:dyDescent="0.3">
      <c r="A26" s="87" t="s">
        <v>20</v>
      </c>
      <c r="B26" s="87"/>
      <c r="C26" s="87"/>
      <c r="D26" s="87"/>
      <c r="E26" s="112" t="s">
        <v>21</v>
      </c>
      <c r="F26" s="112"/>
      <c r="G26" s="112"/>
      <c r="H26" s="112"/>
      <c r="S26" s="56"/>
      <c r="T26" s="56"/>
      <c r="U26" s="56"/>
      <c r="V26" s="56" t="s">
        <v>207</v>
      </c>
      <c r="W26" s="56" t="s">
        <v>224</v>
      </c>
      <c r="X26"/>
      <c r="Y26"/>
      <c r="Z26"/>
    </row>
    <row r="27" spans="1:26" ht="15.75" customHeight="1" x14ac:dyDescent="0.3">
      <c r="A27" s="87" t="s">
        <v>22</v>
      </c>
      <c r="B27" s="87"/>
      <c r="C27" s="87"/>
      <c r="D27" s="87"/>
      <c r="E27" s="112" t="str">
        <f>IF(AND(G19="Mumbai"),"Developed","Developing")</f>
        <v>Developing</v>
      </c>
      <c r="F27" s="112"/>
      <c r="G27" s="112"/>
      <c r="H27" s="112"/>
    </row>
    <row r="28" spans="1:26" x14ac:dyDescent="0.3">
      <c r="A28" s="87" t="s">
        <v>23</v>
      </c>
      <c r="B28" s="87"/>
      <c r="C28" s="87"/>
      <c r="D28" s="87"/>
      <c r="E28" s="112" t="s">
        <v>24</v>
      </c>
      <c r="F28" s="112"/>
      <c r="G28" s="112"/>
      <c r="H28" s="112"/>
    </row>
    <row r="29" spans="1:26" ht="15.75" customHeight="1" x14ac:dyDescent="0.3">
      <c r="A29" s="87" t="s">
        <v>81</v>
      </c>
      <c r="B29" s="87"/>
      <c r="C29" s="87"/>
      <c r="D29" s="87"/>
      <c r="E29" s="112" t="s">
        <v>82</v>
      </c>
      <c r="F29" s="112"/>
      <c r="G29" s="112"/>
      <c r="H29" s="112"/>
    </row>
    <row r="30" spans="1:26" ht="15" customHeight="1" x14ac:dyDescent="0.3">
      <c r="A30" s="87" t="s">
        <v>32</v>
      </c>
      <c r="B30" s="87"/>
      <c r="C30" s="87"/>
      <c r="D30" s="87"/>
      <c r="E30" s="11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12"/>
      <c r="G30" s="112"/>
      <c r="H30" s="112"/>
    </row>
    <row r="31" spans="1:26" ht="15.75" customHeight="1" x14ac:dyDescent="0.3">
      <c r="A31" s="87" t="s">
        <v>93</v>
      </c>
      <c r="B31" s="87"/>
      <c r="C31" s="87"/>
      <c r="D31" s="87"/>
      <c r="E31" s="112" t="s">
        <v>33</v>
      </c>
      <c r="F31" s="112"/>
      <c r="G31" s="112"/>
      <c r="H31" s="112"/>
    </row>
    <row r="32" spans="1:26" s="22" customFormat="1" x14ac:dyDescent="0.3">
      <c r="A32" s="158" t="s">
        <v>94</v>
      </c>
      <c r="B32" s="158"/>
      <c r="C32" s="155" t="s">
        <v>173</v>
      </c>
      <c r="D32" s="156"/>
      <c r="E32" s="157"/>
      <c r="F32" s="155" t="s">
        <v>30</v>
      </c>
      <c r="G32" s="156"/>
      <c r="H32" s="157"/>
    </row>
    <row r="33" spans="1:11" s="22" customFormat="1" x14ac:dyDescent="0.3">
      <c r="A33" s="154" t="s">
        <v>25</v>
      </c>
      <c r="B33" s="154" t="s">
        <v>29</v>
      </c>
      <c r="C33" s="104" t="s">
        <v>248</v>
      </c>
      <c r="D33" s="105"/>
      <c r="E33" s="106"/>
      <c r="F33" s="104" t="s">
        <v>251</v>
      </c>
      <c r="G33" s="105"/>
      <c r="H33" s="106"/>
    </row>
    <row r="34" spans="1:11" x14ac:dyDescent="0.3">
      <c r="A34" s="154" t="s">
        <v>26</v>
      </c>
      <c r="B34" s="154" t="s">
        <v>29</v>
      </c>
      <c r="C34" s="104" t="s">
        <v>250</v>
      </c>
      <c r="D34" s="105"/>
      <c r="E34" s="106"/>
      <c r="F34" s="104" t="s">
        <v>247</v>
      </c>
      <c r="G34" s="105"/>
      <c r="H34" s="106"/>
    </row>
    <row r="35" spans="1:11" s="22" customFormat="1" x14ac:dyDescent="0.3">
      <c r="A35" s="154" t="s">
        <v>28</v>
      </c>
      <c r="B35" s="154" t="s">
        <v>29</v>
      </c>
      <c r="C35" s="104" t="s">
        <v>248</v>
      </c>
      <c r="D35" s="105"/>
      <c r="E35" s="106"/>
      <c r="F35" s="104" t="s">
        <v>245</v>
      </c>
      <c r="G35" s="105"/>
      <c r="H35" s="106"/>
    </row>
    <row r="36" spans="1:11" x14ac:dyDescent="0.3">
      <c r="A36" s="154" t="s">
        <v>27</v>
      </c>
      <c r="B36" s="154" t="s">
        <v>29</v>
      </c>
      <c r="C36" s="104" t="s">
        <v>249</v>
      </c>
      <c r="D36" s="105"/>
      <c r="E36" s="106"/>
      <c r="F36" s="104" t="s">
        <v>252</v>
      </c>
      <c r="G36" s="105"/>
      <c r="H36" s="106"/>
    </row>
    <row r="37" spans="1:11" x14ac:dyDescent="0.3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11" ht="15.75" customHeight="1" x14ac:dyDescent="0.3">
      <c r="A38" s="87" t="s">
        <v>166</v>
      </c>
      <c r="B38" s="87"/>
      <c r="C38" s="145" t="s">
        <v>242</v>
      </c>
      <c r="D38" s="145"/>
      <c r="E38" s="145"/>
      <c r="F38" s="145"/>
      <c r="G38" s="145"/>
      <c r="H38" s="145"/>
    </row>
    <row r="39" spans="1:11" x14ac:dyDescent="0.3">
      <c r="A39" s="87" t="s">
        <v>162</v>
      </c>
      <c r="B39" s="87"/>
      <c r="C39" s="193" t="s">
        <v>243</v>
      </c>
      <c r="D39" s="112"/>
      <c r="E39" s="112"/>
      <c r="F39" s="112"/>
      <c r="G39" s="112"/>
      <c r="H39" s="112"/>
    </row>
    <row r="40" spans="1:11" x14ac:dyDescent="0.3">
      <c r="A40" s="145" t="s">
        <v>34</v>
      </c>
      <c r="B40" s="145"/>
      <c r="C40" s="145"/>
      <c r="D40" s="145"/>
      <c r="E40" s="145"/>
      <c r="F40" s="145"/>
      <c r="G40" s="145"/>
      <c r="H40" s="145"/>
    </row>
    <row r="41" spans="1:11" x14ac:dyDescent="0.3">
      <c r="A41" s="87" t="s">
        <v>35</v>
      </c>
      <c r="B41" s="87"/>
      <c r="C41" s="87"/>
      <c r="D41" s="87"/>
      <c r="E41" s="159">
        <v>2127.08</v>
      </c>
      <c r="F41" s="159"/>
      <c r="G41" s="159"/>
      <c r="H41" s="159"/>
    </row>
    <row r="42" spans="1:11" x14ac:dyDescent="0.3">
      <c r="A42" s="87" t="s">
        <v>36</v>
      </c>
      <c r="B42" s="87"/>
      <c r="C42" s="87"/>
      <c r="D42" s="87"/>
      <c r="E42" s="111">
        <f>2127.08/E41</f>
        <v>1</v>
      </c>
      <c r="F42" s="111"/>
      <c r="G42" s="111"/>
      <c r="H42" s="111"/>
    </row>
    <row r="43" spans="1:11" x14ac:dyDescent="0.3">
      <c r="A43" s="87" t="s">
        <v>37</v>
      </c>
      <c r="B43" s="87"/>
      <c r="C43" s="87"/>
      <c r="D43" s="87"/>
      <c r="E43" s="111">
        <f>E45/E41-E42</f>
        <v>-9.0908663519942978E-3</v>
      </c>
      <c r="F43" s="111"/>
      <c r="G43" s="111"/>
      <c r="H43" s="111"/>
    </row>
    <row r="44" spans="1:11" x14ac:dyDescent="0.3">
      <c r="A44" s="87" t="s">
        <v>38</v>
      </c>
      <c r="B44" s="87"/>
      <c r="C44" s="87"/>
      <c r="D44" s="87"/>
      <c r="E44" s="111">
        <f>E42+E43</f>
        <v>0.9909091336480057</v>
      </c>
      <c r="F44" s="111"/>
      <c r="G44" s="111"/>
      <c r="H44" s="111"/>
    </row>
    <row r="45" spans="1:11" x14ac:dyDescent="0.3">
      <c r="A45" s="87" t="s">
        <v>92</v>
      </c>
      <c r="B45" s="87"/>
      <c r="C45" s="87"/>
      <c r="D45" s="87"/>
      <c r="E45" s="162">
        <v>2107.7429999999999</v>
      </c>
      <c r="F45" s="162"/>
      <c r="G45" s="162"/>
      <c r="H45" s="162"/>
      <c r="I45" s="59">
        <f>E45*10.764</f>
        <v>22687.745651999998</v>
      </c>
      <c r="J45" s="59">
        <f>G137</f>
        <v>44108.709779999997</v>
      </c>
      <c r="K45" s="59">
        <f>J45-I45</f>
        <v>21420.964128</v>
      </c>
    </row>
    <row r="46" spans="1:11" x14ac:dyDescent="0.3">
      <c r="A46" s="122" t="s">
        <v>39</v>
      </c>
      <c r="B46" s="122"/>
      <c r="C46" s="122"/>
      <c r="D46" s="122"/>
      <c r="E46" s="122" t="s">
        <v>254</v>
      </c>
      <c r="F46" s="122"/>
      <c r="G46" s="122"/>
      <c r="H46" s="122"/>
    </row>
    <row r="47" spans="1:11" x14ac:dyDescent="0.3">
      <c r="A47" s="145" t="s">
        <v>40</v>
      </c>
      <c r="B47" s="145"/>
      <c r="C47" s="145"/>
      <c r="D47" s="145"/>
      <c r="E47" s="145"/>
      <c r="F47" s="145"/>
      <c r="G47" s="145"/>
      <c r="H47" s="145"/>
    </row>
    <row r="48" spans="1:11" ht="33.75" customHeight="1" x14ac:dyDescent="0.3">
      <c r="A48" s="88" t="s">
        <v>151</v>
      </c>
      <c r="B48" s="90"/>
      <c r="C48" s="194" t="s">
        <v>253</v>
      </c>
      <c r="D48" s="195"/>
      <c r="E48" s="195"/>
      <c r="F48" s="195"/>
      <c r="G48" s="195"/>
      <c r="H48" s="196"/>
    </row>
    <row r="49" spans="1:14" ht="33.75" customHeight="1" x14ac:dyDescent="0.3">
      <c r="A49" s="88" t="s">
        <v>41</v>
      </c>
      <c r="B49" s="90"/>
      <c r="C49" s="88" t="s">
        <v>289</v>
      </c>
      <c r="D49" s="89"/>
      <c r="E49" s="90"/>
      <c r="F49" s="18" t="s">
        <v>42</v>
      </c>
      <c r="G49" s="118">
        <v>45159</v>
      </c>
      <c r="H49" s="90"/>
    </row>
    <row r="50" spans="1:14" ht="34.5" customHeight="1" x14ac:dyDescent="0.3">
      <c r="A50" s="88" t="s">
        <v>43</v>
      </c>
      <c r="B50" s="90"/>
      <c r="C50" s="88" t="str">
        <f>C49</f>
        <v>CIDCO/NAINA/Panvel/Nevali/
BP-00665/CC/2023/0421</v>
      </c>
      <c r="D50" s="89"/>
      <c r="E50" s="90"/>
      <c r="F50" s="18" t="s">
        <v>42</v>
      </c>
      <c r="G50" s="118">
        <f>G49</f>
        <v>45159</v>
      </c>
      <c r="H50" s="119"/>
    </row>
    <row r="51" spans="1:14" s="23" customFormat="1" ht="31.5" customHeight="1" x14ac:dyDescent="0.3">
      <c r="A51" s="121" t="s">
        <v>231</v>
      </c>
      <c r="B51" s="121"/>
      <c r="C51" s="88" t="str">
        <f>C50</f>
        <v>CIDCO/NAINA/Panvel/Nevali/
BP-00665/CC/2023/0421</v>
      </c>
      <c r="D51" s="89"/>
      <c r="E51" s="90"/>
      <c r="F51" s="18" t="s">
        <v>42</v>
      </c>
      <c r="G51" s="118">
        <f>G50</f>
        <v>45159</v>
      </c>
      <c r="H51" s="119"/>
    </row>
    <row r="52" spans="1:14" s="23" customFormat="1" ht="33" customHeight="1" x14ac:dyDescent="0.3">
      <c r="A52" s="121" t="s">
        <v>232</v>
      </c>
      <c r="B52" s="121"/>
      <c r="C52" s="88" t="s">
        <v>281</v>
      </c>
      <c r="D52" s="89"/>
      <c r="E52" s="89"/>
      <c r="F52" s="89"/>
      <c r="G52" s="89"/>
      <c r="H52" s="90"/>
    </row>
    <row r="53" spans="1:14" s="23" customFormat="1" ht="34.5" customHeight="1" x14ac:dyDescent="0.3">
      <c r="A53" s="121" t="s">
        <v>278</v>
      </c>
      <c r="B53" s="121"/>
      <c r="C53" s="88" t="s">
        <v>284</v>
      </c>
      <c r="D53" s="89"/>
      <c r="E53" s="90"/>
      <c r="F53" s="18" t="s">
        <v>282</v>
      </c>
      <c r="G53" s="118" t="s">
        <v>283</v>
      </c>
      <c r="H53" s="119"/>
    </row>
    <row r="54" spans="1:14" x14ac:dyDescent="0.3">
      <c r="A54" s="98" t="s">
        <v>44</v>
      </c>
      <c r="B54" s="99"/>
      <c r="C54" s="98" t="s">
        <v>106</v>
      </c>
      <c r="D54" s="100"/>
      <c r="E54" s="99"/>
      <c r="F54" s="46" t="s">
        <v>42</v>
      </c>
      <c r="G54" s="163" t="s">
        <v>29</v>
      </c>
      <c r="H54" s="164"/>
    </row>
    <row r="55" spans="1:14" x14ac:dyDescent="0.3">
      <c r="A55" s="120" t="s">
        <v>46</v>
      </c>
      <c r="B55" s="120"/>
      <c r="C55" s="120"/>
      <c r="D55" s="120"/>
      <c r="E55" s="120"/>
      <c r="F55" s="120"/>
      <c r="G55" s="120"/>
      <c r="H55" s="120"/>
    </row>
    <row r="56" spans="1:14" x14ac:dyDescent="0.3">
      <c r="A56" s="121" t="s">
        <v>91</v>
      </c>
      <c r="B56" s="121"/>
      <c r="C56" s="121"/>
      <c r="D56" s="87">
        <f>E45</f>
        <v>2107.7429999999999</v>
      </c>
      <c r="E56" s="87"/>
      <c r="F56" s="87"/>
      <c r="G56" s="87"/>
      <c r="H56" s="87"/>
    </row>
    <row r="57" spans="1:14" x14ac:dyDescent="0.3">
      <c r="A57" s="112" t="s">
        <v>47</v>
      </c>
      <c r="B57" s="122"/>
      <c r="C57" s="122"/>
      <c r="D57" s="123" t="s">
        <v>277</v>
      </c>
      <c r="E57" s="123"/>
      <c r="F57" s="123"/>
      <c r="G57" s="123"/>
      <c r="H57" s="123"/>
      <c r="I57" s="24"/>
    </row>
    <row r="58" spans="1:14" ht="15.75" customHeight="1" x14ac:dyDescent="0.3">
      <c r="A58" s="68" t="s">
        <v>48</v>
      </c>
      <c r="B58" s="69"/>
      <c r="C58" s="70"/>
      <c r="D58" s="66" t="s">
        <v>296</v>
      </c>
      <c r="E58" s="67"/>
      <c r="F58" s="67"/>
      <c r="G58" s="67"/>
      <c r="H58" s="67"/>
    </row>
    <row r="59" spans="1:14" ht="15.75" customHeight="1" x14ac:dyDescent="0.3">
      <c r="A59" s="71"/>
      <c r="B59" s="72"/>
      <c r="C59" s="73"/>
      <c r="D59" s="66" t="s">
        <v>297</v>
      </c>
      <c r="E59" s="67"/>
      <c r="F59" s="67"/>
      <c r="G59" s="67"/>
      <c r="H59" s="67"/>
    </row>
    <row r="60" spans="1:14" ht="15.75" customHeight="1" x14ac:dyDescent="0.3">
      <c r="A60" s="68" t="s">
        <v>89</v>
      </c>
      <c r="B60" s="69"/>
      <c r="C60" s="69"/>
      <c r="D60" s="126" t="s">
        <v>298</v>
      </c>
      <c r="E60" s="127"/>
      <c r="F60" s="127"/>
      <c r="G60" s="127"/>
      <c r="H60" s="128"/>
    </row>
    <row r="61" spans="1:14" ht="15.75" customHeight="1" x14ac:dyDescent="0.3">
      <c r="A61" s="124"/>
      <c r="B61" s="125"/>
      <c r="C61" s="125"/>
      <c r="D61" s="75" t="s">
        <v>299</v>
      </c>
      <c r="E61" s="76"/>
      <c r="F61" s="76"/>
      <c r="G61" s="76"/>
      <c r="H61" s="77"/>
    </row>
    <row r="62" spans="1:14" ht="15.75" customHeight="1" x14ac:dyDescent="0.3">
      <c r="A62" s="124"/>
      <c r="B62" s="125"/>
      <c r="C62" s="125"/>
      <c r="D62" s="75" t="s">
        <v>300</v>
      </c>
      <c r="E62" s="76"/>
      <c r="F62" s="76"/>
      <c r="G62" s="76"/>
      <c r="H62" s="77"/>
    </row>
    <row r="63" spans="1:14" ht="15.75" customHeight="1" x14ac:dyDescent="0.3">
      <c r="A63" s="87" t="s">
        <v>45</v>
      </c>
      <c r="B63" s="87"/>
      <c r="C63" s="87"/>
      <c r="D63" s="160" t="s">
        <v>303</v>
      </c>
      <c r="E63" s="160"/>
      <c r="F63" s="160"/>
      <c r="G63" s="160"/>
      <c r="H63" s="160"/>
      <c r="J63" s="25"/>
      <c r="K63" s="24"/>
      <c r="N63" s="24"/>
    </row>
    <row r="64" spans="1:14" ht="15.75" customHeight="1" x14ac:dyDescent="0.3">
      <c r="A64" s="87" t="s">
        <v>87</v>
      </c>
      <c r="B64" s="87"/>
      <c r="C64" s="87"/>
      <c r="D64" s="161" t="str">
        <f>(IF(G54="NA","60 Years After Completion",IF(G54&lt;&gt;"NA",""&amp;60-ROUNDDOWN((E3-G54)/360,0)&amp;" Years"," ")))</f>
        <v>60 Years After Completion</v>
      </c>
      <c r="E64" s="161"/>
      <c r="F64" s="161"/>
      <c r="G64" s="161"/>
      <c r="H64" s="161"/>
      <c r="N64" s="24"/>
    </row>
    <row r="65" spans="1:14" ht="15.75" customHeight="1" x14ac:dyDescent="0.3">
      <c r="A65" s="87" t="s">
        <v>88</v>
      </c>
      <c r="B65" s="87"/>
      <c r="C65" s="87"/>
      <c r="D65" s="121" t="s">
        <v>24</v>
      </c>
      <c r="E65" s="121"/>
      <c r="F65" s="121"/>
      <c r="G65" s="121"/>
      <c r="H65" s="121"/>
      <c r="J65" s="26"/>
      <c r="K65" s="26"/>
    </row>
    <row r="66" spans="1:14" ht="33.75" customHeight="1" x14ac:dyDescent="0.3">
      <c r="A66" s="122" t="s">
        <v>233</v>
      </c>
      <c r="B66" s="122"/>
      <c r="C66" s="122"/>
      <c r="D66" s="112" t="s">
        <v>255</v>
      </c>
      <c r="E66" s="121"/>
      <c r="F66" s="121"/>
      <c r="G66" s="121"/>
      <c r="H66" s="121"/>
    </row>
    <row r="67" spans="1:14" x14ac:dyDescent="0.3">
      <c r="A67" s="121" t="s">
        <v>148</v>
      </c>
      <c r="B67" s="121"/>
      <c r="C67" s="121"/>
      <c r="D67" s="121" t="s">
        <v>29</v>
      </c>
      <c r="E67" s="121"/>
      <c r="F67" s="121"/>
      <c r="G67" s="121"/>
      <c r="H67" s="121"/>
      <c r="I67" s="27"/>
      <c r="J67" s="27"/>
      <c r="K67" s="27"/>
      <c r="L67" s="27"/>
      <c r="M67" s="27"/>
      <c r="N67" s="27"/>
    </row>
    <row r="68" spans="1:14" ht="15.75" customHeight="1" x14ac:dyDescent="0.3">
      <c r="A68" s="87" t="s">
        <v>86</v>
      </c>
      <c r="B68" s="87"/>
      <c r="C68" s="87"/>
      <c r="D68" s="112" t="str">
        <f ca="1">(IF(G74&gt;95%,"Nothing",IF(G74&gt;0%,"Cement, Aggregate, Steel, etc",IF(G74=0%,"Work not yet Started"))))</f>
        <v>Cement, Aggregate, Steel, etc</v>
      </c>
      <c r="E68" s="112"/>
      <c r="F68" s="112"/>
      <c r="G68" s="112"/>
      <c r="H68" s="112"/>
      <c r="J68" s="26"/>
    </row>
    <row r="69" spans="1:14" ht="33.75" customHeight="1" thickBot="1" x14ac:dyDescent="0.35">
      <c r="A69" s="121" t="s">
        <v>119</v>
      </c>
      <c r="B69" s="121"/>
      <c r="C69" s="121"/>
      <c r="D69" s="112" t="str">
        <f ca="1">(IF(D68="Nothing","Yes",IF(D68="Cement, Aggregate, Steel, etc","Under Construction",IF(D68="Work not yet Started","Work not yet Started"))))</f>
        <v>Under Construction</v>
      </c>
      <c r="E69" s="112"/>
      <c r="F69" s="112" t="str">
        <f ca="1">(IF(D68="Nothing","Yes",IF(D68="Cement, Aggregate, Steel, etc","Under Construction",IF(D68="Work not yet Started","Work not yet Started"))))</f>
        <v>Under Construction</v>
      </c>
      <c r="G69" s="112"/>
      <c r="H69" s="112"/>
    </row>
    <row r="70" spans="1:14" ht="15.75" customHeight="1" x14ac:dyDescent="0.3">
      <c r="A70" s="131" t="s">
        <v>140</v>
      </c>
      <c r="B70" s="131"/>
      <c r="C70" s="131" t="s">
        <v>302</v>
      </c>
      <c r="D70" s="131"/>
      <c r="E70" s="131"/>
      <c r="F70" s="131"/>
      <c r="G70" s="131"/>
      <c r="H70" s="131"/>
      <c r="I70" s="65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 Completed, External Plaster upto 5 Floor, Flooring upto 4 Floor, Painting upto 4 Floor, Finishing upto 2 Floor Completed</v>
      </c>
      <c r="J70" s="51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External Plaster upto 5 Floor, Flooring upto 4 Floor, Painting upto 4 Floor, Finishing upto 2 Floor</v>
      </c>
    </row>
    <row r="71" spans="1:14" x14ac:dyDescent="0.3">
      <c r="A71" s="48" t="s">
        <v>142</v>
      </c>
      <c r="B71" s="48">
        <f>IF(AND(ISNUMBER(SEARCH("1B",C70))),1,IF(AND(ISNUMBER(SEARCH("2B",C70))),2,IF(AND(ISNUMBER(SEARCH("3B",C70))),3,IF(AND(ISNUMBER(SEARCH("4B",C70))),4,IF(ISNUMBER(SEARCH("5B",C70)),5,0)))))</f>
        <v>0</v>
      </c>
      <c r="C71" s="48" t="s">
        <v>72</v>
      </c>
      <c r="D71" s="48">
        <v>1</v>
      </c>
      <c r="E71" s="48" t="s">
        <v>71</v>
      </c>
      <c r="F71" s="48">
        <v>0</v>
      </c>
      <c r="G71" s="49" t="s">
        <v>80</v>
      </c>
      <c r="H71" s="48">
        <f ca="1">--TRIM(RIGHT(SUBSTITUTE(LEFT(C70,_xlfn.AGGREGATE(16,6,FIND({0,1,2,3,4,5,6,7,8,9},C70,ROW(INDIRECT("1:"&amp;LEN(C70)))),1))," ",REPT(" ",LEN(C70))),LEN(C70)))</f>
        <v>6</v>
      </c>
      <c r="I71" s="64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</v>
      </c>
      <c r="J71" s="53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47.4" customHeight="1" x14ac:dyDescent="0.3">
      <c r="A72" s="130" t="s">
        <v>90</v>
      </c>
      <c r="B72" s="83"/>
      <c r="C72" s="84" t="str">
        <f ca="1">I70</f>
        <v>Excavation, Plinth, RCC Slab, Brickwork, Internal Plaster Completed, External Plaster upto 5 Floor, Flooring upto 4 Floor, Painting upto 4 Floor, Finishing upto 2 Floor Completed</v>
      </c>
      <c r="D72" s="84"/>
      <c r="E72" s="84"/>
      <c r="F72" s="84"/>
      <c r="G72" s="84"/>
      <c r="H72" s="182"/>
      <c r="I72" s="52" t="str">
        <f ca="1">IF(I71&lt;&gt;""," Completed","")</f>
        <v xml:space="preserve"> Completed</v>
      </c>
      <c r="J72" s="53" t="str">
        <f ca="1">IF(J70&lt;&gt;"","Completed","")</f>
        <v>Completed</v>
      </c>
    </row>
    <row r="73" spans="1:14" ht="15.75" customHeight="1" x14ac:dyDescent="0.3">
      <c r="A73" s="129" t="s">
        <v>49</v>
      </c>
      <c r="B73" s="85"/>
      <c r="C73" s="44" t="s">
        <v>139</v>
      </c>
      <c r="D73" s="44" t="s">
        <v>83</v>
      </c>
      <c r="E73" s="85" t="s">
        <v>85</v>
      </c>
      <c r="F73" s="85"/>
      <c r="G73" s="85" t="s">
        <v>84</v>
      </c>
      <c r="H73" s="199"/>
      <c r="I73" s="14" t="s">
        <v>141</v>
      </c>
      <c r="J73" s="28">
        <f ca="1">H71*25%</f>
        <v>1.5</v>
      </c>
    </row>
    <row r="74" spans="1:14" x14ac:dyDescent="0.3">
      <c r="A74" s="129" t="s">
        <v>128</v>
      </c>
      <c r="B74" s="85"/>
      <c r="C74" s="54">
        <f ca="1">J75</f>
        <v>6</v>
      </c>
      <c r="D74" s="19">
        <f ca="1">((100/H71)*C74)/100</f>
        <v>1</v>
      </c>
      <c r="E74" s="171">
        <f ca="1">(((C75/H71*10)+(40/(D71+F71+H71)*C76)+(7.5/(H71)*C77)+(7.5/(H71)*C78)+(10/H71*C79)+(10/H71*C80)+(5/H71*C81)+(5/H71*C82)+(5/H71*C83))/100)</f>
        <v>0.85</v>
      </c>
      <c r="F74" s="172"/>
      <c r="G74" s="171">
        <f ca="1">((((C74/H71)*20)+((C75/H71)*25)+(30/(H71+F71+D71)*C76)+(5/H71*C77)+(5/H71*C78)+(5/H71*C79)+(5/H71*C80)+(0/H71*C81)+(0/H71*C82)+(5/H71*C83))/100)</f>
        <v>0.92500000000000004</v>
      </c>
      <c r="H74" s="177"/>
      <c r="I74" s="14" t="s">
        <v>101</v>
      </c>
      <c r="J74" s="29">
        <f ca="1">H71*50%</f>
        <v>3</v>
      </c>
    </row>
    <row r="75" spans="1:14" x14ac:dyDescent="0.3">
      <c r="A75" s="129" t="s">
        <v>50</v>
      </c>
      <c r="B75" s="85"/>
      <c r="C75" s="54">
        <f ca="1">J83</f>
        <v>6</v>
      </c>
      <c r="D75" s="19">
        <f ca="1">((100/H71)*C75)/100</f>
        <v>1</v>
      </c>
      <c r="E75" s="173"/>
      <c r="F75" s="174"/>
      <c r="G75" s="173"/>
      <c r="H75" s="178"/>
      <c r="I75" s="14" t="s">
        <v>102</v>
      </c>
      <c r="J75" s="29">
        <f ca="1">H71</f>
        <v>6</v>
      </c>
    </row>
    <row r="76" spans="1:14" ht="15.75" customHeight="1" x14ac:dyDescent="0.3">
      <c r="A76" s="129" t="s">
        <v>129</v>
      </c>
      <c r="B76" s="85"/>
      <c r="C76" s="44">
        <v>7</v>
      </c>
      <c r="D76" s="19">
        <f ca="1">((100/(D71+F71+H71))*C76)/100</f>
        <v>1</v>
      </c>
      <c r="E76" s="173"/>
      <c r="F76" s="174"/>
      <c r="G76" s="173"/>
      <c r="H76" s="178"/>
      <c r="I76" s="14" t="s">
        <v>103</v>
      </c>
      <c r="J76" s="30">
        <f ca="1">(IF(B71&gt;1,(H71/(B71+2)),H71/4))</f>
        <v>1.5</v>
      </c>
    </row>
    <row r="77" spans="1:14" ht="15.75" customHeight="1" x14ac:dyDescent="0.3">
      <c r="A77" s="129" t="s">
        <v>136</v>
      </c>
      <c r="B77" s="85" t="s">
        <v>130</v>
      </c>
      <c r="C77" s="44">
        <v>6</v>
      </c>
      <c r="D77" s="19">
        <f ca="1">((100/H71)*C77)/100</f>
        <v>1</v>
      </c>
      <c r="E77" s="173"/>
      <c r="F77" s="174"/>
      <c r="G77" s="173"/>
      <c r="H77" s="178"/>
      <c r="I77" s="14" t="s">
        <v>104</v>
      </c>
      <c r="J77" s="30">
        <f ca="1">(IF(B71&gt;1,(H71/(B71+2)+J76),H71/4+J76))</f>
        <v>3</v>
      </c>
    </row>
    <row r="78" spans="1:14" ht="15.75" customHeight="1" x14ac:dyDescent="0.3">
      <c r="A78" s="129" t="s">
        <v>137</v>
      </c>
      <c r="B78" s="85" t="s">
        <v>130</v>
      </c>
      <c r="C78" s="44">
        <v>6</v>
      </c>
      <c r="D78" s="19">
        <f ca="1">((100/H71)*C78)/100</f>
        <v>1</v>
      </c>
      <c r="E78" s="173"/>
      <c r="F78" s="174"/>
      <c r="G78" s="173"/>
      <c r="H78" s="178"/>
      <c r="I78" s="14" t="s">
        <v>146</v>
      </c>
      <c r="J78" s="30">
        <f>(IF(B71&gt;1,(H71/(B71+2)+J77),0))</f>
        <v>0</v>
      </c>
    </row>
    <row r="79" spans="1:14" ht="15" customHeight="1" x14ac:dyDescent="0.3">
      <c r="A79" s="116" t="s">
        <v>135</v>
      </c>
      <c r="B79" s="117" t="s">
        <v>132</v>
      </c>
      <c r="C79" s="44">
        <v>5</v>
      </c>
      <c r="D79" s="19">
        <f ca="1">((100/(H71))*C79)/100</f>
        <v>0.83333333333333348</v>
      </c>
      <c r="E79" s="173"/>
      <c r="F79" s="174"/>
      <c r="G79" s="173"/>
      <c r="H79" s="178"/>
      <c r="I79" s="14" t="s">
        <v>143</v>
      </c>
      <c r="J79" s="30">
        <f>(IF(B71&gt;2,(H71/(B71+2)+J78),0))</f>
        <v>0</v>
      </c>
    </row>
    <row r="80" spans="1:14" ht="15.75" customHeight="1" x14ac:dyDescent="0.3">
      <c r="A80" s="129" t="s">
        <v>131</v>
      </c>
      <c r="B80" s="85" t="s">
        <v>131</v>
      </c>
      <c r="C80" s="44">
        <v>4</v>
      </c>
      <c r="D80" s="19">
        <f ca="1">((100/H71)*C80)/100</f>
        <v>0.66666666666666674</v>
      </c>
      <c r="E80" s="173"/>
      <c r="F80" s="174"/>
      <c r="G80" s="173"/>
      <c r="H80" s="178"/>
      <c r="I80" s="14" t="s">
        <v>144</v>
      </c>
      <c r="J80" s="31">
        <f>(IF(B71&gt;3,(H71/(B71+2)+J79),0))</f>
        <v>0</v>
      </c>
    </row>
    <row r="81" spans="1:10" ht="15.75" customHeight="1" x14ac:dyDescent="0.3">
      <c r="A81" s="129" t="s">
        <v>138</v>
      </c>
      <c r="B81" s="85"/>
      <c r="C81" s="44">
        <v>4</v>
      </c>
      <c r="D81" s="19">
        <f ca="1">((100/H71)*C81)/100</f>
        <v>0.66666666666666674</v>
      </c>
      <c r="E81" s="173"/>
      <c r="F81" s="174"/>
      <c r="G81" s="173"/>
      <c r="H81" s="178"/>
      <c r="I81" s="14" t="s">
        <v>145</v>
      </c>
      <c r="J81" s="30">
        <f>(IF(B71&gt;4,(H71/(B71+2)+J80),0))</f>
        <v>0</v>
      </c>
    </row>
    <row r="82" spans="1:10" ht="15.75" customHeight="1" x14ac:dyDescent="0.3">
      <c r="A82" s="129" t="s">
        <v>133</v>
      </c>
      <c r="B82" s="85" t="s">
        <v>133</v>
      </c>
      <c r="C82" s="44">
        <v>2</v>
      </c>
      <c r="D82" s="19">
        <f ca="1">((100/(H71))*C82)/100</f>
        <v>0.33333333333333337</v>
      </c>
      <c r="E82" s="173"/>
      <c r="F82" s="174"/>
      <c r="G82" s="173"/>
      <c r="H82" s="178"/>
      <c r="I82" s="14" t="s">
        <v>147</v>
      </c>
      <c r="J82" s="30">
        <f ca="1">(IF(B71=1,(H71/(B71+3)+J77),IF(B71=0,(H71/4+J77),IF(B71&gt;1,0))))</f>
        <v>4.5</v>
      </c>
    </row>
    <row r="83" spans="1:10" ht="16.2" thickBot="1" x14ac:dyDescent="0.35">
      <c r="A83" s="180" t="s">
        <v>134</v>
      </c>
      <c r="B83" s="181"/>
      <c r="C83" s="45">
        <v>0</v>
      </c>
      <c r="D83" s="20">
        <f ca="1">((100/(H71))*C83)/100</f>
        <v>0</v>
      </c>
      <c r="E83" s="175"/>
      <c r="F83" s="176"/>
      <c r="G83" s="175"/>
      <c r="H83" s="179"/>
      <c r="I83" s="15" t="s">
        <v>105</v>
      </c>
      <c r="J83" s="32">
        <f ca="1">(IF(B71&gt;1.5,(H71/(B71+2)+J77+MAX(0,J78-J77)+MAX(0,J79-J78)+MAX(0,J80-J79)+MAX(0,J81-J80)+MAX(0,J82-J81)),IF(B71=1,(H71/(B71+3)+J82),IF(B71=0,H71/4+J82))))</f>
        <v>6</v>
      </c>
    </row>
    <row r="84" spans="1:10" ht="15.75" customHeight="1" x14ac:dyDescent="0.3">
      <c r="A84" s="78" t="s">
        <v>140</v>
      </c>
      <c r="B84" s="79"/>
      <c r="C84" s="80" t="str">
        <f>D61</f>
        <v>Wing B &amp; C = G + 1st to 5th Floor</v>
      </c>
      <c r="D84" s="81"/>
      <c r="E84" s="81"/>
      <c r="F84" s="81"/>
      <c r="G84" s="81"/>
      <c r="H84" s="82"/>
      <c r="I84" s="50" t="str">
        <f ca="1">IF(D97=100%,"All work Completed. Possession granted to the Building.",IF(D96=100%,"All work Completed, Waiting for OC",I85&amp;""&amp;I86&amp;""&amp;J85&amp;""&amp;J84&amp;" "&amp;J86))</f>
        <v>Excavation, Plinth, RCC Slab, Brickwork, Internal Plaster, External Plaster Completed, Flooring upto 4 Floor, Painting upto 4 Floor, Finishing upto 2 Floor Completed</v>
      </c>
      <c r="J84" s="51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Flooring upto 4 Floor, Painting upto 4 Floor, Finishing upto 2 Floor</v>
      </c>
    </row>
    <row r="85" spans="1:10" x14ac:dyDescent="0.3">
      <c r="A85" s="16" t="s">
        <v>142</v>
      </c>
      <c r="B85" s="48">
        <f>IF(AND(ISNUMBER(SEARCH("1B",C84))),1,IF(AND(ISNUMBER(SEARCH("2B",C84))),2,IF(AND(ISNUMBER(SEARCH("3B",C84))),3,IF(AND(ISNUMBER(SEARCH("4B",C84))),4,IF(ISNUMBER(SEARCH("5B",C84)),5,0)))))</f>
        <v>0</v>
      </c>
      <c r="C85" s="48" t="s">
        <v>72</v>
      </c>
      <c r="D85" s="48">
        <v>1</v>
      </c>
      <c r="E85" s="48" t="s">
        <v>71</v>
      </c>
      <c r="F85" s="48">
        <v>0</v>
      </c>
      <c r="G85" s="49" t="s">
        <v>80</v>
      </c>
      <c r="H85" s="17">
        <f ca="1">--TRIM(RIGHT(SUBSTITUTE(LEFT(C84,_xlfn.AGGREGATE(16,6,FIND({0,1,2,3,4,5,6,7,8,9},C84,ROW(INDIRECT("1:"&amp;LEN(C84)))),1))," ",REPT(" ",LEN(C84))),LEN(C84)))</f>
        <v>5</v>
      </c>
      <c r="I85" s="52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Brickwork, Internal Plaster, External Plaster</v>
      </c>
      <c r="J85" s="53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48.6" customHeight="1" x14ac:dyDescent="0.3">
      <c r="A86" s="130" t="s">
        <v>90</v>
      </c>
      <c r="B86" s="83"/>
      <c r="C86" s="84" t="str">
        <f ca="1">(IF($G$54="NA",I84,"All work Completed. OC Received."))</f>
        <v>Excavation, Plinth, RCC Slab, Brickwork, Internal Plaster, External Plaster Completed, Flooring upto 4 Floor, Painting upto 4 Floor, Finishing upto 2 Floor Completed</v>
      </c>
      <c r="D86" s="84"/>
      <c r="E86" s="84"/>
      <c r="F86" s="84"/>
      <c r="G86" s="84"/>
      <c r="H86" s="182"/>
      <c r="I86" s="52" t="str">
        <f ca="1">IF(I85&lt;&gt;""," Completed","")</f>
        <v xml:space="preserve"> Completed</v>
      </c>
      <c r="J86" s="53" t="str">
        <f ca="1">IF(J84&lt;&gt;"","Completed","")</f>
        <v>Completed</v>
      </c>
    </row>
    <row r="87" spans="1:10" ht="15.75" customHeight="1" x14ac:dyDescent="0.3">
      <c r="A87" s="129" t="s">
        <v>49</v>
      </c>
      <c r="B87" s="85"/>
      <c r="C87" s="44" t="s">
        <v>139</v>
      </c>
      <c r="D87" s="44" t="s">
        <v>83</v>
      </c>
      <c r="E87" s="85" t="s">
        <v>85</v>
      </c>
      <c r="F87" s="85"/>
      <c r="G87" s="85" t="s">
        <v>84</v>
      </c>
      <c r="H87" s="199"/>
      <c r="I87" s="14" t="s">
        <v>141</v>
      </c>
      <c r="J87" s="28">
        <f ca="1">H85*25%</f>
        <v>1.25</v>
      </c>
    </row>
    <row r="88" spans="1:10" x14ac:dyDescent="0.3">
      <c r="A88" s="129" t="s">
        <v>128</v>
      </c>
      <c r="B88" s="85"/>
      <c r="C88" s="44">
        <f ca="1">J89</f>
        <v>5</v>
      </c>
      <c r="D88" s="19">
        <f ca="1">((100/H85)*C88)/100</f>
        <v>1</v>
      </c>
      <c r="E88" s="171">
        <f ca="1">(((C89/H85*10)+(40/(D85+F85+H85)*C90)+(7.5/(H85)*C91)+(7.5/(H85)*C92)+(10/H85*C93)+(10/H85*C94)+(5/H85*C95)+(5/H85*C96)+(5/H85*C97))/100)</f>
        <v>0.89</v>
      </c>
      <c r="F88" s="172"/>
      <c r="G88" s="171">
        <f ca="1">((((C88/H85)*20)+((C89/H85)*25)+(30/(H85+F85+D85)*C90)+(5/H85*C91)+(5/H85*C92)+(5/H85*C93)+(5/H85*C94)+(0/H85*C95)+(0/H85*C96)+(5/H85*C97))/100)</f>
        <v>0.94</v>
      </c>
      <c r="H88" s="177"/>
      <c r="I88" s="14" t="s">
        <v>101</v>
      </c>
      <c r="J88" s="29">
        <f ca="1">H85*50%</f>
        <v>2.5</v>
      </c>
    </row>
    <row r="89" spans="1:10" x14ac:dyDescent="0.3">
      <c r="A89" s="129" t="s">
        <v>50</v>
      </c>
      <c r="B89" s="85"/>
      <c r="C89" s="54">
        <f ca="1">J97</f>
        <v>5</v>
      </c>
      <c r="D89" s="19">
        <f ca="1">((100/H85)*C89)/100</f>
        <v>1</v>
      </c>
      <c r="E89" s="173"/>
      <c r="F89" s="174"/>
      <c r="G89" s="173"/>
      <c r="H89" s="178"/>
      <c r="I89" s="14" t="s">
        <v>102</v>
      </c>
      <c r="J89" s="29">
        <f ca="1">H85</f>
        <v>5</v>
      </c>
    </row>
    <row r="90" spans="1:10" ht="15.75" customHeight="1" x14ac:dyDescent="0.3">
      <c r="A90" s="129" t="s">
        <v>129</v>
      </c>
      <c r="B90" s="85"/>
      <c r="C90" s="44">
        <v>6</v>
      </c>
      <c r="D90" s="19">
        <f ca="1">((100/(D85+F85+H85))*C90)/100</f>
        <v>1</v>
      </c>
      <c r="E90" s="173"/>
      <c r="F90" s="174"/>
      <c r="G90" s="173"/>
      <c r="H90" s="178"/>
      <c r="I90" s="14" t="s">
        <v>103</v>
      </c>
      <c r="J90" s="30">
        <f ca="1">(IF(B85&gt;1,(H85/(B85+2)),H85/4))</f>
        <v>1.25</v>
      </c>
    </row>
    <row r="91" spans="1:10" ht="15.75" customHeight="1" x14ac:dyDescent="0.3">
      <c r="A91" s="129" t="s">
        <v>136</v>
      </c>
      <c r="B91" s="85" t="s">
        <v>130</v>
      </c>
      <c r="C91" s="44">
        <v>5</v>
      </c>
      <c r="D91" s="19">
        <f ca="1">((100/H85)*C91)/100</f>
        <v>1</v>
      </c>
      <c r="E91" s="173"/>
      <c r="F91" s="174"/>
      <c r="G91" s="173"/>
      <c r="H91" s="178"/>
      <c r="I91" s="14" t="s">
        <v>104</v>
      </c>
      <c r="J91" s="30">
        <f ca="1">(IF(B85&gt;1,(H85/(B85+2)+J90),H85/4+J90))</f>
        <v>2.5</v>
      </c>
    </row>
    <row r="92" spans="1:10" ht="15.75" customHeight="1" x14ac:dyDescent="0.3">
      <c r="A92" s="129" t="s">
        <v>137</v>
      </c>
      <c r="B92" s="85" t="s">
        <v>130</v>
      </c>
      <c r="C92" s="44">
        <v>5</v>
      </c>
      <c r="D92" s="19">
        <f ca="1">((100/H85)*C92)/100</f>
        <v>1</v>
      </c>
      <c r="E92" s="173"/>
      <c r="F92" s="174"/>
      <c r="G92" s="173"/>
      <c r="H92" s="178"/>
      <c r="I92" s="14" t="s">
        <v>146</v>
      </c>
      <c r="J92" s="30">
        <f>(IF(B85&gt;1,(H85/(B85+2)+J91),0))</f>
        <v>0</v>
      </c>
    </row>
    <row r="93" spans="1:10" ht="15" customHeight="1" x14ac:dyDescent="0.3">
      <c r="A93" s="129" t="s">
        <v>135</v>
      </c>
      <c r="B93" s="85" t="s">
        <v>132</v>
      </c>
      <c r="C93" s="44">
        <v>5</v>
      </c>
      <c r="D93" s="19">
        <f ca="1">((100/(H85))*C93)/100</f>
        <v>1</v>
      </c>
      <c r="E93" s="173"/>
      <c r="F93" s="174"/>
      <c r="G93" s="173"/>
      <c r="H93" s="178"/>
      <c r="I93" s="14" t="s">
        <v>143</v>
      </c>
      <c r="J93" s="30">
        <f>(IF(B85&gt;2,(H85/(B85+2)+J92),0))</f>
        <v>0</v>
      </c>
    </row>
    <row r="94" spans="1:10" ht="15.75" customHeight="1" x14ac:dyDescent="0.3">
      <c r="A94" s="129" t="s">
        <v>131</v>
      </c>
      <c r="B94" s="85" t="s">
        <v>131</v>
      </c>
      <c r="C94" s="44">
        <v>4</v>
      </c>
      <c r="D94" s="19">
        <f ca="1">((100/H85)*C94)/100</f>
        <v>0.8</v>
      </c>
      <c r="E94" s="173"/>
      <c r="F94" s="174"/>
      <c r="G94" s="173"/>
      <c r="H94" s="178"/>
      <c r="I94" s="14" t="s">
        <v>144</v>
      </c>
      <c r="J94" s="31">
        <f>(IF(B85&gt;3,(H85/(B85+2)+J93),0))</f>
        <v>0</v>
      </c>
    </row>
    <row r="95" spans="1:10" ht="15.75" customHeight="1" x14ac:dyDescent="0.3">
      <c r="A95" s="129" t="s">
        <v>138</v>
      </c>
      <c r="B95" s="85"/>
      <c r="C95" s="44">
        <v>4</v>
      </c>
      <c r="D95" s="19">
        <f ca="1">((100/H85)*C95)/100</f>
        <v>0.8</v>
      </c>
      <c r="E95" s="173"/>
      <c r="F95" s="174"/>
      <c r="G95" s="173"/>
      <c r="H95" s="178"/>
      <c r="I95" s="14" t="s">
        <v>145</v>
      </c>
      <c r="J95" s="30">
        <f>(IF(B85&gt;4,(H85/(B85+2)+J94),0))</f>
        <v>0</v>
      </c>
    </row>
    <row r="96" spans="1:10" ht="15.75" customHeight="1" x14ac:dyDescent="0.3">
      <c r="A96" s="129" t="s">
        <v>133</v>
      </c>
      <c r="B96" s="85" t="s">
        <v>133</v>
      </c>
      <c r="C96" s="44">
        <v>2</v>
      </c>
      <c r="D96" s="19">
        <f ca="1">((100/(H85))*C96)/100</f>
        <v>0.4</v>
      </c>
      <c r="E96" s="173"/>
      <c r="F96" s="174"/>
      <c r="G96" s="173"/>
      <c r="H96" s="178"/>
      <c r="I96" s="14" t="s">
        <v>147</v>
      </c>
      <c r="J96" s="30">
        <f ca="1">(IF(B85=1,(H85/(B85+3)+J91),IF(B85=0,(H85/4+J91),IF(B85&gt;1,0))))</f>
        <v>3.75</v>
      </c>
    </row>
    <row r="97" spans="1:10" ht="16.2" thickBot="1" x14ac:dyDescent="0.35">
      <c r="A97" s="180" t="s">
        <v>134</v>
      </c>
      <c r="B97" s="181"/>
      <c r="C97" s="45">
        <v>0</v>
      </c>
      <c r="D97" s="20">
        <f ca="1">((100/(H85))*C97)/100</f>
        <v>0</v>
      </c>
      <c r="E97" s="175"/>
      <c r="F97" s="176"/>
      <c r="G97" s="175"/>
      <c r="H97" s="179"/>
      <c r="I97" s="15" t="s">
        <v>105</v>
      </c>
      <c r="J97" s="32">
        <f ca="1">(IF(B85&gt;1.5,(H85/(B85+2)+J91+MAX(0,J92-J91)+MAX(0,J93-J92)+MAX(0,J94-J93)+MAX(0,J95-J94)+MAX(0,J96-J95)),IF(B85=1,(H85/(B85+3)+J96),IF(B85=0,H85/4+J96))))</f>
        <v>5</v>
      </c>
    </row>
    <row r="98" spans="1:10" ht="15.75" customHeight="1" x14ac:dyDescent="0.3">
      <c r="A98" s="78" t="s">
        <v>140</v>
      </c>
      <c r="B98" s="79"/>
      <c r="C98" s="80" t="str">
        <f>D62</f>
        <v>Wing D = G + 1st to 5th Floor</v>
      </c>
      <c r="D98" s="81"/>
      <c r="E98" s="81"/>
      <c r="F98" s="81"/>
      <c r="G98" s="81"/>
      <c r="H98" s="82"/>
      <c r="I98" s="50" t="str">
        <f ca="1">IF(D111=100%,"All work Completed. Possession granted to the Building.",IF(D110=100%,"All work Completed, Waiting for OC",I99&amp;""&amp;I100&amp;""&amp;J99&amp;""&amp;J98&amp;" "&amp;J100))</f>
        <v>Excavation, Plinth, RCC Slab, Brickwork, Internal Plaster, External Plaster, Flooring Completed, Painting upto 4 Floor, Finishing upto 1 Floor Completed</v>
      </c>
      <c r="J98" s="51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Painting upto 4 Floor, Finishing upto 1 Floor</v>
      </c>
    </row>
    <row r="99" spans="1:10" x14ac:dyDescent="0.3">
      <c r="A99" s="16" t="s">
        <v>142</v>
      </c>
      <c r="B99" s="48">
        <f>IF(AND(ISNUMBER(SEARCH("1B",C98))),1,IF(AND(ISNUMBER(SEARCH("2B",C98))),2,IF(AND(ISNUMBER(SEARCH("3B",C98))),3,IF(AND(ISNUMBER(SEARCH("4B",C98))),4,IF(ISNUMBER(SEARCH("5B",C98)),5,0)))))</f>
        <v>0</v>
      </c>
      <c r="C99" s="48" t="s">
        <v>72</v>
      </c>
      <c r="D99" s="48">
        <v>1</v>
      </c>
      <c r="E99" s="48" t="s">
        <v>71</v>
      </c>
      <c r="F99" s="48">
        <v>0</v>
      </c>
      <c r="G99" s="49" t="s">
        <v>80</v>
      </c>
      <c r="H99" s="17">
        <f ca="1">--TRIM(RIGHT(SUBSTITUTE(LEFT(C98,_xlfn.AGGREGATE(16,6,FIND({0,1,2,3,4,5,6,7,8,9},C98,ROW(INDIRECT("1:"&amp;LEN(C98)))),1))," ",REPT(" ",LEN(C98))),LEN(C98)))</f>
        <v>5</v>
      </c>
      <c r="I99" s="52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Slab, Brickwork, Internal Plaster, External Plaster, Flooring</v>
      </c>
      <c r="J99" s="53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ht="32.4" customHeight="1" x14ac:dyDescent="0.3">
      <c r="A100" s="83" t="s">
        <v>90</v>
      </c>
      <c r="B100" s="83"/>
      <c r="C100" s="84" t="str">
        <f ca="1">(IF($G$54="NA",I98,"All work Completed. OC Received."))</f>
        <v>Excavation, Plinth, RCC Slab, Brickwork, Internal Plaster, External Plaster, Flooring Completed, Painting upto 4 Floor, Finishing upto 1 Floor Completed</v>
      </c>
      <c r="D100" s="84"/>
      <c r="E100" s="84"/>
      <c r="F100" s="84"/>
      <c r="G100" s="84"/>
      <c r="H100" s="84"/>
      <c r="I100" s="64" t="str">
        <f ca="1">IF(I99&lt;&gt;""," Completed","")</f>
        <v xml:space="preserve"> Completed</v>
      </c>
      <c r="J100" s="53" t="str">
        <f ca="1">IF(J98&lt;&gt;"","Completed","")</f>
        <v>Completed</v>
      </c>
    </row>
    <row r="101" spans="1:10" ht="15.75" customHeight="1" x14ac:dyDescent="0.3">
      <c r="A101" s="85" t="s">
        <v>49</v>
      </c>
      <c r="B101" s="85"/>
      <c r="C101" s="44" t="s">
        <v>139</v>
      </c>
      <c r="D101" s="44" t="s">
        <v>83</v>
      </c>
      <c r="E101" s="85" t="s">
        <v>85</v>
      </c>
      <c r="F101" s="85"/>
      <c r="G101" s="85" t="s">
        <v>84</v>
      </c>
      <c r="H101" s="85"/>
      <c r="I101" s="14" t="s">
        <v>141</v>
      </c>
      <c r="J101" s="28">
        <f ca="1">H99*25%</f>
        <v>1.25</v>
      </c>
    </row>
    <row r="102" spans="1:10" x14ac:dyDescent="0.3">
      <c r="A102" s="85" t="s">
        <v>128</v>
      </c>
      <c r="B102" s="85"/>
      <c r="C102" s="44">
        <f ca="1">J103</f>
        <v>5</v>
      </c>
      <c r="D102" s="19">
        <f ca="1">((100/H99)*C102)/100</f>
        <v>1</v>
      </c>
      <c r="E102" s="86">
        <f ca="1">(((C103/H99*10)+(40/(D99+F99+H99)*C104)+(7.5/(H99)*C105)+(7.5/(H99)*C106)+(10/H99*C107)+(10/H99*C108)+(5/H99*C109)+(5/H99*C110)+(5/H99*C111))/100)</f>
        <v>0.9</v>
      </c>
      <c r="F102" s="86"/>
      <c r="G102" s="86">
        <f ca="1">((((C102/H99)*20)+((C103/H99)*25)+(30/(H99+F99+D99)*C104)+(5/H99*C105)+(5/H99*C106)+(5/H99*C107)+(5/H99*C108)+(0/H99*C109)+(0/H99*C110)+(5/H99*C111))/100)</f>
        <v>0.95</v>
      </c>
      <c r="H102" s="86"/>
      <c r="I102" s="14" t="s">
        <v>101</v>
      </c>
      <c r="J102" s="29">
        <f ca="1">H99*50%</f>
        <v>2.5</v>
      </c>
    </row>
    <row r="103" spans="1:10" x14ac:dyDescent="0.3">
      <c r="A103" s="85" t="s">
        <v>50</v>
      </c>
      <c r="B103" s="85"/>
      <c r="C103" s="54">
        <f ca="1">J111</f>
        <v>5</v>
      </c>
      <c r="D103" s="19">
        <f ca="1">((100/H99)*C103)/100</f>
        <v>1</v>
      </c>
      <c r="E103" s="86"/>
      <c r="F103" s="86"/>
      <c r="G103" s="86"/>
      <c r="H103" s="86"/>
      <c r="I103" s="14" t="s">
        <v>102</v>
      </c>
      <c r="J103" s="29">
        <f ca="1">H99</f>
        <v>5</v>
      </c>
    </row>
    <row r="104" spans="1:10" ht="15.75" customHeight="1" x14ac:dyDescent="0.3">
      <c r="A104" s="85" t="s">
        <v>129</v>
      </c>
      <c r="B104" s="85"/>
      <c r="C104" s="44">
        <v>6</v>
      </c>
      <c r="D104" s="19">
        <f ca="1">((100/(D99+F99+H99))*C104)/100</f>
        <v>1</v>
      </c>
      <c r="E104" s="86"/>
      <c r="F104" s="86"/>
      <c r="G104" s="86"/>
      <c r="H104" s="86"/>
      <c r="I104" s="14" t="s">
        <v>103</v>
      </c>
      <c r="J104" s="30">
        <f ca="1">(IF(B99&gt;1,(H99/(B99+2)),H99/4))</f>
        <v>1.25</v>
      </c>
    </row>
    <row r="105" spans="1:10" ht="15.75" customHeight="1" x14ac:dyDescent="0.3">
      <c r="A105" s="85" t="s">
        <v>136</v>
      </c>
      <c r="B105" s="85" t="s">
        <v>130</v>
      </c>
      <c r="C105" s="44">
        <v>5</v>
      </c>
      <c r="D105" s="19">
        <f ca="1">((100/H99)*C105)/100</f>
        <v>1</v>
      </c>
      <c r="E105" s="86"/>
      <c r="F105" s="86"/>
      <c r="G105" s="86"/>
      <c r="H105" s="86"/>
      <c r="I105" s="14" t="s">
        <v>104</v>
      </c>
      <c r="J105" s="30">
        <f ca="1">(IF(B99&gt;1,(H99/(B99+2)+J104),H99/4+J104))</f>
        <v>2.5</v>
      </c>
    </row>
    <row r="106" spans="1:10" ht="15.75" customHeight="1" x14ac:dyDescent="0.3">
      <c r="A106" s="85" t="s">
        <v>137</v>
      </c>
      <c r="B106" s="85" t="s">
        <v>130</v>
      </c>
      <c r="C106" s="44">
        <v>5</v>
      </c>
      <c r="D106" s="19">
        <f ca="1">((100/H99)*C106)/100</f>
        <v>1</v>
      </c>
      <c r="E106" s="86"/>
      <c r="F106" s="86"/>
      <c r="G106" s="86"/>
      <c r="H106" s="86"/>
      <c r="I106" s="14" t="s">
        <v>146</v>
      </c>
      <c r="J106" s="30">
        <f>(IF(B99&gt;1,(H99/(B99+2)+J105),0))</f>
        <v>0</v>
      </c>
    </row>
    <row r="107" spans="1:10" ht="15" customHeight="1" x14ac:dyDescent="0.3">
      <c r="A107" s="85" t="s">
        <v>135</v>
      </c>
      <c r="B107" s="85" t="s">
        <v>132</v>
      </c>
      <c r="C107" s="44">
        <v>5</v>
      </c>
      <c r="D107" s="19">
        <f ca="1">((100/(H99))*C107)/100</f>
        <v>1</v>
      </c>
      <c r="E107" s="86"/>
      <c r="F107" s="86"/>
      <c r="G107" s="86"/>
      <c r="H107" s="86"/>
      <c r="I107" s="14" t="s">
        <v>143</v>
      </c>
      <c r="J107" s="30">
        <f>(IF(B99&gt;2,(H99/(B99+2)+J106),0))</f>
        <v>0</v>
      </c>
    </row>
    <row r="108" spans="1:10" ht="15.75" customHeight="1" x14ac:dyDescent="0.3">
      <c r="A108" s="85" t="s">
        <v>131</v>
      </c>
      <c r="B108" s="85" t="s">
        <v>131</v>
      </c>
      <c r="C108" s="44">
        <v>5</v>
      </c>
      <c r="D108" s="19">
        <f ca="1">((100/H99)*C108)/100</f>
        <v>1</v>
      </c>
      <c r="E108" s="86"/>
      <c r="F108" s="86"/>
      <c r="G108" s="86"/>
      <c r="H108" s="86"/>
      <c r="I108" s="14" t="s">
        <v>144</v>
      </c>
      <c r="J108" s="31">
        <f>(IF(B99&gt;3,(H99/(B99+2)+J107),0))</f>
        <v>0</v>
      </c>
    </row>
    <row r="109" spans="1:10" ht="15.75" customHeight="1" x14ac:dyDescent="0.3">
      <c r="A109" s="85" t="s">
        <v>138</v>
      </c>
      <c r="B109" s="85"/>
      <c r="C109" s="44">
        <v>4</v>
      </c>
      <c r="D109" s="19">
        <f ca="1">((100/H99)*C109)/100</f>
        <v>0.8</v>
      </c>
      <c r="E109" s="86"/>
      <c r="F109" s="86"/>
      <c r="G109" s="86"/>
      <c r="H109" s="86"/>
      <c r="I109" s="14" t="s">
        <v>145</v>
      </c>
      <c r="J109" s="30">
        <f>(IF(B99&gt;4,(H99/(B99+2)+J108),0))</f>
        <v>0</v>
      </c>
    </row>
    <row r="110" spans="1:10" ht="15.75" customHeight="1" x14ac:dyDescent="0.3">
      <c r="A110" s="85" t="s">
        <v>133</v>
      </c>
      <c r="B110" s="85" t="s">
        <v>133</v>
      </c>
      <c r="C110" s="44">
        <v>1</v>
      </c>
      <c r="D110" s="19">
        <f ca="1">((100/(H99))*C110)/100</f>
        <v>0.2</v>
      </c>
      <c r="E110" s="86"/>
      <c r="F110" s="86"/>
      <c r="G110" s="86"/>
      <c r="H110" s="86"/>
      <c r="I110" s="14" t="s">
        <v>147</v>
      </c>
      <c r="J110" s="30">
        <f ca="1">(IF(B99=1,(H99/(B99+3)+J105),IF(B99=0,(H99/4+J105),IF(B99&gt;1,0))))</f>
        <v>3.75</v>
      </c>
    </row>
    <row r="111" spans="1:10" ht="16.2" thickBot="1" x14ac:dyDescent="0.35">
      <c r="A111" s="85" t="s">
        <v>134</v>
      </c>
      <c r="B111" s="85"/>
      <c r="C111" s="44">
        <v>0</v>
      </c>
      <c r="D111" s="19">
        <f ca="1">((100/(H99))*C111)/100</f>
        <v>0</v>
      </c>
      <c r="E111" s="86"/>
      <c r="F111" s="86"/>
      <c r="G111" s="86"/>
      <c r="H111" s="86"/>
      <c r="I111" s="15" t="s">
        <v>105</v>
      </c>
      <c r="J111" s="32">
        <f ca="1">(IF(B99&gt;1.5,(H99/(B99+2)+J105+MAX(0,J106-J105)+MAX(0,J107-J106)+MAX(0,J108-J107)+MAX(0,J109-J108)+MAX(0,J110-J109)),IF(B99=1,(H99/(B99+3)+J110),IF(B99=0,H99/4+J110))))</f>
        <v>5</v>
      </c>
    </row>
    <row r="112" spans="1:10" x14ac:dyDescent="0.3">
      <c r="A112" s="197" t="s">
        <v>156</v>
      </c>
      <c r="B112" s="197"/>
      <c r="C112" s="197"/>
      <c r="D112" s="197"/>
      <c r="E112" s="197"/>
      <c r="F112" s="139" t="s">
        <v>160</v>
      </c>
      <c r="G112" s="139"/>
      <c r="H112" s="139"/>
    </row>
    <row r="113" spans="1:15" x14ac:dyDescent="0.3">
      <c r="A113" s="87" t="s">
        <v>158</v>
      </c>
      <c r="B113" s="87"/>
      <c r="C113" s="87"/>
      <c r="D113" s="87"/>
      <c r="E113" s="87"/>
      <c r="F113" s="93">
        <v>4400</v>
      </c>
      <c r="G113" s="93"/>
      <c r="H113" s="93"/>
      <c r="J113" s="21" t="s">
        <v>286</v>
      </c>
      <c r="K113" s="25">
        <v>45259</v>
      </c>
      <c r="L113" s="21" t="s">
        <v>287</v>
      </c>
      <c r="M113" s="21" t="s">
        <v>288</v>
      </c>
    </row>
    <row r="114" spans="1:15" x14ac:dyDescent="0.3">
      <c r="A114" s="87" t="s">
        <v>157</v>
      </c>
      <c r="B114" s="87"/>
      <c r="C114" s="87"/>
      <c r="D114" s="87"/>
      <c r="E114" s="87"/>
      <c r="F114" s="93">
        <v>8000</v>
      </c>
      <c r="G114" s="93"/>
      <c r="H114" s="93"/>
      <c r="I114" s="203" t="s">
        <v>294</v>
      </c>
      <c r="J114" s="204"/>
      <c r="K114" s="204"/>
      <c r="L114" s="204"/>
      <c r="M114" s="204"/>
      <c r="N114" s="204"/>
      <c r="O114" s="204"/>
    </row>
    <row r="115" spans="1:15" hidden="1" x14ac:dyDescent="0.3">
      <c r="A115" s="87" t="s">
        <v>159</v>
      </c>
      <c r="B115" s="87"/>
      <c r="C115" s="87"/>
      <c r="D115" s="87"/>
      <c r="E115" s="87"/>
      <c r="F115" s="93"/>
      <c r="G115" s="93"/>
      <c r="H115" s="93"/>
    </row>
    <row r="116" spans="1:15" s="33" customFormat="1" hidden="1" x14ac:dyDescent="0.25">
      <c r="A116" s="87" t="s">
        <v>175</v>
      </c>
      <c r="B116" s="87"/>
      <c r="C116" s="87"/>
      <c r="D116" s="87"/>
      <c r="E116" s="87"/>
      <c r="F116" s="93"/>
      <c r="G116" s="93"/>
      <c r="H116" s="93"/>
    </row>
    <row r="117" spans="1:15" s="33" customFormat="1" x14ac:dyDescent="0.25">
      <c r="A117" s="87" t="s">
        <v>95</v>
      </c>
      <c r="B117" s="87"/>
      <c r="C117" s="87"/>
      <c r="D117" s="87"/>
      <c r="E117" s="87"/>
      <c r="F117" s="93">
        <v>200000</v>
      </c>
      <c r="G117" s="93"/>
      <c r="H117" s="93"/>
    </row>
    <row r="118" spans="1:15" s="33" customFormat="1" x14ac:dyDescent="0.25">
      <c r="A118" s="87" t="s">
        <v>96</v>
      </c>
      <c r="B118" s="87"/>
      <c r="C118" s="87"/>
      <c r="D118" s="87"/>
      <c r="E118" s="87"/>
      <c r="F118" s="93">
        <v>75000</v>
      </c>
      <c r="G118" s="93"/>
      <c r="H118" s="93"/>
    </row>
    <row r="119" spans="1:15" s="33" customFormat="1" hidden="1" x14ac:dyDescent="0.25">
      <c r="A119" s="87" t="s">
        <v>161</v>
      </c>
      <c r="B119" s="87"/>
      <c r="C119" s="87"/>
      <c r="D119" s="87"/>
      <c r="E119" s="87"/>
      <c r="F119" s="93"/>
      <c r="G119" s="93"/>
      <c r="H119" s="93"/>
    </row>
    <row r="120" spans="1:15" s="33" customFormat="1" hidden="1" x14ac:dyDescent="0.25">
      <c r="A120" s="87" t="s">
        <v>97</v>
      </c>
      <c r="B120" s="87"/>
      <c r="C120" s="87"/>
      <c r="D120" s="87"/>
      <c r="E120" s="87"/>
      <c r="F120" s="93"/>
      <c r="G120" s="93"/>
      <c r="H120" s="93"/>
    </row>
    <row r="121" spans="1:15" s="33" customFormat="1" hidden="1" x14ac:dyDescent="0.25">
      <c r="A121" s="87" t="s">
        <v>98</v>
      </c>
      <c r="B121" s="87"/>
      <c r="C121" s="87"/>
      <c r="D121" s="87"/>
      <c r="E121" s="87"/>
      <c r="F121" s="93"/>
      <c r="G121" s="93"/>
      <c r="H121" s="93"/>
    </row>
    <row r="122" spans="1:15" s="33" customFormat="1" hidden="1" x14ac:dyDescent="0.25">
      <c r="A122" s="87" t="s">
        <v>99</v>
      </c>
      <c r="B122" s="87"/>
      <c r="C122" s="87"/>
      <c r="D122" s="87"/>
      <c r="E122" s="87"/>
      <c r="F122" s="93"/>
      <c r="G122" s="93"/>
      <c r="H122" s="93"/>
    </row>
    <row r="123" spans="1:15" s="33" customFormat="1" hidden="1" x14ac:dyDescent="0.25">
      <c r="A123" s="87" t="s">
        <v>100</v>
      </c>
      <c r="B123" s="87"/>
      <c r="C123" s="87"/>
      <c r="D123" s="87"/>
      <c r="E123" s="87"/>
      <c r="F123" s="93"/>
      <c r="G123" s="93"/>
      <c r="H123" s="93"/>
    </row>
    <row r="124" spans="1:15" x14ac:dyDescent="0.3">
      <c r="A124" s="87" t="s">
        <v>51</v>
      </c>
      <c r="B124" s="87"/>
      <c r="C124" s="87"/>
      <c r="D124" s="87"/>
      <c r="E124" s="87"/>
      <c r="F124" s="93">
        <v>200000</v>
      </c>
      <c r="G124" s="93"/>
      <c r="H124" s="93"/>
    </row>
    <row r="125" spans="1:15" s="34" customFormat="1" x14ac:dyDescent="0.3">
      <c r="A125" s="145" t="s">
        <v>52</v>
      </c>
      <c r="B125" s="145"/>
      <c r="C125" s="145"/>
      <c r="D125" s="145"/>
      <c r="E125" s="145"/>
      <c r="F125" s="93">
        <f>F113*0.8</f>
        <v>3520</v>
      </c>
      <c r="G125" s="93"/>
      <c r="H125" s="93"/>
    </row>
    <row r="126" spans="1:15" s="35" customFormat="1" ht="15.75" customHeight="1" x14ac:dyDescent="0.3">
      <c r="A126" s="144" t="s">
        <v>75</v>
      </c>
      <c r="B126" s="144"/>
      <c r="C126" s="144"/>
      <c r="D126" s="144"/>
      <c r="E126" s="144"/>
      <c r="F126" s="144"/>
      <c r="G126" s="144"/>
      <c r="H126" s="144"/>
    </row>
    <row r="127" spans="1:15" s="35" customFormat="1" ht="15.75" customHeight="1" x14ac:dyDescent="0.3">
      <c r="A127" s="95" t="s">
        <v>53</v>
      </c>
      <c r="B127" s="95"/>
      <c r="C127" s="103" t="s">
        <v>78</v>
      </c>
      <c r="D127" s="103"/>
      <c r="E127" s="101" t="s">
        <v>54</v>
      </c>
      <c r="F127" s="101"/>
      <c r="G127" s="95" t="s">
        <v>55</v>
      </c>
      <c r="H127" s="95"/>
    </row>
    <row r="128" spans="1:15" s="35" customFormat="1" x14ac:dyDescent="0.3">
      <c r="A128" s="47" t="s">
        <v>272</v>
      </c>
      <c r="B128" s="47" t="s">
        <v>273</v>
      </c>
      <c r="C128" s="184">
        <f>COUNT(D145:D149)</f>
        <v>5</v>
      </c>
      <c r="D128" s="166"/>
      <c r="E128" s="135">
        <f>SUM(D145:D149)</f>
        <v>429.80651999999998</v>
      </c>
      <c r="F128" s="136"/>
      <c r="G128" s="135">
        <f>SUM(F145:F149)</f>
        <v>644.70977999999991</v>
      </c>
      <c r="H128" s="136"/>
    </row>
    <row r="129" spans="1:10" s="35" customFormat="1" x14ac:dyDescent="0.3">
      <c r="A129" s="102" t="s">
        <v>150</v>
      </c>
      <c r="B129" s="102"/>
      <c r="C129" s="183">
        <f>SUM(C128)</f>
        <v>5</v>
      </c>
      <c r="D129" s="137"/>
      <c r="E129" s="183">
        <f>SUM(E128)</f>
        <v>429.80651999999998</v>
      </c>
      <c r="F129" s="137"/>
      <c r="G129" s="183">
        <f>SUM(G128)</f>
        <v>644.70977999999991</v>
      </c>
      <c r="H129" s="137"/>
    </row>
    <row r="130" spans="1:10" s="35" customFormat="1" x14ac:dyDescent="0.3">
      <c r="A130" s="144" t="s">
        <v>70</v>
      </c>
      <c r="B130" s="144"/>
      <c r="C130" s="144"/>
      <c r="D130" s="144"/>
      <c r="E130" s="144"/>
      <c r="F130" s="144"/>
      <c r="G130" s="144"/>
      <c r="H130" s="144"/>
    </row>
    <row r="131" spans="1:10" s="35" customFormat="1" ht="15.75" customHeight="1" x14ac:dyDescent="0.3">
      <c r="A131" s="95" t="s">
        <v>53</v>
      </c>
      <c r="B131" s="95"/>
      <c r="C131" s="103" t="s">
        <v>78</v>
      </c>
      <c r="D131" s="103"/>
      <c r="E131" s="101" t="s">
        <v>54</v>
      </c>
      <c r="F131" s="101"/>
      <c r="G131" s="95" t="s">
        <v>55</v>
      </c>
      <c r="H131" s="95"/>
    </row>
    <row r="132" spans="1:10" s="35" customFormat="1" x14ac:dyDescent="0.3">
      <c r="A132" s="146" t="s">
        <v>272</v>
      </c>
      <c r="B132" s="146"/>
      <c r="C132" s="166">
        <f>COUNT(D155:D158)*4</f>
        <v>16</v>
      </c>
      <c r="D132" s="166"/>
      <c r="E132" s="135">
        <f>SUM(D155:D158)*4</f>
        <v>6629.9781599999997</v>
      </c>
      <c r="F132" s="135"/>
      <c r="G132" s="135">
        <f>SUM(F155:F158)*4</f>
        <v>10960</v>
      </c>
      <c r="H132" s="135"/>
    </row>
    <row r="133" spans="1:10" s="35" customFormat="1" x14ac:dyDescent="0.3">
      <c r="A133" s="146" t="s">
        <v>274</v>
      </c>
      <c r="B133" s="146"/>
      <c r="C133" s="166">
        <f>COUNT(D162:D165)*4</f>
        <v>16</v>
      </c>
      <c r="D133" s="166"/>
      <c r="E133" s="135">
        <f>SUM(D162:D165)*4</f>
        <v>6294.7871999999988</v>
      </c>
      <c r="F133" s="135"/>
      <c r="G133" s="135">
        <f>SUM(F162:F165)*4</f>
        <v>10584</v>
      </c>
      <c r="H133" s="135"/>
    </row>
    <row r="134" spans="1:10" s="35" customFormat="1" x14ac:dyDescent="0.3">
      <c r="A134" s="146" t="s">
        <v>275</v>
      </c>
      <c r="B134" s="146"/>
      <c r="C134" s="166">
        <f>COUNT(D174:D177)*4</f>
        <v>16</v>
      </c>
      <c r="D134" s="166"/>
      <c r="E134" s="135">
        <f>SUM(D174:D177)*4</f>
        <v>6294.7871999999988</v>
      </c>
      <c r="F134" s="135"/>
      <c r="G134" s="135">
        <f>SUM(F174:F177)*4</f>
        <v>10400</v>
      </c>
      <c r="H134" s="135"/>
    </row>
    <row r="135" spans="1:10" s="35" customFormat="1" x14ac:dyDescent="0.3">
      <c r="A135" s="146" t="s">
        <v>276</v>
      </c>
      <c r="B135" s="146"/>
      <c r="C135" s="166">
        <f>COUNT(D180)+COUNT(D185:D188)*4</f>
        <v>17</v>
      </c>
      <c r="D135" s="166"/>
      <c r="E135" s="135">
        <f>SUM(D180)+SUM(D185:D188)*4</f>
        <v>6970.0882679999995</v>
      </c>
      <c r="F135" s="135"/>
      <c r="G135" s="135">
        <f>SUM(F180)+SUM(F185:F188)*4</f>
        <v>11520</v>
      </c>
      <c r="H135" s="135"/>
    </row>
    <row r="136" spans="1:10" s="35" customFormat="1" ht="16.2" thickBot="1" x14ac:dyDescent="0.35">
      <c r="A136" s="102" t="s">
        <v>150</v>
      </c>
      <c r="B136" s="102"/>
      <c r="C136" s="137">
        <f>SUM(C132:C135)</f>
        <v>65</v>
      </c>
      <c r="D136" s="137"/>
      <c r="E136" s="183">
        <f>SUM(E132:E135)</f>
        <v>26189.640827999996</v>
      </c>
      <c r="F136" s="183"/>
      <c r="G136" s="183">
        <f>SUM(G132:G135)</f>
        <v>43464</v>
      </c>
      <c r="H136" s="183"/>
    </row>
    <row r="137" spans="1:10" s="35" customFormat="1" ht="16.2" thickBot="1" x14ac:dyDescent="0.35">
      <c r="A137" s="107" t="s">
        <v>167</v>
      </c>
      <c r="B137" s="108"/>
      <c r="C137" s="109">
        <f>C129+C136</f>
        <v>70</v>
      </c>
      <c r="D137" s="110"/>
      <c r="E137" s="109">
        <f t="shared" ref="E137" si="0">E129+E136</f>
        <v>26619.447347999994</v>
      </c>
      <c r="F137" s="110"/>
      <c r="G137" s="109">
        <f t="shared" ref="G137" si="1">G129+G136</f>
        <v>44108.709779999997</v>
      </c>
      <c r="H137" s="110"/>
    </row>
    <row r="138" spans="1:10" s="34" customFormat="1" x14ac:dyDescent="0.3">
      <c r="A138" s="139" t="s">
        <v>56</v>
      </c>
      <c r="B138" s="139"/>
      <c r="C138" s="139"/>
      <c r="D138" s="139"/>
      <c r="E138" s="139"/>
      <c r="F138" s="139"/>
      <c r="G138" s="139"/>
      <c r="H138" s="139"/>
    </row>
    <row r="139" spans="1:10" x14ac:dyDescent="0.3">
      <c r="A139" s="94" t="s">
        <v>174</v>
      </c>
      <c r="B139" s="94"/>
      <c r="C139" s="94"/>
      <c r="D139" s="94"/>
      <c r="E139" s="94"/>
      <c r="F139" s="94"/>
      <c r="G139" s="94"/>
      <c r="H139" s="94"/>
    </row>
    <row r="140" spans="1:10" ht="47.25" customHeight="1" x14ac:dyDescent="0.3">
      <c r="A140" s="185" t="s">
        <v>120</v>
      </c>
      <c r="B140" s="185" t="s">
        <v>176</v>
      </c>
      <c r="C140" s="185" t="s">
        <v>57</v>
      </c>
      <c r="D140" s="185" t="s">
        <v>58</v>
      </c>
      <c r="E140" s="167" t="s">
        <v>155</v>
      </c>
      <c r="F140" s="43" t="s">
        <v>149</v>
      </c>
      <c r="G140" s="133" t="s">
        <v>60</v>
      </c>
      <c r="H140" s="134"/>
    </row>
    <row r="141" spans="1:10" s="37" customFormat="1" x14ac:dyDescent="0.3">
      <c r="A141" s="186"/>
      <c r="B141" s="186"/>
      <c r="C141" s="186"/>
      <c r="D141" s="186"/>
      <c r="E141" s="168"/>
      <c r="F141" s="13">
        <v>0.5</v>
      </c>
      <c r="G141" s="169"/>
      <c r="H141" s="170"/>
    </row>
    <row r="142" spans="1:10" s="37" customFormat="1" x14ac:dyDescent="0.3">
      <c r="A142" s="113" t="s">
        <v>256</v>
      </c>
      <c r="B142" s="114"/>
      <c r="C142" s="114"/>
      <c r="D142" s="114"/>
      <c r="E142" s="114"/>
      <c r="F142" s="114"/>
      <c r="G142" s="114"/>
      <c r="H142" s="115"/>
      <c r="J142" s="36"/>
    </row>
    <row r="143" spans="1:10" s="37" customFormat="1" x14ac:dyDescent="0.3">
      <c r="A143" s="113" t="s">
        <v>257</v>
      </c>
      <c r="B143" s="114"/>
      <c r="C143" s="114"/>
      <c r="D143" s="114"/>
      <c r="E143" s="114"/>
      <c r="F143" s="114"/>
      <c r="G143" s="114"/>
      <c r="H143" s="115"/>
      <c r="J143" s="36"/>
    </row>
    <row r="144" spans="1:10" s="37" customFormat="1" x14ac:dyDescent="0.3">
      <c r="A144" s="113" t="s">
        <v>258</v>
      </c>
      <c r="B144" s="114"/>
      <c r="C144" s="114"/>
      <c r="D144" s="114"/>
      <c r="E144" s="114"/>
      <c r="F144" s="114"/>
      <c r="G144" s="114"/>
      <c r="H144" s="115"/>
      <c r="J144" s="36"/>
    </row>
    <row r="145" spans="1:14" s="37" customFormat="1" ht="15.75" customHeight="1" x14ac:dyDescent="0.3">
      <c r="A145" s="96">
        <v>1</v>
      </c>
      <c r="B145" s="97"/>
      <c r="C145" s="42" t="s">
        <v>259</v>
      </c>
      <c r="D145" s="42">
        <f>(9.375)*10.764</f>
        <v>100.91249999999999</v>
      </c>
      <c r="E145" s="42">
        <v>0</v>
      </c>
      <c r="F145" s="42">
        <f>(D145+E145)*(($F$141)+1)</f>
        <v>151.36874999999998</v>
      </c>
      <c r="G145" s="187" t="str">
        <f>A144</f>
        <v>Ground Floor For Commercial &amp; Parking</v>
      </c>
      <c r="H145" s="188"/>
      <c r="I145" s="60">
        <f>2.5*3.75</f>
        <v>9.375</v>
      </c>
      <c r="L145" s="165"/>
      <c r="M145" s="165"/>
      <c r="N145" s="36"/>
    </row>
    <row r="146" spans="1:14" s="37" customFormat="1" ht="15.75" customHeight="1" x14ac:dyDescent="0.3">
      <c r="A146" s="96">
        <f t="shared" ref="A146:A149" si="2">A145+1</f>
        <v>2</v>
      </c>
      <c r="B146" s="97"/>
      <c r="C146" s="42" t="s">
        <v>259</v>
      </c>
      <c r="D146" s="42">
        <f>(9.28)*10.764</f>
        <v>99.889919999999989</v>
      </c>
      <c r="E146" s="42">
        <v>0</v>
      </c>
      <c r="F146" s="42">
        <f>(D146+E146)*(($F$141)+1)</f>
        <v>149.83488</v>
      </c>
      <c r="G146" s="189"/>
      <c r="H146" s="190"/>
      <c r="I146" s="60">
        <f>2.475*3.75</f>
        <v>9.28125</v>
      </c>
      <c r="L146" s="165"/>
      <c r="M146" s="165"/>
      <c r="N146" s="36"/>
    </row>
    <row r="147" spans="1:14" s="37" customFormat="1" ht="15.75" customHeight="1" x14ac:dyDescent="0.3">
      <c r="A147" s="96">
        <f t="shared" si="2"/>
        <v>3</v>
      </c>
      <c r="B147" s="97"/>
      <c r="C147" s="42" t="s">
        <v>259</v>
      </c>
      <c r="D147" s="42">
        <f>(4.95)*10.764</f>
        <v>53.281799999999997</v>
      </c>
      <c r="E147" s="42">
        <v>0</v>
      </c>
      <c r="F147" s="42">
        <f>(D147+E147)*(($F$141)+1)</f>
        <v>79.922699999999992</v>
      </c>
      <c r="G147" s="189"/>
      <c r="H147" s="190"/>
      <c r="I147" s="60">
        <f>2.15*2.3</f>
        <v>4.9449999999999994</v>
      </c>
      <c r="L147" s="165"/>
      <c r="M147" s="165"/>
      <c r="N147" s="36"/>
    </row>
    <row r="148" spans="1:14" s="37" customFormat="1" ht="15.75" customHeight="1" x14ac:dyDescent="0.3">
      <c r="A148" s="96">
        <f t="shared" si="2"/>
        <v>4</v>
      </c>
      <c r="B148" s="97"/>
      <c r="C148" s="42" t="s">
        <v>259</v>
      </c>
      <c r="D148" s="42">
        <f>(6.95)*10.764</f>
        <v>74.809799999999996</v>
      </c>
      <c r="E148" s="42">
        <v>0</v>
      </c>
      <c r="F148" s="42">
        <f>(D148+E148)*(($F$141)+1)</f>
        <v>112.21469999999999</v>
      </c>
      <c r="G148" s="189"/>
      <c r="H148" s="190"/>
      <c r="I148" s="36"/>
      <c r="L148" s="165"/>
      <c r="M148" s="165"/>
      <c r="N148" s="36"/>
    </row>
    <row r="149" spans="1:14" s="37" customFormat="1" ht="15.75" customHeight="1" x14ac:dyDescent="0.3">
      <c r="A149" s="96">
        <f t="shared" si="2"/>
        <v>5</v>
      </c>
      <c r="B149" s="97"/>
      <c r="C149" s="42" t="s">
        <v>259</v>
      </c>
      <c r="D149" s="42">
        <f t="shared" ref="D149" si="3">(9.375)*10.764</f>
        <v>100.91249999999999</v>
      </c>
      <c r="E149" s="42">
        <v>0</v>
      </c>
      <c r="F149" s="42">
        <f>(D149+E149)*(($F$141)+1)</f>
        <v>151.36874999999998</v>
      </c>
      <c r="G149" s="191"/>
      <c r="H149" s="192"/>
      <c r="I149" s="36"/>
      <c r="L149" s="165"/>
      <c r="M149" s="165"/>
      <c r="N149" s="36"/>
    </row>
    <row r="150" spans="1:14" s="37" customFormat="1" x14ac:dyDescent="0.3">
      <c r="A150" s="96"/>
      <c r="B150" s="141"/>
      <c r="C150" s="141"/>
      <c r="D150" s="141"/>
      <c r="E150" s="141"/>
      <c r="F150" s="141"/>
      <c r="G150" s="141"/>
      <c r="H150" s="97"/>
      <c r="I150" s="36"/>
      <c r="N150" s="36"/>
    </row>
    <row r="151" spans="1:14" ht="47.25" customHeight="1" x14ac:dyDescent="0.3">
      <c r="A151" s="58" t="s">
        <v>121</v>
      </c>
      <c r="B151" s="43" t="s">
        <v>177</v>
      </c>
      <c r="C151" s="43" t="s">
        <v>57</v>
      </c>
      <c r="D151" s="43" t="s">
        <v>58</v>
      </c>
      <c r="E151" s="57" t="s">
        <v>59</v>
      </c>
      <c r="F151" s="43" t="s">
        <v>279</v>
      </c>
      <c r="G151" s="133" t="s">
        <v>60</v>
      </c>
      <c r="H151" s="134"/>
      <c r="I151" s="36"/>
    </row>
    <row r="152" spans="1:14" s="37" customFormat="1" x14ac:dyDescent="0.3">
      <c r="A152" s="138" t="s">
        <v>256</v>
      </c>
      <c r="B152" s="138"/>
      <c r="C152" s="138"/>
      <c r="D152" s="138"/>
      <c r="E152" s="138"/>
      <c r="F152" s="138"/>
      <c r="G152" s="138"/>
      <c r="H152" s="138"/>
      <c r="J152" s="36"/>
    </row>
    <row r="153" spans="1:14" s="37" customFormat="1" ht="15.75" customHeight="1" x14ac:dyDescent="0.3">
      <c r="A153" s="138" t="s">
        <v>257</v>
      </c>
      <c r="B153" s="138"/>
      <c r="C153" s="138"/>
      <c r="D153" s="138"/>
      <c r="E153" s="138"/>
      <c r="F153" s="138"/>
      <c r="G153" s="138"/>
      <c r="H153" s="138"/>
      <c r="J153" s="36"/>
    </row>
    <row r="154" spans="1:14" s="37" customFormat="1" x14ac:dyDescent="0.3">
      <c r="A154" s="138" t="s">
        <v>260</v>
      </c>
      <c r="B154" s="138"/>
      <c r="C154" s="138"/>
      <c r="D154" s="138"/>
      <c r="E154" s="138"/>
      <c r="F154" s="138"/>
      <c r="G154" s="138"/>
      <c r="H154" s="138"/>
      <c r="J154" s="36"/>
      <c r="K154" s="37">
        <f>1*2+1*2.8</f>
        <v>4.8</v>
      </c>
    </row>
    <row r="155" spans="1:14" s="37" customFormat="1" ht="15.75" customHeight="1" x14ac:dyDescent="0.3">
      <c r="A155" s="140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101 to 401</v>
      </c>
      <c r="B155" s="140"/>
      <c r="C155" s="42" t="s">
        <v>261</v>
      </c>
      <c r="D155" s="42">
        <f>(27.232+4.8+4.518)*10.764</f>
        <v>393.42419999999993</v>
      </c>
      <c r="E155" s="42">
        <v>0</v>
      </c>
      <c r="F155" s="62">
        <v>650</v>
      </c>
      <c r="G155" s="140" t="str">
        <f>A154</f>
        <v>1st to 4th Floor For Residential</v>
      </c>
      <c r="H155" s="140"/>
      <c r="I155" s="36">
        <f>(27.232+4.8+4.518)</f>
        <v>36.549999999999997</v>
      </c>
      <c r="J155" s="36">
        <f>3*2.75+0.9*2.5+2.5*1.8+3.5*2.75+1.8*1.1+1*1.2+1*1.8+0.5*1.1+0.6*(2.75+1.8+2.75)</f>
        <v>34.535000000000004</v>
      </c>
      <c r="K155" s="37">
        <f>3*2.75+0.9*2.5+2.5*1.8+2.5*2.75+1.8*1.1+1*1.2</f>
        <v>25.055</v>
      </c>
      <c r="L155" s="62">
        <v>650</v>
      </c>
      <c r="M155" s="61">
        <f>L155/D155</f>
        <v>1.6521606957579125</v>
      </c>
      <c r="N155" s="36"/>
    </row>
    <row r="156" spans="1:14" s="37" customFormat="1" ht="15.75" customHeight="1" x14ac:dyDescent="0.3">
      <c r="A156" s="140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102 to 402</v>
      </c>
      <c r="B156" s="140"/>
      <c r="C156" s="42" t="s">
        <v>261</v>
      </c>
      <c r="D156" s="42">
        <f>(29.917+5.575+7.134)*10.764</f>
        <v>458.82626400000004</v>
      </c>
      <c r="E156" s="63">
        <v>0</v>
      </c>
      <c r="F156" s="62">
        <v>760</v>
      </c>
      <c r="G156" s="140"/>
      <c r="H156" s="140"/>
      <c r="I156" s="36">
        <f>(29.917+5.575+7.134)</f>
        <v>42.626000000000005</v>
      </c>
      <c r="J156" s="36">
        <f>3.9*2.75+2.525*2.8+3.5*2.75+1*1.8+1.05*1.2+2.625*1.1+0.6*(2.75+2.95+3+2.625)</f>
        <v>40.162500000000001</v>
      </c>
      <c r="L156" s="62">
        <v>760</v>
      </c>
      <c r="M156" s="61">
        <f t="shared" ref="M156:M158" si="4">L156/D156</f>
        <v>1.6564003842639661</v>
      </c>
      <c r="N156" s="36"/>
    </row>
    <row r="157" spans="1:14" s="37" customFormat="1" ht="15.75" customHeight="1" x14ac:dyDescent="0.3">
      <c r="A157" s="140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103 to 403</v>
      </c>
      <c r="B157" s="140"/>
      <c r="C157" s="42" t="s">
        <v>261</v>
      </c>
      <c r="D157" s="42">
        <f>(28.647+2.95+6.662)*10.764</f>
        <v>411.81987599999997</v>
      </c>
      <c r="E157" s="42">
        <v>0</v>
      </c>
      <c r="F157" s="62">
        <v>680</v>
      </c>
      <c r="G157" s="140"/>
      <c r="H157" s="140"/>
      <c r="I157" s="36">
        <f>(28.647+2.95+6.662)</f>
        <v>38.259</v>
      </c>
      <c r="J157" s="36">
        <f>3.9*2.75+1.8*2.5+2.5*2.75+1*1.8+1.05*1.2+1*2.95+0.8*1.9+0.4*1.3+0.6*(1.9+2.9+2.75+2.75)</f>
        <v>36.330000000000005</v>
      </c>
      <c r="L157" s="62">
        <v>680</v>
      </c>
      <c r="M157" s="61">
        <f t="shared" si="4"/>
        <v>1.6512073351214356</v>
      </c>
      <c r="N157" s="36"/>
    </row>
    <row r="158" spans="1:14" s="37" customFormat="1" ht="15.75" customHeight="1" x14ac:dyDescent="0.3">
      <c r="A158" s="140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104 to 404</v>
      </c>
      <c r="B158" s="140"/>
      <c r="C158" s="42" t="s">
        <v>261</v>
      </c>
      <c r="D158" s="42">
        <f>(27.232+4.8+4.518)*10.764</f>
        <v>393.42419999999993</v>
      </c>
      <c r="E158" s="42">
        <v>0</v>
      </c>
      <c r="F158" s="62">
        <v>650</v>
      </c>
      <c r="G158" s="140"/>
      <c r="H158" s="140"/>
      <c r="I158" s="36"/>
      <c r="L158" s="62">
        <v>650</v>
      </c>
      <c r="M158" s="61">
        <f t="shared" si="4"/>
        <v>1.6521606957579125</v>
      </c>
      <c r="N158" s="36"/>
    </row>
    <row r="159" spans="1:14" s="37" customFormat="1" ht="15.75" customHeight="1" x14ac:dyDescent="0.3">
      <c r="A159" s="113" t="s">
        <v>262</v>
      </c>
      <c r="B159" s="114"/>
      <c r="C159" s="114"/>
      <c r="D159" s="114"/>
      <c r="E159" s="114"/>
      <c r="F159" s="114"/>
      <c r="G159" s="114"/>
      <c r="H159" s="115"/>
      <c r="J159" s="36"/>
    </row>
    <row r="160" spans="1:14" s="37" customFormat="1" ht="15.75" customHeight="1" x14ac:dyDescent="0.3">
      <c r="A160" s="113" t="s">
        <v>263</v>
      </c>
      <c r="B160" s="114"/>
      <c r="C160" s="114"/>
      <c r="D160" s="114"/>
      <c r="E160" s="114"/>
      <c r="F160" s="114"/>
      <c r="G160" s="114"/>
      <c r="H160" s="115"/>
      <c r="J160" s="36"/>
    </row>
    <row r="161" spans="1:15" s="37" customFormat="1" x14ac:dyDescent="0.3">
      <c r="A161" s="113" t="s">
        <v>292</v>
      </c>
      <c r="B161" s="114"/>
      <c r="C161" s="114"/>
      <c r="D161" s="114"/>
      <c r="E161" s="114"/>
      <c r="F161" s="114"/>
      <c r="G161" s="114"/>
      <c r="H161" s="115"/>
      <c r="I161" s="36"/>
      <c r="L161" s="165"/>
      <c r="M161" s="165"/>
    </row>
    <row r="162" spans="1:15" s="37" customFormat="1" ht="15.75" customHeight="1" x14ac:dyDescent="0.3">
      <c r="A162" s="96">
        <v>101</v>
      </c>
      <c r="B162" s="97"/>
      <c r="C162" s="42" t="s">
        <v>261</v>
      </c>
      <c r="D162" s="42">
        <f>(27.232+4.8+4.518)*10.764</f>
        <v>393.42419999999993</v>
      </c>
      <c r="E162" s="42">
        <v>0</v>
      </c>
      <c r="F162" s="62">
        <v>696</v>
      </c>
      <c r="G162" s="187" t="str">
        <f>A161</f>
        <v>1st Floor For Residential</v>
      </c>
      <c r="H162" s="188"/>
      <c r="I162" s="203" t="s">
        <v>294</v>
      </c>
      <c r="J162" s="204"/>
      <c r="K162" s="204"/>
      <c r="L162" s="204"/>
      <c r="M162" s="204"/>
      <c r="N162" s="204"/>
      <c r="O162" s="204"/>
    </row>
    <row r="163" spans="1:15" s="37" customFormat="1" ht="15.75" customHeight="1" x14ac:dyDescent="0.3">
      <c r="A163" s="96">
        <v>102</v>
      </c>
      <c r="B163" s="97"/>
      <c r="C163" s="42" t="s">
        <v>261</v>
      </c>
      <c r="D163" s="42">
        <f t="shared" ref="D163:D165" si="5">(27.232+4.8+4.518)*10.764</f>
        <v>393.42419999999993</v>
      </c>
      <c r="E163" s="42">
        <v>0</v>
      </c>
      <c r="F163" s="62">
        <v>650</v>
      </c>
      <c r="G163" s="189"/>
      <c r="H163" s="190"/>
      <c r="I163" s="36"/>
      <c r="L163" s="62"/>
      <c r="M163" s="61"/>
      <c r="N163" s="36"/>
    </row>
    <row r="164" spans="1:15" s="37" customFormat="1" ht="15.75" customHeight="1" x14ac:dyDescent="0.3">
      <c r="A164" s="96">
        <v>103</v>
      </c>
      <c r="B164" s="97"/>
      <c r="C164" s="42" t="s">
        <v>261</v>
      </c>
      <c r="D164" s="42">
        <f t="shared" si="5"/>
        <v>393.42419999999993</v>
      </c>
      <c r="E164" s="42">
        <v>0</v>
      </c>
      <c r="F164" s="62">
        <v>650</v>
      </c>
      <c r="G164" s="189"/>
      <c r="H164" s="190"/>
      <c r="I164" s="36"/>
      <c r="L164" s="62"/>
      <c r="M164" s="61"/>
      <c r="N164" s="36"/>
    </row>
    <row r="165" spans="1:15" s="37" customFormat="1" ht="15.75" customHeight="1" x14ac:dyDescent="0.3">
      <c r="A165" s="96">
        <v>104</v>
      </c>
      <c r="B165" s="97"/>
      <c r="C165" s="42" t="s">
        <v>261</v>
      </c>
      <c r="D165" s="42">
        <f t="shared" si="5"/>
        <v>393.42419999999993</v>
      </c>
      <c r="E165" s="42">
        <v>0</v>
      </c>
      <c r="F165" s="62">
        <v>650</v>
      </c>
      <c r="G165" s="191"/>
      <c r="H165" s="192"/>
      <c r="I165" s="36"/>
      <c r="L165" s="62"/>
      <c r="M165" s="61"/>
      <c r="N165" s="36"/>
    </row>
    <row r="166" spans="1:15" s="37" customFormat="1" x14ac:dyDescent="0.3">
      <c r="A166" s="113" t="s">
        <v>293</v>
      </c>
      <c r="B166" s="114"/>
      <c r="C166" s="114"/>
      <c r="D166" s="114"/>
      <c r="E166" s="114"/>
      <c r="F166" s="114"/>
      <c r="G166" s="114"/>
      <c r="H166" s="115"/>
      <c r="I166" s="36"/>
      <c r="L166" s="165"/>
      <c r="M166" s="165"/>
    </row>
    <row r="167" spans="1:15" s="37" customFormat="1" ht="15.75" customHeight="1" x14ac:dyDescent="0.3">
      <c r="A167" s="96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10^ROW(INDIRECT("1:"&amp;LEN((LEFT(A166,SUM(LEN(A166)-LEN(SUBSTITUTE(A166,{"0","1","2"},""))))))))/10))*100+1&amp;""&amp;" to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",LEN(A166))),LEN(A166)))))))/10))*100+1</f>
        <v>201 to 401</v>
      </c>
      <c r="B167" s="97"/>
      <c r="C167" s="42" t="s">
        <v>261</v>
      </c>
      <c r="D167" s="42">
        <f>(27.232+4.8+4.518)*10.764</f>
        <v>393.42419999999993</v>
      </c>
      <c r="E167" s="42">
        <v>0</v>
      </c>
      <c r="F167" s="62">
        <v>650</v>
      </c>
      <c r="G167" s="187" t="str">
        <f>A166</f>
        <v>2nd to 4th Floor For Residential</v>
      </c>
      <c r="H167" s="188"/>
      <c r="I167" s="37">
        <f>(27.232+4.8+4.518)</f>
        <v>36.549999999999997</v>
      </c>
      <c r="J167" s="36">
        <f>3*2.75+0.9*2.5+2.5*2.8+3.5*2.75+1.8*1.1+1*1.2+0.6*(2.75+1.95+2.75)</f>
        <v>34.774999999999999</v>
      </c>
      <c r="L167" s="62">
        <v>650</v>
      </c>
      <c r="M167" s="61">
        <f>L167/D167</f>
        <v>1.6521606957579125</v>
      </c>
      <c r="N167" s="36"/>
    </row>
    <row r="168" spans="1:15" s="37" customFormat="1" ht="15.75" customHeight="1" x14ac:dyDescent="0.3">
      <c r="A168" s="96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202 to 402</v>
      </c>
      <c r="B168" s="97"/>
      <c r="C168" s="42" t="s">
        <v>261</v>
      </c>
      <c r="D168" s="42">
        <f t="shared" ref="D168:D170" si="6">(27.232+4.8+4.518)*10.764</f>
        <v>393.42419999999993</v>
      </c>
      <c r="E168" s="42">
        <v>0</v>
      </c>
      <c r="F168" s="62">
        <v>650</v>
      </c>
      <c r="G168" s="189"/>
      <c r="H168" s="190"/>
      <c r="I168" s="36"/>
      <c r="L168" s="62">
        <v>650</v>
      </c>
      <c r="M168" s="61">
        <f t="shared" ref="M168:M170" si="7">L168/D168</f>
        <v>1.6521606957579125</v>
      </c>
      <c r="N168" s="36"/>
    </row>
    <row r="169" spans="1:15" s="37" customFormat="1" ht="15.75" customHeight="1" x14ac:dyDescent="0.3">
      <c r="A169" s="96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203 to 403</v>
      </c>
      <c r="B169" s="97"/>
      <c r="C169" s="42" t="s">
        <v>261</v>
      </c>
      <c r="D169" s="42">
        <f t="shared" si="6"/>
        <v>393.42419999999993</v>
      </c>
      <c r="E169" s="42">
        <v>0</v>
      </c>
      <c r="F169" s="62">
        <v>650</v>
      </c>
      <c r="G169" s="189"/>
      <c r="H169" s="190"/>
      <c r="I169" s="36"/>
      <c r="L169" s="62">
        <v>650</v>
      </c>
      <c r="M169" s="61">
        <f t="shared" si="7"/>
        <v>1.6521606957579125</v>
      </c>
      <c r="N169" s="36"/>
    </row>
    <row r="170" spans="1:15" s="37" customFormat="1" ht="15.75" customHeight="1" x14ac:dyDescent="0.3">
      <c r="A170" s="96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204 to 404</v>
      </c>
      <c r="B170" s="97"/>
      <c r="C170" s="42" t="s">
        <v>261</v>
      </c>
      <c r="D170" s="42">
        <f t="shared" si="6"/>
        <v>393.42419999999993</v>
      </c>
      <c r="E170" s="42">
        <v>0</v>
      </c>
      <c r="F170" s="62">
        <v>650</v>
      </c>
      <c r="G170" s="191"/>
      <c r="H170" s="192"/>
      <c r="I170" s="36"/>
      <c r="L170" s="62">
        <v>650</v>
      </c>
      <c r="M170" s="61">
        <f t="shared" si="7"/>
        <v>1.6521606957579125</v>
      </c>
      <c r="N170" s="36"/>
    </row>
    <row r="171" spans="1:15" s="37" customFormat="1" ht="15.75" customHeight="1" x14ac:dyDescent="0.3">
      <c r="A171" s="113" t="s">
        <v>264</v>
      </c>
      <c r="B171" s="114"/>
      <c r="C171" s="114"/>
      <c r="D171" s="114"/>
      <c r="E171" s="114"/>
      <c r="F171" s="114"/>
      <c r="G171" s="114"/>
      <c r="H171" s="115"/>
      <c r="J171" s="36"/>
    </row>
    <row r="172" spans="1:15" s="37" customFormat="1" ht="15.75" customHeight="1" x14ac:dyDescent="0.3">
      <c r="A172" s="113" t="s">
        <v>265</v>
      </c>
      <c r="B172" s="114"/>
      <c r="C172" s="114"/>
      <c r="D172" s="114"/>
      <c r="E172" s="114"/>
      <c r="F172" s="114"/>
      <c r="G172" s="114"/>
      <c r="H172" s="115"/>
      <c r="J172" s="36"/>
    </row>
    <row r="173" spans="1:15" s="37" customFormat="1" x14ac:dyDescent="0.3">
      <c r="A173" s="113" t="s">
        <v>260</v>
      </c>
      <c r="B173" s="114"/>
      <c r="C173" s="114"/>
      <c r="D173" s="114"/>
      <c r="E173" s="114"/>
      <c r="F173" s="114"/>
      <c r="G173" s="114"/>
      <c r="H173" s="115"/>
      <c r="J173" s="36"/>
    </row>
    <row r="174" spans="1:15" s="37" customFormat="1" ht="15.75" customHeight="1" x14ac:dyDescent="0.3">
      <c r="A174" s="96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to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101 to 401</v>
      </c>
      <c r="B174" s="97"/>
      <c r="C174" s="42" t="s">
        <v>261</v>
      </c>
      <c r="D174" s="42">
        <f>(27.232+4.8+4.518)*10.764</f>
        <v>393.42419999999993</v>
      </c>
      <c r="E174" s="42">
        <v>0</v>
      </c>
      <c r="F174" s="62">
        <v>650</v>
      </c>
      <c r="G174" s="187" t="str">
        <f>A173</f>
        <v>1st to 4th Floor For Residential</v>
      </c>
      <c r="H174" s="188"/>
      <c r="I174" s="36"/>
      <c r="L174" s="165"/>
      <c r="M174" s="165"/>
      <c r="N174" s="36"/>
    </row>
    <row r="175" spans="1:15" s="37" customFormat="1" ht="15.75" customHeight="1" x14ac:dyDescent="0.3">
      <c r="A175" s="96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to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102 to 402</v>
      </c>
      <c r="B175" s="97"/>
      <c r="C175" s="42" t="s">
        <v>261</v>
      </c>
      <c r="D175" s="42">
        <f t="shared" ref="D175:D177" si="8">(27.232+4.8+4.518)*10.764</f>
        <v>393.42419999999993</v>
      </c>
      <c r="E175" s="42">
        <v>0</v>
      </c>
      <c r="F175" s="62">
        <v>650</v>
      </c>
      <c r="G175" s="189"/>
      <c r="H175" s="190"/>
      <c r="I175" s="36"/>
      <c r="L175" s="165"/>
      <c r="M175" s="165"/>
      <c r="N175" s="36"/>
    </row>
    <row r="176" spans="1:15" s="37" customFormat="1" ht="15.75" customHeight="1" x14ac:dyDescent="0.3">
      <c r="A176" s="96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103 to 403</v>
      </c>
      <c r="B176" s="97"/>
      <c r="C176" s="42" t="s">
        <v>261</v>
      </c>
      <c r="D176" s="42">
        <f t="shared" si="8"/>
        <v>393.42419999999993</v>
      </c>
      <c r="E176" s="42">
        <v>0</v>
      </c>
      <c r="F176" s="62">
        <v>650</v>
      </c>
      <c r="G176" s="189"/>
      <c r="H176" s="190"/>
      <c r="I176" s="36"/>
      <c r="L176" s="165"/>
      <c r="M176" s="165"/>
      <c r="N176" s="36"/>
    </row>
    <row r="177" spans="1:14" s="37" customFormat="1" ht="15.75" customHeight="1" x14ac:dyDescent="0.3">
      <c r="A177" s="96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104 to 404</v>
      </c>
      <c r="B177" s="97"/>
      <c r="C177" s="42" t="s">
        <v>261</v>
      </c>
      <c r="D177" s="42">
        <f t="shared" si="8"/>
        <v>393.42419999999993</v>
      </c>
      <c r="E177" s="42">
        <v>0</v>
      </c>
      <c r="F177" s="62">
        <v>650</v>
      </c>
      <c r="G177" s="191"/>
      <c r="H177" s="192"/>
      <c r="I177" s="36"/>
      <c r="L177" s="165"/>
      <c r="M177" s="165"/>
      <c r="N177" s="36"/>
    </row>
    <row r="178" spans="1:14" s="37" customFormat="1" x14ac:dyDescent="0.3">
      <c r="A178" s="113" t="s">
        <v>266</v>
      </c>
      <c r="B178" s="114"/>
      <c r="C178" s="114"/>
      <c r="D178" s="114"/>
      <c r="E178" s="114"/>
      <c r="F178" s="114"/>
      <c r="G178" s="114"/>
      <c r="H178" s="115"/>
      <c r="J178" s="36"/>
    </row>
    <row r="179" spans="1:14" s="37" customFormat="1" ht="15.75" customHeight="1" x14ac:dyDescent="0.3">
      <c r="A179" s="113" t="s">
        <v>267</v>
      </c>
      <c r="B179" s="114"/>
      <c r="C179" s="114"/>
      <c r="D179" s="114"/>
      <c r="E179" s="114"/>
      <c r="F179" s="114"/>
      <c r="G179" s="114"/>
      <c r="H179" s="115"/>
      <c r="J179" s="36"/>
    </row>
    <row r="180" spans="1:14" s="37" customFormat="1" x14ac:dyDescent="0.3">
      <c r="A180" s="205" t="s">
        <v>268</v>
      </c>
      <c r="B180" s="206"/>
      <c r="C180" s="42" t="s">
        <v>261</v>
      </c>
      <c r="D180" s="42">
        <f>(28.647+2.95)*10.764</f>
        <v>340.11010799999997</v>
      </c>
      <c r="E180" s="42">
        <v>0</v>
      </c>
      <c r="F180" s="42">
        <v>560</v>
      </c>
      <c r="G180" s="187" t="str">
        <f>A179</f>
        <v>Ground Floor For Residential &amp; Parking</v>
      </c>
      <c r="H180" s="188"/>
      <c r="I180" s="36"/>
      <c r="J180" s="37">
        <f>F180/D180</f>
        <v>1.6465256010562321</v>
      </c>
      <c r="L180" s="61">
        <v>720</v>
      </c>
      <c r="M180" s="61"/>
      <c r="N180" s="36"/>
    </row>
    <row r="181" spans="1:14" s="37" customFormat="1" ht="15.75" customHeight="1" x14ac:dyDescent="0.3">
      <c r="A181" s="96" t="s">
        <v>269</v>
      </c>
      <c r="B181" s="97"/>
      <c r="C181" s="187" t="s">
        <v>270</v>
      </c>
      <c r="D181" s="200"/>
      <c r="E181" s="200"/>
      <c r="F181" s="188"/>
      <c r="G181" s="189"/>
      <c r="H181" s="190"/>
      <c r="I181" s="36"/>
      <c r="L181" s="61"/>
      <c r="M181" s="61"/>
      <c r="N181" s="36"/>
    </row>
    <row r="182" spans="1:14" s="37" customFormat="1" ht="15.75" customHeight="1" x14ac:dyDescent="0.3">
      <c r="A182" s="96" t="s">
        <v>269</v>
      </c>
      <c r="B182" s="97"/>
      <c r="C182" s="189"/>
      <c r="D182" s="201"/>
      <c r="E182" s="201"/>
      <c r="F182" s="190"/>
      <c r="G182" s="189"/>
      <c r="H182" s="190"/>
      <c r="I182" s="36"/>
      <c r="L182" s="61"/>
      <c r="M182" s="61"/>
      <c r="N182" s="36"/>
    </row>
    <row r="183" spans="1:14" s="37" customFormat="1" ht="15.75" customHeight="1" x14ac:dyDescent="0.3">
      <c r="A183" s="96" t="s">
        <v>269</v>
      </c>
      <c r="B183" s="97"/>
      <c r="C183" s="191"/>
      <c r="D183" s="202"/>
      <c r="E183" s="202"/>
      <c r="F183" s="192"/>
      <c r="G183" s="191"/>
      <c r="H183" s="192"/>
      <c r="I183" s="36"/>
      <c r="L183" s="61"/>
      <c r="M183" s="61"/>
      <c r="N183" s="36"/>
    </row>
    <row r="184" spans="1:14" s="37" customFormat="1" x14ac:dyDescent="0.3">
      <c r="A184" s="113" t="s">
        <v>260</v>
      </c>
      <c r="B184" s="114"/>
      <c r="C184" s="114"/>
      <c r="D184" s="114"/>
      <c r="E184" s="114"/>
      <c r="F184" s="114"/>
      <c r="G184" s="114"/>
      <c r="H184" s="115"/>
      <c r="J184" s="36"/>
    </row>
    <row r="185" spans="1:14" s="37" customFormat="1" ht="15.75" customHeight="1" x14ac:dyDescent="0.3">
      <c r="A185" s="96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101 to 401</v>
      </c>
      <c r="B185" s="97"/>
      <c r="C185" s="42" t="s">
        <v>261</v>
      </c>
      <c r="D185" s="42">
        <f>(27.232+4.8+4.518)*10.764</f>
        <v>393.42419999999993</v>
      </c>
      <c r="E185" s="42">
        <v>0</v>
      </c>
      <c r="F185" s="62">
        <v>650</v>
      </c>
      <c r="G185" s="187" t="str">
        <f>A184</f>
        <v>1st to 4th Floor For Residential</v>
      </c>
      <c r="H185" s="188"/>
      <c r="I185" s="36"/>
      <c r="L185" s="165"/>
      <c r="M185" s="165"/>
      <c r="N185" s="36"/>
    </row>
    <row r="186" spans="1:14" s="37" customFormat="1" ht="15.75" customHeight="1" x14ac:dyDescent="0.3">
      <c r="A186" s="96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to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102 to 402</v>
      </c>
      <c r="B186" s="97"/>
      <c r="C186" s="42" t="s">
        <v>261</v>
      </c>
      <c r="D186" s="42">
        <f>(29.917+5.575+7.134)*10.764</f>
        <v>458.82626400000004</v>
      </c>
      <c r="E186" s="42">
        <v>0</v>
      </c>
      <c r="F186" s="62">
        <v>760</v>
      </c>
      <c r="G186" s="189"/>
      <c r="H186" s="190"/>
      <c r="I186" s="36"/>
      <c r="L186" s="165"/>
      <c r="M186" s="165"/>
      <c r="N186" s="36"/>
    </row>
    <row r="187" spans="1:14" s="37" customFormat="1" ht="15.75" customHeight="1" x14ac:dyDescent="0.3">
      <c r="A187" s="96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to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103 to 403</v>
      </c>
      <c r="B187" s="97"/>
      <c r="C187" s="42" t="s">
        <v>261</v>
      </c>
      <c r="D187" s="42">
        <f>(28.647+2.95+6.662)*10.764</f>
        <v>411.81987599999997</v>
      </c>
      <c r="E187" s="42">
        <v>0</v>
      </c>
      <c r="F187" s="62">
        <v>680</v>
      </c>
      <c r="G187" s="189"/>
      <c r="H187" s="190"/>
      <c r="I187" s="36"/>
      <c r="L187" s="165"/>
      <c r="M187" s="165"/>
      <c r="N187" s="36"/>
    </row>
    <row r="188" spans="1:14" s="37" customFormat="1" ht="15.75" customHeight="1" x14ac:dyDescent="0.3">
      <c r="A188" s="96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104 to 404</v>
      </c>
      <c r="B188" s="97"/>
      <c r="C188" s="42" t="s">
        <v>261</v>
      </c>
      <c r="D188" s="42">
        <f>(27.232+4.8+4.518)*10.764</f>
        <v>393.42419999999993</v>
      </c>
      <c r="E188" s="42">
        <v>0</v>
      </c>
      <c r="F188" s="62">
        <v>650</v>
      </c>
      <c r="G188" s="191"/>
      <c r="H188" s="192"/>
      <c r="I188" s="36"/>
      <c r="L188" s="165"/>
      <c r="M188" s="165"/>
      <c r="N188" s="36"/>
    </row>
    <row r="189" spans="1:14" s="35" customFormat="1" x14ac:dyDescent="0.3">
      <c r="A189" s="198" t="s">
        <v>68</v>
      </c>
      <c r="B189" s="198"/>
      <c r="C189" s="198"/>
      <c r="D189" s="198"/>
      <c r="E189" s="198"/>
      <c r="F189" s="198"/>
      <c r="G189" s="198"/>
      <c r="H189" s="198"/>
    </row>
    <row r="190" spans="1:14" s="35" customFormat="1" x14ac:dyDescent="0.3">
      <c r="A190" s="47" t="s">
        <v>153</v>
      </c>
      <c r="B190" s="148" t="s">
        <v>290</v>
      </c>
      <c r="C190" s="149"/>
      <c r="D190" s="149"/>
      <c r="E190" s="149"/>
      <c r="F190" s="149"/>
      <c r="G190" s="149"/>
      <c r="H190" s="150"/>
    </row>
    <row r="191" spans="1:14" s="35" customFormat="1" x14ac:dyDescent="0.3">
      <c r="A191" s="47" t="s">
        <v>153</v>
      </c>
      <c r="B191" s="147" t="str">
        <f>(IF(F151="Saleable area Loading :","We have considered Saleable area of Flats as per our Calculation.","We considered Saleable area of Flat as per Builder area Sheet."))</f>
        <v>We considered Saleable area of Flat as per Builder area Sheet.</v>
      </c>
      <c r="C191" s="147"/>
      <c r="D191" s="147"/>
      <c r="E191" s="147"/>
      <c r="F191" s="147"/>
      <c r="G191" s="147"/>
      <c r="H191" s="147"/>
    </row>
    <row r="192" spans="1:14" s="35" customFormat="1" x14ac:dyDescent="0.3">
      <c r="A192" s="47" t="s">
        <v>153</v>
      </c>
      <c r="B192" s="147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2" s="147"/>
      <c r="D192" s="147"/>
      <c r="E192" s="147"/>
      <c r="F192" s="147"/>
      <c r="G192" s="147"/>
      <c r="H192" s="147"/>
    </row>
    <row r="193" spans="1:8" s="35" customFormat="1" x14ac:dyDescent="0.3">
      <c r="A193" s="47" t="s">
        <v>153</v>
      </c>
      <c r="B193" s="74" t="s">
        <v>123</v>
      </c>
      <c r="C193" s="74"/>
      <c r="D193" s="74"/>
      <c r="E193" s="74"/>
      <c r="F193" s="74"/>
      <c r="G193" s="74"/>
      <c r="H193" s="74"/>
    </row>
    <row r="194" spans="1:8" s="35" customFormat="1" x14ac:dyDescent="0.3">
      <c r="A194" s="47" t="s">
        <v>153</v>
      </c>
      <c r="B194" s="74" t="s">
        <v>285</v>
      </c>
      <c r="C194" s="74"/>
      <c r="D194" s="74"/>
      <c r="E194" s="74"/>
      <c r="F194" s="74"/>
      <c r="G194" s="74"/>
      <c r="H194" s="74"/>
    </row>
    <row r="195" spans="1:8" s="35" customFormat="1" x14ac:dyDescent="0.3">
      <c r="A195" s="47" t="s">
        <v>153</v>
      </c>
      <c r="B195" s="74" t="s">
        <v>152</v>
      </c>
      <c r="C195" s="74"/>
      <c r="D195" s="74"/>
      <c r="E195" s="74"/>
      <c r="F195" s="74"/>
      <c r="G195" s="74"/>
      <c r="H195" s="74"/>
    </row>
    <row r="196" spans="1:8" s="35" customFormat="1" x14ac:dyDescent="0.3">
      <c r="A196" s="47" t="s">
        <v>153</v>
      </c>
      <c r="B196" s="74" t="s">
        <v>124</v>
      </c>
      <c r="C196" s="74"/>
      <c r="D196" s="74"/>
      <c r="E196" s="74"/>
      <c r="F196" s="74"/>
      <c r="G196" s="74"/>
      <c r="H196" s="74"/>
    </row>
    <row r="197" spans="1:8" s="35" customFormat="1" ht="34.5" hidden="1" customHeight="1" x14ac:dyDescent="0.3">
      <c r="A197" s="47" t="s">
        <v>153</v>
      </c>
      <c r="B197" s="74" t="s">
        <v>154</v>
      </c>
      <c r="C197" s="74"/>
      <c r="D197" s="74"/>
      <c r="E197" s="74"/>
      <c r="F197" s="74"/>
      <c r="G197" s="74"/>
      <c r="H197" s="74"/>
    </row>
    <row r="198" spans="1:8" s="35" customFormat="1" x14ac:dyDescent="0.3">
      <c r="A198" s="47" t="s">
        <v>153</v>
      </c>
      <c r="B198" s="74" t="s">
        <v>125</v>
      </c>
      <c r="C198" s="74"/>
      <c r="D198" s="74"/>
      <c r="E198" s="74"/>
      <c r="F198" s="74"/>
      <c r="G198" s="74"/>
      <c r="H198" s="74"/>
    </row>
    <row r="199" spans="1:8" s="35" customFormat="1" x14ac:dyDescent="0.3">
      <c r="A199" s="47" t="s">
        <v>153</v>
      </c>
      <c r="B199" s="74" t="s">
        <v>291</v>
      </c>
      <c r="C199" s="74"/>
      <c r="D199" s="74"/>
      <c r="E199" s="74"/>
      <c r="F199" s="74"/>
      <c r="G199" s="74"/>
      <c r="H199" s="74"/>
    </row>
    <row r="200" spans="1:8" s="35" customFormat="1" ht="33" customHeight="1" x14ac:dyDescent="0.3">
      <c r="A200" s="47" t="s">
        <v>153</v>
      </c>
      <c r="B200" s="74" t="s">
        <v>301</v>
      </c>
      <c r="C200" s="74"/>
      <c r="D200" s="74"/>
      <c r="E200" s="74"/>
      <c r="F200" s="74"/>
      <c r="G200" s="74"/>
      <c r="H200" s="74"/>
    </row>
    <row r="201" spans="1:8" x14ac:dyDescent="0.3">
      <c r="A201" s="120" t="s">
        <v>61</v>
      </c>
      <c r="B201" s="120"/>
      <c r="C201" s="120"/>
      <c r="D201" s="120"/>
      <c r="E201" s="120"/>
      <c r="F201" s="120"/>
      <c r="G201" s="120"/>
      <c r="H201" s="120"/>
    </row>
    <row r="202" spans="1:8" x14ac:dyDescent="0.3">
      <c r="A202" s="87" t="s">
        <v>62</v>
      </c>
      <c r="B202" s="87"/>
      <c r="C202" s="87"/>
      <c r="D202" s="87"/>
      <c r="E202" s="87"/>
      <c r="F202" s="87"/>
      <c r="G202" s="87"/>
      <c r="H202" s="87"/>
    </row>
    <row r="203" spans="1:8" ht="15.75" customHeight="1" x14ac:dyDescent="0.3">
      <c r="A203" s="132" t="s">
        <v>63</v>
      </c>
      <c r="B203" s="132"/>
      <c r="C203" s="132"/>
      <c r="D203" s="132"/>
      <c r="E203" s="132"/>
      <c r="F203" s="132"/>
      <c r="G203" s="132"/>
      <c r="H203" s="132"/>
    </row>
    <row r="204" spans="1:8" x14ac:dyDescent="0.3">
      <c r="A204" s="87" t="s">
        <v>64</v>
      </c>
      <c r="B204" s="87"/>
      <c r="C204" s="87"/>
      <c r="D204" s="87"/>
      <c r="E204" s="87"/>
      <c r="F204" s="87"/>
      <c r="G204" s="87"/>
      <c r="H204" s="87"/>
    </row>
    <row r="205" spans="1:8" x14ac:dyDescent="0.3">
      <c r="A205" s="87" t="s">
        <v>65</v>
      </c>
      <c r="B205" s="87"/>
      <c r="C205" s="87"/>
      <c r="D205" s="87"/>
      <c r="E205" s="87"/>
      <c r="F205" s="87"/>
      <c r="G205" s="87"/>
      <c r="H205" s="87"/>
    </row>
    <row r="206" spans="1:8" x14ac:dyDescent="0.3">
      <c r="A206" s="87" t="s">
        <v>126</v>
      </c>
      <c r="B206" s="87"/>
      <c r="C206" s="87"/>
      <c r="D206" s="87"/>
      <c r="E206" s="87"/>
      <c r="F206" s="87"/>
      <c r="G206" s="87"/>
      <c r="H206" s="87"/>
    </row>
    <row r="207" spans="1:8" ht="34.049999999999997" customHeight="1" x14ac:dyDescent="0.3">
      <c r="A207" s="121" t="s">
        <v>127</v>
      </c>
      <c r="B207" s="121"/>
      <c r="C207" s="121"/>
      <c r="D207" s="121"/>
      <c r="E207" s="121"/>
      <c r="F207" s="121"/>
      <c r="G207" s="121"/>
      <c r="H207" s="121"/>
    </row>
    <row r="208" spans="1:8" x14ac:dyDescent="0.3">
      <c r="A208" s="143" t="s">
        <v>77</v>
      </c>
      <c r="B208" s="143"/>
      <c r="C208" s="143" t="s">
        <v>295</v>
      </c>
      <c r="D208" s="143"/>
      <c r="E208" s="143" t="s">
        <v>107</v>
      </c>
      <c r="F208" s="143"/>
      <c r="G208" s="143" t="s">
        <v>304</v>
      </c>
      <c r="H208" s="143"/>
    </row>
    <row r="209" spans="1:8" x14ac:dyDescent="0.3">
      <c r="A209" s="142" t="s">
        <v>79</v>
      </c>
      <c r="B209" s="142"/>
      <c r="C209" s="142"/>
      <c r="D209" s="142"/>
      <c r="E209" s="142"/>
      <c r="F209" s="142"/>
      <c r="G209" s="142"/>
      <c r="H209" s="142"/>
    </row>
    <row r="210" spans="1:8" x14ac:dyDescent="0.3">
      <c r="A210" s="142"/>
      <c r="B210" s="142"/>
      <c r="C210" s="142"/>
      <c r="D210" s="142"/>
      <c r="E210" s="142"/>
      <c r="F210" s="142"/>
      <c r="G210" s="142"/>
      <c r="H210" s="142"/>
    </row>
    <row r="211" spans="1:8" x14ac:dyDescent="0.3">
      <c r="A211" s="142"/>
      <c r="B211" s="142"/>
      <c r="C211" s="142"/>
      <c r="D211" s="142"/>
      <c r="E211" s="142"/>
      <c r="F211" s="142"/>
      <c r="G211" s="142"/>
      <c r="H211" s="142"/>
    </row>
    <row r="212" spans="1:8" x14ac:dyDescent="0.3">
      <c r="A212" s="142"/>
      <c r="B212" s="142"/>
      <c r="C212" s="142"/>
      <c r="D212" s="142"/>
      <c r="E212" s="142"/>
      <c r="F212" s="142"/>
      <c r="G212" s="142"/>
      <c r="H212" s="142"/>
    </row>
    <row r="213" spans="1:8" x14ac:dyDescent="0.3">
      <c r="A213" s="38" t="s">
        <v>66</v>
      </c>
      <c r="B213" s="39"/>
      <c r="C213" s="39"/>
      <c r="D213" s="38" t="str">
        <f>E8</f>
        <v>Hrishikesh 3</v>
      </c>
      <c r="F213" s="39"/>
      <c r="G213" s="39"/>
      <c r="H213" s="39"/>
    </row>
    <row r="214" spans="1:8" x14ac:dyDescent="0.3">
      <c r="A214" s="39"/>
      <c r="B214" s="39"/>
      <c r="C214" s="39"/>
      <c r="D214" s="39"/>
      <c r="E214" s="39"/>
      <c r="F214" s="39"/>
      <c r="G214" s="39"/>
      <c r="H214" s="39"/>
    </row>
    <row r="215" spans="1:8" x14ac:dyDescent="0.3">
      <c r="A215" s="39"/>
      <c r="B215" s="39"/>
      <c r="C215" s="39"/>
      <c r="D215" s="39"/>
      <c r="E215" s="39"/>
      <c r="F215" s="39"/>
      <c r="G215" s="39"/>
      <c r="H215" s="39"/>
    </row>
    <row r="216" spans="1:8" ht="15" customHeight="1" x14ac:dyDescent="0.3"/>
    <row r="255" spans="1:1" x14ac:dyDescent="0.3">
      <c r="A255" s="41" t="s">
        <v>164</v>
      </c>
    </row>
    <row r="297" spans="1:1" x14ac:dyDescent="0.3">
      <c r="A297" s="41" t="s">
        <v>67</v>
      </c>
    </row>
  </sheetData>
  <mergeCells count="376">
    <mergeCell ref="L166:M166"/>
    <mergeCell ref="A167:B167"/>
    <mergeCell ref="G167:H170"/>
    <mergeCell ref="A168:B168"/>
    <mergeCell ref="A169:B169"/>
    <mergeCell ref="A170:B170"/>
    <mergeCell ref="I162:O162"/>
    <mergeCell ref="I114:O114"/>
    <mergeCell ref="B199:H199"/>
    <mergeCell ref="L185:M185"/>
    <mergeCell ref="A186:B186"/>
    <mergeCell ref="L186:M186"/>
    <mergeCell ref="A187:B187"/>
    <mergeCell ref="L187:M187"/>
    <mergeCell ref="A188:B188"/>
    <mergeCell ref="L188:M188"/>
    <mergeCell ref="L174:M174"/>
    <mergeCell ref="A175:B175"/>
    <mergeCell ref="L175:M175"/>
    <mergeCell ref="A176:B176"/>
    <mergeCell ref="L176:M176"/>
    <mergeCell ref="A177:B177"/>
    <mergeCell ref="L177:M177"/>
    <mergeCell ref="A180:B180"/>
    <mergeCell ref="A181:B181"/>
    <mergeCell ref="A182:B182"/>
    <mergeCell ref="A183:B183"/>
    <mergeCell ref="C181:F183"/>
    <mergeCell ref="G180:H183"/>
    <mergeCell ref="A184:H184"/>
    <mergeCell ref="A185:B185"/>
    <mergeCell ref="G185:H188"/>
    <mergeCell ref="A53:B53"/>
    <mergeCell ref="C53:E53"/>
    <mergeCell ref="G53:H53"/>
    <mergeCell ref="A117:E117"/>
    <mergeCell ref="A97:B97"/>
    <mergeCell ref="A136:B136"/>
    <mergeCell ref="A171:H171"/>
    <mergeCell ref="A173:H173"/>
    <mergeCell ref="A174:B174"/>
    <mergeCell ref="G174:H177"/>
    <mergeCell ref="D65:H65"/>
    <mergeCell ref="C72:H72"/>
    <mergeCell ref="A75:B75"/>
    <mergeCell ref="A77:B77"/>
    <mergeCell ref="E73:F73"/>
    <mergeCell ref="A66:C66"/>
    <mergeCell ref="D66:H66"/>
    <mergeCell ref="A69:C69"/>
    <mergeCell ref="D69:H69"/>
    <mergeCell ref="D68:H68"/>
    <mergeCell ref="A74:B74"/>
    <mergeCell ref="G73:H73"/>
    <mergeCell ref="D67:H67"/>
    <mergeCell ref="A68:C68"/>
    <mergeCell ref="L149:M149"/>
    <mergeCell ref="A67:C67"/>
    <mergeCell ref="E87:F87"/>
    <mergeCell ref="G87:H87"/>
    <mergeCell ref="A118:E118"/>
    <mergeCell ref="F118:H118"/>
    <mergeCell ref="A119:E119"/>
    <mergeCell ref="A121:E121"/>
    <mergeCell ref="F115:H115"/>
    <mergeCell ref="A120:E120"/>
    <mergeCell ref="E88:F97"/>
    <mergeCell ref="A95:B95"/>
    <mergeCell ref="A96:B96"/>
    <mergeCell ref="E131:F131"/>
    <mergeCell ref="A84:B84"/>
    <mergeCell ref="A153:H153"/>
    <mergeCell ref="A159:H159"/>
    <mergeCell ref="G155:H158"/>
    <mergeCell ref="G145:H149"/>
    <mergeCell ref="A134:B134"/>
    <mergeCell ref="C134:D134"/>
    <mergeCell ref="E134:F134"/>
    <mergeCell ref="G134:H134"/>
    <mergeCell ref="A135:B135"/>
    <mergeCell ref="C135:D135"/>
    <mergeCell ref="E135:F135"/>
    <mergeCell ref="G135:H135"/>
    <mergeCell ref="A138:H138"/>
    <mergeCell ref="C39:H39"/>
    <mergeCell ref="B197:H197"/>
    <mergeCell ref="A48:B48"/>
    <mergeCell ref="C48:H48"/>
    <mergeCell ref="B195:H195"/>
    <mergeCell ref="G88:H97"/>
    <mergeCell ref="A89:B89"/>
    <mergeCell ref="A90:B90"/>
    <mergeCell ref="A91:B91"/>
    <mergeCell ref="F114:H114"/>
    <mergeCell ref="A114:E114"/>
    <mergeCell ref="D140:D141"/>
    <mergeCell ref="A116:E116"/>
    <mergeCell ref="A115:E115"/>
    <mergeCell ref="A112:E112"/>
    <mergeCell ref="F116:H116"/>
    <mergeCell ref="A157:B157"/>
    <mergeCell ref="B193:H193"/>
    <mergeCell ref="B194:H194"/>
    <mergeCell ref="A189:H189"/>
    <mergeCell ref="A158:B158"/>
    <mergeCell ref="A165:B165"/>
    <mergeCell ref="C52:H52"/>
    <mergeCell ref="A152:H152"/>
    <mergeCell ref="L161:M161"/>
    <mergeCell ref="A164:B164"/>
    <mergeCell ref="A123:E123"/>
    <mergeCell ref="G136:H136"/>
    <mergeCell ref="C129:D129"/>
    <mergeCell ref="E129:F129"/>
    <mergeCell ref="G129:H129"/>
    <mergeCell ref="A133:B133"/>
    <mergeCell ref="C133:D133"/>
    <mergeCell ref="E133:F133"/>
    <mergeCell ref="G133:H133"/>
    <mergeCell ref="C128:D128"/>
    <mergeCell ref="E128:F128"/>
    <mergeCell ref="B140:B141"/>
    <mergeCell ref="A140:A141"/>
    <mergeCell ref="C140:C141"/>
    <mergeCell ref="A160:H160"/>
    <mergeCell ref="G162:H165"/>
    <mergeCell ref="A156:B156"/>
    <mergeCell ref="A163:B163"/>
    <mergeCell ref="E136:F136"/>
    <mergeCell ref="A143:H143"/>
    <mergeCell ref="A142:H142"/>
    <mergeCell ref="A149:B149"/>
    <mergeCell ref="C38:H38"/>
    <mergeCell ref="A45:D45"/>
    <mergeCell ref="L148:M148"/>
    <mergeCell ref="L147:M147"/>
    <mergeCell ref="L146:M146"/>
    <mergeCell ref="L145:M145"/>
    <mergeCell ref="A81:B81"/>
    <mergeCell ref="C132:D132"/>
    <mergeCell ref="E132:F132"/>
    <mergeCell ref="G132:H132"/>
    <mergeCell ref="F119:H119"/>
    <mergeCell ref="A113:E113"/>
    <mergeCell ref="A144:H144"/>
    <mergeCell ref="E140:E141"/>
    <mergeCell ref="G140:H141"/>
    <mergeCell ref="A88:B88"/>
    <mergeCell ref="E74:F83"/>
    <mergeCell ref="G74:H83"/>
    <mergeCell ref="A82:B82"/>
    <mergeCell ref="A83:B83"/>
    <mergeCell ref="A87:B87"/>
    <mergeCell ref="A86:B86"/>
    <mergeCell ref="C86:H86"/>
    <mergeCell ref="A39:B39"/>
    <mergeCell ref="A37:H37"/>
    <mergeCell ref="A36:B36"/>
    <mergeCell ref="C36:E36"/>
    <mergeCell ref="A41:D41"/>
    <mergeCell ref="E41:H41"/>
    <mergeCell ref="A40:H40"/>
    <mergeCell ref="A63:C63"/>
    <mergeCell ref="A64:C64"/>
    <mergeCell ref="D63:H63"/>
    <mergeCell ref="D64:H64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8:H58"/>
    <mergeCell ref="G50:H50"/>
    <mergeCell ref="G54:H54"/>
    <mergeCell ref="D62:H62"/>
    <mergeCell ref="A38:B3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F33:H33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09:H212"/>
    <mergeCell ref="A208:B208"/>
    <mergeCell ref="E208:F208"/>
    <mergeCell ref="C208:D208"/>
    <mergeCell ref="G208:H208"/>
    <mergeCell ref="A126:H126"/>
    <mergeCell ref="A124:E124"/>
    <mergeCell ref="F124:H124"/>
    <mergeCell ref="A125:E125"/>
    <mergeCell ref="F125:H125"/>
    <mergeCell ref="A161:H161"/>
    <mergeCell ref="A132:B132"/>
    <mergeCell ref="A204:H204"/>
    <mergeCell ref="A130:H130"/>
    <mergeCell ref="A207:H207"/>
    <mergeCell ref="A205:H205"/>
    <mergeCell ref="A201:H201"/>
    <mergeCell ref="G131:H131"/>
    <mergeCell ref="A202:H202"/>
    <mergeCell ref="B198:H198"/>
    <mergeCell ref="B196:H196"/>
    <mergeCell ref="B192:H192"/>
    <mergeCell ref="B190:H190"/>
    <mergeCell ref="B191:H191"/>
    <mergeCell ref="A172:H172"/>
    <mergeCell ref="A178:H178"/>
    <mergeCell ref="A166:H166"/>
    <mergeCell ref="A206:H206"/>
    <mergeCell ref="A203:H203"/>
    <mergeCell ref="A162:B162"/>
    <mergeCell ref="A131:B131"/>
    <mergeCell ref="G151:H151"/>
    <mergeCell ref="A92:B92"/>
    <mergeCell ref="A93:B93"/>
    <mergeCell ref="A94:B94"/>
    <mergeCell ref="F113:H113"/>
    <mergeCell ref="G128:H128"/>
    <mergeCell ref="F120:H120"/>
    <mergeCell ref="C127:D127"/>
    <mergeCell ref="C136:D136"/>
    <mergeCell ref="A154:H154"/>
    <mergeCell ref="A145:B145"/>
    <mergeCell ref="F112:H112"/>
    <mergeCell ref="F117:H117"/>
    <mergeCell ref="A155:B155"/>
    <mergeCell ref="A148:B148"/>
    <mergeCell ref="A147:B147"/>
    <mergeCell ref="A150:H150"/>
    <mergeCell ref="A179:H179"/>
    <mergeCell ref="C84:H84"/>
    <mergeCell ref="A79:B79"/>
    <mergeCell ref="A49:B49"/>
    <mergeCell ref="C49:E49"/>
    <mergeCell ref="G49:H49"/>
    <mergeCell ref="G51:H51"/>
    <mergeCell ref="A50:B50"/>
    <mergeCell ref="A55:H55"/>
    <mergeCell ref="A56:C56"/>
    <mergeCell ref="A57:C57"/>
    <mergeCell ref="D57:H57"/>
    <mergeCell ref="A51:B51"/>
    <mergeCell ref="A52:B52"/>
    <mergeCell ref="C51:E51"/>
    <mergeCell ref="A60:C62"/>
    <mergeCell ref="D60:H60"/>
    <mergeCell ref="A80:B80"/>
    <mergeCell ref="A73:B73"/>
    <mergeCell ref="A76:B76"/>
    <mergeCell ref="A72:B72"/>
    <mergeCell ref="A70:B70"/>
    <mergeCell ref="C70:H70"/>
    <mergeCell ref="A78:B78"/>
    <mergeCell ref="C50:E50"/>
    <mergeCell ref="I14:P14"/>
    <mergeCell ref="F123:H123"/>
    <mergeCell ref="F121:H121"/>
    <mergeCell ref="A139:H139"/>
    <mergeCell ref="G127:H127"/>
    <mergeCell ref="A122:E122"/>
    <mergeCell ref="A146:B146"/>
    <mergeCell ref="A54:B54"/>
    <mergeCell ref="C54:E54"/>
    <mergeCell ref="D56:H56"/>
    <mergeCell ref="F122:H122"/>
    <mergeCell ref="E127:F127"/>
    <mergeCell ref="A127:B127"/>
    <mergeCell ref="A129:B129"/>
    <mergeCell ref="C131:D131"/>
    <mergeCell ref="F34:H34"/>
    <mergeCell ref="A137:B137"/>
    <mergeCell ref="C137:D137"/>
    <mergeCell ref="E137:F137"/>
    <mergeCell ref="G137:H137"/>
    <mergeCell ref="E42:H42"/>
    <mergeCell ref="A42:D42"/>
    <mergeCell ref="G18:H18"/>
    <mergeCell ref="D59:H59"/>
    <mergeCell ref="A58:C59"/>
    <mergeCell ref="B200:H200"/>
    <mergeCell ref="D61:H61"/>
    <mergeCell ref="A98:B98"/>
    <mergeCell ref="C98:H98"/>
    <mergeCell ref="A100:B100"/>
    <mergeCell ref="C100:H100"/>
    <mergeCell ref="A101:B101"/>
    <mergeCell ref="E101:F101"/>
    <mergeCell ref="G101:H101"/>
    <mergeCell ref="A102:B102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65:C65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40:E141" xr:uid="{00000000-0002-0000-0000-000003000000}">
      <formula1>"Attached Loft area,Attached Terrace area,Attached Mezzanine area"</formula1>
    </dataValidation>
    <dataValidation type="list" allowBlank="1" showInputMessage="1" showErrorMessage="1" sqref="F141" xr:uid="{00000000-0002-0000-0000-000004000000}">
      <formula1>"45%,50%,55%,60%"</formula1>
    </dataValidation>
    <dataValidation type="list" allowBlank="1" showInputMessage="1" showErrorMessage="1" sqref="G208:H208" xr:uid="{00000000-0002-0000-0000-000005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112:H112" xr:uid="{00000000-0002-0000-0000-000006000000}">
      <formula1>"On Saleable Area,On Builtup Area,On Carpet Area,On Plot Area"</formula1>
    </dataValidation>
    <dataValidation type="list" allowBlank="1" showInputMessage="1" showErrorMessage="1" sqref="F124:H124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40 F151" xr:uid="{00000000-0002-0000-0000-000008000000}">
      <formula1>"Saleable area Loading :,Builder Saleable area"</formula1>
    </dataValidation>
    <dataValidation type="list" allowBlank="1" showInputMessage="1" showErrorMessage="1" sqref="B140:B141" xr:uid="{00000000-0002-0000-0000-000009000000}">
      <formula1>"Shop No. (Sale Plan),Sale / Rehab,Sale / Mhada"</formula1>
    </dataValidation>
    <dataValidation type="list" allowBlank="1" showInputMessage="1" showErrorMessage="1" sqref="B151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9" max="16383" man="1"/>
    <brk id="97" max="16383" man="1"/>
    <brk id="212" max="16383" man="1"/>
    <brk id="254" max="16383" man="1"/>
    <brk id="29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7" t="s">
        <v>108</v>
      </c>
      <c r="C3" s="207"/>
      <c r="D3" s="207"/>
      <c r="E3" s="207"/>
      <c r="F3" s="207"/>
      <c r="G3" s="207"/>
      <c r="H3" s="207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5"/>
      <c r="C4" s="55" t="s">
        <v>12</v>
      </c>
      <c r="D4" s="56" t="s">
        <v>178</v>
      </c>
      <c r="E4" s="56" t="s">
        <v>188</v>
      </c>
      <c r="F4" s="56" t="s">
        <v>172</v>
      </c>
      <c r="G4" s="56" t="s">
        <v>193</v>
      </c>
      <c r="H4" s="56" t="s">
        <v>211</v>
      </c>
      <c r="J4" t="s">
        <v>193</v>
      </c>
      <c r="K4" t="s">
        <v>209</v>
      </c>
    </row>
    <row r="5" spans="2:11" x14ac:dyDescent="0.3">
      <c r="B5" s="55"/>
      <c r="C5" s="55"/>
      <c r="D5" s="56" t="s">
        <v>179</v>
      </c>
      <c r="E5" s="56" t="s">
        <v>186</v>
      </c>
      <c r="F5" s="56" t="s">
        <v>208</v>
      </c>
      <c r="G5" s="56" t="s">
        <v>194</v>
      </c>
      <c r="H5" s="56" t="s">
        <v>212</v>
      </c>
    </row>
    <row r="6" spans="2:11" x14ac:dyDescent="0.3">
      <c r="B6" s="55"/>
      <c r="C6" s="55"/>
      <c r="D6" s="56" t="s">
        <v>180</v>
      </c>
      <c r="E6" s="56" t="s">
        <v>187</v>
      </c>
      <c r="F6" s="56" t="s">
        <v>209</v>
      </c>
      <c r="G6" s="56" t="s">
        <v>195</v>
      </c>
      <c r="H6" s="56" t="s">
        <v>225</v>
      </c>
    </row>
    <row r="7" spans="2:11" x14ac:dyDescent="0.3">
      <c r="B7" s="55"/>
      <c r="C7" s="55"/>
      <c r="D7" s="56" t="s">
        <v>181</v>
      </c>
      <c r="E7" s="56" t="s">
        <v>189</v>
      </c>
      <c r="F7" s="56" t="s">
        <v>210</v>
      </c>
      <c r="G7" s="56" t="s">
        <v>196</v>
      </c>
      <c r="H7" s="56" t="s">
        <v>213</v>
      </c>
    </row>
    <row r="8" spans="2:11" x14ac:dyDescent="0.3">
      <c r="B8" s="55"/>
      <c r="C8" s="55"/>
      <c r="D8" s="56" t="s">
        <v>182</v>
      </c>
      <c r="E8" s="56" t="s">
        <v>190</v>
      </c>
      <c r="F8" s="56"/>
      <c r="G8" s="56" t="s">
        <v>197</v>
      </c>
      <c r="H8" s="56" t="s">
        <v>214</v>
      </c>
    </row>
    <row r="9" spans="2:11" x14ac:dyDescent="0.3">
      <c r="B9" s="55"/>
      <c r="C9" s="55"/>
      <c r="D9" s="56" t="s">
        <v>183</v>
      </c>
      <c r="E9" s="56" t="s">
        <v>188</v>
      </c>
      <c r="F9" s="56"/>
      <c r="G9" s="56" t="s">
        <v>198</v>
      </c>
      <c r="H9" s="56" t="s">
        <v>215</v>
      </c>
    </row>
    <row r="10" spans="2:11" x14ac:dyDescent="0.3">
      <c r="B10" s="55"/>
      <c r="C10" s="55"/>
      <c r="D10" s="56" t="s">
        <v>184</v>
      </c>
      <c r="E10" s="56" t="s">
        <v>191</v>
      </c>
      <c r="F10" s="56"/>
      <c r="G10" s="56" t="s">
        <v>199</v>
      </c>
      <c r="H10" s="56" t="s">
        <v>216</v>
      </c>
    </row>
    <row r="11" spans="2:11" x14ac:dyDescent="0.3">
      <c r="B11" s="55"/>
      <c r="C11" s="55"/>
      <c r="D11" s="56" t="s">
        <v>185</v>
      </c>
      <c r="E11" s="56" t="s">
        <v>192</v>
      </c>
      <c r="F11" s="56"/>
      <c r="G11" s="56" t="s">
        <v>200</v>
      </c>
      <c r="H11" s="56" t="s">
        <v>217</v>
      </c>
    </row>
    <row r="12" spans="2:11" x14ac:dyDescent="0.3">
      <c r="B12" s="55"/>
      <c r="C12" s="55"/>
      <c r="D12" s="56"/>
      <c r="E12" s="56"/>
      <c r="F12" s="56"/>
      <c r="G12" s="56" t="s">
        <v>201</v>
      </c>
      <c r="H12" s="56" t="s">
        <v>218</v>
      </c>
    </row>
    <row r="13" spans="2:11" x14ac:dyDescent="0.3">
      <c r="B13" s="55"/>
      <c r="C13" s="55"/>
      <c r="D13" s="56"/>
      <c r="E13" s="56"/>
      <c r="F13" s="56"/>
      <c r="G13" s="56" t="s">
        <v>202</v>
      </c>
      <c r="H13" s="56" t="s">
        <v>219</v>
      </c>
    </row>
    <row r="14" spans="2:11" x14ac:dyDescent="0.3">
      <c r="B14" s="55"/>
      <c r="C14" s="55"/>
      <c r="D14" s="56"/>
      <c r="E14" s="56"/>
      <c r="F14" s="56"/>
      <c r="G14" s="56" t="s">
        <v>203</v>
      </c>
      <c r="H14" s="56" t="s">
        <v>220</v>
      </c>
    </row>
    <row r="15" spans="2:11" x14ac:dyDescent="0.3">
      <c r="B15" s="55"/>
      <c r="C15" s="55"/>
      <c r="D15" s="56"/>
      <c r="E15" s="56"/>
      <c r="F15" s="56"/>
      <c r="G15" s="56" t="s">
        <v>204</v>
      </c>
      <c r="H15" s="56" t="s">
        <v>221</v>
      </c>
    </row>
    <row r="16" spans="2:11" x14ac:dyDescent="0.3">
      <c r="B16" s="55"/>
      <c r="C16" s="55"/>
      <c r="D16" s="56"/>
      <c r="E16" s="56"/>
      <c r="F16" s="56"/>
      <c r="G16" s="56" t="s">
        <v>205</v>
      </c>
      <c r="H16" s="56" t="s">
        <v>222</v>
      </c>
    </row>
    <row r="17" spans="2:8" x14ac:dyDescent="0.3">
      <c r="B17" s="55"/>
      <c r="C17" s="55"/>
      <c r="D17" s="56"/>
      <c r="E17" s="56"/>
      <c r="F17" s="56"/>
      <c r="G17" s="56" t="s">
        <v>206</v>
      </c>
      <c r="H17" s="56" t="s">
        <v>223</v>
      </c>
    </row>
    <row r="18" spans="2:8" x14ac:dyDescent="0.3">
      <c r="B18" s="55"/>
      <c r="C18" s="55"/>
      <c r="D18" s="56"/>
      <c r="E18" s="56"/>
      <c r="F18" s="56"/>
      <c r="G18" s="56" t="s">
        <v>207</v>
      </c>
      <c r="H18" s="56" t="s">
        <v>224</v>
      </c>
    </row>
    <row r="24" spans="2:8" x14ac:dyDescent="0.3">
      <c r="C24" t="s">
        <v>170</v>
      </c>
    </row>
    <row r="25" spans="2:8" x14ac:dyDescent="0.3">
      <c r="C25" t="s">
        <v>226</v>
      </c>
    </row>
    <row r="26" spans="2:8" x14ac:dyDescent="0.3">
      <c r="C26" t="s">
        <v>227</v>
      </c>
    </row>
    <row r="27" spans="2:8" x14ac:dyDescent="0.3">
      <c r="C27" t="s">
        <v>228</v>
      </c>
    </row>
    <row r="28" spans="2:8" x14ac:dyDescent="0.3">
      <c r="C28" t="s">
        <v>229</v>
      </c>
    </row>
    <row r="29" spans="2:8" x14ac:dyDescent="0.3">
      <c r="C29" t="s">
        <v>230</v>
      </c>
    </row>
    <row r="30" spans="2:8" x14ac:dyDescent="0.3">
      <c r="C30" t="s">
        <v>170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2025-09-15T05:19:04Z</cp:lastPrinted>
  <dcterms:created xsi:type="dcterms:W3CDTF">2019-07-16T09:29:46Z</dcterms:created>
  <dcterms:modified xsi:type="dcterms:W3CDTF">2025-09-15T05:19:04Z</dcterms:modified>
</cp:coreProperties>
</file>