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Axis\Dump\"/>
    </mc:Choice>
  </mc:AlternateContent>
  <xr:revisionPtr revIDLastSave="0" documentId="13_ncr:1_{DF0FB10C-0939-4D33-A9E1-0454BD4A4A3C}"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1" i="1" l="1"/>
  <c r="I231" i="1"/>
  <c r="I230" i="1"/>
  <c r="I256" i="1"/>
  <c r="E243" i="1"/>
  <c r="D243" i="1"/>
  <c r="E242" i="1"/>
  <c r="D242" i="1"/>
  <c r="E241" i="1"/>
  <c r="D241" i="1"/>
  <c r="A241" i="1"/>
  <c r="A242" i="1" s="1"/>
  <c r="A243" i="1" s="1"/>
  <c r="E240" i="1"/>
  <c r="D240" i="1"/>
  <c r="I275" i="1"/>
  <c r="I274" i="1"/>
  <c r="I316" i="1"/>
  <c r="I307" i="1"/>
  <c r="E342" i="1"/>
  <c r="D342" i="1"/>
  <c r="E341" i="1"/>
  <c r="D341" i="1"/>
  <c r="D340" i="1"/>
  <c r="D339" i="1"/>
  <c r="D338" i="1"/>
  <c r="D336" i="1"/>
  <c r="D335" i="1"/>
  <c r="E333" i="1"/>
  <c r="D333" i="1"/>
  <c r="E332" i="1"/>
  <c r="D332" i="1"/>
  <c r="D331" i="1"/>
  <c r="F331" i="1" s="1"/>
  <c r="H331" i="1" s="1"/>
  <c r="D330" i="1"/>
  <c r="F330" i="1" s="1"/>
  <c r="H330" i="1" s="1"/>
  <c r="D327" i="1"/>
  <c r="F327" i="1" s="1"/>
  <c r="H327" i="1" s="1"/>
  <c r="D326" i="1"/>
  <c r="F326" i="1" s="1"/>
  <c r="H326" i="1" s="1"/>
  <c r="A327" i="1"/>
  <c r="A328" i="1" s="1"/>
  <c r="A329" i="1" s="1"/>
  <c r="A330" i="1" s="1"/>
  <c r="A331" i="1" s="1"/>
  <c r="A332" i="1" s="1"/>
  <c r="A333" i="1" s="1"/>
  <c r="E324" i="1"/>
  <c r="D324" i="1"/>
  <c r="E323" i="1"/>
  <c r="D323" i="1"/>
  <c r="D322" i="1"/>
  <c r="F322" i="1" s="1"/>
  <c r="H322" i="1" s="1"/>
  <c r="D321" i="1"/>
  <c r="F321" i="1" s="1"/>
  <c r="H321" i="1" s="1"/>
  <c r="D320" i="1"/>
  <c r="F320" i="1" s="1"/>
  <c r="H320" i="1" s="1"/>
  <c r="D319" i="1"/>
  <c r="F319" i="1" s="1"/>
  <c r="H319" i="1" s="1"/>
  <c r="D318" i="1"/>
  <c r="F318" i="1" s="1"/>
  <c r="H318" i="1" s="1"/>
  <c r="D317" i="1"/>
  <c r="F317" i="1" s="1"/>
  <c r="H317" i="1" s="1"/>
  <c r="A318" i="1"/>
  <c r="A319" i="1" s="1"/>
  <c r="A320" i="1" s="1"/>
  <c r="A321" i="1" s="1"/>
  <c r="A322" i="1" s="1"/>
  <c r="A323" i="1" s="1"/>
  <c r="A324" i="1" s="1"/>
  <c r="E315" i="1"/>
  <c r="D315" i="1"/>
  <c r="E314" i="1"/>
  <c r="D314" i="1"/>
  <c r="D313" i="1"/>
  <c r="F313" i="1" s="1"/>
  <c r="H313" i="1" s="1"/>
  <c r="D312" i="1"/>
  <c r="F312" i="1" s="1"/>
  <c r="H312" i="1" s="1"/>
  <c r="D311" i="1"/>
  <c r="F311" i="1" s="1"/>
  <c r="H311" i="1" s="1"/>
  <c r="D310" i="1"/>
  <c r="F310" i="1" s="1"/>
  <c r="H310" i="1" s="1"/>
  <c r="D309" i="1"/>
  <c r="F309" i="1" s="1"/>
  <c r="H309" i="1" s="1"/>
  <c r="D308" i="1"/>
  <c r="F308" i="1" s="1"/>
  <c r="H308" i="1" s="1"/>
  <c r="A309" i="1"/>
  <c r="A310" i="1" s="1"/>
  <c r="A311" i="1" s="1"/>
  <c r="A312" i="1" s="1"/>
  <c r="A313" i="1" s="1"/>
  <c r="A314" i="1" s="1"/>
  <c r="A315" i="1" s="1"/>
  <c r="E306" i="1"/>
  <c r="D306" i="1"/>
  <c r="E305" i="1"/>
  <c r="D305" i="1"/>
  <c r="D304" i="1"/>
  <c r="F304" i="1" s="1"/>
  <c r="H304" i="1" s="1"/>
  <c r="D303" i="1"/>
  <c r="F303" i="1" s="1"/>
  <c r="H303" i="1" s="1"/>
  <c r="D300" i="1"/>
  <c r="F300" i="1" s="1"/>
  <c r="H300" i="1" s="1"/>
  <c r="D299" i="1"/>
  <c r="F299" i="1" s="1"/>
  <c r="H299" i="1" s="1"/>
  <c r="A300" i="1"/>
  <c r="A301" i="1" s="1"/>
  <c r="A302" i="1" s="1"/>
  <c r="A303" i="1" s="1"/>
  <c r="A304" i="1" s="1"/>
  <c r="A305" i="1" s="1"/>
  <c r="A306" i="1" s="1"/>
  <c r="D297" i="1"/>
  <c r="F297" i="1" s="1"/>
  <c r="H297" i="1" s="1"/>
  <c r="D296" i="1"/>
  <c r="F296" i="1" s="1"/>
  <c r="H296" i="1" s="1"/>
  <c r="D295" i="1"/>
  <c r="F295" i="1" s="1"/>
  <c r="H295" i="1" s="1"/>
  <c r="D294" i="1"/>
  <c r="F294" i="1" s="1"/>
  <c r="H294" i="1" s="1"/>
  <c r="A295" i="1"/>
  <c r="A296" i="1" s="1"/>
  <c r="A297" i="1" s="1"/>
  <c r="D292" i="1"/>
  <c r="F292" i="1" s="1"/>
  <c r="H292" i="1" s="1"/>
  <c r="D291" i="1"/>
  <c r="F291" i="1" s="1"/>
  <c r="H291" i="1" s="1"/>
  <c r="D290" i="1"/>
  <c r="F290" i="1" s="1"/>
  <c r="H290" i="1" s="1"/>
  <c r="D289" i="1"/>
  <c r="F289" i="1" s="1"/>
  <c r="H289" i="1" s="1"/>
  <c r="A290" i="1"/>
  <c r="A291" i="1" s="1"/>
  <c r="A292" i="1" s="1"/>
  <c r="D287" i="1"/>
  <c r="F287" i="1" s="1"/>
  <c r="H287" i="1" s="1"/>
  <c r="D286" i="1"/>
  <c r="F286" i="1" s="1"/>
  <c r="H286" i="1" s="1"/>
  <c r="D285" i="1"/>
  <c r="F285" i="1" s="1"/>
  <c r="H285" i="1" s="1"/>
  <c r="D284" i="1"/>
  <c r="F284" i="1" s="1"/>
  <c r="H284" i="1" s="1"/>
  <c r="A285" i="1"/>
  <c r="A286" i="1" s="1"/>
  <c r="A287" i="1" s="1"/>
  <c r="D282" i="1"/>
  <c r="F282" i="1" s="1"/>
  <c r="H282" i="1" s="1"/>
  <c r="D281" i="1"/>
  <c r="F281" i="1" s="1"/>
  <c r="H281" i="1" s="1"/>
  <c r="D280" i="1"/>
  <c r="F280" i="1" s="1"/>
  <c r="H280" i="1" s="1"/>
  <c r="D279" i="1"/>
  <c r="F279" i="1" s="1"/>
  <c r="H279" i="1" s="1"/>
  <c r="A280" i="1"/>
  <c r="A281" i="1" s="1"/>
  <c r="A282" i="1" s="1"/>
  <c r="D275" i="1"/>
  <c r="F275" i="1" s="1"/>
  <c r="H275" i="1" s="1"/>
  <c r="D274" i="1"/>
  <c r="A275" i="1"/>
  <c r="A276" i="1" s="1"/>
  <c r="A277" i="1" s="1"/>
  <c r="E269" i="1"/>
  <c r="D269" i="1"/>
  <c r="F269" i="1" s="1"/>
  <c r="H269" i="1" s="1"/>
  <c r="E268" i="1"/>
  <c r="D268" i="1"/>
  <c r="E267" i="1"/>
  <c r="D267" i="1"/>
  <c r="E266" i="1"/>
  <c r="D266" i="1"/>
  <c r="A265" i="1"/>
  <c r="A266" i="1" s="1"/>
  <c r="A267" i="1" s="1"/>
  <c r="A268" i="1" s="1"/>
  <c r="A269" i="1" s="1"/>
  <c r="E262" i="1"/>
  <c r="D262" i="1"/>
  <c r="E261" i="1"/>
  <c r="D261" i="1"/>
  <c r="E260" i="1"/>
  <c r="D260" i="1"/>
  <c r="E259" i="1"/>
  <c r="D259" i="1"/>
  <c r="E258" i="1"/>
  <c r="D258" i="1"/>
  <c r="E257" i="1"/>
  <c r="D257" i="1"/>
  <c r="A258" i="1"/>
  <c r="A259" i="1" s="1"/>
  <c r="A260" i="1" s="1"/>
  <c r="A261" i="1" s="1"/>
  <c r="A262" i="1" s="1"/>
  <c r="E255" i="1"/>
  <c r="D255" i="1"/>
  <c r="E254" i="1"/>
  <c r="D254" i="1"/>
  <c r="E253" i="1"/>
  <c r="D253" i="1"/>
  <c r="E252" i="1"/>
  <c r="D252" i="1"/>
  <c r="A251" i="1"/>
  <c r="A252" i="1" s="1"/>
  <c r="A253" i="1" s="1"/>
  <c r="A254" i="1" s="1"/>
  <c r="A255" i="1" s="1"/>
  <c r="E248" i="1"/>
  <c r="D248" i="1"/>
  <c r="E247" i="1"/>
  <c r="D247" i="1"/>
  <c r="E246" i="1"/>
  <c r="D246" i="1"/>
  <c r="E245" i="1"/>
  <c r="D245" i="1"/>
  <c r="A246" i="1"/>
  <c r="A247" i="1" s="1"/>
  <c r="A248" i="1" s="1"/>
  <c r="E231" i="1"/>
  <c r="E238" i="1"/>
  <c r="E236" i="1"/>
  <c r="E237" i="1"/>
  <c r="D237" i="1"/>
  <c r="D238" i="1"/>
  <c r="D236" i="1"/>
  <c r="E235" i="1"/>
  <c r="D235" i="1"/>
  <c r="D231" i="1"/>
  <c r="E230" i="1"/>
  <c r="D230" i="1"/>
  <c r="A236" i="1"/>
  <c r="A237" i="1" s="1"/>
  <c r="A238" i="1" s="1"/>
  <c r="E180" i="1"/>
  <c r="E175" i="1"/>
  <c r="E170" i="1"/>
  <c r="F237" i="1" l="1"/>
  <c r="H237" i="1" s="1"/>
  <c r="F254" i="1"/>
  <c r="H254" i="1" s="1"/>
  <c r="F332" i="1"/>
  <c r="H332" i="1" s="1"/>
  <c r="F245" i="1"/>
  <c r="H245" i="1" s="1"/>
  <c r="F305" i="1"/>
  <c r="H305" i="1" s="1"/>
  <c r="F315" i="1"/>
  <c r="H315" i="1" s="1"/>
  <c r="F255" i="1"/>
  <c r="H255" i="1" s="1"/>
  <c r="F323" i="1"/>
  <c r="H323" i="1" s="1"/>
  <c r="C143" i="1"/>
  <c r="F258" i="1"/>
  <c r="H258" i="1" s="1"/>
  <c r="F252" i="1"/>
  <c r="H252" i="1" s="1"/>
  <c r="F267" i="1"/>
  <c r="H267" i="1" s="1"/>
  <c r="F324" i="1"/>
  <c r="H324" i="1" s="1"/>
  <c r="F253" i="1"/>
  <c r="H253" i="1" s="1"/>
  <c r="F268" i="1"/>
  <c r="H268" i="1" s="1"/>
  <c r="F235" i="1"/>
  <c r="H235" i="1" s="1"/>
  <c r="F248" i="1"/>
  <c r="H248" i="1" s="1"/>
  <c r="F236" i="1"/>
  <c r="H236" i="1" s="1"/>
  <c r="F259" i="1"/>
  <c r="H259" i="1" s="1"/>
  <c r="F260" i="1"/>
  <c r="H260" i="1" s="1"/>
  <c r="F266" i="1"/>
  <c r="H266" i="1" s="1"/>
  <c r="C142" i="1"/>
  <c r="F238" i="1"/>
  <c r="H238" i="1" s="1"/>
  <c r="F242" i="1"/>
  <c r="H242" i="1" s="1"/>
  <c r="F306" i="1"/>
  <c r="H306" i="1" s="1"/>
  <c r="F314" i="1"/>
  <c r="H314" i="1" s="1"/>
  <c r="F240" i="1"/>
  <c r="H240" i="1" s="1"/>
  <c r="F243" i="1"/>
  <c r="H243" i="1" s="1"/>
  <c r="F246" i="1"/>
  <c r="H246" i="1" s="1"/>
  <c r="F257" i="1"/>
  <c r="H257" i="1" s="1"/>
  <c r="F261" i="1"/>
  <c r="H261" i="1" s="1"/>
  <c r="F274" i="1"/>
  <c r="F333" i="1"/>
  <c r="H333" i="1" s="1"/>
  <c r="F247" i="1"/>
  <c r="H247" i="1" s="1"/>
  <c r="F262" i="1"/>
  <c r="H262" i="1" s="1"/>
  <c r="F241" i="1"/>
  <c r="H241" i="1" s="1"/>
  <c r="I170" i="1"/>
  <c r="F231" i="1"/>
  <c r="H231" i="1" s="1"/>
  <c r="A231" i="1"/>
  <c r="A232" i="1" s="1"/>
  <c r="A233" i="1" s="1"/>
  <c r="F230" i="1"/>
  <c r="I208" i="1"/>
  <c r="D225" i="1"/>
  <c r="F225" i="1" s="1"/>
  <c r="H225" i="1" s="1"/>
  <c r="D224" i="1"/>
  <c r="F224" i="1" s="1"/>
  <c r="H224" i="1" s="1"/>
  <c r="D223" i="1"/>
  <c r="F223" i="1" s="1"/>
  <c r="H223" i="1" s="1"/>
  <c r="E222" i="1"/>
  <c r="D222" i="1"/>
  <c r="E221" i="1"/>
  <c r="D221" i="1"/>
  <c r="D219" i="1"/>
  <c r="F219" i="1" s="1"/>
  <c r="H219" i="1" s="1"/>
  <c r="D218" i="1"/>
  <c r="F218" i="1" s="1"/>
  <c r="H218" i="1" s="1"/>
  <c r="F342" i="1"/>
  <c r="H342" i="1" s="1"/>
  <c r="F341" i="1"/>
  <c r="H341" i="1" s="1"/>
  <c r="F340" i="1"/>
  <c r="H340" i="1" s="1"/>
  <c r="F339" i="1"/>
  <c r="H339" i="1" s="1"/>
  <c r="F338" i="1"/>
  <c r="H338" i="1" s="1"/>
  <c r="F336" i="1"/>
  <c r="H336" i="1" s="1"/>
  <c r="A336" i="1"/>
  <c r="A337" i="1" s="1"/>
  <c r="A338" i="1" s="1"/>
  <c r="A339" i="1" s="1"/>
  <c r="A340" i="1" s="1"/>
  <c r="A341" i="1" s="1"/>
  <c r="A342" i="1" s="1"/>
  <c r="F335" i="1"/>
  <c r="H335" i="1" s="1"/>
  <c r="D216" i="1"/>
  <c r="F216" i="1" s="1"/>
  <c r="H216" i="1" s="1"/>
  <c r="D215" i="1"/>
  <c r="F215" i="1" s="1"/>
  <c r="H215" i="1" s="1"/>
  <c r="D214" i="1"/>
  <c r="F214" i="1" s="1"/>
  <c r="H214" i="1" s="1"/>
  <c r="E213" i="1"/>
  <c r="D213" i="1"/>
  <c r="E212" i="1"/>
  <c r="D212" i="1"/>
  <c r="D211" i="1"/>
  <c r="F211" i="1" s="1"/>
  <c r="H211" i="1" s="1"/>
  <c r="D210" i="1"/>
  <c r="F210" i="1" s="1"/>
  <c r="H210" i="1" s="1"/>
  <c r="D209" i="1"/>
  <c r="F209" i="1" s="1"/>
  <c r="H209" i="1" s="1"/>
  <c r="A219" i="1"/>
  <c r="A220" i="1" s="1"/>
  <c r="A221" i="1" s="1"/>
  <c r="A222" i="1" s="1"/>
  <c r="A223" i="1" s="1"/>
  <c r="A224" i="1" s="1"/>
  <c r="A225" i="1" s="1"/>
  <c r="D207" i="1"/>
  <c r="F207" i="1" s="1"/>
  <c r="H207" i="1" s="1"/>
  <c r="D206" i="1"/>
  <c r="F206" i="1" s="1"/>
  <c r="H206" i="1" s="1"/>
  <c r="D205" i="1"/>
  <c r="F205" i="1" s="1"/>
  <c r="H205" i="1" s="1"/>
  <c r="E204" i="1"/>
  <c r="D204" i="1"/>
  <c r="D201" i="1"/>
  <c r="F201" i="1" s="1"/>
  <c r="H201" i="1" s="1"/>
  <c r="D200" i="1"/>
  <c r="F200" i="1" s="1"/>
  <c r="H200" i="1" s="1"/>
  <c r="A201" i="1"/>
  <c r="A202" i="1" s="1"/>
  <c r="A203" i="1" s="1"/>
  <c r="A204" i="1" s="1"/>
  <c r="A205" i="1" s="1"/>
  <c r="A206" i="1" s="1"/>
  <c r="A207" i="1" s="1"/>
  <c r="D198" i="1"/>
  <c r="F198" i="1" s="1"/>
  <c r="H198" i="1" s="1"/>
  <c r="D197" i="1"/>
  <c r="F197" i="1" s="1"/>
  <c r="H197" i="1" s="1"/>
  <c r="D196" i="1"/>
  <c r="F196" i="1" s="1"/>
  <c r="H196" i="1" s="1"/>
  <c r="E195" i="1"/>
  <c r="D195" i="1"/>
  <c r="E194" i="1"/>
  <c r="D194" i="1"/>
  <c r="D193" i="1"/>
  <c r="F193" i="1" s="1"/>
  <c r="H193" i="1" s="1"/>
  <c r="D192" i="1"/>
  <c r="F192" i="1" s="1"/>
  <c r="H192" i="1" s="1"/>
  <c r="D191" i="1"/>
  <c r="F191" i="1" s="1"/>
  <c r="H191" i="1" s="1"/>
  <c r="A210" i="1"/>
  <c r="A211" i="1" s="1"/>
  <c r="A212" i="1" s="1"/>
  <c r="A213" i="1" s="1"/>
  <c r="A214" i="1" s="1"/>
  <c r="A215" i="1" s="1"/>
  <c r="A216" i="1" s="1"/>
  <c r="D189" i="1"/>
  <c r="F189" i="1" s="1"/>
  <c r="H189" i="1" s="1"/>
  <c r="D188" i="1"/>
  <c r="F188" i="1" s="1"/>
  <c r="H188" i="1" s="1"/>
  <c r="D187" i="1"/>
  <c r="F187" i="1" s="1"/>
  <c r="H187" i="1" s="1"/>
  <c r="E186" i="1"/>
  <c r="D186" i="1"/>
  <c r="D183" i="1"/>
  <c r="F183" i="1" s="1"/>
  <c r="H183" i="1" s="1"/>
  <c r="D182" i="1"/>
  <c r="F182" i="1" s="1"/>
  <c r="H182" i="1" s="1"/>
  <c r="A192" i="1"/>
  <c r="A193" i="1" s="1"/>
  <c r="A194" i="1" s="1"/>
  <c r="A195" i="1" s="1"/>
  <c r="A196" i="1" s="1"/>
  <c r="A197" i="1" s="1"/>
  <c r="A198" i="1" s="1"/>
  <c r="D180" i="1"/>
  <c r="F180" i="1" s="1"/>
  <c r="H180" i="1" s="1"/>
  <c r="D179" i="1"/>
  <c r="F179" i="1" s="1"/>
  <c r="H179" i="1" s="1"/>
  <c r="D178" i="1"/>
  <c r="F178" i="1" s="1"/>
  <c r="H178" i="1" s="1"/>
  <c r="D177" i="1"/>
  <c r="F177" i="1" s="1"/>
  <c r="H177" i="1" s="1"/>
  <c r="A178" i="1"/>
  <c r="A179" i="1" s="1"/>
  <c r="A180" i="1" s="1"/>
  <c r="D175" i="1"/>
  <c r="D174" i="1"/>
  <c r="F174" i="1" s="1"/>
  <c r="H174" i="1" s="1"/>
  <c r="D173" i="1"/>
  <c r="F173" i="1" s="1"/>
  <c r="H173" i="1" s="1"/>
  <c r="D172" i="1"/>
  <c r="F172" i="1" s="1"/>
  <c r="H172" i="1" s="1"/>
  <c r="D170" i="1"/>
  <c r="F170" i="1" s="1"/>
  <c r="H170" i="1" s="1"/>
  <c r="D169" i="1"/>
  <c r="F169" i="1" s="1"/>
  <c r="H169" i="1" s="1"/>
  <c r="A173" i="1"/>
  <c r="A174" i="1" s="1"/>
  <c r="A175" i="1" s="1"/>
  <c r="D168" i="1"/>
  <c r="F168" i="1" s="1"/>
  <c r="H168" i="1" s="1"/>
  <c r="D167" i="1"/>
  <c r="F167" i="1" s="1"/>
  <c r="H167" i="1" s="1"/>
  <c r="D163" i="1"/>
  <c r="D162" i="1"/>
  <c r="A183" i="1"/>
  <c r="A184" i="1" s="1"/>
  <c r="A185" i="1" s="1"/>
  <c r="A186" i="1" s="1"/>
  <c r="A187" i="1" s="1"/>
  <c r="A188" i="1" s="1"/>
  <c r="A189" i="1" s="1"/>
  <c r="I162" i="1"/>
  <c r="A168" i="1"/>
  <c r="A169" i="1" s="1"/>
  <c r="A170" i="1" s="1"/>
  <c r="F194" i="1" l="1"/>
  <c r="H194" i="1" s="1"/>
  <c r="F204" i="1"/>
  <c r="H204" i="1" s="1"/>
  <c r="F221" i="1"/>
  <c r="H221" i="1" s="1"/>
  <c r="F186" i="1"/>
  <c r="H186" i="1" s="1"/>
  <c r="C141" i="1"/>
  <c r="C144" i="1" s="1"/>
  <c r="H230" i="1"/>
  <c r="G142" i="1" s="1"/>
  <c r="E142" i="1"/>
  <c r="H274" i="1"/>
  <c r="G143" i="1" s="1"/>
  <c r="E143" i="1"/>
  <c r="F213" i="1"/>
  <c r="H213" i="1" s="1"/>
  <c r="F195" i="1"/>
  <c r="H195" i="1" s="1"/>
  <c r="F212" i="1"/>
  <c r="H212" i="1" s="1"/>
  <c r="F222" i="1"/>
  <c r="H222" i="1" s="1"/>
  <c r="F175" i="1"/>
  <c r="H175" i="1" s="1"/>
  <c r="C103" i="1"/>
  <c r="C89" i="1"/>
  <c r="F151" i="1" l="1"/>
  <c r="H151" i="1" s="1"/>
  <c r="E31" i="1" l="1"/>
  <c r="E26" i="1"/>
  <c r="F162" i="1" l="1"/>
  <c r="H162"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D42" i="7"/>
  <c r="D44" i="7" s="1"/>
  <c r="E44" i="7"/>
  <c r="B369" i="1" l="1"/>
  <c r="F152" i="1" l="1"/>
  <c r="H152" i="1" s="1"/>
  <c r="F153" i="1"/>
  <c r="H153" i="1" s="1"/>
  <c r="F154" i="1"/>
  <c r="H154" i="1" s="1"/>
  <c r="S33" i="1" l="1"/>
  <c r="F11" i="5" l="1"/>
  <c r="G11" i="5" s="1"/>
  <c r="F10" i="5"/>
  <c r="G10" i="5" s="1"/>
  <c r="F9" i="5"/>
  <c r="G9" i="5" s="1"/>
  <c r="F8" i="5"/>
  <c r="G8" i="5" s="1"/>
  <c r="F7" i="5"/>
  <c r="G7" i="5" s="1"/>
  <c r="F6" i="5"/>
  <c r="G6" i="5" s="1"/>
  <c r="F5" i="5"/>
  <c r="G5" i="5" s="1"/>
  <c r="G12" i="5" s="1"/>
  <c r="D396" i="1"/>
  <c r="B370" i="1"/>
  <c r="F366" i="1"/>
  <c r="H366" i="1" s="1"/>
  <c r="F365" i="1"/>
  <c r="H365" i="1" s="1"/>
  <c r="F364" i="1"/>
  <c r="H364" i="1" s="1"/>
  <c r="F363" i="1"/>
  <c r="H363" i="1" s="1"/>
  <c r="F362" i="1"/>
  <c r="H362" i="1" s="1"/>
  <c r="F360" i="1"/>
  <c r="H360" i="1" s="1"/>
  <c r="F359" i="1"/>
  <c r="H359" i="1" s="1"/>
  <c r="F358" i="1"/>
  <c r="H358" i="1" s="1"/>
  <c r="F357" i="1"/>
  <c r="H357" i="1" s="1"/>
  <c r="F356" i="1"/>
  <c r="H356" i="1" s="1"/>
  <c r="F354" i="1"/>
  <c r="H354" i="1" s="1"/>
  <c r="F353" i="1"/>
  <c r="H353" i="1" s="1"/>
  <c r="F352" i="1"/>
  <c r="H352" i="1" s="1"/>
  <c r="F351" i="1"/>
  <c r="H351" i="1" s="1"/>
  <c r="F350" i="1"/>
  <c r="H350" i="1" s="1"/>
  <c r="F348" i="1"/>
  <c r="H348" i="1" s="1"/>
  <c r="F347" i="1"/>
  <c r="H347" i="1" s="1"/>
  <c r="F346" i="1"/>
  <c r="H346" i="1" s="1"/>
  <c r="F345" i="1"/>
  <c r="H345" i="1" s="1"/>
  <c r="F344" i="1"/>
  <c r="H344" i="1" s="1"/>
  <c r="A344" i="1"/>
  <c r="A345" i="1" s="1"/>
  <c r="A346" i="1" s="1"/>
  <c r="A347" i="1" s="1"/>
  <c r="A348" i="1" s="1"/>
  <c r="F163" i="1"/>
  <c r="A163" i="1"/>
  <c r="A164" i="1" s="1"/>
  <c r="A165" i="1" s="1"/>
  <c r="A152" i="1"/>
  <c r="A153" i="1" s="1"/>
  <c r="A154" i="1" s="1"/>
  <c r="C145" i="1"/>
  <c r="F133" i="1"/>
  <c r="C75" i="1"/>
  <c r="B76" i="1" s="1"/>
  <c r="D62" i="1"/>
  <c r="G51" i="1"/>
  <c r="C51" i="1"/>
  <c r="E44" i="1"/>
  <c r="E45" i="1" s="1"/>
  <c r="E28" i="1"/>
  <c r="C16" i="1"/>
  <c r="I15" i="1"/>
  <c r="Z13" i="1"/>
  <c r="E8" i="1"/>
  <c r="E3" i="1"/>
  <c r="D69" i="1" s="1"/>
  <c r="A356" i="1"/>
  <c r="A350" i="1"/>
  <c r="A362" i="1"/>
  <c r="H163" i="1" l="1"/>
  <c r="G141" i="1" s="1"/>
  <c r="G144" i="1" s="1"/>
  <c r="G145" i="1" s="1"/>
  <c r="E141" i="1"/>
  <c r="E144" i="1" s="1"/>
  <c r="E145" i="1" s="1"/>
  <c r="A351" i="1"/>
  <c r="H76" i="1"/>
  <c r="A363" i="1"/>
  <c r="A357" i="1"/>
  <c r="J75" i="1" l="1"/>
  <c r="J77" i="1" s="1"/>
  <c r="D82" i="1"/>
  <c r="D87" i="1"/>
  <c r="J79" i="1"/>
  <c r="D81" i="1"/>
  <c r="D83" i="1"/>
  <c r="D85" i="1"/>
  <c r="D84" i="1"/>
  <c r="J78" i="1"/>
  <c r="D86" i="1"/>
  <c r="J81" i="1"/>
  <c r="J82" i="1" s="1"/>
  <c r="J87" i="1" s="1"/>
  <c r="D88" i="1"/>
  <c r="J80" i="1"/>
  <c r="C79" i="1" s="1"/>
  <c r="D79" i="1" s="1"/>
  <c r="J85" i="1"/>
  <c r="J83" i="1"/>
  <c r="J84" i="1"/>
  <c r="J86" i="1"/>
  <c r="A364" i="1"/>
  <c r="A352" i="1"/>
  <c r="A358" i="1"/>
  <c r="J88" i="1" l="1"/>
  <c r="C80" i="1" s="1"/>
  <c r="J76" i="1" s="1"/>
  <c r="B90" i="1"/>
  <c r="A353" i="1"/>
  <c r="A365" i="1"/>
  <c r="A359" i="1"/>
  <c r="H90" i="1"/>
  <c r="G79" i="1" l="1"/>
  <c r="D73" i="1" s="1"/>
  <c r="F74" i="1" s="1"/>
  <c r="D80" i="1"/>
  <c r="I76" i="1" s="1"/>
  <c r="I77" i="1" s="1"/>
  <c r="I75" i="1" s="1"/>
  <c r="C77" i="1" s="1"/>
  <c r="E79" i="1"/>
  <c r="J92" i="1"/>
  <c r="D102" i="1"/>
  <c r="D96" i="1"/>
  <c r="J94" i="1"/>
  <c r="C93" i="1" s="1"/>
  <c r="D100" i="1"/>
  <c r="J89" i="1"/>
  <c r="J91" i="1" s="1"/>
  <c r="D97" i="1"/>
  <c r="D101" i="1"/>
  <c r="D95" i="1"/>
  <c r="D99" i="1"/>
  <c r="J93" i="1"/>
  <c r="D98" i="1"/>
  <c r="J95" i="1"/>
  <c r="J96" i="1" s="1"/>
  <c r="J101" i="1" s="1"/>
  <c r="J100" i="1"/>
  <c r="J99" i="1"/>
  <c r="J98" i="1"/>
  <c r="J97" i="1"/>
  <c r="A354" i="1"/>
  <c r="A360" i="1"/>
  <c r="A366" i="1"/>
  <c r="D74" i="1" l="1"/>
  <c r="J102" i="1"/>
  <c r="C94" i="1" s="1"/>
  <c r="E93" i="1" s="1"/>
  <c r="B104" i="1"/>
  <c r="D93" i="1"/>
  <c r="H104" i="1"/>
  <c r="G93" i="1" l="1"/>
  <c r="D94" i="1"/>
  <c r="I90" i="1" s="1"/>
  <c r="I91" i="1" s="1"/>
  <c r="J106" i="1"/>
  <c r="D115" i="1"/>
  <c r="J108" i="1"/>
  <c r="D114" i="1"/>
  <c r="D113" i="1"/>
  <c r="J107" i="1"/>
  <c r="J103" i="1"/>
  <c r="J105" i="1" s="1"/>
  <c r="D111" i="1"/>
  <c r="D116" i="1"/>
  <c r="D110" i="1"/>
  <c r="D109" i="1"/>
  <c r="D112" i="1"/>
  <c r="J113" i="1"/>
  <c r="J111" i="1"/>
  <c r="J109" i="1"/>
  <c r="J114" i="1"/>
  <c r="J112" i="1"/>
  <c r="J90" i="1"/>
  <c r="J110" i="1" l="1"/>
  <c r="J115" i="1" s="1"/>
  <c r="J116" i="1" s="1"/>
  <c r="C108" i="1" s="1"/>
  <c r="E107" i="1" s="1"/>
  <c r="C107" i="1"/>
  <c r="I89" i="1"/>
  <c r="C91" i="1" s="1"/>
  <c r="G107" i="1" l="1"/>
  <c r="D108" i="1"/>
  <c r="D107" i="1"/>
  <c r="J104" i="1" s="1"/>
  <c r="I104" i="1" l="1"/>
  <c r="I105" i="1" s="1"/>
  <c r="I103" i="1" l="1"/>
  <c r="C10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3"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7"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<sst xmlns="http://schemas.openxmlformats.org/spreadsheetml/2006/main" count="884" uniqueCount="450">
  <si>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</si>
  <si>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</si>
  <si>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</si>
  <si>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</si>
  <si>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</si>
  <si>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</si>
  <si>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</si>
  <si>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</si>
  <si>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</si>
  <si>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</si>
  <si>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</si>
  <si>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</si>
  <si>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</si>
  <si>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</si>
  <si>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</si>
  <si>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</si>
  <si>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</si>
  <si>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</si>
  <si>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</si>
  <si>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</si>
  <si>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</si>
  <si>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</si>
  <si>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</si>
  <si>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</si>
  <si>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</si>
  <si>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</si>
  <si>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</si>
  <si>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</si>
  <si>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</si>
  <si>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</si>
  <si>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</si>
  <si>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</si>
  <si>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</si>
  <si>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</si>
  <si>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</si>
  <si>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</si>
  <si>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</si>
  <si>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</si>
  <si>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</si>
  <si>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</si>
  <si>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</si>
  <si>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</si>
  <si>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</si>
  <si>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</si>
  <si>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</si>
  <si>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</si>
  <si>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</si>
  <si>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</si>
  <si>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</si>
  <si>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</si>
  <si>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</si>
  <si>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</si>
  <si>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</si>
  <si>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</si>
  <si>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</si>
  <si>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</si>
  <si>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</si>
  <si>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</si>
  <si>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</si>
  <si>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</si>
  <si>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</si>
  <si>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</si>
  <si>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</si>
  <si>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</si>
  <si>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</si>
  <si>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</si>
  <si>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</si>
  <si>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</si>
  <si>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</si>
  <si>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</si>
  <si>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</si>
  <si>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</si>
  <si>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</si>
  <si>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</si>
  <si>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</si>
  <si>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</si>
  <si>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</si>
  <si>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</si>
  <si>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</si>
  <si>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</si>
  <si>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</si>
  <si>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</si>
  <si>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</si>
  <si>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</si>
  <si>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</si>
  <si>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</si>
  <si>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</si>
  <si>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</si>
  <si>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</si>
  <si>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</si>
  <si>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</si>
  <si>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</si>
  <si>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</si>
  <si>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</si>
  <si>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</si>
  <si>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</si>
  <si>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</si>
  <si>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</si>
  <si>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</si>
  <si>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</si>
  <si>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</si>
  <si>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</si>
  <si>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</si>
  <si>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</si>
  <si>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</si>
  <si>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</si>
  <si>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</si>
  <si>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</si>
  <si>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</si>
  <si>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</si>
  <si>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</si>
  <si>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</si>
  <si>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</si>
  <si>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</si>
  <si>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</si>
  <si>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</si>
  <si>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</si>
  <si>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</si>
  <si>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</si>
  <si>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</si>
  <si>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</si>
  <si>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</si>
  <si>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</si>
  <si>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</si>
  <si>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</si>
  <si>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</si>
  <si>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</si>
  <si>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</si>
  <si>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</si>
  <si>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</si>
  <si>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</si>
  <si>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</si>
  <si>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</si>
  <si>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</si>
  <si>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</si>
  <si>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</si>
  <si>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</si>
  <si>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</si>
  <si>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</si>
  <si>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</si>
  <si>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</si>
  <si>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</si>
  <si>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</si>
  <si>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</si>
  <si>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</si>
  <si>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</si>
  <si>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</si>
  <si>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</si>
  <si>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</si>
  <si>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</si>
  <si>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</si>
  <si>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</si>
  <si>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</si>
  <si>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</si>
  <si>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</si>
  <si>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</si>
  <si>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</si>
  <si>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</si>
  <si>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</si>
  <si>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</si>
  <si>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</si>
  <si>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</si>
  <si>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</si>
  <si>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</si>
  <si>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</si>
  <si>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</si>
  <si>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</si>
  <si>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</si>
  <si>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</si>
  <si>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</si>
  <si>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</si>
  <si>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</si>
  <si>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</si>
  <si>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</si>
  <si>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</si>
  <si>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</si>
  <si>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</si>
  <si>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</si>
  <si>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</si>
  <si>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</si>
  <si>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</si>
  <si>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</si>
  <si>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</si>
  <si>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</si>
  <si>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</si>
  <si>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</si>
  <si>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</si>
  <si>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</si>
  <si>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</si>
  <si>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</si>
  <si>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</si>
  <si>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</si>
  <si>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</si>
  <si>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</si>
  <si>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</si>
  <si>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</si>
  <si>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</si>
  <si>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</si>
  <si>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</si>
  <si>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</si>
  <si>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</si>
  <si>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</si>
  <si>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</si>
  <si>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</si>
  <si>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</si>
  <si>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</si>
  <si>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</si>
  <si>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</si>
  <si>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</si>
  <si>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</si>
  <si>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</si>
  <si>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</si>
  <si>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</si>
  <si>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</si>
  <si>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</si>
  <si>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</si>
  <si>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</si>
  <si>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</si>
  <si>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</si>
  <si>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</si>
  <si>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</si>
  <si>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</si>
  <si>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</si>
  <si>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</si>
  <si>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</si>
  <si>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</si>
  <si>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</si>
  <si>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</si>
  <si>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</si>
  <si>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</si>
  <si>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</si>
  <si>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</si>
  <si>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</si>
  <si>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</si>
  <si>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</si>
  <si>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</si>
  <si>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</si>
  <si>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</si>
  <si>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</si>
  <si>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</si>
  <si>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</si>
  <si>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</si>
  <si>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</si>
  <si>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</si>
  <si>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</si>
  <si>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</si>
  <si>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</si>
  <si>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</si>
  <si>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</si>
  <si>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</si>
  <si>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</si>
  <si>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</si>
  <si>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</si>
  <si>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</si>
  <si>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</si>
  <si>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</si>
  <si>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</si>
  <si>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</si>
  <si>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</si>
  <si>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</si>
  <si>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</si>
  <si>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</si>
  <si>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</si>
  <si>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</si>
  <si>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</si>
  <si>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</si>
  <si>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</si>
  <si>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</si>
  <si>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</si>
  <si>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</si>
  <si>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</si>
  <si>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</si>
  <si>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</si>
  <si>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</si>
  <si>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</si>
  <si>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</si>
  <si>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</si>
  <si>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</si>
  <si>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</si>
  <si>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</si>
  <si>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</si>
  <si>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</si>
  <si>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</si>
  <si>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</si>
  <si>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</si>
  <si>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</si>
  <si>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</si>
  <si>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</si>
  <si>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</si>
  <si>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</si>
  <si>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</si>
  <si>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</si>
  <si>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</si>
  <si>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</si>
  <si>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</si>
  <si>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</si>
  <si>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</si>
  <si>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</si>
  <si>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</si>
  <si>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</si>
  <si>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</si>
  <si>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</si>
  <si>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</si>
  <si>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</si>
  <si>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</si>
  <si>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</si>
  <si>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</si>
  <si>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</si>
  <si>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</si>
  <si>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</si>
  <si>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</si>
  <si>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</si>
  <si>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</si>
  <si>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</si>
  <si>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</si>
  <si>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</si>
  <si>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</si>
  <si>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</si>
  <si>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</si>
  <si>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</si>
  <si>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</si>
  <si>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</si>
  <si>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</si>
  <si>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</si>
  <si>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</si>
  <si>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</si>
  <si>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</si>
  <si>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</si>
  <si>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</si>
  <si>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</si>
  <si>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</si>
  <si>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</si>
  <si>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</si>
  <si>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</si>
  <si>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</si>
  <si>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</si>
  <si>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</si>
  <si>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</si>
  <si>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</si>
  <si>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</si>
  <si>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</si>
  <si>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</si>
  <si>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</si>
  <si>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</si>
  <si>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</si>
  <si>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</si>
  <si>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</si>
  <si>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</si>
  <si>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</si>
  <si>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</si>
  <si>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</si>
  <si>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</si>
  <si>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</si>
  <si>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P51800077381</t>
  </si>
  <si>
    <t>Kalpataru Limited</t>
  </si>
  <si>
    <t>Kalpataru Advay</t>
  </si>
  <si>
    <t>Krishna Maurya- 9833226152
Siddharth Sharma - 9137593076</t>
  </si>
  <si>
    <t>Wing A, B &amp; C</t>
  </si>
  <si>
    <t>Borivali West</t>
  </si>
  <si>
    <t>19.231916,72.842094</t>
  </si>
  <si>
    <t>https://maps.app.goo.gl/nVWCYxP1nuAHgmcr8</t>
  </si>
  <si>
    <t>Baburao Paranjpe Marg</t>
  </si>
  <si>
    <t>Don Bosco High School</t>
  </si>
  <si>
    <t>1.8KM from Borivali Railway Station</t>
  </si>
  <si>
    <t>Ashok Nagar</t>
  </si>
  <si>
    <t>Satyam CHS</t>
  </si>
  <si>
    <t>Jayshree CHS/ Baburao Paranjpe
Marg</t>
  </si>
  <si>
    <t>18.30M Wide Existing Road</t>
  </si>
  <si>
    <t>CTS No.1A/1</t>
  </si>
  <si>
    <t>Suvidya Prasarak Sangh's 
Suvidyalaya</t>
  </si>
  <si>
    <t>CTS No.3A / Existing School</t>
  </si>
  <si>
    <t>Don Bosco School</t>
  </si>
  <si>
    <t>Don Bosco School Ground</t>
  </si>
  <si>
    <t>P-16382/2023/(C.T.S. No.2 (Pt) of Eksar-S village and 258/B of Borivali Village And Other)/R/C Ward/Eksar (RC)/337/1/Amend</t>
  </si>
  <si>
    <t>JUHU/WEST/B/042122/667657</t>
  </si>
  <si>
    <t>As per RERA - 30/06/2030</t>
  </si>
  <si>
    <t>Vitrified tiles flooring, Granite Kitchen Platform, Decorative Entrance, Landscaping &amp; Garden, etc.</t>
  </si>
  <si>
    <t>Wing A</t>
  </si>
  <si>
    <t>Basement Floor For Parking</t>
  </si>
  <si>
    <t>1st Podium Floor For Residential &amp; Parking</t>
  </si>
  <si>
    <t>Ground Floor For Entrance Lobby(Double Height), Fitness Centre, Meter Room &amp; Parking</t>
  </si>
  <si>
    <t>2.5BHK</t>
  </si>
  <si>
    <t>2BHK</t>
  </si>
  <si>
    <t>-</t>
  </si>
  <si>
    <t>Entrance Lobby Below</t>
  </si>
  <si>
    <t>RERA Carpet area</t>
  </si>
  <si>
    <t>2nd, 4th &amp; 5th Podium Floor</t>
  </si>
  <si>
    <t>3rd Podium Floor For Residential, Society Office &amp; Parking</t>
  </si>
  <si>
    <t>7th Floor (Part Refuge Area)</t>
  </si>
  <si>
    <t>Refuge Area</t>
  </si>
  <si>
    <t>1BHK</t>
  </si>
  <si>
    <t>8th to 13th Floor</t>
  </si>
  <si>
    <t>14th, 21st &amp; 28th Floor (Part Refuge Area)</t>
  </si>
  <si>
    <t>15th to 20th, 22nd to 27th, 29th to 34th, 36th &amp; 37th Floor</t>
  </si>
  <si>
    <t>35th Floor (Part Refuge Area)</t>
  </si>
  <si>
    <t>Wing B</t>
  </si>
  <si>
    <t>Wing C</t>
  </si>
  <si>
    <t>3BHK</t>
  </si>
  <si>
    <t>6th Podium Floor For Kids Play Area, Landscape, Fitness Centre &amp; Kids Pool</t>
  </si>
  <si>
    <t>6th Podium Floor For For Kids Play Area, Landscape, Fitness Centre &amp; Kids Pool</t>
  </si>
  <si>
    <t>7th, 14th &amp; 21st Floor (Part Refuge Area)</t>
  </si>
  <si>
    <t>4BHK</t>
  </si>
  <si>
    <t>8th to 13th, 15th to 20th, 22nd to 24th Floor</t>
  </si>
  <si>
    <t>25th Floor (Part Terrace Area)</t>
  </si>
  <si>
    <t>Terrace Area</t>
  </si>
  <si>
    <t>2nd &amp; 4th Podium Floor</t>
  </si>
  <si>
    <t>5th Podium Floor</t>
  </si>
  <si>
    <t>7th &amp; 14th Floor ( Part Refuge Area )</t>
  </si>
  <si>
    <t>8th to 13th, 15th &amp; 16th Floor</t>
  </si>
  <si>
    <t>21st &amp; 28th Floor (Part Refuge Area)</t>
  </si>
  <si>
    <t>17th to 20th, 22nd to 27th, 29th to 34th, 36th &amp; 37th Floor</t>
  </si>
  <si>
    <t>We considered Gross carpet area = Net carpet + Deck Area + Utility Area.</t>
  </si>
  <si>
    <t>Flats - 650</t>
  </si>
  <si>
    <t>P-16382/2023/(C.T.S. No.2 (Pt) of Eksar-S village and 258/B of Borivali Village And Other)/R/C WARD/ Eksar(RC)</t>
  </si>
  <si>
    <t>Yoganand Co-operative Housing Society Limited &amp; Jay-kamashi Co-operative Housing Society Limited (Bank of India Staffs)</t>
  </si>
  <si>
    <t>Approved Plans, CC, Cost Sheet, Fire Noc, Airport Noc.</t>
  </si>
  <si>
    <t>2(Pt) of Village Eksar &amp; 258/B of Village Borivali, Redevelopement of " Yoganand Co-operative Housing Society Limited " &amp;" Jay-kamashi Co-operative Housing Society Limited  (Bank of India Staffs) "</t>
  </si>
  <si>
    <t>Eksar &amp; Borivali</t>
  </si>
  <si>
    <t>03 Buildings</t>
  </si>
  <si>
    <t xml:space="preserve">Valid Upto </t>
  </si>
  <si>
    <t>Site Elevation AMSL = 10.58 M
Permissible Top Elevation = 185.55M</t>
  </si>
  <si>
    <r>
      <rPr>
        <b/>
        <sz val="12"/>
        <color indexed="8"/>
        <rFont val="Times New Roman"/>
        <family val="1"/>
      </rPr>
      <t>Wing A &amp; C</t>
    </r>
    <r>
      <rPr>
        <sz val="12"/>
        <color indexed="8"/>
        <rFont val="Times New Roman"/>
        <family val="1"/>
      </rPr>
      <t xml:space="preserve"> = 1B + Gr.(Pt)/ Stilt + 1st to 5th Podium floor + 6th Podium (Pt) Floor + 7th to 37th Floor.(Height = 119.95Mtr.)
</t>
    </r>
    <r>
      <rPr>
        <b/>
        <sz val="12"/>
        <color indexed="8"/>
        <rFont val="Times New Roman"/>
        <family val="1"/>
      </rPr>
      <t>Wing B</t>
    </r>
    <r>
      <rPr>
        <sz val="12"/>
        <color indexed="8"/>
        <rFont val="Times New Roman"/>
        <family val="1"/>
      </rPr>
      <t xml:space="preserve"> =  1B + Gr.(Pt)/Stilt + 1st to 5th Podium Floor + 6th podium Floor + 7th to 44th Floor.(Height = 141.65Mtr.)</t>
    </r>
  </si>
  <si>
    <r>
      <t xml:space="preserve">Shop No.
</t>
    </r>
    <r>
      <rPr>
        <b/>
        <sz val="11"/>
        <rFont val="Times New Roman"/>
        <family val="1"/>
      </rPr>
      <t>(Approved Plan)</t>
    </r>
  </si>
  <si>
    <r>
      <t xml:space="preserve">Flat No.
</t>
    </r>
    <r>
      <rPr>
        <b/>
        <sz val="11"/>
        <rFont val="Times New Roman"/>
        <family val="1"/>
      </rPr>
      <t>(Approved Plan)</t>
    </r>
  </si>
  <si>
    <t>Wing A &amp; C = 1B + Gr. + P1 to P6 + 7th to 37th Floor
Wing B = 1B + Gr. + P1 to P6 + 7th to 25th Floor</t>
  </si>
  <si>
    <t>Wing B = 1B + Gr. + P1 to P6 + 7th to 44th Floor</t>
  </si>
  <si>
    <t>Wing C = 1B + Gr. + P1 to P6 + 7th to 37th Floor</t>
  </si>
  <si>
    <r>
      <t xml:space="preserve">Proposed Amenities :                                                                                                                                                                                                                         </t>
    </r>
    <r>
      <rPr>
        <b/>
        <sz val="12"/>
        <rFont val="Times New Roman"/>
        <family val="1"/>
      </rPr>
      <t xml:space="preserve">                                               </t>
    </r>
  </si>
  <si>
    <t>Wing A = 1B + Gr. + P1 to P6 + 7th to 37th Floor</t>
  </si>
  <si>
    <t>C.T.S. Nos. 2 (PT) of village Eksar-S &amp; 258/B of village Borivali,</t>
  </si>
  <si>
    <t>Government of India
Ministry of Environment, Forest and Climate Change
IA Division</t>
  </si>
  <si>
    <t>Government of India Ministry of Environment, Forest and Climate Change IA Division IA/MH/INFRA2/458350/2024</t>
  </si>
  <si>
    <t>We have refered Fire NOC &amp; Airport NOC from MCGM site.</t>
  </si>
  <si>
    <t>Mr. Krishna Maurya 9833226152</t>
  </si>
  <si>
    <t>Construction work is in process at the time of Visit.(Labour Found)</t>
  </si>
  <si>
    <t>Rate 22700 By Trupti On 24/03/2025</t>
  </si>
  <si>
    <t>Outgoing for 01 year in advance Excluding propert tax</t>
  </si>
  <si>
    <t>Electric Meter Supply &amp; Connection Charges</t>
  </si>
  <si>
    <t>Water Supply Connection Charges</t>
  </si>
  <si>
    <t>Infrastructure Development Charges</t>
  </si>
  <si>
    <t>Gas supply &amp; meter charges</t>
  </si>
  <si>
    <t>Charges for EMP (as per MOEF requirement)</t>
  </si>
  <si>
    <t>Recommended Rates / Other charges of the Property have been revised on 24/03/2025.</t>
  </si>
  <si>
    <t>Kunal Kadam</t>
  </si>
  <si>
    <t>Suraj Mali</t>
  </si>
  <si>
    <t>P-16382/2023/(C.T.S. No.2 (Pt) of Eksar-S village and 258/B of Borivali Village And Other)/R/C Ward/Eksar (RC)/FCC/1/New</t>
  </si>
  <si>
    <t>This C.C. is granted and further extended for building comprising of Wings ‘A’ up top of 28th floor and wing B and
C upto top of 29th floor as per approved amended plans dtd 06.03.2025.</t>
  </si>
  <si>
    <t>We have updated revised CC (on 27/09/2025).</t>
  </si>
  <si>
    <t xml:space="preserve">Please provide revised approved plans.
</t>
  </si>
  <si>
    <t>We have updated CC date as per CC revalidation letter (On 29/09/2025).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</si>
</sst>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34">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0" fontId="11" fillId="0" borderId="0" xfId="1" applyFont="1" applyAlignment="1">
      <alignment wrapText="1"/>
    </xf>
    <xf numFmtId="1" fontId="11" fillId="0" borderId="1" xfId="1" applyNumberFormat="1" applyFont="1" applyBorder="1" applyAlignment="1" applyProtection="1">
      <alignment horizontal="center" vertical="top" wrapText="1"/>
      <protection locked="0"/>
    </xf>
    <xf numFmtId="0" fontId="22" fillId="2" borderId="15" xfId="0" applyFont="1" applyFill="1" applyBorder="1"/>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3" xfId="1" applyNumberFormat="1" applyFont="1" applyBorder="1" applyAlignment="1" applyProtection="1">
      <alignment horizontal="center" vertical="center" wrapText="1"/>
      <protection locked="0"/>
    </xf>
    <xf numFmtId="1" fontId="5" fillId="0" borderId="16"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5" fillId="0" borderId="1"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12" fillId="0" borderId="1" xfId="0" applyNumberFormat="1" applyFont="1" applyBorder="1" applyAlignment="1" applyProtection="1">
      <alignment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1" fillId="0" borderId="5"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0" fontId="24"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28" fillId="0" borderId="3" xfId="1" applyNumberFormat="1" applyFont="1" applyBorder="1" applyAlignment="1" applyProtection="1">
      <alignment horizontal="center" vertical="top" wrapText="1"/>
      <protection locked="0"/>
    </xf>
    <xf numFmtId="1" fontId="28" fillId="0" borderId="16" xfId="1"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67" fontId="11"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5" fillId="0" borderId="1"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11" fillId="0" borderId="1" xfId="1" applyNumberFormat="1" applyFont="1" applyBorder="1" applyAlignment="1" applyProtection="1">
      <alignment horizontal="left" vertical="top"/>
      <protection locked="0"/>
    </xf>
    <xf numFmtId="0" fontId="11" fillId="0" borderId="8"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1" fillId="0" borderId="8" xfId="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6" fillId="0" borderId="1" xfId="1" applyFont="1" applyBorder="1" applyAlignment="1" applyProtection="1">
      <alignment horizontal="left"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6"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7" fillId="0" borderId="1" xfId="0" applyNumberFormat="1" applyFont="1" applyBorder="1" applyAlignment="1" applyProtection="1">
      <alignment vertical="top" wrapText="1"/>
      <protection locked="0"/>
    </xf>
    <xf numFmtId="0" fontId="12" fillId="0" borderId="1" xfId="1" applyFont="1" applyBorder="1" applyAlignment="1" applyProtection="1">
      <alignment horizontal="center" vertical="top"/>
      <protection locked="0"/>
    </xf>
    <xf numFmtId="1" fontId="11" fillId="0" borderId="8"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0" fontId="12" fillId="0" borderId="16" xfId="1" applyFont="1" applyBorder="1" applyAlignment="1" applyProtection="1">
      <alignment horizontal="center" vertical="top"/>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9" fillId="0" borderId="33" xfId="0"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5" fillId="0" borderId="8" xfId="1" applyFont="1" applyBorder="1" applyAlignment="1" applyProtection="1">
      <alignment horizontal="left" vertical="top"/>
      <protection locked="0"/>
    </xf>
    <xf numFmtId="0" fontId="5" fillId="0" borderId="21" xfId="1" applyFont="1" applyBorder="1" applyAlignment="1" applyProtection="1">
      <alignment horizontal="left" vertical="top"/>
      <protection locked="0"/>
    </xf>
    <xf numFmtId="0" fontId="5" fillId="0" borderId="9" xfId="1" applyFont="1" applyBorder="1" applyAlignment="1" applyProtection="1">
      <alignment horizontal="left"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67" fontId="11" fillId="0" borderId="8" xfId="9" applyNumberFormat="1" applyFont="1" applyFill="1" applyBorder="1" applyAlignment="1" applyProtection="1">
      <alignment horizontal="left" vertical="top"/>
      <protection locked="0"/>
    </xf>
    <xf numFmtId="167" fontId="11" fillId="0" borderId="21" xfId="9" applyNumberFormat="1" applyFont="1" applyFill="1" applyBorder="1" applyAlignment="1" applyProtection="1">
      <alignment horizontal="left" vertical="top"/>
      <protection locked="0"/>
    </xf>
    <xf numFmtId="167" fontId="11" fillId="0" borderId="9" xfId="9" applyNumberFormat="1" applyFont="1" applyFill="1" applyBorder="1" applyAlignment="1" applyProtection="1">
      <alignment horizontal="left" vertical="top"/>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6" fillId="0" borderId="1" xfId="1" applyFont="1" applyBorder="1" applyAlignment="1" applyProtection="1">
      <alignment horizontal="left"/>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24"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jpg"/><Relationship Id="rId23" Type="http://schemas.openxmlformats.org/officeDocument/2006/relationships/image" Target="../media/image23.jpeg"/><Relationship Id="rId10" Type="http://schemas.openxmlformats.org/officeDocument/2006/relationships/image" Target="../media/image10.jp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1</xdr:col>
      <xdr:colOff>493074</xdr:colOff>
      <xdr:row>437</xdr:row>
      <xdr:rowOff>78441</xdr:rowOff>
    </xdr:from>
    <xdr:to>
      <xdr:col>5</xdr:col>
      <xdr:colOff>562515</xdr:colOff>
      <xdr:row>454</xdr:row>
      <xdr:rowOff>123022</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
        <a:srcRect l="21100" b="2758"/>
        <a:stretch/>
      </xdr:blipFill>
      <xdr:spPr>
        <a:xfrm>
          <a:off x="1255074" y="86845588"/>
          <a:ext cx="3420000" cy="3473581"/>
        </a:xfrm>
        <a:prstGeom prst="rect">
          <a:avLst/>
        </a:prstGeom>
        <a:ln>
          <a:solidFill>
            <a:schemeClr val="tx1"/>
          </a:solidFill>
        </a:ln>
      </xdr:spPr>
    </xdr:pic>
    <xdr:clientData/>
  </xdr:twoCellAnchor>
  <xdr:twoCellAnchor>
    <xdr:from>
      <xdr:col>0</xdr:col>
      <xdr:colOff>448235</xdr:colOff>
      <xdr:row>457</xdr:row>
      <xdr:rowOff>124889</xdr:rowOff>
    </xdr:from>
    <xdr:to>
      <xdr:col>7</xdr:col>
      <xdr:colOff>267706</xdr:colOff>
      <xdr:row>472</xdr:row>
      <xdr:rowOff>86052</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448235" y="91206749"/>
          <a:ext cx="5580191" cy="2932963"/>
          <a:chOff x="711409" y="4741115"/>
          <a:chExt cx="5400000" cy="2986751"/>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711409" y="4741115"/>
            <a:ext cx="5400000" cy="2986751"/>
          </a:xfrm>
          <a:prstGeom prst="rect">
            <a:avLst/>
          </a:prstGeom>
          <a:ln>
            <a:solidFill>
              <a:schemeClr val="tx1"/>
            </a:solidFill>
          </a:ln>
        </xdr:spPr>
      </xdr:pic>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3249345" y="6186984"/>
            <a:ext cx="30649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C</a:t>
            </a:r>
            <a:endParaRPr lang="en-IN" b="1">
              <a:solidFill>
                <a:srgbClr val="FF0000"/>
              </a:solidFill>
            </a:endParaRPr>
          </a:p>
        </xdr:txBody>
      </xdr:sp>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2621280" y="6408420"/>
            <a:ext cx="32412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a:t>
            </a:r>
            <a:endParaRPr lang="en-IN" b="1">
              <a:solidFill>
                <a:srgbClr val="FF0000"/>
              </a:solidFill>
            </a:endParaRPr>
          </a:p>
        </xdr:txBody>
      </xdr:sp>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2011680" y="4795967"/>
            <a:ext cx="327281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Kalpataru Advay (Wing A, B &amp; C)</a:t>
            </a:r>
            <a:endParaRPr lang="en-IN" b="1">
              <a:solidFill>
                <a:srgbClr val="FF0000"/>
              </a:solidFill>
            </a:endParaRPr>
          </a:p>
        </xdr:txBody>
      </xdr:sp>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1927860" y="6164580"/>
            <a:ext cx="32412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a:t>
            </a:r>
            <a:endParaRPr lang="en-IN" b="1">
              <a:solidFill>
                <a:srgbClr val="FF0000"/>
              </a:solidFill>
            </a:endParaRPr>
          </a:p>
        </xdr:txBody>
      </xdr:sp>
    </xdr:grpSp>
    <xdr:clientData/>
  </xdr:twoCellAnchor>
  <xdr:twoCellAnchor editAs="oneCell">
    <xdr:from>
      <xdr:col>8</xdr:col>
      <xdr:colOff>952501</xdr:colOff>
      <xdr:row>15</xdr:row>
      <xdr:rowOff>448235</xdr:rowOff>
    </xdr:from>
    <xdr:to>
      <xdr:col>14</xdr:col>
      <xdr:colOff>726083</xdr:colOff>
      <xdr:row>16</xdr:row>
      <xdr:rowOff>61549</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3"/>
        <a:stretch>
          <a:fillRect/>
        </a:stretch>
      </xdr:blipFill>
      <xdr:spPr>
        <a:xfrm>
          <a:off x="7261413" y="4471147"/>
          <a:ext cx="4961905" cy="666667"/>
        </a:xfrm>
        <a:prstGeom prst="rect">
          <a:avLst/>
        </a:prstGeom>
        <a:ln>
          <a:solidFill>
            <a:schemeClr val="tx1"/>
          </a:solidFill>
        </a:ln>
      </xdr:spPr>
    </xdr:pic>
    <xdr:clientData/>
  </xdr:twoCellAnchor>
  <xdr:twoCellAnchor editAs="oneCell">
    <xdr:from>
      <xdr:col>1</xdr:col>
      <xdr:colOff>327106</xdr:colOff>
      <xdr:row>478</xdr:row>
      <xdr:rowOff>22412</xdr:rowOff>
    </xdr:from>
    <xdr:to>
      <xdr:col>6</xdr:col>
      <xdr:colOff>126788</xdr:colOff>
      <xdr:row>488</xdr:row>
      <xdr:rowOff>51869</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089106" y="92571794"/>
          <a:ext cx="3889829" cy="2046515"/>
        </a:xfrm>
        <a:prstGeom prst="rect">
          <a:avLst/>
        </a:prstGeom>
        <a:ln>
          <a:solidFill>
            <a:schemeClr val="tx1"/>
          </a:solidFill>
        </a:ln>
      </xdr:spPr>
    </xdr:pic>
    <xdr:clientData/>
  </xdr:twoCellAnchor>
  <xdr:twoCellAnchor>
    <xdr:from>
      <xdr:col>1</xdr:col>
      <xdr:colOff>145676</xdr:colOff>
      <xdr:row>489</xdr:row>
      <xdr:rowOff>196628</xdr:rowOff>
    </xdr:from>
    <xdr:to>
      <xdr:col>6</xdr:col>
      <xdr:colOff>308216</xdr:colOff>
      <xdr:row>504</xdr:row>
      <xdr:rowOff>119317</xdr:rowOff>
    </xdr:to>
    <xdr:grpSp>
      <xdr:nvGrpSpPr>
        <xdr:cNvPr id="18" name="Group 17">
          <a:extLst>
            <a:ext uri="{FF2B5EF4-FFF2-40B4-BE49-F238E27FC236}">
              <a16:creationId xmlns:a16="http://schemas.microsoft.com/office/drawing/2014/main" id="{00000000-0008-0000-0000-000012000000}"/>
            </a:ext>
          </a:extLst>
        </xdr:cNvPr>
        <xdr:cNvGrpSpPr/>
      </xdr:nvGrpSpPr>
      <xdr:grpSpPr>
        <a:xfrm>
          <a:off x="930536" y="97618328"/>
          <a:ext cx="4384020" cy="2894489"/>
          <a:chOff x="1037769" y="3452523"/>
          <a:chExt cx="4252687" cy="2948277"/>
        </a:xfrm>
      </xdr:grpSpPr>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1037769" y="3483427"/>
            <a:ext cx="4252687" cy="2917373"/>
          </a:xfrm>
          <a:prstGeom prst="rect">
            <a:avLst/>
          </a:prstGeom>
          <a:ln>
            <a:solidFill>
              <a:schemeClr val="tx1"/>
            </a:solidFill>
          </a:ln>
        </xdr:spPr>
      </xdr:pic>
      <xdr:sp macro="" textlink="">
        <xdr:nvSpPr>
          <xdr:cNvPr id="20" name="Freeform 19">
            <a:extLst>
              <a:ext uri="{FF2B5EF4-FFF2-40B4-BE49-F238E27FC236}">
                <a16:creationId xmlns:a16="http://schemas.microsoft.com/office/drawing/2014/main" id="{00000000-0008-0000-0000-000014000000}"/>
              </a:ext>
            </a:extLst>
          </xdr:cNvPr>
          <xdr:cNvSpPr/>
        </xdr:nvSpPr>
        <xdr:spPr>
          <a:xfrm>
            <a:off x="2355850" y="3790950"/>
            <a:ext cx="1606550" cy="1714500"/>
          </a:xfrm>
          <a:custGeom>
            <a:avLst/>
            <a:gdLst>
              <a:gd name="connsiteX0" fmla="*/ 127000 w 1606550"/>
              <a:gd name="connsiteY0" fmla="*/ 0 h 1714500"/>
              <a:gd name="connsiteX1" fmla="*/ 0 w 1606550"/>
              <a:gd name="connsiteY1" fmla="*/ 1346200 h 1714500"/>
              <a:gd name="connsiteX2" fmla="*/ 1606550 w 1606550"/>
              <a:gd name="connsiteY2" fmla="*/ 1714500 h 1714500"/>
              <a:gd name="connsiteX3" fmla="*/ 1524000 w 1606550"/>
              <a:gd name="connsiteY3" fmla="*/ 1301750 h 1714500"/>
              <a:gd name="connsiteX4" fmla="*/ 1117600 w 1606550"/>
              <a:gd name="connsiteY4" fmla="*/ 1174750 h 1714500"/>
              <a:gd name="connsiteX5" fmla="*/ 1231900 w 1606550"/>
              <a:gd name="connsiteY5" fmla="*/ 723900 h 1714500"/>
              <a:gd name="connsiteX6" fmla="*/ 336550 w 1606550"/>
              <a:gd name="connsiteY6" fmla="*/ 539750 h 1714500"/>
              <a:gd name="connsiteX7" fmla="*/ 285750 w 1606550"/>
              <a:gd name="connsiteY7" fmla="*/ 12700 h 1714500"/>
              <a:gd name="connsiteX8" fmla="*/ 127000 w 1606550"/>
              <a:gd name="connsiteY8" fmla="*/ 0 h 1714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606550" h="1714500">
                <a:moveTo>
                  <a:pt x="127000" y="0"/>
                </a:moveTo>
                <a:lnTo>
                  <a:pt x="0" y="1346200"/>
                </a:lnTo>
                <a:lnTo>
                  <a:pt x="1606550" y="1714500"/>
                </a:lnTo>
                <a:lnTo>
                  <a:pt x="1524000" y="1301750"/>
                </a:lnTo>
                <a:lnTo>
                  <a:pt x="1117600" y="1174750"/>
                </a:lnTo>
                <a:lnTo>
                  <a:pt x="1231900" y="723900"/>
                </a:lnTo>
                <a:lnTo>
                  <a:pt x="336550" y="539750"/>
                </a:lnTo>
                <a:lnTo>
                  <a:pt x="285750" y="12700"/>
                </a:lnTo>
                <a:lnTo>
                  <a:pt x="127000" y="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1" name="TextBox 18">
            <a:extLst>
              <a:ext uri="{FF2B5EF4-FFF2-40B4-BE49-F238E27FC236}">
                <a16:creationId xmlns:a16="http://schemas.microsoft.com/office/drawing/2014/main" id="{00000000-0008-0000-0000-000015000000}"/>
              </a:ext>
            </a:extLst>
          </xdr:cNvPr>
          <xdr:cNvSpPr txBox="1"/>
        </xdr:nvSpPr>
        <xdr:spPr>
          <a:xfrm>
            <a:off x="1037769" y="3452523"/>
            <a:ext cx="306737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Kalpataru Advay (Wing A to C)</a:t>
            </a:r>
            <a:endParaRPr lang="en-IN" b="1">
              <a:solidFill>
                <a:srgbClr val="FF0000"/>
              </a:solidFill>
            </a:endParaRPr>
          </a:p>
        </xdr:txBody>
      </xdr:sp>
    </xdr:grpSp>
    <xdr:clientData/>
  </xdr:twoCellAnchor>
  <xdr:twoCellAnchor editAs="oneCell">
    <xdr:from>
      <xdr:col>8</xdr:col>
      <xdr:colOff>466613</xdr:colOff>
      <xdr:row>49</xdr:row>
      <xdr:rowOff>60961</xdr:rowOff>
    </xdr:from>
    <xdr:to>
      <xdr:col>11</xdr:col>
      <xdr:colOff>641513</xdr:colOff>
      <xdr:row>50</xdr:row>
      <xdr:rowOff>318145</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6981713" y="13167361"/>
          <a:ext cx="2880000" cy="851544"/>
        </a:xfrm>
        <a:prstGeom prst="rect">
          <a:avLst/>
        </a:prstGeom>
        <a:ln>
          <a:solidFill>
            <a:schemeClr val="tx1"/>
          </a:solidFill>
        </a:ln>
      </xdr:spPr>
    </xdr:pic>
    <xdr:clientData/>
  </xdr:twoCellAnchor>
  <xdr:twoCellAnchor editAs="oneCell">
    <xdr:from>
      <xdr:col>11</xdr:col>
      <xdr:colOff>728830</xdr:colOff>
      <xdr:row>46</xdr:row>
      <xdr:rowOff>123712</xdr:rowOff>
    </xdr:from>
    <xdr:to>
      <xdr:col>15</xdr:col>
      <xdr:colOff>156970</xdr:colOff>
      <xdr:row>50</xdr:row>
      <xdr:rowOff>249338</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9949030" y="12407152"/>
          <a:ext cx="2880000" cy="1542946"/>
        </a:xfrm>
        <a:prstGeom prst="rect">
          <a:avLst/>
        </a:prstGeom>
        <a:ln>
          <a:solidFill>
            <a:schemeClr val="tx1"/>
          </a:solidFill>
        </a:ln>
      </xdr:spPr>
    </xdr:pic>
    <xdr:clientData/>
  </xdr:twoCellAnchor>
  <xdr:twoCellAnchor editAs="oneCell">
    <xdr:from>
      <xdr:col>9</xdr:col>
      <xdr:colOff>0</xdr:colOff>
      <xdr:row>61</xdr:row>
      <xdr:rowOff>112060</xdr:rowOff>
    </xdr:from>
    <xdr:to>
      <xdr:col>14</xdr:col>
      <xdr:colOff>477089</xdr:colOff>
      <xdr:row>70</xdr:row>
      <xdr:rowOff>208284</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7474324" y="17514795"/>
          <a:ext cx="4500000" cy="2135695"/>
        </a:xfrm>
        <a:prstGeom prst="rect">
          <a:avLst/>
        </a:prstGeom>
        <a:ln>
          <a:solidFill>
            <a:schemeClr val="tx1"/>
          </a:solidFill>
        </a:ln>
      </xdr:spPr>
    </xdr:pic>
    <xdr:clientData/>
  </xdr:twoCellAnchor>
  <xdr:twoCellAnchor editAs="oneCell">
    <xdr:from>
      <xdr:col>8</xdr:col>
      <xdr:colOff>447339</xdr:colOff>
      <xdr:row>46</xdr:row>
      <xdr:rowOff>129542</xdr:rowOff>
    </xdr:from>
    <xdr:to>
      <xdr:col>11</xdr:col>
      <xdr:colOff>622239</xdr:colOff>
      <xdr:row>48</xdr:row>
      <xdr:rowOff>395241</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6962439" y="12412982"/>
          <a:ext cx="2880000" cy="661939"/>
        </a:xfrm>
        <a:prstGeom prst="rect">
          <a:avLst/>
        </a:prstGeom>
        <a:ln>
          <a:solidFill>
            <a:schemeClr val="tx1"/>
          </a:solidFill>
        </a:ln>
      </xdr:spPr>
    </xdr:pic>
    <xdr:clientData/>
  </xdr:twoCellAnchor>
  <xdr:twoCellAnchor>
    <xdr:from>
      <xdr:col>9</xdr:col>
      <xdr:colOff>365760</xdr:colOff>
      <xdr:row>396</xdr:row>
      <xdr:rowOff>99061</xdr:rowOff>
    </xdr:from>
    <xdr:to>
      <xdr:col>17</xdr:col>
      <xdr:colOff>7620</xdr:colOff>
      <xdr:row>425</xdr:row>
      <xdr:rowOff>167640</xdr:rowOff>
    </xdr:to>
    <xdr:grpSp>
      <xdr:nvGrpSpPr>
        <xdr:cNvPr id="32" name="Group 31">
          <a:extLst>
            <a:ext uri="{FF2B5EF4-FFF2-40B4-BE49-F238E27FC236}">
              <a16:creationId xmlns:a16="http://schemas.microsoft.com/office/drawing/2014/main" id="{99D8B7C9-95BF-D46F-2476-04D80DA3501D}"/>
            </a:ext>
          </a:extLst>
        </xdr:cNvPr>
        <xdr:cNvGrpSpPr/>
      </xdr:nvGrpSpPr>
      <xdr:grpSpPr>
        <a:xfrm>
          <a:off x="8077200" y="79103221"/>
          <a:ext cx="6042660" cy="5806439"/>
          <a:chOff x="-592696" y="222090"/>
          <a:chExt cx="7412500" cy="7206710"/>
        </a:xfrm>
      </xdr:grpSpPr>
      <xdr:grpSp>
        <xdr:nvGrpSpPr>
          <xdr:cNvPr id="33" name="Group 32">
            <a:extLst>
              <a:ext uri="{FF2B5EF4-FFF2-40B4-BE49-F238E27FC236}">
                <a16:creationId xmlns:a16="http://schemas.microsoft.com/office/drawing/2014/main" id="{4D5A88D8-542F-56AA-D1C1-2C7740669689}"/>
              </a:ext>
            </a:extLst>
          </xdr:cNvPr>
          <xdr:cNvGrpSpPr/>
        </xdr:nvGrpSpPr>
        <xdr:grpSpPr>
          <a:xfrm>
            <a:off x="396536" y="2925445"/>
            <a:ext cx="5434037" cy="2520000"/>
            <a:chOff x="824408" y="2925445"/>
            <a:chExt cx="5434037" cy="2520000"/>
          </a:xfrm>
        </xdr:grpSpPr>
        <xdr:pic>
          <xdr:nvPicPr>
            <xdr:cNvPr id="41" name="Picture 40">
              <a:extLst>
                <a:ext uri="{FF2B5EF4-FFF2-40B4-BE49-F238E27FC236}">
                  <a16:creationId xmlns:a16="http://schemas.microsoft.com/office/drawing/2014/main" id="{AE499B22-2043-D257-5445-B186F9FDB78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24408" y="2925445"/>
              <a:ext cx="3342952" cy="2520000"/>
            </a:xfrm>
            <a:prstGeom prst="rect">
              <a:avLst/>
            </a:prstGeom>
            <a:ln>
              <a:solidFill>
                <a:schemeClr val="tx1"/>
              </a:solidFill>
            </a:ln>
          </xdr:spPr>
        </xdr:pic>
        <xdr:pic>
          <xdr:nvPicPr>
            <xdr:cNvPr id="42" name="Picture 41">
              <a:extLst>
                <a:ext uri="{FF2B5EF4-FFF2-40B4-BE49-F238E27FC236}">
                  <a16:creationId xmlns:a16="http://schemas.microsoft.com/office/drawing/2014/main" id="{B33A2FD6-2083-DD93-6D85-724F9695FAC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363173" y="2925445"/>
              <a:ext cx="1895272" cy="2520000"/>
            </a:xfrm>
            <a:prstGeom prst="rect">
              <a:avLst/>
            </a:prstGeom>
            <a:ln>
              <a:solidFill>
                <a:schemeClr val="tx1"/>
              </a:solidFill>
            </a:ln>
          </xdr:spPr>
        </xdr:pic>
      </xdr:grpSp>
      <xdr:grpSp>
        <xdr:nvGrpSpPr>
          <xdr:cNvPr id="34" name="Group 33">
            <a:extLst>
              <a:ext uri="{FF2B5EF4-FFF2-40B4-BE49-F238E27FC236}">
                <a16:creationId xmlns:a16="http://schemas.microsoft.com/office/drawing/2014/main" id="{327669E5-753C-106D-18B9-88030130C70B}"/>
              </a:ext>
            </a:extLst>
          </xdr:cNvPr>
          <xdr:cNvGrpSpPr/>
        </xdr:nvGrpSpPr>
        <xdr:grpSpPr>
          <a:xfrm>
            <a:off x="-592696" y="5628800"/>
            <a:ext cx="7412500" cy="1800000"/>
            <a:chOff x="-737223" y="5628800"/>
            <a:chExt cx="7412500" cy="1800000"/>
          </a:xfrm>
        </xdr:grpSpPr>
        <xdr:pic>
          <xdr:nvPicPr>
            <xdr:cNvPr id="38" name="Picture 37">
              <a:extLst>
                <a:ext uri="{FF2B5EF4-FFF2-40B4-BE49-F238E27FC236}">
                  <a16:creationId xmlns:a16="http://schemas.microsoft.com/office/drawing/2014/main" id="{0B13DDDD-8399-E7D7-1EB0-7EFB5495812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37223" y="5628800"/>
              <a:ext cx="2387823" cy="1800000"/>
            </a:xfrm>
            <a:prstGeom prst="rect">
              <a:avLst/>
            </a:prstGeom>
            <a:ln>
              <a:solidFill>
                <a:schemeClr val="tx1"/>
              </a:solidFill>
            </a:ln>
          </xdr:spPr>
        </xdr:pic>
        <xdr:pic>
          <xdr:nvPicPr>
            <xdr:cNvPr id="39" name="Picture 38">
              <a:extLst>
                <a:ext uri="{FF2B5EF4-FFF2-40B4-BE49-F238E27FC236}">
                  <a16:creationId xmlns:a16="http://schemas.microsoft.com/office/drawing/2014/main" id="{69BC0ACF-5E8B-9725-E13D-DAE2103C2FA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770694" y="5628800"/>
              <a:ext cx="2396666" cy="1800000"/>
            </a:xfrm>
            <a:prstGeom prst="rect">
              <a:avLst/>
            </a:prstGeom>
            <a:ln>
              <a:solidFill>
                <a:schemeClr val="tx1"/>
              </a:solidFill>
            </a:ln>
          </xdr:spPr>
        </xdr:pic>
        <xdr:pic>
          <xdr:nvPicPr>
            <xdr:cNvPr id="40" name="Picture 39">
              <a:extLst>
                <a:ext uri="{FF2B5EF4-FFF2-40B4-BE49-F238E27FC236}">
                  <a16:creationId xmlns:a16="http://schemas.microsoft.com/office/drawing/2014/main" id="{5DD51517-69E5-0E57-7925-69A6192C30C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287454" y="5628800"/>
              <a:ext cx="2387823" cy="1800000"/>
            </a:xfrm>
            <a:prstGeom prst="rect">
              <a:avLst/>
            </a:prstGeom>
            <a:ln>
              <a:solidFill>
                <a:schemeClr val="tx1"/>
              </a:solidFill>
            </a:ln>
          </xdr:spPr>
        </xdr:pic>
      </xdr:grpSp>
      <xdr:grpSp>
        <xdr:nvGrpSpPr>
          <xdr:cNvPr id="35" name="Group 34">
            <a:extLst>
              <a:ext uri="{FF2B5EF4-FFF2-40B4-BE49-F238E27FC236}">
                <a16:creationId xmlns:a16="http://schemas.microsoft.com/office/drawing/2014/main" id="{70337193-753D-234E-81E1-82DE6A05CFA3}"/>
              </a:ext>
            </a:extLst>
          </xdr:cNvPr>
          <xdr:cNvGrpSpPr/>
        </xdr:nvGrpSpPr>
        <xdr:grpSpPr>
          <a:xfrm>
            <a:off x="-325588" y="222090"/>
            <a:ext cx="6878284" cy="2520000"/>
            <a:chOff x="86048" y="222090"/>
            <a:chExt cx="6878284" cy="2520000"/>
          </a:xfrm>
        </xdr:grpSpPr>
        <xdr:pic>
          <xdr:nvPicPr>
            <xdr:cNvPr id="36" name="Picture 35">
              <a:extLst>
                <a:ext uri="{FF2B5EF4-FFF2-40B4-BE49-F238E27FC236}">
                  <a16:creationId xmlns:a16="http://schemas.microsoft.com/office/drawing/2014/main" id="{9C240221-FE42-6560-677B-290547BE460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621380" y="222090"/>
              <a:ext cx="3342952" cy="2520000"/>
            </a:xfrm>
            <a:prstGeom prst="rect">
              <a:avLst/>
            </a:prstGeom>
            <a:ln>
              <a:solidFill>
                <a:schemeClr val="tx1"/>
              </a:solidFill>
            </a:ln>
          </xdr:spPr>
        </xdr:pic>
        <xdr:pic>
          <xdr:nvPicPr>
            <xdr:cNvPr id="37" name="Picture 36">
              <a:extLst>
                <a:ext uri="{FF2B5EF4-FFF2-40B4-BE49-F238E27FC236}">
                  <a16:creationId xmlns:a16="http://schemas.microsoft.com/office/drawing/2014/main" id="{AAE8F484-7624-86BE-551B-3407D222362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6048" y="222090"/>
              <a:ext cx="3342952" cy="2520000"/>
            </a:xfrm>
            <a:prstGeom prst="rect">
              <a:avLst/>
            </a:prstGeom>
            <a:ln>
              <a:solidFill>
                <a:schemeClr val="tx1"/>
              </a:solidFill>
            </a:ln>
          </xdr:spPr>
        </xdr:pic>
      </xdr:grpSp>
    </xdr:grpSp>
    <xdr:clientData/>
  </xdr:twoCellAnchor>
  <xdr:twoCellAnchor>
    <xdr:from>
      <xdr:col>0</xdr:col>
      <xdr:colOff>320040</xdr:colOff>
      <xdr:row>397</xdr:row>
      <xdr:rowOff>7620</xdr:rowOff>
    </xdr:from>
    <xdr:to>
      <xdr:col>7</xdr:col>
      <xdr:colOff>469859</xdr:colOff>
      <xdr:row>432</xdr:row>
      <xdr:rowOff>185526</xdr:rowOff>
    </xdr:to>
    <xdr:grpSp>
      <xdr:nvGrpSpPr>
        <xdr:cNvPr id="2" name="Group 1">
          <a:extLst>
            <a:ext uri="{FF2B5EF4-FFF2-40B4-BE49-F238E27FC236}">
              <a16:creationId xmlns:a16="http://schemas.microsoft.com/office/drawing/2014/main" id="{0210A3F5-5DF4-EFDD-3004-B47B38191BED}"/>
            </a:ext>
          </a:extLst>
        </xdr:cNvPr>
        <xdr:cNvGrpSpPr/>
      </xdr:nvGrpSpPr>
      <xdr:grpSpPr>
        <a:xfrm>
          <a:off x="320040" y="79209900"/>
          <a:ext cx="5910539" cy="7104486"/>
          <a:chOff x="486137" y="173620"/>
          <a:chExt cx="5910539" cy="7104486"/>
        </a:xfrm>
      </xdr:grpSpPr>
      <xdr:grpSp>
        <xdr:nvGrpSpPr>
          <xdr:cNvPr id="3" name="Group 2">
            <a:extLst>
              <a:ext uri="{FF2B5EF4-FFF2-40B4-BE49-F238E27FC236}">
                <a16:creationId xmlns:a16="http://schemas.microsoft.com/office/drawing/2014/main" id="{EE5333AD-1BFF-9872-1DCE-2EEA578CE57F}"/>
              </a:ext>
            </a:extLst>
          </xdr:cNvPr>
          <xdr:cNvGrpSpPr/>
        </xdr:nvGrpSpPr>
        <xdr:grpSpPr>
          <a:xfrm>
            <a:off x="2030850" y="5478106"/>
            <a:ext cx="2821113" cy="1800000"/>
            <a:chOff x="1025293" y="5478106"/>
            <a:chExt cx="2821113" cy="1800000"/>
          </a:xfrm>
        </xdr:grpSpPr>
        <xdr:pic>
          <xdr:nvPicPr>
            <xdr:cNvPr id="45" name="Picture 44">
              <a:extLst>
                <a:ext uri="{FF2B5EF4-FFF2-40B4-BE49-F238E27FC236}">
                  <a16:creationId xmlns:a16="http://schemas.microsoft.com/office/drawing/2014/main" id="{A63F9B97-BAAC-89F3-4466-4E4CAD10A0C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025293" y="5478106"/>
              <a:ext cx="1350844" cy="1800000"/>
            </a:xfrm>
            <a:prstGeom prst="rect">
              <a:avLst/>
            </a:prstGeom>
            <a:ln>
              <a:solidFill>
                <a:schemeClr val="tx1"/>
              </a:solidFill>
            </a:ln>
          </xdr:spPr>
        </xdr:pic>
        <xdr:pic>
          <xdr:nvPicPr>
            <xdr:cNvPr id="46" name="Picture 45">
              <a:extLst>
                <a:ext uri="{FF2B5EF4-FFF2-40B4-BE49-F238E27FC236}">
                  <a16:creationId xmlns:a16="http://schemas.microsoft.com/office/drawing/2014/main" id="{7D35DA59-761F-82A8-2B1E-8D41CCA1A92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496406" y="5478106"/>
              <a:ext cx="1350000" cy="1800000"/>
            </a:xfrm>
            <a:prstGeom prst="rect">
              <a:avLst/>
            </a:prstGeom>
            <a:ln>
              <a:solidFill>
                <a:schemeClr val="tx1"/>
              </a:solidFill>
            </a:ln>
          </xdr:spPr>
        </xdr:pic>
      </xdr:grpSp>
      <xdr:grpSp>
        <xdr:nvGrpSpPr>
          <xdr:cNvPr id="4" name="Group 3">
            <a:extLst>
              <a:ext uri="{FF2B5EF4-FFF2-40B4-BE49-F238E27FC236}">
                <a16:creationId xmlns:a16="http://schemas.microsoft.com/office/drawing/2014/main" id="{0C58C904-C621-6E09-EFC9-EBC7A9B7B7F8}"/>
              </a:ext>
            </a:extLst>
          </xdr:cNvPr>
          <xdr:cNvGrpSpPr/>
        </xdr:nvGrpSpPr>
        <xdr:grpSpPr>
          <a:xfrm>
            <a:off x="486137" y="173620"/>
            <a:ext cx="5910539" cy="2520000"/>
            <a:chOff x="486137" y="173620"/>
            <a:chExt cx="5910539" cy="2520000"/>
          </a:xfrm>
        </xdr:grpSpPr>
        <xdr:pic>
          <xdr:nvPicPr>
            <xdr:cNvPr id="16" name="Picture 15">
              <a:extLst>
                <a:ext uri="{FF2B5EF4-FFF2-40B4-BE49-F238E27FC236}">
                  <a16:creationId xmlns:a16="http://schemas.microsoft.com/office/drawing/2014/main" id="{EE1CC93E-A8A0-6EB2-5643-AF8885AF2EA4}"/>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506676" y="173620"/>
              <a:ext cx="1890000" cy="2520000"/>
            </a:xfrm>
            <a:prstGeom prst="rect">
              <a:avLst/>
            </a:prstGeom>
            <a:ln>
              <a:solidFill>
                <a:schemeClr val="tx1"/>
              </a:solidFill>
            </a:ln>
          </xdr:spPr>
        </xdr:pic>
        <xdr:pic>
          <xdr:nvPicPr>
            <xdr:cNvPr id="43" name="Picture 42">
              <a:extLst>
                <a:ext uri="{FF2B5EF4-FFF2-40B4-BE49-F238E27FC236}">
                  <a16:creationId xmlns:a16="http://schemas.microsoft.com/office/drawing/2014/main" id="{612F0681-F437-F9C0-8B1C-DE502814C51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2496406" y="173620"/>
              <a:ext cx="1890000" cy="2520000"/>
            </a:xfrm>
            <a:prstGeom prst="rect">
              <a:avLst/>
            </a:prstGeom>
            <a:ln>
              <a:solidFill>
                <a:schemeClr val="tx1"/>
              </a:solidFill>
            </a:ln>
          </xdr:spPr>
        </xdr:pic>
        <xdr:pic>
          <xdr:nvPicPr>
            <xdr:cNvPr id="44" name="Picture 43">
              <a:extLst>
                <a:ext uri="{FF2B5EF4-FFF2-40B4-BE49-F238E27FC236}">
                  <a16:creationId xmlns:a16="http://schemas.microsoft.com/office/drawing/2014/main" id="{2EF85658-1ED7-2926-B5BF-2E5CE2356EB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86137" y="173620"/>
              <a:ext cx="1890000" cy="252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id="{67170CAF-7415-0E83-BC99-D7BCA81CDE3F}"/>
              </a:ext>
            </a:extLst>
          </xdr:cNvPr>
          <xdr:cNvGrpSpPr/>
        </xdr:nvGrpSpPr>
        <xdr:grpSpPr>
          <a:xfrm>
            <a:off x="1491272" y="2825863"/>
            <a:ext cx="3900269" cy="2520000"/>
            <a:chOff x="486137" y="2825863"/>
            <a:chExt cx="3900269" cy="2520000"/>
          </a:xfrm>
        </xdr:grpSpPr>
        <xdr:pic>
          <xdr:nvPicPr>
            <xdr:cNvPr id="6" name="Picture 5">
              <a:extLst>
                <a:ext uri="{FF2B5EF4-FFF2-40B4-BE49-F238E27FC236}">
                  <a16:creationId xmlns:a16="http://schemas.microsoft.com/office/drawing/2014/main" id="{CBC2ACC0-D0CF-0583-F7DA-34AFEF189191}"/>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86137" y="2825863"/>
              <a:ext cx="1890000" cy="2520000"/>
            </a:xfrm>
            <a:prstGeom prst="rect">
              <a:avLst/>
            </a:prstGeom>
            <a:ln>
              <a:solidFill>
                <a:schemeClr val="tx1"/>
              </a:solidFill>
            </a:ln>
          </xdr:spPr>
        </xdr:pic>
        <xdr:pic>
          <xdr:nvPicPr>
            <xdr:cNvPr id="7" name="Picture 6">
              <a:extLst>
                <a:ext uri="{FF2B5EF4-FFF2-40B4-BE49-F238E27FC236}">
                  <a16:creationId xmlns:a16="http://schemas.microsoft.com/office/drawing/2014/main" id="{438C1C04-752A-0BBF-DBB3-04853499562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2496406" y="2825863"/>
              <a:ext cx="1890000" cy="2520000"/>
            </a:xfrm>
            <a:prstGeom prst="rect">
              <a:avLst/>
            </a:prstGeom>
            <a:ln>
              <a:solidFill>
                <a:schemeClr val="tx1"/>
              </a:solidFill>
            </a:ln>
          </xdr:spPr>
        </xdr:pic>
      </xdr:grpSp>
    </xdr:grpSp>
    <xdr:clientData/>
  </xdr:twoCellAnchor>
  <xdr:oneCellAnchor>
    <xdr:from>
      <xdr:col>1</xdr:col>
      <xdr:colOff>373380</xdr:colOff>
      <xdr:row>397</xdr:row>
      <xdr:rowOff>152400</xdr:rowOff>
    </xdr:from>
    <xdr:ext cx="607089" cy="264560"/>
    <xdr:sp macro="" textlink="">
      <xdr:nvSpPr>
        <xdr:cNvPr id="47" name="TextBox 46">
          <a:extLst>
            <a:ext uri="{FF2B5EF4-FFF2-40B4-BE49-F238E27FC236}">
              <a16:creationId xmlns:a16="http://schemas.microsoft.com/office/drawing/2014/main" id="{C6D6DE55-0A43-1D3E-D4EB-9D7F370F9CFD}"/>
            </a:ext>
          </a:extLst>
        </xdr:cNvPr>
        <xdr:cNvSpPr txBox="1"/>
      </xdr:nvSpPr>
      <xdr:spPr>
        <a:xfrm>
          <a:off x="1158240" y="78851760"/>
          <a:ext cx="6070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A</a:t>
          </a:r>
        </a:p>
      </xdr:txBody>
    </xdr:sp>
    <xdr:clientData/>
  </xdr:oneCellAnchor>
  <xdr:oneCellAnchor>
    <xdr:from>
      <xdr:col>3</xdr:col>
      <xdr:colOff>723900</xdr:colOff>
      <xdr:row>399</xdr:row>
      <xdr:rowOff>22860</xdr:rowOff>
    </xdr:from>
    <xdr:ext cx="607089" cy="264560"/>
    <xdr:sp macro="" textlink="">
      <xdr:nvSpPr>
        <xdr:cNvPr id="48" name="TextBox 47">
          <a:extLst>
            <a:ext uri="{FF2B5EF4-FFF2-40B4-BE49-F238E27FC236}">
              <a16:creationId xmlns:a16="http://schemas.microsoft.com/office/drawing/2014/main" id="{73C7E0DE-DC01-429B-9AE8-A19BE4D4A8CB}"/>
            </a:ext>
          </a:extLst>
        </xdr:cNvPr>
        <xdr:cNvSpPr txBox="1"/>
      </xdr:nvSpPr>
      <xdr:spPr>
        <a:xfrm>
          <a:off x="3208020" y="79110840"/>
          <a:ext cx="6070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A</a:t>
          </a:r>
        </a:p>
      </xdr:txBody>
    </xdr:sp>
    <xdr:clientData/>
  </xdr:oneCellAnchor>
  <xdr:twoCellAnchor editAs="oneCell">
    <xdr:from>
      <xdr:col>8</xdr:col>
      <xdr:colOff>243840</xdr:colOff>
      <xdr:row>50</xdr:row>
      <xdr:rowOff>426720</xdr:rowOff>
    </xdr:from>
    <xdr:to>
      <xdr:col>12</xdr:col>
      <xdr:colOff>193860</xdr:colOff>
      <xdr:row>53</xdr:row>
      <xdr:rowOff>415152</xdr:rowOff>
    </xdr:to>
    <xdr:pic>
      <xdr:nvPicPr>
        <xdr:cNvPr id="26" name="Picture 25">
          <a:extLst>
            <a:ext uri="{FF2B5EF4-FFF2-40B4-BE49-F238E27FC236}">
              <a16:creationId xmlns:a16="http://schemas.microsoft.com/office/drawing/2014/main" id="{99C711A0-CDA4-F82E-8846-D58271C861E3}"/>
            </a:ext>
          </a:extLst>
        </xdr:cNvPr>
        <xdr:cNvPicPr>
          <a:picLocks noChangeAspect="1"/>
        </xdr:cNvPicPr>
      </xdr:nvPicPr>
      <xdr:blipFill>
        <a:blip xmlns:r="http://schemas.openxmlformats.org/officeDocument/2006/relationships" r:embed="rId24"/>
        <a:stretch>
          <a:fillRect/>
        </a:stretch>
      </xdr:blipFill>
      <xdr:spPr>
        <a:xfrm>
          <a:off x="6758940" y="14127480"/>
          <a:ext cx="3600000" cy="26020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nVWCYxP1nuAHgmcr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478"/>
  <sheetViews>
    <sheetView tabSelected="1" view="pageBreakPreview" topLeftCell="A45" zoomScaleNormal="100" zoomScaleSheetLayoutView="100" zoomScalePageLayoutView="85" workbookViewId="0">
      <selection activeCell="O53" sqref="O53"/>
    </sheetView>
  </sheetViews>
  <sheetFormatPr defaultColWidth="9.21875" defaultRowHeight="15.6" x14ac:dyDescent="0.3"/>
  <cols>
    <col min="1" max="1" width="11.44140625" style="37" customWidth="1"/>
    <col min="2" max="2" width="12" style="37" customWidth="1"/>
    <col min="3" max="3" width="12.77734375" style="37" customWidth="1"/>
    <col min="4" max="4" width="13.77734375" style="37" customWidth="1"/>
    <col min="5" max="5" width="11.77734375" style="37" customWidth="1"/>
    <col min="6" max="6" width="11.21875" style="37" customWidth="1"/>
    <col min="7" max="8" width="11" style="37" customWidth="1"/>
    <col min="9" max="9" width="17.44140625" style="18" customWidth="1"/>
    <col min="10" max="10" width="11.44140625" style="18" customWidth="1"/>
    <col min="11" max="11" width="10.5546875" style="18" bestFit="1" customWidth="1"/>
    <col min="12" max="12" width="13.77734375" style="18" bestFit="1" customWidth="1"/>
    <col min="13" max="13" width="11.77734375" style="18" customWidth="1"/>
    <col min="14" max="14" width="12.5546875" style="18" customWidth="1"/>
    <col min="15" max="15" width="12.21875" style="18" customWidth="1"/>
    <col min="16" max="16" width="11.77734375" style="18" customWidth="1"/>
    <col min="17" max="18" width="9.21875" style="18"/>
    <col min="19" max="19" width="10.77734375" style="18" bestFit="1" customWidth="1"/>
    <col min="20" max="20" width="10.77734375" style="18" customWidth="1"/>
    <col min="21" max="247" width="9.21875" style="18"/>
    <col min="248" max="248" width="8.77734375" style="18" customWidth="1"/>
    <col min="249" max="249" width="9.77734375" style="18" customWidth="1"/>
    <col min="250" max="250" width="14.44140625" style="18" customWidth="1"/>
    <col min="251" max="251" width="7.21875" style="18" customWidth="1"/>
    <col min="252" max="252" width="5.5546875" style="18" customWidth="1"/>
    <col min="253" max="253" width="9" style="18" customWidth="1"/>
    <col min="254" max="255" width="9.77734375" style="18" customWidth="1"/>
    <col min="256" max="256" width="11.21875" style="18" customWidth="1"/>
    <col min="257" max="257" width="2.77734375" style="18" customWidth="1"/>
    <col min="258" max="258" width="3.5546875" style="18" customWidth="1"/>
    <col min="259" max="503" width="9.21875" style="18"/>
    <col min="504" max="504" width="8.77734375" style="18" customWidth="1"/>
    <col min="505" max="505" width="9.77734375" style="18" customWidth="1"/>
    <col min="506" max="506" width="14.44140625" style="18" customWidth="1"/>
    <col min="507" max="507" width="7.21875" style="18" customWidth="1"/>
    <col min="508" max="508" width="5.5546875" style="18" customWidth="1"/>
    <col min="509" max="509" width="9" style="18" customWidth="1"/>
    <col min="510" max="511" width="9.77734375" style="18" customWidth="1"/>
    <col min="512" max="512" width="11.21875" style="18" customWidth="1"/>
    <col min="513" max="513" width="2.77734375" style="18" customWidth="1"/>
    <col min="514" max="514" width="3.5546875" style="18" customWidth="1"/>
    <col min="515" max="759" width="9.21875" style="18"/>
    <col min="760" max="760" width="8.77734375" style="18" customWidth="1"/>
    <col min="761" max="761" width="9.77734375" style="18" customWidth="1"/>
    <col min="762" max="762" width="14.44140625" style="18" customWidth="1"/>
    <col min="763" max="763" width="7.21875" style="18" customWidth="1"/>
    <col min="764" max="764" width="5.5546875" style="18" customWidth="1"/>
    <col min="765" max="765" width="9" style="18" customWidth="1"/>
    <col min="766" max="767" width="9.77734375" style="18" customWidth="1"/>
    <col min="768" max="768" width="11.21875" style="18" customWidth="1"/>
    <col min="769" max="769" width="2.77734375" style="18" customWidth="1"/>
    <col min="770" max="770" width="3.5546875" style="18" customWidth="1"/>
    <col min="771" max="1015" width="9.21875" style="18"/>
    <col min="1016" max="1016" width="8.77734375" style="18" customWidth="1"/>
    <col min="1017" max="1017" width="9.77734375" style="18" customWidth="1"/>
    <col min="1018" max="1018" width="14.44140625" style="18" customWidth="1"/>
    <col min="1019" max="1019" width="7.21875" style="18" customWidth="1"/>
    <col min="1020" max="1020" width="5.5546875" style="18" customWidth="1"/>
    <col min="1021" max="1021" width="9" style="18" customWidth="1"/>
    <col min="1022" max="1023" width="9.77734375" style="18" customWidth="1"/>
    <col min="1024" max="1024" width="11.21875" style="18" customWidth="1"/>
    <col min="1025" max="1025" width="2.77734375" style="18" customWidth="1"/>
    <col min="1026" max="1026" width="3.5546875" style="18" customWidth="1"/>
    <col min="1027" max="1271" width="9.21875" style="18"/>
    <col min="1272" max="1272" width="8.77734375" style="18" customWidth="1"/>
    <col min="1273" max="1273" width="9.77734375" style="18" customWidth="1"/>
    <col min="1274" max="1274" width="14.44140625" style="18" customWidth="1"/>
    <col min="1275" max="1275" width="7.21875" style="18" customWidth="1"/>
    <col min="1276" max="1276" width="5.5546875" style="18" customWidth="1"/>
    <col min="1277" max="1277" width="9" style="18" customWidth="1"/>
    <col min="1278" max="1279" width="9.77734375" style="18" customWidth="1"/>
    <col min="1280" max="1280" width="11.21875" style="18" customWidth="1"/>
    <col min="1281" max="1281" width="2.77734375" style="18" customWidth="1"/>
    <col min="1282" max="1282" width="3.5546875" style="18" customWidth="1"/>
    <col min="1283" max="1527" width="9.21875" style="18"/>
    <col min="1528" max="1528" width="8.77734375" style="18" customWidth="1"/>
    <col min="1529" max="1529" width="9.77734375" style="18" customWidth="1"/>
    <col min="1530" max="1530" width="14.44140625" style="18" customWidth="1"/>
    <col min="1531" max="1531" width="7.21875" style="18" customWidth="1"/>
    <col min="1532" max="1532" width="5.5546875" style="18" customWidth="1"/>
    <col min="1533" max="1533" width="9" style="18" customWidth="1"/>
    <col min="1534" max="1535" width="9.77734375" style="18" customWidth="1"/>
    <col min="1536" max="1536" width="11.21875" style="18" customWidth="1"/>
    <col min="1537" max="1537" width="2.77734375" style="18" customWidth="1"/>
    <col min="1538" max="1538" width="3.5546875" style="18" customWidth="1"/>
    <col min="1539" max="1783" width="9.21875" style="18"/>
    <col min="1784" max="1784" width="8.77734375" style="18" customWidth="1"/>
    <col min="1785" max="1785" width="9.77734375" style="18" customWidth="1"/>
    <col min="1786" max="1786" width="14.44140625" style="18" customWidth="1"/>
    <col min="1787" max="1787" width="7.21875" style="18" customWidth="1"/>
    <col min="1788" max="1788" width="5.5546875" style="18" customWidth="1"/>
    <col min="1789" max="1789" width="9" style="18" customWidth="1"/>
    <col min="1790" max="1791" width="9.77734375" style="18" customWidth="1"/>
    <col min="1792" max="1792" width="11.21875" style="18" customWidth="1"/>
    <col min="1793" max="1793" width="2.77734375" style="18" customWidth="1"/>
    <col min="1794" max="1794" width="3.5546875" style="18" customWidth="1"/>
    <col min="1795" max="2039" width="9.21875" style="18"/>
    <col min="2040" max="2040" width="8.77734375" style="18" customWidth="1"/>
    <col min="2041" max="2041" width="9.77734375" style="18" customWidth="1"/>
    <col min="2042" max="2042" width="14.44140625" style="18" customWidth="1"/>
    <col min="2043" max="2043" width="7.21875" style="18" customWidth="1"/>
    <col min="2044" max="2044" width="5.5546875" style="18" customWidth="1"/>
    <col min="2045" max="2045" width="9" style="18" customWidth="1"/>
    <col min="2046" max="2047" width="9.77734375" style="18" customWidth="1"/>
    <col min="2048" max="2048" width="11.21875" style="18" customWidth="1"/>
    <col min="2049" max="2049" width="2.77734375" style="18" customWidth="1"/>
    <col min="2050" max="2050" width="3.5546875" style="18" customWidth="1"/>
    <col min="2051" max="2295" width="9.21875" style="18"/>
    <col min="2296" max="2296" width="8.77734375" style="18" customWidth="1"/>
    <col min="2297" max="2297" width="9.77734375" style="18" customWidth="1"/>
    <col min="2298" max="2298" width="14.44140625" style="18" customWidth="1"/>
    <col min="2299" max="2299" width="7.21875" style="18" customWidth="1"/>
    <col min="2300" max="2300" width="5.5546875" style="18" customWidth="1"/>
    <col min="2301" max="2301" width="9" style="18" customWidth="1"/>
    <col min="2302" max="2303" width="9.77734375" style="18" customWidth="1"/>
    <col min="2304" max="2304" width="11.21875" style="18" customWidth="1"/>
    <col min="2305" max="2305" width="2.77734375" style="18" customWidth="1"/>
    <col min="2306" max="2306" width="3.5546875" style="18" customWidth="1"/>
    <col min="2307" max="2551" width="9.21875" style="18"/>
    <col min="2552" max="2552" width="8.77734375" style="18" customWidth="1"/>
    <col min="2553" max="2553" width="9.77734375" style="18" customWidth="1"/>
    <col min="2554" max="2554" width="14.44140625" style="18" customWidth="1"/>
    <col min="2555" max="2555" width="7.21875" style="18" customWidth="1"/>
    <col min="2556" max="2556" width="5.5546875" style="18" customWidth="1"/>
    <col min="2557" max="2557" width="9" style="18" customWidth="1"/>
    <col min="2558" max="2559" width="9.77734375" style="18" customWidth="1"/>
    <col min="2560" max="2560" width="11.21875" style="18" customWidth="1"/>
    <col min="2561" max="2561" width="2.77734375" style="18" customWidth="1"/>
    <col min="2562" max="2562" width="3.5546875" style="18" customWidth="1"/>
    <col min="2563" max="2807" width="9.21875" style="18"/>
    <col min="2808" max="2808" width="8.77734375" style="18" customWidth="1"/>
    <col min="2809" max="2809" width="9.77734375" style="18" customWidth="1"/>
    <col min="2810" max="2810" width="14.44140625" style="18" customWidth="1"/>
    <col min="2811" max="2811" width="7.21875" style="18" customWidth="1"/>
    <col min="2812" max="2812" width="5.5546875" style="18" customWidth="1"/>
    <col min="2813" max="2813" width="9" style="18" customWidth="1"/>
    <col min="2814" max="2815" width="9.77734375" style="18" customWidth="1"/>
    <col min="2816" max="2816" width="11.21875" style="18" customWidth="1"/>
    <col min="2817" max="2817" width="2.77734375" style="18" customWidth="1"/>
    <col min="2818" max="2818" width="3.5546875" style="18" customWidth="1"/>
    <col min="2819" max="3063" width="9.21875" style="18"/>
    <col min="3064" max="3064" width="8.77734375" style="18" customWidth="1"/>
    <col min="3065" max="3065" width="9.77734375" style="18" customWidth="1"/>
    <col min="3066" max="3066" width="14.44140625" style="18" customWidth="1"/>
    <col min="3067" max="3067" width="7.21875" style="18" customWidth="1"/>
    <col min="3068" max="3068" width="5.5546875" style="18" customWidth="1"/>
    <col min="3069" max="3069" width="9" style="18" customWidth="1"/>
    <col min="3070" max="3071" width="9.77734375" style="18" customWidth="1"/>
    <col min="3072" max="3072" width="11.21875" style="18" customWidth="1"/>
    <col min="3073" max="3073" width="2.77734375" style="18" customWidth="1"/>
    <col min="3074" max="3074" width="3.5546875" style="18" customWidth="1"/>
    <col min="3075" max="3319" width="9.21875" style="18"/>
    <col min="3320" max="3320" width="8.77734375" style="18" customWidth="1"/>
    <col min="3321" max="3321" width="9.77734375" style="18" customWidth="1"/>
    <col min="3322" max="3322" width="14.44140625" style="18" customWidth="1"/>
    <col min="3323" max="3323" width="7.21875" style="18" customWidth="1"/>
    <col min="3324" max="3324" width="5.5546875" style="18" customWidth="1"/>
    <col min="3325" max="3325" width="9" style="18" customWidth="1"/>
    <col min="3326" max="3327" width="9.77734375" style="18" customWidth="1"/>
    <col min="3328" max="3328" width="11.21875" style="18" customWidth="1"/>
    <col min="3329" max="3329" width="2.77734375" style="18" customWidth="1"/>
    <col min="3330" max="3330" width="3.5546875" style="18" customWidth="1"/>
    <col min="3331" max="3575" width="9.21875" style="18"/>
    <col min="3576" max="3576" width="8.77734375" style="18" customWidth="1"/>
    <col min="3577" max="3577" width="9.77734375" style="18" customWidth="1"/>
    <col min="3578" max="3578" width="14.44140625" style="18" customWidth="1"/>
    <col min="3579" max="3579" width="7.21875" style="18" customWidth="1"/>
    <col min="3580" max="3580" width="5.5546875" style="18" customWidth="1"/>
    <col min="3581" max="3581" width="9" style="18" customWidth="1"/>
    <col min="3582" max="3583" width="9.77734375" style="18" customWidth="1"/>
    <col min="3584" max="3584" width="11.21875" style="18" customWidth="1"/>
    <col min="3585" max="3585" width="2.77734375" style="18" customWidth="1"/>
    <col min="3586" max="3586" width="3.5546875" style="18" customWidth="1"/>
    <col min="3587" max="3831" width="9.21875" style="18"/>
    <col min="3832" max="3832" width="8.77734375" style="18" customWidth="1"/>
    <col min="3833" max="3833" width="9.77734375" style="18" customWidth="1"/>
    <col min="3834" max="3834" width="14.44140625" style="18" customWidth="1"/>
    <col min="3835" max="3835" width="7.21875" style="18" customWidth="1"/>
    <col min="3836" max="3836" width="5.5546875" style="18" customWidth="1"/>
    <col min="3837" max="3837" width="9" style="18" customWidth="1"/>
    <col min="3838" max="3839" width="9.77734375" style="18" customWidth="1"/>
    <col min="3840" max="3840" width="11.21875" style="18" customWidth="1"/>
    <col min="3841" max="3841" width="2.77734375" style="18" customWidth="1"/>
    <col min="3842" max="3842" width="3.5546875" style="18" customWidth="1"/>
    <col min="3843" max="4087" width="9.21875" style="18"/>
    <col min="4088" max="4088" width="8.77734375" style="18" customWidth="1"/>
    <col min="4089" max="4089" width="9.77734375" style="18" customWidth="1"/>
    <col min="4090" max="4090" width="14.44140625" style="18" customWidth="1"/>
    <col min="4091" max="4091" width="7.21875" style="18" customWidth="1"/>
    <col min="4092" max="4092" width="5.5546875" style="18" customWidth="1"/>
    <col min="4093" max="4093" width="9" style="18" customWidth="1"/>
    <col min="4094" max="4095" width="9.77734375" style="18" customWidth="1"/>
    <col min="4096" max="4096" width="11.21875" style="18" customWidth="1"/>
    <col min="4097" max="4097" width="2.77734375" style="18" customWidth="1"/>
    <col min="4098" max="4098" width="3.5546875" style="18" customWidth="1"/>
    <col min="4099" max="4343" width="9.21875" style="18"/>
    <col min="4344" max="4344" width="8.77734375" style="18" customWidth="1"/>
    <col min="4345" max="4345" width="9.77734375" style="18" customWidth="1"/>
    <col min="4346" max="4346" width="14.44140625" style="18" customWidth="1"/>
    <col min="4347" max="4347" width="7.21875" style="18" customWidth="1"/>
    <col min="4348" max="4348" width="5.5546875" style="18" customWidth="1"/>
    <col min="4349" max="4349" width="9" style="18" customWidth="1"/>
    <col min="4350" max="4351" width="9.77734375" style="18" customWidth="1"/>
    <col min="4352" max="4352" width="11.21875" style="18" customWidth="1"/>
    <col min="4353" max="4353" width="2.77734375" style="18" customWidth="1"/>
    <col min="4354" max="4354" width="3.5546875" style="18" customWidth="1"/>
    <col min="4355" max="4599" width="9.21875" style="18"/>
    <col min="4600" max="4600" width="8.77734375" style="18" customWidth="1"/>
    <col min="4601" max="4601" width="9.77734375" style="18" customWidth="1"/>
    <col min="4602" max="4602" width="14.44140625" style="18" customWidth="1"/>
    <col min="4603" max="4603" width="7.21875" style="18" customWidth="1"/>
    <col min="4604" max="4604" width="5.5546875" style="18" customWidth="1"/>
    <col min="4605" max="4605" width="9" style="18" customWidth="1"/>
    <col min="4606" max="4607" width="9.77734375" style="18" customWidth="1"/>
    <col min="4608" max="4608" width="11.21875" style="18" customWidth="1"/>
    <col min="4609" max="4609" width="2.77734375" style="18" customWidth="1"/>
    <col min="4610" max="4610" width="3.5546875" style="18" customWidth="1"/>
    <col min="4611" max="4855" width="9.21875" style="18"/>
    <col min="4856" max="4856" width="8.77734375" style="18" customWidth="1"/>
    <col min="4857" max="4857" width="9.77734375" style="18" customWidth="1"/>
    <col min="4858" max="4858" width="14.44140625" style="18" customWidth="1"/>
    <col min="4859" max="4859" width="7.21875" style="18" customWidth="1"/>
    <col min="4860" max="4860" width="5.5546875" style="18" customWidth="1"/>
    <col min="4861" max="4861" width="9" style="18" customWidth="1"/>
    <col min="4862" max="4863" width="9.77734375" style="18" customWidth="1"/>
    <col min="4864" max="4864" width="11.21875" style="18" customWidth="1"/>
    <col min="4865" max="4865" width="2.77734375" style="18" customWidth="1"/>
    <col min="4866" max="4866" width="3.5546875" style="18" customWidth="1"/>
    <col min="4867" max="5111" width="9.21875" style="18"/>
    <col min="5112" max="5112" width="8.77734375" style="18" customWidth="1"/>
    <col min="5113" max="5113" width="9.77734375" style="18" customWidth="1"/>
    <col min="5114" max="5114" width="14.44140625" style="18" customWidth="1"/>
    <col min="5115" max="5115" width="7.21875" style="18" customWidth="1"/>
    <col min="5116" max="5116" width="5.5546875" style="18" customWidth="1"/>
    <col min="5117" max="5117" width="9" style="18" customWidth="1"/>
    <col min="5118" max="5119" width="9.77734375" style="18" customWidth="1"/>
    <col min="5120" max="5120" width="11.21875" style="18" customWidth="1"/>
    <col min="5121" max="5121" width="2.77734375" style="18" customWidth="1"/>
    <col min="5122" max="5122" width="3.5546875" style="18" customWidth="1"/>
    <col min="5123" max="5367" width="9.21875" style="18"/>
    <col min="5368" max="5368" width="8.77734375" style="18" customWidth="1"/>
    <col min="5369" max="5369" width="9.77734375" style="18" customWidth="1"/>
    <col min="5370" max="5370" width="14.44140625" style="18" customWidth="1"/>
    <col min="5371" max="5371" width="7.21875" style="18" customWidth="1"/>
    <col min="5372" max="5372" width="5.5546875" style="18" customWidth="1"/>
    <col min="5373" max="5373" width="9" style="18" customWidth="1"/>
    <col min="5374" max="5375" width="9.77734375" style="18" customWidth="1"/>
    <col min="5376" max="5376" width="11.21875" style="18" customWidth="1"/>
    <col min="5377" max="5377" width="2.77734375" style="18" customWidth="1"/>
    <col min="5378" max="5378" width="3.5546875" style="18" customWidth="1"/>
    <col min="5379" max="5623" width="9.21875" style="18"/>
    <col min="5624" max="5624" width="8.77734375" style="18" customWidth="1"/>
    <col min="5625" max="5625" width="9.77734375" style="18" customWidth="1"/>
    <col min="5626" max="5626" width="14.44140625" style="18" customWidth="1"/>
    <col min="5627" max="5627" width="7.21875" style="18" customWidth="1"/>
    <col min="5628" max="5628" width="5.5546875" style="18" customWidth="1"/>
    <col min="5629" max="5629" width="9" style="18" customWidth="1"/>
    <col min="5630" max="5631" width="9.77734375" style="18" customWidth="1"/>
    <col min="5632" max="5632" width="11.21875" style="18" customWidth="1"/>
    <col min="5633" max="5633" width="2.77734375" style="18" customWidth="1"/>
    <col min="5634" max="5634" width="3.5546875" style="18" customWidth="1"/>
    <col min="5635" max="5879" width="9.21875" style="18"/>
    <col min="5880" max="5880" width="8.77734375" style="18" customWidth="1"/>
    <col min="5881" max="5881" width="9.77734375" style="18" customWidth="1"/>
    <col min="5882" max="5882" width="14.44140625" style="18" customWidth="1"/>
    <col min="5883" max="5883" width="7.21875" style="18" customWidth="1"/>
    <col min="5884" max="5884" width="5.5546875" style="18" customWidth="1"/>
    <col min="5885" max="5885" width="9" style="18" customWidth="1"/>
    <col min="5886" max="5887" width="9.77734375" style="18" customWidth="1"/>
    <col min="5888" max="5888" width="11.21875" style="18" customWidth="1"/>
    <col min="5889" max="5889" width="2.77734375" style="18" customWidth="1"/>
    <col min="5890" max="5890" width="3.5546875" style="18" customWidth="1"/>
    <col min="5891" max="6135" width="9.21875" style="18"/>
    <col min="6136" max="6136" width="8.77734375" style="18" customWidth="1"/>
    <col min="6137" max="6137" width="9.77734375" style="18" customWidth="1"/>
    <col min="6138" max="6138" width="14.44140625" style="18" customWidth="1"/>
    <col min="6139" max="6139" width="7.21875" style="18" customWidth="1"/>
    <col min="6140" max="6140" width="5.5546875" style="18" customWidth="1"/>
    <col min="6141" max="6141" width="9" style="18" customWidth="1"/>
    <col min="6142" max="6143" width="9.77734375" style="18" customWidth="1"/>
    <col min="6144" max="6144" width="11.21875" style="18" customWidth="1"/>
    <col min="6145" max="6145" width="2.77734375" style="18" customWidth="1"/>
    <col min="6146" max="6146" width="3.5546875" style="18" customWidth="1"/>
    <col min="6147" max="6391" width="9.21875" style="18"/>
    <col min="6392" max="6392" width="8.77734375" style="18" customWidth="1"/>
    <col min="6393" max="6393" width="9.77734375" style="18" customWidth="1"/>
    <col min="6394" max="6394" width="14.44140625" style="18" customWidth="1"/>
    <col min="6395" max="6395" width="7.21875" style="18" customWidth="1"/>
    <col min="6396" max="6396" width="5.5546875" style="18" customWidth="1"/>
    <col min="6397" max="6397" width="9" style="18" customWidth="1"/>
    <col min="6398" max="6399" width="9.77734375" style="18" customWidth="1"/>
    <col min="6400" max="6400" width="11.21875" style="18" customWidth="1"/>
    <col min="6401" max="6401" width="2.77734375" style="18" customWidth="1"/>
    <col min="6402" max="6402" width="3.5546875" style="18" customWidth="1"/>
    <col min="6403" max="6647" width="9.21875" style="18"/>
    <col min="6648" max="6648" width="8.77734375" style="18" customWidth="1"/>
    <col min="6649" max="6649" width="9.77734375" style="18" customWidth="1"/>
    <col min="6650" max="6650" width="14.44140625" style="18" customWidth="1"/>
    <col min="6651" max="6651" width="7.21875" style="18" customWidth="1"/>
    <col min="6652" max="6652" width="5.5546875" style="18" customWidth="1"/>
    <col min="6653" max="6653" width="9" style="18" customWidth="1"/>
    <col min="6654" max="6655" width="9.77734375" style="18" customWidth="1"/>
    <col min="6656" max="6656" width="11.21875" style="18" customWidth="1"/>
    <col min="6657" max="6657" width="2.77734375" style="18" customWidth="1"/>
    <col min="6658" max="6658" width="3.5546875" style="18" customWidth="1"/>
    <col min="6659" max="6903" width="9.21875" style="18"/>
    <col min="6904" max="6904" width="8.77734375" style="18" customWidth="1"/>
    <col min="6905" max="6905" width="9.77734375" style="18" customWidth="1"/>
    <col min="6906" max="6906" width="14.44140625" style="18" customWidth="1"/>
    <col min="6907" max="6907" width="7.21875" style="18" customWidth="1"/>
    <col min="6908" max="6908" width="5.5546875" style="18" customWidth="1"/>
    <col min="6909" max="6909" width="9" style="18" customWidth="1"/>
    <col min="6910" max="6911" width="9.77734375" style="18" customWidth="1"/>
    <col min="6912" max="6912" width="11.21875" style="18" customWidth="1"/>
    <col min="6913" max="6913" width="2.77734375" style="18" customWidth="1"/>
    <col min="6914" max="6914" width="3.5546875" style="18" customWidth="1"/>
    <col min="6915" max="7159" width="9.21875" style="18"/>
    <col min="7160" max="7160" width="8.77734375" style="18" customWidth="1"/>
    <col min="7161" max="7161" width="9.77734375" style="18" customWidth="1"/>
    <col min="7162" max="7162" width="14.44140625" style="18" customWidth="1"/>
    <col min="7163" max="7163" width="7.21875" style="18" customWidth="1"/>
    <col min="7164" max="7164" width="5.5546875" style="18" customWidth="1"/>
    <col min="7165" max="7165" width="9" style="18" customWidth="1"/>
    <col min="7166" max="7167" width="9.77734375" style="18" customWidth="1"/>
    <col min="7168" max="7168" width="11.21875" style="18" customWidth="1"/>
    <col min="7169" max="7169" width="2.77734375" style="18" customWidth="1"/>
    <col min="7170" max="7170" width="3.5546875" style="18" customWidth="1"/>
    <col min="7171" max="7415" width="9.21875" style="18"/>
    <col min="7416" max="7416" width="8.77734375" style="18" customWidth="1"/>
    <col min="7417" max="7417" width="9.77734375" style="18" customWidth="1"/>
    <col min="7418" max="7418" width="14.44140625" style="18" customWidth="1"/>
    <col min="7419" max="7419" width="7.21875" style="18" customWidth="1"/>
    <col min="7420" max="7420" width="5.5546875" style="18" customWidth="1"/>
    <col min="7421" max="7421" width="9" style="18" customWidth="1"/>
    <col min="7422" max="7423" width="9.77734375" style="18" customWidth="1"/>
    <col min="7424" max="7424" width="11.21875" style="18" customWidth="1"/>
    <col min="7425" max="7425" width="2.77734375" style="18" customWidth="1"/>
    <col min="7426" max="7426" width="3.5546875" style="18" customWidth="1"/>
    <col min="7427" max="7671" width="9.21875" style="18"/>
    <col min="7672" max="7672" width="8.77734375" style="18" customWidth="1"/>
    <col min="7673" max="7673" width="9.77734375" style="18" customWidth="1"/>
    <col min="7674" max="7674" width="14.44140625" style="18" customWidth="1"/>
    <col min="7675" max="7675" width="7.21875" style="18" customWidth="1"/>
    <col min="7676" max="7676" width="5.5546875" style="18" customWidth="1"/>
    <col min="7677" max="7677" width="9" style="18" customWidth="1"/>
    <col min="7678" max="7679" width="9.77734375" style="18" customWidth="1"/>
    <col min="7680" max="7680" width="11.21875" style="18" customWidth="1"/>
    <col min="7681" max="7681" width="2.77734375" style="18" customWidth="1"/>
    <col min="7682" max="7682" width="3.5546875" style="18" customWidth="1"/>
    <col min="7683" max="7927" width="9.21875" style="18"/>
    <col min="7928" max="7928" width="8.77734375" style="18" customWidth="1"/>
    <col min="7929" max="7929" width="9.77734375" style="18" customWidth="1"/>
    <col min="7930" max="7930" width="14.44140625" style="18" customWidth="1"/>
    <col min="7931" max="7931" width="7.21875" style="18" customWidth="1"/>
    <col min="7932" max="7932" width="5.5546875" style="18" customWidth="1"/>
    <col min="7933" max="7933" width="9" style="18" customWidth="1"/>
    <col min="7934" max="7935" width="9.77734375" style="18" customWidth="1"/>
    <col min="7936" max="7936" width="11.21875" style="18" customWidth="1"/>
    <col min="7937" max="7937" width="2.77734375" style="18" customWidth="1"/>
    <col min="7938" max="7938" width="3.5546875" style="18" customWidth="1"/>
    <col min="7939" max="8183" width="9.21875" style="18"/>
    <col min="8184" max="8184" width="8.77734375" style="18" customWidth="1"/>
    <col min="8185" max="8185" width="9.77734375" style="18" customWidth="1"/>
    <col min="8186" max="8186" width="14.44140625" style="18" customWidth="1"/>
    <col min="8187" max="8187" width="7.21875" style="18" customWidth="1"/>
    <col min="8188" max="8188" width="5.5546875" style="18" customWidth="1"/>
    <col min="8189" max="8189" width="9" style="18" customWidth="1"/>
    <col min="8190" max="8191" width="9.77734375" style="18" customWidth="1"/>
    <col min="8192" max="8192" width="11.21875" style="18" customWidth="1"/>
    <col min="8193" max="8193" width="2.77734375" style="18" customWidth="1"/>
    <col min="8194" max="8194" width="3.5546875" style="18" customWidth="1"/>
    <col min="8195" max="8439" width="9.21875" style="18"/>
    <col min="8440" max="8440" width="8.77734375" style="18" customWidth="1"/>
    <col min="8441" max="8441" width="9.77734375" style="18" customWidth="1"/>
    <col min="8442" max="8442" width="14.44140625" style="18" customWidth="1"/>
    <col min="8443" max="8443" width="7.21875" style="18" customWidth="1"/>
    <col min="8444" max="8444" width="5.5546875" style="18" customWidth="1"/>
    <col min="8445" max="8445" width="9" style="18" customWidth="1"/>
    <col min="8446" max="8447" width="9.77734375" style="18" customWidth="1"/>
    <col min="8448" max="8448" width="11.21875" style="18" customWidth="1"/>
    <col min="8449" max="8449" width="2.77734375" style="18" customWidth="1"/>
    <col min="8450" max="8450" width="3.5546875" style="18" customWidth="1"/>
    <col min="8451" max="8695" width="9.21875" style="18"/>
    <col min="8696" max="8696" width="8.77734375" style="18" customWidth="1"/>
    <col min="8697" max="8697" width="9.77734375" style="18" customWidth="1"/>
    <col min="8698" max="8698" width="14.44140625" style="18" customWidth="1"/>
    <col min="8699" max="8699" width="7.21875" style="18" customWidth="1"/>
    <col min="8700" max="8700" width="5.5546875" style="18" customWidth="1"/>
    <col min="8701" max="8701" width="9" style="18" customWidth="1"/>
    <col min="8702" max="8703" width="9.77734375" style="18" customWidth="1"/>
    <col min="8704" max="8704" width="11.21875" style="18" customWidth="1"/>
    <col min="8705" max="8705" width="2.77734375" style="18" customWidth="1"/>
    <col min="8706" max="8706" width="3.5546875" style="18" customWidth="1"/>
    <col min="8707" max="8951" width="9.21875" style="18"/>
    <col min="8952" max="8952" width="8.77734375" style="18" customWidth="1"/>
    <col min="8953" max="8953" width="9.77734375" style="18" customWidth="1"/>
    <col min="8954" max="8954" width="14.44140625" style="18" customWidth="1"/>
    <col min="8955" max="8955" width="7.21875" style="18" customWidth="1"/>
    <col min="8956" max="8956" width="5.5546875" style="18" customWidth="1"/>
    <col min="8957" max="8957" width="9" style="18" customWidth="1"/>
    <col min="8958" max="8959" width="9.77734375" style="18" customWidth="1"/>
    <col min="8960" max="8960" width="11.21875" style="18" customWidth="1"/>
    <col min="8961" max="8961" width="2.77734375" style="18" customWidth="1"/>
    <col min="8962" max="8962" width="3.5546875" style="18" customWidth="1"/>
    <col min="8963" max="9207" width="9.21875" style="18"/>
    <col min="9208" max="9208" width="8.77734375" style="18" customWidth="1"/>
    <col min="9209" max="9209" width="9.77734375" style="18" customWidth="1"/>
    <col min="9210" max="9210" width="14.44140625" style="18" customWidth="1"/>
    <col min="9211" max="9211" width="7.21875" style="18" customWidth="1"/>
    <col min="9212" max="9212" width="5.5546875" style="18" customWidth="1"/>
    <col min="9213" max="9213" width="9" style="18" customWidth="1"/>
    <col min="9214" max="9215" width="9.77734375" style="18" customWidth="1"/>
    <col min="9216" max="9216" width="11.21875" style="18" customWidth="1"/>
    <col min="9217" max="9217" width="2.77734375" style="18" customWidth="1"/>
    <col min="9218" max="9218" width="3.5546875" style="18" customWidth="1"/>
    <col min="9219" max="9463" width="9.21875" style="18"/>
    <col min="9464" max="9464" width="8.77734375" style="18" customWidth="1"/>
    <col min="9465" max="9465" width="9.77734375" style="18" customWidth="1"/>
    <col min="9466" max="9466" width="14.44140625" style="18" customWidth="1"/>
    <col min="9467" max="9467" width="7.21875" style="18" customWidth="1"/>
    <col min="9468" max="9468" width="5.5546875" style="18" customWidth="1"/>
    <col min="9469" max="9469" width="9" style="18" customWidth="1"/>
    <col min="9470" max="9471" width="9.77734375" style="18" customWidth="1"/>
    <col min="9472" max="9472" width="11.21875" style="18" customWidth="1"/>
    <col min="9473" max="9473" width="2.77734375" style="18" customWidth="1"/>
    <col min="9474" max="9474" width="3.5546875" style="18" customWidth="1"/>
    <col min="9475" max="9719" width="9.21875" style="18"/>
    <col min="9720" max="9720" width="8.77734375" style="18" customWidth="1"/>
    <col min="9721" max="9721" width="9.77734375" style="18" customWidth="1"/>
    <col min="9722" max="9722" width="14.44140625" style="18" customWidth="1"/>
    <col min="9723" max="9723" width="7.21875" style="18" customWidth="1"/>
    <col min="9724" max="9724" width="5.5546875" style="18" customWidth="1"/>
    <col min="9725" max="9725" width="9" style="18" customWidth="1"/>
    <col min="9726" max="9727" width="9.77734375" style="18" customWidth="1"/>
    <col min="9728" max="9728" width="11.21875" style="18" customWidth="1"/>
    <col min="9729" max="9729" width="2.77734375" style="18" customWidth="1"/>
    <col min="9730" max="9730" width="3.5546875" style="18" customWidth="1"/>
    <col min="9731" max="9975" width="9.21875" style="18"/>
    <col min="9976" max="9976" width="8.77734375" style="18" customWidth="1"/>
    <col min="9977" max="9977" width="9.77734375" style="18" customWidth="1"/>
    <col min="9978" max="9978" width="14.44140625" style="18" customWidth="1"/>
    <col min="9979" max="9979" width="7.21875" style="18" customWidth="1"/>
    <col min="9980" max="9980" width="5.5546875" style="18" customWidth="1"/>
    <col min="9981" max="9981" width="9" style="18" customWidth="1"/>
    <col min="9982" max="9983" width="9.77734375" style="18" customWidth="1"/>
    <col min="9984" max="9984" width="11.21875" style="18" customWidth="1"/>
    <col min="9985" max="9985" width="2.77734375" style="18" customWidth="1"/>
    <col min="9986" max="9986" width="3.5546875" style="18" customWidth="1"/>
    <col min="9987" max="10231" width="9.21875" style="18"/>
    <col min="10232" max="10232" width="8.77734375" style="18" customWidth="1"/>
    <col min="10233" max="10233" width="9.77734375" style="18" customWidth="1"/>
    <col min="10234" max="10234" width="14.44140625" style="18" customWidth="1"/>
    <col min="10235" max="10235" width="7.21875" style="18" customWidth="1"/>
    <col min="10236" max="10236" width="5.5546875" style="18" customWidth="1"/>
    <col min="10237" max="10237" width="9" style="18" customWidth="1"/>
    <col min="10238" max="10239" width="9.77734375" style="18" customWidth="1"/>
    <col min="10240" max="10240" width="11.21875" style="18" customWidth="1"/>
    <col min="10241" max="10241" width="2.77734375" style="18" customWidth="1"/>
    <col min="10242" max="10242" width="3.5546875" style="18" customWidth="1"/>
    <col min="10243" max="10487" width="9.21875" style="18"/>
    <col min="10488" max="10488" width="8.77734375" style="18" customWidth="1"/>
    <col min="10489" max="10489" width="9.77734375" style="18" customWidth="1"/>
    <col min="10490" max="10490" width="14.44140625" style="18" customWidth="1"/>
    <col min="10491" max="10491" width="7.21875" style="18" customWidth="1"/>
    <col min="10492" max="10492" width="5.5546875" style="18" customWidth="1"/>
    <col min="10493" max="10493" width="9" style="18" customWidth="1"/>
    <col min="10494" max="10495" width="9.77734375" style="18" customWidth="1"/>
    <col min="10496" max="10496" width="11.21875" style="18" customWidth="1"/>
    <col min="10497" max="10497" width="2.77734375" style="18" customWidth="1"/>
    <col min="10498" max="10498" width="3.5546875" style="18" customWidth="1"/>
    <col min="10499" max="10743" width="9.21875" style="18"/>
    <col min="10744" max="10744" width="8.77734375" style="18" customWidth="1"/>
    <col min="10745" max="10745" width="9.77734375" style="18" customWidth="1"/>
    <col min="10746" max="10746" width="14.44140625" style="18" customWidth="1"/>
    <col min="10747" max="10747" width="7.21875" style="18" customWidth="1"/>
    <col min="10748" max="10748" width="5.5546875" style="18" customWidth="1"/>
    <col min="10749" max="10749" width="9" style="18" customWidth="1"/>
    <col min="10750" max="10751" width="9.77734375" style="18" customWidth="1"/>
    <col min="10752" max="10752" width="11.21875" style="18" customWidth="1"/>
    <col min="10753" max="10753" width="2.77734375" style="18" customWidth="1"/>
    <col min="10754" max="10754" width="3.5546875" style="18" customWidth="1"/>
    <col min="10755" max="10999" width="9.21875" style="18"/>
    <col min="11000" max="11000" width="8.77734375" style="18" customWidth="1"/>
    <col min="11001" max="11001" width="9.77734375" style="18" customWidth="1"/>
    <col min="11002" max="11002" width="14.44140625" style="18" customWidth="1"/>
    <col min="11003" max="11003" width="7.21875" style="18" customWidth="1"/>
    <col min="11004" max="11004" width="5.5546875" style="18" customWidth="1"/>
    <col min="11005" max="11005" width="9" style="18" customWidth="1"/>
    <col min="11006" max="11007" width="9.77734375" style="18" customWidth="1"/>
    <col min="11008" max="11008" width="11.21875" style="18" customWidth="1"/>
    <col min="11009" max="11009" width="2.77734375" style="18" customWidth="1"/>
    <col min="11010" max="11010" width="3.5546875" style="18" customWidth="1"/>
    <col min="11011" max="11255" width="9.21875" style="18"/>
    <col min="11256" max="11256" width="8.77734375" style="18" customWidth="1"/>
    <col min="11257" max="11257" width="9.77734375" style="18" customWidth="1"/>
    <col min="11258" max="11258" width="14.44140625" style="18" customWidth="1"/>
    <col min="11259" max="11259" width="7.21875" style="18" customWidth="1"/>
    <col min="11260" max="11260" width="5.5546875" style="18" customWidth="1"/>
    <col min="11261" max="11261" width="9" style="18" customWidth="1"/>
    <col min="11262" max="11263" width="9.77734375" style="18" customWidth="1"/>
    <col min="11264" max="11264" width="11.21875" style="18" customWidth="1"/>
    <col min="11265" max="11265" width="2.77734375" style="18" customWidth="1"/>
    <col min="11266" max="11266" width="3.5546875" style="18" customWidth="1"/>
    <col min="11267" max="11511" width="9.21875" style="18"/>
    <col min="11512" max="11512" width="8.77734375" style="18" customWidth="1"/>
    <col min="11513" max="11513" width="9.77734375" style="18" customWidth="1"/>
    <col min="11514" max="11514" width="14.44140625" style="18" customWidth="1"/>
    <col min="11515" max="11515" width="7.21875" style="18" customWidth="1"/>
    <col min="11516" max="11516" width="5.5546875" style="18" customWidth="1"/>
    <col min="11517" max="11517" width="9" style="18" customWidth="1"/>
    <col min="11518" max="11519" width="9.77734375" style="18" customWidth="1"/>
    <col min="11520" max="11520" width="11.21875" style="18" customWidth="1"/>
    <col min="11521" max="11521" width="2.77734375" style="18" customWidth="1"/>
    <col min="11522" max="11522" width="3.5546875" style="18" customWidth="1"/>
    <col min="11523" max="11767" width="9.21875" style="18"/>
    <col min="11768" max="11768" width="8.77734375" style="18" customWidth="1"/>
    <col min="11769" max="11769" width="9.77734375" style="18" customWidth="1"/>
    <col min="11770" max="11770" width="14.44140625" style="18" customWidth="1"/>
    <col min="11771" max="11771" width="7.21875" style="18" customWidth="1"/>
    <col min="11772" max="11772" width="5.5546875" style="18" customWidth="1"/>
    <col min="11773" max="11773" width="9" style="18" customWidth="1"/>
    <col min="11774" max="11775" width="9.77734375" style="18" customWidth="1"/>
    <col min="11776" max="11776" width="11.21875" style="18" customWidth="1"/>
    <col min="11777" max="11777" width="2.77734375" style="18" customWidth="1"/>
    <col min="11778" max="11778" width="3.5546875" style="18" customWidth="1"/>
    <col min="11779" max="12023" width="9.21875" style="18"/>
    <col min="12024" max="12024" width="8.77734375" style="18" customWidth="1"/>
    <col min="12025" max="12025" width="9.77734375" style="18" customWidth="1"/>
    <col min="12026" max="12026" width="14.44140625" style="18" customWidth="1"/>
    <col min="12027" max="12027" width="7.21875" style="18" customWidth="1"/>
    <col min="12028" max="12028" width="5.5546875" style="18" customWidth="1"/>
    <col min="12029" max="12029" width="9" style="18" customWidth="1"/>
    <col min="12030" max="12031" width="9.77734375" style="18" customWidth="1"/>
    <col min="12032" max="12032" width="11.21875" style="18" customWidth="1"/>
    <col min="12033" max="12033" width="2.77734375" style="18" customWidth="1"/>
    <col min="12034" max="12034" width="3.5546875" style="18" customWidth="1"/>
    <col min="12035" max="12279" width="9.21875" style="18"/>
    <col min="12280" max="12280" width="8.77734375" style="18" customWidth="1"/>
    <col min="12281" max="12281" width="9.77734375" style="18" customWidth="1"/>
    <col min="12282" max="12282" width="14.44140625" style="18" customWidth="1"/>
    <col min="12283" max="12283" width="7.21875" style="18" customWidth="1"/>
    <col min="12284" max="12284" width="5.5546875" style="18" customWidth="1"/>
    <col min="12285" max="12285" width="9" style="18" customWidth="1"/>
    <col min="12286" max="12287" width="9.77734375" style="18" customWidth="1"/>
    <col min="12288" max="12288" width="11.21875" style="18" customWidth="1"/>
    <col min="12289" max="12289" width="2.77734375" style="18" customWidth="1"/>
    <col min="12290" max="12290" width="3.5546875" style="18" customWidth="1"/>
    <col min="12291" max="12535" width="9.21875" style="18"/>
    <col min="12536" max="12536" width="8.77734375" style="18" customWidth="1"/>
    <col min="12537" max="12537" width="9.77734375" style="18" customWidth="1"/>
    <col min="12538" max="12538" width="14.44140625" style="18" customWidth="1"/>
    <col min="12539" max="12539" width="7.21875" style="18" customWidth="1"/>
    <col min="12540" max="12540" width="5.5546875" style="18" customWidth="1"/>
    <col min="12541" max="12541" width="9" style="18" customWidth="1"/>
    <col min="12542" max="12543" width="9.77734375" style="18" customWidth="1"/>
    <col min="12544" max="12544" width="11.21875" style="18" customWidth="1"/>
    <col min="12545" max="12545" width="2.77734375" style="18" customWidth="1"/>
    <col min="12546" max="12546" width="3.5546875" style="18" customWidth="1"/>
    <col min="12547" max="12791" width="9.21875" style="18"/>
    <col min="12792" max="12792" width="8.77734375" style="18" customWidth="1"/>
    <col min="12793" max="12793" width="9.77734375" style="18" customWidth="1"/>
    <col min="12794" max="12794" width="14.44140625" style="18" customWidth="1"/>
    <col min="12795" max="12795" width="7.21875" style="18" customWidth="1"/>
    <col min="12796" max="12796" width="5.5546875" style="18" customWidth="1"/>
    <col min="12797" max="12797" width="9" style="18" customWidth="1"/>
    <col min="12798" max="12799" width="9.77734375" style="18" customWidth="1"/>
    <col min="12800" max="12800" width="11.21875" style="18" customWidth="1"/>
    <col min="12801" max="12801" width="2.77734375" style="18" customWidth="1"/>
    <col min="12802" max="12802" width="3.5546875" style="18" customWidth="1"/>
    <col min="12803" max="13047" width="9.21875" style="18"/>
    <col min="13048" max="13048" width="8.77734375" style="18" customWidth="1"/>
    <col min="13049" max="13049" width="9.77734375" style="18" customWidth="1"/>
    <col min="13050" max="13050" width="14.44140625" style="18" customWidth="1"/>
    <col min="13051" max="13051" width="7.21875" style="18" customWidth="1"/>
    <col min="13052" max="13052" width="5.5546875" style="18" customWidth="1"/>
    <col min="13053" max="13053" width="9" style="18" customWidth="1"/>
    <col min="13054" max="13055" width="9.77734375" style="18" customWidth="1"/>
    <col min="13056" max="13056" width="11.21875" style="18" customWidth="1"/>
    <col min="13057" max="13057" width="2.77734375" style="18" customWidth="1"/>
    <col min="13058" max="13058" width="3.5546875" style="18" customWidth="1"/>
    <col min="13059" max="13303" width="9.21875" style="18"/>
    <col min="13304" max="13304" width="8.77734375" style="18" customWidth="1"/>
    <col min="13305" max="13305" width="9.77734375" style="18" customWidth="1"/>
    <col min="13306" max="13306" width="14.44140625" style="18" customWidth="1"/>
    <col min="13307" max="13307" width="7.21875" style="18" customWidth="1"/>
    <col min="13308" max="13308" width="5.5546875" style="18" customWidth="1"/>
    <col min="13309" max="13309" width="9" style="18" customWidth="1"/>
    <col min="13310" max="13311" width="9.77734375" style="18" customWidth="1"/>
    <col min="13312" max="13312" width="11.21875" style="18" customWidth="1"/>
    <col min="13313" max="13313" width="2.77734375" style="18" customWidth="1"/>
    <col min="13314" max="13314" width="3.5546875" style="18" customWidth="1"/>
    <col min="13315" max="13559" width="9.21875" style="18"/>
    <col min="13560" max="13560" width="8.77734375" style="18" customWidth="1"/>
    <col min="13561" max="13561" width="9.77734375" style="18" customWidth="1"/>
    <col min="13562" max="13562" width="14.44140625" style="18" customWidth="1"/>
    <col min="13563" max="13563" width="7.21875" style="18" customWidth="1"/>
    <col min="13564" max="13564" width="5.5546875" style="18" customWidth="1"/>
    <col min="13565" max="13565" width="9" style="18" customWidth="1"/>
    <col min="13566" max="13567" width="9.77734375" style="18" customWidth="1"/>
    <col min="13568" max="13568" width="11.21875" style="18" customWidth="1"/>
    <col min="13569" max="13569" width="2.77734375" style="18" customWidth="1"/>
    <col min="13570" max="13570" width="3.5546875" style="18" customWidth="1"/>
    <col min="13571" max="13815" width="9.21875" style="18"/>
    <col min="13816" max="13816" width="8.77734375" style="18" customWidth="1"/>
    <col min="13817" max="13817" width="9.77734375" style="18" customWidth="1"/>
    <col min="13818" max="13818" width="14.44140625" style="18" customWidth="1"/>
    <col min="13819" max="13819" width="7.21875" style="18" customWidth="1"/>
    <col min="13820" max="13820" width="5.5546875" style="18" customWidth="1"/>
    <col min="13821" max="13821" width="9" style="18" customWidth="1"/>
    <col min="13822" max="13823" width="9.77734375" style="18" customWidth="1"/>
    <col min="13824" max="13824" width="11.21875" style="18" customWidth="1"/>
    <col min="13825" max="13825" width="2.77734375" style="18" customWidth="1"/>
    <col min="13826" max="13826" width="3.5546875" style="18" customWidth="1"/>
    <col min="13827" max="14071" width="9.21875" style="18"/>
    <col min="14072" max="14072" width="8.77734375" style="18" customWidth="1"/>
    <col min="14073" max="14073" width="9.77734375" style="18" customWidth="1"/>
    <col min="14074" max="14074" width="14.44140625" style="18" customWidth="1"/>
    <col min="14075" max="14075" width="7.21875" style="18" customWidth="1"/>
    <col min="14076" max="14076" width="5.5546875" style="18" customWidth="1"/>
    <col min="14077" max="14077" width="9" style="18" customWidth="1"/>
    <col min="14078" max="14079" width="9.77734375" style="18" customWidth="1"/>
    <col min="14080" max="14080" width="11.21875" style="18" customWidth="1"/>
    <col min="14081" max="14081" width="2.77734375" style="18" customWidth="1"/>
    <col min="14082" max="14082" width="3.5546875" style="18" customWidth="1"/>
    <col min="14083" max="14327" width="9.21875" style="18"/>
    <col min="14328" max="14328" width="8.77734375" style="18" customWidth="1"/>
    <col min="14329" max="14329" width="9.77734375" style="18" customWidth="1"/>
    <col min="14330" max="14330" width="14.44140625" style="18" customWidth="1"/>
    <col min="14331" max="14331" width="7.21875" style="18" customWidth="1"/>
    <col min="14332" max="14332" width="5.5546875" style="18" customWidth="1"/>
    <col min="14333" max="14333" width="9" style="18" customWidth="1"/>
    <col min="14334" max="14335" width="9.77734375" style="18" customWidth="1"/>
    <col min="14336" max="14336" width="11.21875" style="18" customWidth="1"/>
    <col min="14337" max="14337" width="2.77734375" style="18" customWidth="1"/>
    <col min="14338" max="14338" width="3.5546875" style="18" customWidth="1"/>
    <col min="14339" max="14583" width="9.21875" style="18"/>
    <col min="14584" max="14584" width="8.77734375" style="18" customWidth="1"/>
    <col min="14585" max="14585" width="9.77734375" style="18" customWidth="1"/>
    <col min="14586" max="14586" width="14.44140625" style="18" customWidth="1"/>
    <col min="14587" max="14587" width="7.21875" style="18" customWidth="1"/>
    <col min="14588" max="14588" width="5.5546875" style="18" customWidth="1"/>
    <col min="14589" max="14589" width="9" style="18" customWidth="1"/>
    <col min="14590" max="14591" width="9.77734375" style="18" customWidth="1"/>
    <col min="14592" max="14592" width="11.21875" style="18" customWidth="1"/>
    <col min="14593" max="14593" width="2.77734375" style="18" customWidth="1"/>
    <col min="14594" max="14594" width="3.5546875" style="18" customWidth="1"/>
    <col min="14595" max="14839" width="9.21875" style="18"/>
    <col min="14840" max="14840" width="8.77734375" style="18" customWidth="1"/>
    <col min="14841" max="14841" width="9.77734375" style="18" customWidth="1"/>
    <col min="14842" max="14842" width="14.44140625" style="18" customWidth="1"/>
    <col min="14843" max="14843" width="7.21875" style="18" customWidth="1"/>
    <col min="14844" max="14844" width="5.5546875" style="18" customWidth="1"/>
    <col min="14845" max="14845" width="9" style="18" customWidth="1"/>
    <col min="14846" max="14847" width="9.77734375" style="18" customWidth="1"/>
    <col min="14848" max="14848" width="11.21875" style="18" customWidth="1"/>
    <col min="14849" max="14849" width="2.77734375" style="18" customWidth="1"/>
    <col min="14850" max="14850" width="3.5546875" style="18" customWidth="1"/>
    <col min="14851" max="15095" width="9.21875" style="18"/>
    <col min="15096" max="15096" width="8.77734375" style="18" customWidth="1"/>
    <col min="15097" max="15097" width="9.77734375" style="18" customWidth="1"/>
    <col min="15098" max="15098" width="14.44140625" style="18" customWidth="1"/>
    <col min="15099" max="15099" width="7.21875" style="18" customWidth="1"/>
    <col min="15100" max="15100" width="5.5546875" style="18" customWidth="1"/>
    <col min="15101" max="15101" width="9" style="18" customWidth="1"/>
    <col min="15102" max="15103" width="9.77734375" style="18" customWidth="1"/>
    <col min="15104" max="15104" width="11.21875" style="18" customWidth="1"/>
    <col min="15105" max="15105" width="2.77734375" style="18" customWidth="1"/>
    <col min="15106" max="15106" width="3.5546875" style="18" customWidth="1"/>
    <col min="15107" max="15351" width="9.21875" style="18"/>
    <col min="15352" max="15352" width="8.77734375" style="18" customWidth="1"/>
    <col min="15353" max="15353" width="9.77734375" style="18" customWidth="1"/>
    <col min="15354" max="15354" width="14.44140625" style="18" customWidth="1"/>
    <col min="15355" max="15355" width="7.21875" style="18" customWidth="1"/>
    <col min="15356" max="15356" width="5.5546875" style="18" customWidth="1"/>
    <col min="15357" max="15357" width="9" style="18" customWidth="1"/>
    <col min="15358" max="15359" width="9.77734375" style="18" customWidth="1"/>
    <col min="15360" max="15360" width="11.21875" style="18" customWidth="1"/>
    <col min="15361" max="15361" width="2.77734375" style="18" customWidth="1"/>
    <col min="15362" max="15362" width="3.5546875" style="18" customWidth="1"/>
    <col min="15363" max="15607" width="9.21875" style="18"/>
    <col min="15608" max="15608" width="8.77734375" style="18" customWidth="1"/>
    <col min="15609" max="15609" width="9.77734375" style="18" customWidth="1"/>
    <col min="15610" max="15610" width="14.44140625" style="18" customWidth="1"/>
    <col min="15611" max="15611" width="7.21875" style="18" customWidth="1"/>
    <col min="15612" max="15612" width="5.5546875" style="18" customWidth="1"/>
    <col min="15613" max="15613" width="9" style="18" customWidth="1"/>
    <col min="15614" max="15615" width="9.77734375" style="18" customWidth="1"/>
    <col min="15616" max="15616" width="11.21875" style="18" customWidth="1"/>
    <col min="15617" max="15617" width="2.77734375" style="18" customWidth="1"/>
    <col min="15618" max="15618" width="3.5546875" style="18" customWidth="1"/>
    <col min="15619" max="15863" width="9.21875" style="18"/>
    <col min="15864" max="15864" width="8.77734375" style="18" customWidth="1"/>
    <col min="15865" max="15865" width="9.77734375" style="18" customWidth="1"/>
    <col min="15866" max="15866" width="14.44140625" style="18" customWidth="1"/>
    <col min="15867" max="15867" width="7.21875" style="18" customWidth="1"/>
    <col min="15868" max="15868" width="5.5546875" style="18" customWidth="1"/>
    <col min="15869" max="15869" width="9" style="18" customWidth="1"/>
    <col min="15870" max="15871" width="9.77734375" style="18" customWidth="1"/>
    <col min="15872" max="15872" width="11.21875" style="18" customWidth="1"/>
    <col min="15873" max="15873" width="2.77734375" style="18" customWidth="1"/>
    <col min="15874" max="15874" width="3.5546875" style="18" customWidth="1"/>
    <col min="15875" max="16119" width="9.21875" style="18"/>
    <col min="16120" max="16120" width="8.77734375" style="18" customWidth="1"/>
    <col min="16121" max="16121" width="9.77734375" style="18" customWidth="1"/>
    <col min="16122" max="16122" width="14.44140625" style="18" customWidth="1"/>
    <col min="16123" max="16123" width="7.21875" style="18" customWidth="1"/>
    <col min="16124" max="16124" width="5.5546875" style="18" customWidth="1"/>
    <col min="16125" max="16125" width="9" style="18" customWidth="1"/>
    <col min="16126" max="16127" width="9.77734375" style="18" customWidth="1"/>
    <col min="16128" max="16128" width="11.21875" style="18" customWidth="1"/>
    <col min="16129" max="16129" width="2.77734375" style="18" customWidth="1"/>
    <col min="16130" max="16130" width="3.5546875" style="18" customWidth="1"/>
    <col min="16131" max="16384" width="9.21875" style="18"/>
  </cols>
  <sheetData>
    <row r="1" spans="1:26" ht="46.5" customHeight="1" x14ac:dyDescent="0.3">
      <c r="A1" s="183" t="s">
        <v>164</v>
      </c>
      <c r="B1" s="183"/>
      <c r="C1" s="183"/>
      <c r="D1" s="183"/>
      <c r="E1" s="183"/>
      <c r="F1" s="183"/>
      <c r="G1" s="183"/>
      <c r="H1" s="183"/>
    </row>
    <row r="2" spans="1:26" ht="16.5" customHeight="1" x14ac:dyDescent="0.3">
      <c r="A2" s="184" t="s">
        <v>0</v>
      </c>
      <c r="B2" s="184"/>
      <c r="C2" s="184"/>
      <c r="D2" s="184"/>
      <c r="E2" s="184"/>
      <c r="F2" s="184"/>
      <c r="G2" s="184"/>
      <c r="H2" s="184"/>
    </row>
    <row r="3" spans="1:26" x14ac:dyDescent="0.3">
      <c r="A3" s="145" t="s">
        <v>1</v>
      </c>
      <c r="B3" s="145"/>
      <c r="C3" s="145"/>
      <c r="D3" s="145"/>
      <c r="E3" s="145" t="str">
        <f ca="1">TEXT(TODAY(),"DD/MM/YYYY")</f>
        <v>29/09/2025</v>
      </c>
      <c r="F3" s="145"/>
      <c r="G3" s="145"/>
      <c r="H3" s="145"/>
      <c r="K3" s="49" t="s">
        <v>239</v>
      </c>
      <c r="L3" s="48" t="s">
        <v>237</v>
      </c>
      <c r="M3" s="48" t="s">
        <v>242</v>
      </c>
      <c r="N3" s="48" t="s">
        <v>240</v>
      </c>
      <c r="O3" s="48" t="s">
        <v>345</v>
      </c>
      <c r="P3" s="48" t="s">
        <v>243</v>
      </c>
    </row>
    <row r="4" spans="1:26" ht="15" customHeight="1" x14ac:dyDescent="0.3">
      <c r="A4" s="145" t="s">
        <v>236</v>
      </c>
      <c r="B4" s="145"/>
      <c r="C4" s="145"/>
      <c r="D4" s="145"/>
      <c r="E4" s="185" t="s">
        <v>237</v>
      </c>
      <c r="F4" s="185"/>
      <c r="G4" s="185"/>
      <c r="H4" s="185"/>
      <c r="K4" s="47" t="s">
        <v>238</v>
      </c>
      <c r="L4" s="48" t="s">
        <v>170</v>
      </c>
      <c r="M4" s="48" t="s">
        <v>247</v>
      </c>
      <c r="N4" s="48" t="s">
        <v>249</v>
      </c>
      <c r="O4" s="48" t="s">
        <v>346</v>
      </c>
      <c r="P4" s="48"/>
    </row>
    <row r="5" spans="1:26" ht="15" customHeight="1" x14ac:dyDescent="0.3">
      <c r="A5" s="145" t="s">
        <v>2</v>
      </c>
      <c r="B5" s="145"/>
      <c r="C5" s="145"/>
      <c r="D5" s="145"/>
      <c r="E5" s="185" t="s">
        <v>170</v>
      </c>
      <c r="F5" s="185"/>
      <c r="G5" s="185"/>
      <c r="H5" s="185"/>
      <c r="K5" s="47"/>
      <c r="L5" s="48" t="s">
        <v>244</v>
      </c>
      <c r="M5" s="48" t="s">
        <v>248</v>
      </c>
      <c r="N5" s="48" t="s">
        <v>250</v>
      </c>
      <c r="O5" s="48" t="s">
        <v>347</v>
      </c>
      <c r="P5" s="48"/>
    </row>
    <row r="6" spans="1:26" x14ac:dyDescent="0.3">
      <c r="A6" s="145" t="s">
        <v>3</v>
      </c>
      <c r="B6" s="145"/>
      <c r="C6" s="145"/>
      <c r="D6" s="145"/>
      <c r="E6" s="186">
        <v>45911</v>
      </c>
      <c r="F6" s="145"/>
      <c r="G6" s="145"/>
      <c r="H6" s="145"/>
      <c r="K6" s="47"/>
      <c r="L6" s="48" t="s">
        <v>245</v>
      </c>
      <c r="M6" s="48"/>
      <c r="N6" s="48"/>
      <c r="O6" s="48" t="s">
        <v>348</v>
      </c>
      <c r="P6" s="48"/>
    </row>
    <row r="7" spans="1:26" ht="16.5" customHeight="1" x14ac:dyDescent="0.3">
      <c r="A7" s="145" t="s">
        <v>4</v>
      </c>
      <c r="B7" s="145"/>
      <c r="C7" s="145"/>
      <c r="D7" s="145"/>
      <c r="E7" s="145" t="s">
        <v>354</v>
      </c>
      <c r="F7" s="145"/>
      <c r="G7" s="145"/>
      <c r="H7" s="145"/>
      <c r="K7" s="47"/>
      <c r="L7" s="48" t="s">
        <v>246</v>
      </c>
      <c r="M7" s="48"/>
      <c r="N7" s="48"/>
      <c r="O7" s="48" t="s">
        <v>348</v>
      </c>
      <c r="P7" s="48"/>
    </row>
    <row r="8" spans="1:26" ht="15" customHeight="1" x14ac:dyDescent="0.3">
      <c r="A8" s="145" t="s">
        <v>5</v>
      </c>
      <c r="B8" s="145"/>
      <c r="C8" s="145"/>
      <c r="D8" s="145"/>
      <c r="E8" s="145" t="str">
        <f>E7</f>
        <v>Kalpataru Limited</v>
      </c>
      <c r="F8" s="145"/>
      <c r="G8" s="145"/>
      <c r="H8" s="145"/>
      <c r="K8" s="47"/>
      <c r="L8" s="48"/>
      <c r="M8" s="48"/>
      <c r="N8" s="48"/>
      <c r="O8" s="48" t="s">
        <v>349</v>
      </c>
      <c r="P8" s="48"/>
    </row>
    <row r="9" spans="1:26" x14ac:dyDescent="0.3">
      <c r="A9" s="145" t="s">
        <v>6</v>
      </c>
      <c r="B9" s="145"/>
      <c r="C9" s="145"/>
      <c r="D9" s="145"/>
      <c r="E9" s="119" t="s">
        <v>355</v>
      </c>
      <c r="F9" s="119"/>
      <c r="G9" s="119"/>
      <c r="H9" s="119"/>
      <c r="K9" s="47"/>
      <c r="L9" s="48"/>
      <c r="M9" s="48"/>
      <c r="N9" s="48"/>
      <c r="O9" s="48" t="s">
        <v>350</v>
      </c>
      <c r="P9" s="48"/>
    </row>
    <row r="10" spans="1:26" ht="34.5" customHeight="1" x14ac:dyDescent="0.3">
      <c r="A10" s="145" t="s">
        <v>167</v>
      </c>
      <c r="B10" s="145"/>
      <c r="C10" s="145"/>
      <c r="D10" s="145"/>
      <c r="E10" s="141" t="s">
        <v>356</v>
      </c>
      <c r="F10" s="145"/>
      <c r="G10" s="145"/>
      <c r="H10" s="145"/>
      <c r="K10" s="47"/>
      <c r="L10" s="48"/>
      <c r="M10" s="48"/>
      <c r="N10" s="48"/>
      <c r="O10" s="48" t="s">
        <v>351</v>
      </c>
      <c r="P10" s="48"/>
    </row>
    <row r="11" spans="1:26" x14ac:dyDescent="0.3">
      <c r="A11" s="145" t="s">
        <v>168</v>
      </c>
      <c r="B11" s="145"/>
      <c r="C11" s="145"/>
      <c r="D11" s="145"/>
      <c r="E11" s="145" t="s">
        <v>433</v>
      </c>
      <c r="F11" s="145"/>
      <c r="G11" s="145"/>
      <c r="H11" s="145"/>
      <c r="O11" s="48" t="s">
        <v>352</v>
      </c>
    </row>
    <row r="12" spans="1:26" x14ac:dyDescent="0.3">
      <c r="A12" s="145" t="s">
        <v>7</v>
      </c>
      <c r="B12" s="145"/>
      <c r="C12" s="145"/>
      <c r="D12" s="145"/>
      <c r="E12" s="145" t="s">
        <v>357</v>
      </c>
      <c r="F12" s="145"/>
      <c r="G12" s="145"/>
      <c r="H12" s="145"/>
    </row>
    <row r="13" spans="1:26" ht="48" customHeight="1" x14ac:dyDescent="0.3">
      <c r="A13" s="145" t="s">
        <v>171</v>
      </c>
      <c r="B13" s="145"/>
      <c r="C13" s="145"/>
      <c r="D13" s="145"/>
      <c r="E13" s="141" t="s">
        <v>414</v>
      </c>
      <c r="F13" s="145"/>
      <c r="G13" s="145"/>
      <c r="H13" s="145"/>
      <c r="S13" s="48" t="s">
        <v>181</v>
      </c>
      <c r="T13" s="48" t="s">
        <v>190</v>
      </c>
      <c r="U13" s="48" t="s">
        <v>172</v>
      </c>
      <c r="V13" s="48" t="s">
        <v>195</v>
      </c>
      <c r="W13" s="48" t="s">
        <v>213</v>
      </c>
      <c r="X13"/>
      <c r="Y13" t="s">
        <v>195</v>
      </c>
      <c r="Z13" t="e">
        <f ca="1">OFFSET($S$13,1,MATCH($G20,$S$13:$W$13,0)-1,15,1)</f>
        <v>#VALUE!</v>
      </c>
    </row>
    <row r="14" spans="1:26" ht="32.25" customHeight="1" x14ac:dyDescent="0.3">
      <c r="A14" s="145" t="s">
        <v>282</v>
      </c>
      <c r="B14" s="145"/>
      <c r="C14" s="145"/>
      <c r="D14" s="145"/>
      <c r="E14" s="141" t="s">
        <v>415</v>
      </c>
      <c r="F14" s="141"/>
      <c r="G14" s="141"/>
      <c r="H14" s="141"/>
      <c r="S14" s="48" t="s">
        <v>181</v>
      </c>
      <c r="T14" s="48" t="s">
        <v>188</v>
      </c>
      <c r="U14" s="48" t="s">
        <v>210</v>
      </c>
      <c r="V14" s="48" t="s">
        <v>196</v>
      </c>
      <c r="W14" s="48" t="s">
        <v>214</v>
      </c>
      <c r="X14"/>
      <c r="Y14"/>
      <c r="Z14"/>
    </row>
    <row r="15" spans="1:26" x14ac:dyDescent="0.3">
      <c r="A15" s="145" t="s">
        <v>8</v>
      </c>
      <c r="B15" s="145"/>
      <c r="C15" s="145"/>
      <c r="D15" s="145"/>
      <c r="E15" s="141" t="s">
        <v>353</v>
      </c>
      <c r="F15" s="145"/>
      <c r="G15" s="145"/>
      <c r="H15" s="145"/>
      <c r="I15" s="219" t="e">
        <f ca="1">OFFSET($D$5,1,MATCH($J13,$D$5:$H$5,0)-1,15,1)</f>
        <v>#N/A</v>
      </c>
      <c r="J15" s="220"/>
      <c r="K15" s="220"/>
      <c r="L15" s="220"/>
      <c r="M15" s="220"/>
      <c r="N15" s="220"/>
      <c r="O15" s="220"/>
      <c r="P15" s="220"/>
      <c r="S15" s="48" t="s">
        <v>182</v>
      </c>
      <c r="T15" s="48" t="s">
        <v>189</v>
      </c>
      <c r="U15" s="48" t="s">
        <v>211</v>
      </c>
      <c r="V15" s="48" t="s">
        <v>197</v>
      </c>
      <c r="W15" s="48" t="s">
        <v>227</v>
      </c>
      <c r="X15"/>
      <c r="Y15"/>
      <c r="Z15"/>
    </row>
    <row r="16" spans="1:26" ht="82.5" customHeight="1" x14ac:dyDescent="0.3">
      <c r="A16" s="141" t="s">
        <v>9</v>
      </c>
      <c r="B16" s="141"/>
      <c r="C16" s="141" t="str">
        <f>CONCATENATE((IF(OR(E9="",E9="NA"),"",E9)),", ",(IF(OR(A17="",A17="NA"),"",A17)),".",(IF(OR(C17="",C17="NA"),"",C17)),", near ",(IF(OR(C22="",C22="NA"),"",C22)),", ",(IF(OR(C19="",C19="NA"),"",C19)),", ",(IF(OR(C18="",C18="NA"),"",C18)),", ",(IF(OR(G19="",G19="NA"),"",G19)),", ",(IF(OR(C20="",C20="NA"),"",C20)),", ",(IF(OR(C21="",C21="NA"),"",C21)),", ",(IF(OR(G20="",G20="NA"),"",G20))," - ",(IF(OR(G21="",G21="NA"),"",G21)),".")</f>
        <v>Kalpataru Advay, CTS No.2(Pt) of Village Eksar &amp; 258/B of Village Borivali, Redevelopement of " Yoganand Co-operative Housing Society Limited " &amp;" Jay-kamashi Co-operative Housing Society Limited  (Bank of India Staffs) ", near Don Bosco High School, Baburao Paranjpe Marg, Ashok Nagar, Eksar &amp; Borivali, Borivali West, Borivali, Mumbai - 400091.</v>
      </c>
      <c r="D16" s="141"/>
      <c r="E16" s="141"/>
      <c r="F16" s="141"/>
      <c r="G16" s="141"/>
      <c r="H16" s="141"/>
      <c r="S16" s="48" t="s">
        <v>183</v>
      </c>
      <c r="T16" s="48" t="s">
        <v>191</v>
      </c>
      <c r="U16" s="48" t="s">
        <v>212</v>
      </c>
      <c r="V16" s="48" t="s">
        <v>198</v>
      </c>
      <c r="W16" s="48" t="s">
        <v>215</v>
      </c>
      <c r="X16"/>
      <c r="Y16"/>
      <c r="Z16"/>
    </row>
    <row r="17" spans="1:26" ht="51.75" customHeight="1" x14ac:dyDescent="0.3">
      <c r="A17" s="141" t="s">
        <v>176</v>
      </c>
      <c r="B17" s="141"/>
      <c r="C17" s="141" t="s">
        <v>416</v>
      </c>
      <c r="D17" s="141"/>
      <c r="E17" s="141"/>
      <c r="F17" s="141"/>
      <c r="G17" s="141"/>
      <c r="H17" s="141"/>
      <c r="S17" s="48" t="s">
        <v>184</v>
      </c>
      <c r="T17" s="48" t="s">
        <v>192</v>
      </c>
      <c r="U17" s="48" t="s">
        <v>172</v>
      </c>
      <c r="V17" s="48" t="s">
        <v>199</v>
      </c>
      <c r="W17" s="48" t="s">
        <v>216</v>
      </c>
      <c r="X17"/>
      <c r="Y17"/>
      <c r="Z17"/>
    </row>
    <row r="18" spans="1:26" ht="15.75" customHeight="1" x14ac:dyDescent="0.3">
      <c r="A18" s="141" t="s">
        <v>162</v>
      </c>
      <c r="B18" s="141"/>
      <c r="C18" s="141" t="s">
        <v>364</v>
      </c>
      <c r="D18" s="141"/>
      <c r="E18" s="141"/>
      <c r="F18" s="141"/>
      <c r="G18" s="141"/>
      <c r="H18" s="141"/>
      <c r="S18" s="48" t="s">
        <v>185</v>
      </c>
      <c r="T18" s="48" t="s">
        <v>190</v>
      </c>
      <c r="U18" s="48"/>
      <c r="V18" s="48" t="s">
        <v>200</v>
      </c>
      <c r="W18" s="48" t="s">
        <v>217</v>
      </c>
      <c r="X18"/>
      <c r="Y18"/>
      <c r="Z18"/>
    </row>
    <row r="19" spans="1:26" ht="15.75" customHeight="1" x14ac:dyDescent="0.3">
      <c r="A19" s="156" t="s">
        <v>10</v>
      </c>
      <c r="B19" s="156"/>
      <c r="C19" s="145" t="s">
        <v>361</v>
      </c>
      <c r="D19" s="145"/>
      <c r="E19" s="156" t="s">
        <v>70</v>
      </c>
      <c r="F19" s="156"/>
      <c r="G19" s="141" t="s">
        <v>417</v>
      </c>
      <c r="H19" s="141"/>
      <c r="S19" s="48" t="s">
        <v>186</v>
      </c>
      <c r="T19" s="48" t="s">
        <v>193</v>
      </c>
      <c r="U19" s="48"/>
      <c r="V19" s="48" t="s">
        <v>201</v>
      </c>
      <c r="W19" s="48" t="s">
        <v>218</v>
      </c>
      <c r="X19"/>
      <c r="Y19"/>
      <c r="Z19"/>
    </row>
    <row r="20" spans="1:26" x14ac:dyDescent="0.3">
      <c r="A20" s="127" t="s">
        <v>12</v>
      </c>
      <c r="B20" s="127"/>
      <c r="C20" s="141" t="s">
        <v>358</v>
      </c>
      <c r="D20" s="141"/>
      <c r="E20" s="156" t="s">
        <v>11</v>
      </c>
      <c r="F20" s="156"/>
      <c r="G20" s="221" t="s">
        <v>172</v>
      </c>
      <c r="H20" s="221"/>
      <c r="S20" s="48" t="s">
        <v>187</v>
      </c>
      <c r="T20" s="48" t="s">
        <v>194</v>
      </c>
      <c r="U20" s="48"/>
      <c r="V20" s="48" t="s">
        <v>202</v>
      </c>
      <c r="W20" s="48" t="s">
        <v>219</v>
      </c>
      <c r="X20"/>
      <c r="Y20"/>
      <c r="Z20"/>
    </row>
    <row r="21" spans="1:26" x14ac:dyDescent="0.3">
      <c r="A21" s="127" t="s">
        <v>71</v>
      </c>
      <c r="B21" s="127"/>
      <c r="C21" s="182" t="s">
        <v>211</v>
      </c>
      <c r="D21" s="182"/>
      <c r="E21" s="156" t="s">
        <v>13</v>
      </c>
      <c r="F21" s="156"/>
      <c r="G21" s="141">
        <v>400091</v>
      </c>
      <c r="H21" s="141"/>
      <c r="S21" s="48"/>
      <c r="T21" s="48"/>
      <c r="U21" s="48"/>
      <c r="V21" s="48" t="s">
        <v>203</v>
      </c>
      <c r="W21" s="48" t="s">
        <v>220</v>
      </c>
      <c r="X21"/>
      <c r="Y21"/>
      <c r="Z21"/>
    </row>
    <row r="22" spans="1:26" ht="32.25" customHeight="1" x14ac:dyDescent="0.3">
      <c r="A22" s="127" t="s">
        <v>118</v>
      </c>
      <c r="B22" s="127"/>
      <c r="C22" s="141" t="s">
        <v>362</v>
      </c>
      <c r="D22" s="141"/>
      <c r="E22" s="156" t="s">
        <v>14</v>
      </c>
      <c r="F22" s="156"/>
      <c r="G22" s="182" t="s">
        <v>363</v>
      </c>
      <c r="H22" s="182"/>
      <c r="S22" s="48"/>
      <c r="T22" s="48"/>
      <c r="U22" s="48"/>
      <c r="V22" s="48" t="s">
        <v>204</v>
      </c>
      <c r="W22" s="48" t="s">
        <v>221</v>
      </c>
      <c r="X22"/>
      <c r="Y22"/>
      <c r="Z22"/>
    </row>
    <row r="23" spans="1:26" ht="15" customHeight="1" x14ac:dyDescent="0.3">
      <c r="A23" s="156" t="s">
        <v>73</v>
      </c>
      <c r="B23" s="156"/>
      <c r="C23" s="156"/>
      <c r="D23" s="156"/>
      <c r="E23" s="145" t="s">
        <v>15</v>
      </c>
      <c r="F23" s="145"/>
      <c r="G23" s="145"/>
      <c r="H23" s="145"/>
      <c r="S23" s="48"/>
      <c r="T23" s="48"/>
      <c r="U23" s="48"/>
      <c r="V23" s="48" t="s">
        <v>205</v>
      </c>
      <c r="W23" s="48" t="s">
        <v>222</v>
      </c>
      <c r="X23"/>
      <c r="Y23"/>
      <c r="Z23"/>
    </row>
    <row r="24" spans="1:26" ht="18.75" customHeight="1" x14ac:dyDescent="0.3">
      <c r="A24" s="156"/>
      <c r="B24" s="156"/>
      <c r="C24" s="156"/>
      <c r="D24" s="156"/>
      <c r="E24" s="145"/>
      <c r="F24" s="145"/>
      <c r="G24" s="145"/>
      <c r="H24" s="145"/>
      <c r="S24" s="48"/>
      <c r="T24" s="48"/>
      <c r="U24" s="48"/>
      <c r="V24" s="48" t="s">
        <v>206</v>
      </c>
      <c r="W24" s="48" t="s">
        <v>223</v>
      </c>
      <c r="X24"/>
      <c r="Y24"/>
      <c r="Z24"/>
    </row>
    <row r="25" spans="1:26" ht="15" customHeight="1" x14ac:dyDescent="0.3">
      <c r="A25" s="156" t="s">
        <v>16</v>
      </c>
      <c r="B25" s="156"/>
      <c r="C25" s="156"/>
      <c r="D25" s="156"/>
      <c r="E25" s="141" t="s">
        <v>17</v>
      </c>
      <c r="F25" s="141"/>
      <c r="G25" s="141"/>
      <c r="H25" s="141"/>
      <c r="S25" s="48"/>
      <c r="T25" s="48"/>
      <c r="U25" s="48"/>
      <c r="V25" s="48" t="s">
        <v>207</v>
      </c>
      <c r="W25" s="48" t="s">
        <v>224</v>
      </c>
      <c r="X25"/>
      <c r="Y25"/>
      <c r="Z25"/>
    </row>
    <row r="26" spans="1:26" ht="15" customHeight="1" x14ac:dyDescent="0.3">
      <c r="A26" s="127" t="s">
        <v>18</v>
      </c>
      <c r="B26" s="127"/>
      <c r="C26" s="127"/>
      <c r="D26" s="127"/>
      <c r="E26" s="141" t="str">
        <f>IF(AND(G20="Mumbai"),"Upper Class","Middle Class")</f>
        <v>Upper Class</v>
      </c>
      <c r="F26" s="141"/>
      <c r="G26" s="141"/>
      <c r="H26" s="141"/>
      <c r="S26" s="48"/>
      <c r="T26" s="48"/>
      <c r="U26" s="48"/>
      <c r="V26" s="48" t="s">
        <v>208</v>
      </c>
      <c r="W26" s="48" t="s">
        <v>225</v>
      </c>
      <c r="X26"/>
      <c r="Y26"/>
      <c r="Z26"/>
    </row>
    <row r="27" spans="1:26" x14ac:dyDescent="0.3">
      <c r="A27" s="127" t="s">
        <v>19</v>
      </c>
      <c r="B27" s="127"/>
      <c r="C27" s="127"/>
      <c r="D27" s="127"/>
      <c r="E27" s="141" t="s">
        <v>20</v>
      </c>
      <c r="F27" s="141"/>
      <c r="G27" s="141"/>
      <c r="H27" s="141"/>
      <c r="S27" s="48"/>
      <c r="T27" s="48"/>
      <c r="U27" s="48"/>
      <c r="V27" s="48" t="s">
        <v>209</v>
      </c>
      <c r="W27" s="48" t="s">
        <v>226</v>
      </c>
      <c r="X27"/>
      <c r="Y27"/>
      <c r="Z27"/>
    </row>
    <row r="28" spans="1:26" ht="15.75" customHeight="1" x14ac:dyDescent="0.3">
      <c r="A28" s="127" t="s">
        <v>21</v>
      </c>
      <c r="B28" s="127"/>
      <c r="C28" s="127"/>
      <c r="D28" s="127"/>
      <c r="E28" s="141" t="str">
        <f>IF(AND(G20="Mumbai"),"Developed","Developing")</f>
        <v>Developed</v>
      </c>
      <c r="F28" s="141"/>
      <c r="G28" s="141"/>
      <c r="H28" s="141"/>
    </row>
    <row r="29" spans="1:26" x14ac:dyDescent="0.3">
      <c r="A29" s="127" t="s">
        <v>22</v>
      </c>
      <c r="B29" s="127"/>
      <c r="C29" s="127"/>
      <c r="D29" s="127"/>
      <c r="E29" s="141" t="s">
        <v>23</v>
      </c>
      <c r="F29" s="141"/>
      <c r="G29" s="141"/>
      <c r="H29" s="141"/>
    </row>
    <row r="30" spans="1:26" ht="15.75" customHeight="1" x14ac:dyDescent="0.3">
      <c r="A30" s="127" t="s">
        <v>78</v>
      </c>
      <c r="B30" s="127"/>
      <c r="C30" s="127"/>
      <c r="D30" s="127"/>
      <c r="E30" s="141" t="s">
        <v>79</v>
      </c>
      <c r="F30" s="141"/>
      <c r="G30" s="141"/>
      <c r="H30" s="141"/>
    </row>
    <row r="31" spans="1:26" ht="15" customHeight="1" x14ac:dyDescent="0.3">
      <c r="A31" s="127" t="s">
        <v>30</v>
      </c>
      <c r="B31" s="127"/>
      <c r="C31" s="127"/>
      <c r="D31" s="127"/>
      <c r="E31" s="141"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41"/>
      <c r="G31" s="141"/>
      <c r="H31" s="141"/>
    </row>
    <row r="32" spans="1:26" ht="15.75" customHeight="1" x14ac:dyDescent="0.3">
      <c r="A32" s="127" t="s">
        <v>90</v>
      </c>
      <c r="B32" s="127"/>
      <c r="C32" s="127"/>
      <c r="D32" s="127"/>
      <c r="E32" s="141" t="s">
        <v>31</v>
      </c>
      <c r="F32" s="141"/>
      <c r="G32" s="141"/>
      <c r="H32" s="141"/>
    </row>
    <row r="33" spans="1:19" s="19" customFormat="1" x14ac:dyDescent="0.3">
      <c r="A33" s="181" t="s">
        <v>91</v>
      </c>
      <c r="B33" s="181"/>
      <c r="C33" s="177" t="s">
        <v>173</v>
      </c>
      <c r="D33" s="178"/>
      <c r="E33" s="179"/>
      <c r="F33" s="177" t="s">
        <v>29</v>
      </c>
      <c r="G33" s="178"/>
      <c r="H33" s="179"/>
      <c r="S33" s="19" t="e">
        <f ca="1">OFFSET($S$13,1,MATCH($G20,$S$13:$W$13,0)-1,15,1)</f>
        <v>#VALUE!</v>
      </c>
    </row>
    <row r="34" spans="1:19" s="19" customFormat="1" ht="30.75" customHeight="1" x14ac:dyDescent="0.3">
      <c r="A34" s="150" t="s">
        <v>24</v>
      </c>
      <c r="B34" s="150" t="s">
        <v>28</v>
      </c>
      <c r="C34" s="151" t="s">
        <v>370</v>
      </c>
      <c r="D34" s="152"/>
      <c r="E34" s="153"/>
      <c r="F34" s="180" t="s">
        <v>369</v>
      </c>
      <c r="G34" s="152"/>
      <c r="H34" s="153"/>
    </row>
    <row r="35" spans="1:19" x14ac:dyDescent="0.3">
      <c r="A35" s="150" t="s">
        <v>25</v>
      </c>
      <c r="B35" s="150" t="s">
        <v>28</v>
      </c>
      <c r="C35" s="151" t="s">
        <v>368</v>
      </c>
      <c r="D35" s="152"/>
      <c r="E35" s="153"/>
      <c r="F35" s="151" t="s">
        <v>365</v>
      </c>
      <c r="G35" s="152"/>
      <c r="H35" s="153"/>
    </row>
    <row r="36" spans="1:19" s="19" customFormat="1" ht="33.75" customHeight="1" x14ac:dyDescent="0.3">
      <c r="A36" s="150" t="s">
        <v>27</v>
      </c>
      <c r="B36" s="150" t="s">
        <v>28</v>
      </c>
      <c r="C36" s="151" t="s">
        <v>367</v>
      </c>
      <c r="D36" s="152"/>
      <c r="E36" s="153"/>
      <c r="F36" s="180" t="s">
        <v>366</v>
      </c>
      <c r="G36" s="152"/>
      <c r="H36" s="153"/>
    </row>
    <row r="37" spans="1:19" x14ac:dyDescent="0.3">
      <c r="A37" s="150" t="s">
        <v>26</v>
      </c>
      <c r="B37" s="150" t="s">
        <v>28</v>
      </c>
      <c r="C37" s="151" t="s">
        <v>371</v>
      </c>
      <c r="D37" s="152"/>
      <c r="E37" s="153"/>
      <c r="F37" s="151" t="s">
        <v>372</v>
      </c>
      <c r="G37" s="152"/>
      <c r="H37" s="153"/>
    </row>
    <row r="38" spans="1:19" x14ac:dyDescent="0.3">
      <c r="A38" s="127" t="s">
        <v>283</v>
      </c>
      <c r="B38" s="127"/>
      <c r="C38" s="127"/>
      <c r="D38" s="127"/>
      <c r="E38" s="127"/>
      <c r="F38" s="127"/>
      <c r="G38" s="127"/>
      <c r="H38" s="127"/>
    </row>
    <row r="39" spans="1:19" ht="15.75" customHeight="1" x14ac:dyDescent="0.3">
      <c r="A39" s="127" t="s">
        <v>165</v>
      </c>
      <c r="B39" s="127"/>
      <c r="C39" s="155" t="s">
        <v>359</v>
      </c>
      <c r="D39" s="155"/>
      <c r="E39" s="155"/>
      <c r="F39" s="155"/>
      <c r="G39" s="155"/>
      <c r="H39" s="155"/>
    </row>
    <row r="40" spans="1:19" x14ac:dyDescent="0.3">
      <c r="A40" s="127" t="s">
        <v>161</v>
      </c>
      <c r="B40" s="127"/>
      <c r="C40" s="140" t="s">
        <v>360</v>
      </c>
      <c r="D40" s="141"/>
      <c r="E40" s="141"/>
      <c r="F40" s="141"/>
      <c r="G40" s="141"/>
      <c r="H40" s="141"/>
    </row>
    <row r="41" spans="1:19" x14ac:dyDescent="0.3">
      <c r="A41" s="155" t="s">
        <v>32</v>
      </c>
      <c r="B41" s="155"/>
      <c r="C41" s="155"/>
      <c r="D41" s="155"/>
      <c r="E41" s="155"/>
      <c r="F41" s="155"/>
      <c r="G41" s="155"/>
      <c r="H41" s="155"/>
    </row>
    <row r="42" spans="1:19" x14ac:dyDescent="0.3">
      <c r="A42" s="127" t="s">
        <v>33</v>
      </c>
      <c r="B42" s="127"/>
      <c r="C42" s="127"/>
      <c r="D42" s="127"/>
      <c r="E42" s="154">
        <v>21830.89</v>
      </c>
      <c r="F42" s="154"/>
      <c r="G42" s="154"/>
      <c r="H42" s="154"/>
    </row>
    <row r="43" spans="1:19" x14ac:dyDescent="0.3">
      <c r="A43" s="127" t="s">
        <v>34</v>
      </c>
      <c r="B43" s="127"/>
      <c r="C43" s="127"/>
      <c r="D43" s="127"/>
      <c r="E43" s="170">
        <v>1</v>
      </c>
      <c r="F43" s="170"/>
      <c r="G43" s="170"/>
      <c r="H43" s="170"/>
    </row>
    <row r="44" spans="1:19" x14ac:dyDescent="0.3">
      <c r="A44" s="127" t="s">
        <v>35</v>
      </c>
      <c r="B44" s="127"/>
      <c r="C44" s="127"/>
      <c r="D44" s="127"/>
      <c r="E44" s="170">
        <f>E46/E42-E43</f>
        <v>1.5397656256799426</v>
      </c>
      <c r="F44" s="170"/>
      <c r="G44" s="170"/>
      <c r="H44" s="170"/>
    </row>
    <row r="45" spans="1:19" x14ac:dyDescent="0.3">
      <c r="A45" s="127" t="s">
        <v>36</v>
      </c>
      <c r="B45" s="127"/>
      <c r="C45" s="127"/>
      <c r="D45" s="127"/>
      <c r="E45" s="170">
        <f>E43+E44</f>
        <v>2.5397656256799426</v>
      </c>
      <c r="F45" s="170"/>
      <c r="G45" s="170"/>
      <c r="H45" s="170"/>
    </row>
    <row r="46" spans="1:19" x14ac:dyDescent="0.3">
      <c r="A46" s="145" t="s">
        <v>89</v>
      </c>
      <c r="B46" s="145"/>
      <c r="C46" s="145"/>
      <c r="D46" s="145"/>
      <c r="E46" s="171">
        <v>55445.343999999997</v>
      </c>
      <c r="F46" s="171"/>
      <c r="G46" s="171"/>
      <c r="H46" s="171"/>
    </row>
    <row r="47" spans="1:19" x14ac:dyDescent="0.3">
      <c r="A47" s="145" t="s">
        <v>37</v>
      </c>
      <c r="B47" s="145"/>
      <c r="C47" s="145"/>
      <c r="D47" s="145"/>
      <c r="E47" s="145" t="s">
        <v>418</v>
      </c>
      <c r="F47" s="145"/>
      <c r="G47" s="145"/>
      <c r="H47" s="145"/>
    </row>
    <row r="48" spans="1:19" x14ac:dyDescent="0.3">
      <c r="A48" s="119" t="s">
        <v>38</v>
      </c>
      <c r="B48" s="119"/>
      <c r="C48" s="119"/>
      <c r="D48" s="119"/>
      <c r="E48" s="119"/>
      <c r="F48" s="119"/>
      <c r="G48" s="119"/>
      <c r="H48" s="119"/>
    </row>
    <row r="49" spans="1:24" ht="33.75" customHeight="1" x14ac:dyDescent="0.3">
      <c r="A49" s="172" t="s">
        <v>150</v>
      </c>
      <c r="B49" s="173"/>
      <c r="C49" s="174" t="s">
        <v>258</v>
      </c>
      <c r="D49" s="175"/>
      <c r="E49" s="175"/>
      <c r="F49" s="175"/>
      <c r="G49" s="175"/>
      <c r="H49" s="176"/>
      <c r="R49" t="s">
        <v>256</v>
      </c>
      <c r="S49" s="50" t="s">
        <v>172</v>
      </c>
      <c r="T49" s="50" t="s">
        <v>181</v>
      </c>
      <c r="U49" s="50" t="s">
        <v>195</v>
      </c>
      <c r="V49" s="50" t="s">
        <v>190</v>
      </c>
    </row>
    <row r="50" spans="1:24" ht="47.25" customHeight="1" x14ac:dyDescent="0.3">
      <c r="A50" s="157" t="s">
        <v>39</v>
      </c>
      <c r="B50" s="159"/>
      <c r="C50" s="157" t="s">
        <v>373</v>
      </c>
      <c r="D50" s="158"/>
      <c r="E50" s="159"/>
      <c r="F50" s="17" t="s">
        <v>40</v>
      </c>
      <c r="G50" s="160">
        <v>45498</v>
      </c>
      <c r="H50" s="159"/>
      <c r="R50"/>
      <c r="S50" s="50" t="s">
        <v>257</v>
      </c>
      <c r="T50" s="50" t="s">
        <v>262</v>
      </c>
      <c r="U50" s="50" t="s">
        <v>273</v>
      </c>
      <c r="V50" s="50" t="s">
        <v>278</v>
      </c>
    </row>
    <row r="51" spans="1:24" ht="48.75" customHeight="1" x14ac:dyDescent="0.3">
      <c r="A51" s="157" t="s">
        <v>41</v>
      </c>
      <c r="B51" s="159"/>
      <c r="C51" s="157" t="str">
        <f>C50</f>
        <v>P-16382/2023/(C.T.S. No.2 (Pt) of Eksar-S village and 258/B of Borivali Village And Other)/R/C Ward/Eksar (RC)/337/1/Amend</v>
      </c>
      <c r="D51" s="158"/>
      <c r="E51" s="159"/>
      <c r="F51" s="17" t="s">
        <v>40</v>
      </c>
      <c r="G51" s="160">
        <f>G50</f>
        <v>45498</v>
      </c>
      <c r="H51" s="165"/>
      <c r="R51"/>
      <c r="S51" s="50" t="s">
        <v>258</v>
      </c>
      <c r="T51" s="50" t="s">
        <v>263</v>
      </c>
      <c r="U51" s="50" t="s">
        <v>271</v>
      </c>
      <c r="V51" s="50" t="s">
        <v>279</v>
      </c>
    </row>
    <row r="52" spans="1:24" s="20" customFormat="1" ht="69" customHeight="1" x14ac:dyDescent="0.3">
      <c r="A52" s="166" t="s">
        <v>154</v>
      </c>
      <c r="B52" s="167"/>
      <c r="C52" s="157" t="s">
        <v>445</v>
      </c>
      <c r="D52" s="158"/>
      <c r="E52" s="159"/>
      <c r="F52" s="17" t="s">
        <v>40</v>
      </c>
      <c r="G52" s="160">
        <v>45870</v>
      </c>
      <c r="H52" s="165"/>
      <c r="R52"/>
      <c r="S52" s="50" t="s">
        <v>259</v>
      </c>
      <c r="T52" s="50" t="s">
        <v>264</v>
      </c>
      <c r="U52" s="50" t="s">
        <v>261</v>
      </c>
      <c r="V52" s="50" t="s">
        <v>280</v>
      </c>
    </row>
    <row r="53" spans="1:24" s="20" customFormat="1" ht="88.2" customHeight="1" x14ac:dyDescent="0.3">
      <c r="A53" s="168"/>
      <c r="B53" s="169"/>
      <c r="C53" s="157" t="s">
        <v>446</v>
      </c>
      <c r="D53" s="158"/>
      <c r="E53" s="159"/>
      <c r="F53" s="17" t="s">
        <v>117</v>
      </c>
      <c r="G53" s="160">
        <v>46234</v>
      </c>
      <c r="H53" s="159"/>
      <c r="R53"/>
      <c r="S53" s="50" t="s">
        <v>260</v>
      </c>
      <c r="T53" s="50" t="s">
        <v>267</v>
      </c>
      <c r="U53" s="50" t="s">
        <v>274</v>
      </c>
      <c r="V53" s="65"/>
    </row>
    <row r="54" spans="1:24" s="20" customFormat="1" ht="49.8" customHeight="1" x14ac:dyDescent="0.3">
      <c r="A54" s="161" t="s">
        <v>284</v>
      </c>
      <c r="B54" s="162"/>
      <c r="C54" s="157" t="s">
        <v>413</v>
      </c>
      <c r="D54" s="158"/>
      <c r="E54" s="159"/>
      <c r="F54" s="17" t="s">
        <v>40</v>
      </c>
      <c r="G54" s="160">
        <v>44963</v>
      </c>
      <c r="H54" s="159"/>
      <c r="R54"/>
      <c r="S54" s="50" t="s">
        <v>259</v>
      </c>
      <c r="T54" s="50" t="s">
        <v>264</v>
      </c>
      <c r="U54" s="50" t="s">
        <v>261</v>
      </c>
      <c r="V54" s="50" t="s">
        <v>280</v>
      </c>
    </row>
    <row r="55" spans="1:24" s="20" customFormat="1" ht="65.25" customHeight="1" x14ac:dyDescent="0.3">
      <c r="A55" s="163"/>
      <c r="B55" s="164"/>
      <c r="C55" s="222" t="s">
        <v>421</v>
      </c>
      <c r="D55" s="223"/>
      <c r="E55" s="223"/>
      <c r="F55" s="223"/>
      <c r="G55" s="223"/>
      <c r="H55" s="224"/>
      <c r="R55"/>
      <c r="S55" s="50" t="s">
        <v>261</v>
      </c>
      <c r="T55" s="50" t="s">
        <v>265</v>
      </c>
      <c r="U55" s="50" t="s">
        <v>275</v>
      </c>
      <c r="V55" s="66"/>
      <c r="W55" s="18"/>
      <c r="X55" s="18"/>
    </row>
    <row r="56" spans="1:24" s="20" customFormat="1" ht="69" customHeight="1" x14ac:dyDescent="0.3">
      <c r="A56" s="161" t="s">
        <v>285</v>
      </c>
      <c r="B56" s="162"/>
      <c r="C56" s="157" t="s">
        <v>431</v>
      </c>
      <c r="D56" s="158"/>
      <c r="E56" s="159"/>
      <c r="F56" s="17" t="s">
        <v>40</v>
      </c>
      <c r="G56" s="160">
        <v>45504</v>
      </c>
      <c r="H56" s="159"/>
      <c r="R56"/>
      <c r="S56" s="66"/>
      <c r="T56" s="50" t="s">
        <v>266</v>
      </c>
      <c r="U56" s="50" t="s">
        <v>276</v>
      </c>
      <c r="V56" s="66"/>
      <c r="W56" s="18"/>
      <c r="X56" s="18"/>
    </row>
    <row r="57" spans="1:24" s="20" customFormat="1" ht="19.8" customHeight="1" x14ac:dyDescent="0.3">
      <c r="A57" s="163"/>
      <c r="B57" s="164"/>
      <c r="C57" s="157" t="s">
        <v>429</v>
      </c>
      <c r="D57" s="158"/>
      <c r="E57" s="158"/>
      <c r="F57" s="158"/>
      <c r="G57" s="158"/>
      <c r="H57" s="159"/>
      <c r="K57" s="76" t="s">
        <v>430</v>
      </c>
      <c r="R57"/>
      <c r="S57" s="66"/>
      <c r="T57" s="50" t="s">
        <v>268</v>
      </c>
      <c r="U57" s="50" t="s">
        <v>277</v>
      </c>
      <c r="V57" s="66"/>
      <c r="W57" s="18"/>
      <c r="X57" s="18"/>
    </row>
    <row r="58" spans="1:24" s="20" customFormat="1" ht="15.75" customHeight="1" x14ac:dyDescent="0.3">
      <c r="A58" s="161" t="s">
        <v>286</v>
      </c>
      <c r="B58" s="162"/>
      <c r="C58" s="157" t="s">
        <v>374</v>
      </c>
      <c r="D58" s="158"/>
      <c r="E58" s="159"/>
      <c r="F58" s="17" t="s">
        <v>40</v>
      </c>
      <c r="G58" s="160">
        <v>44774</v>
      </c>
      <c r="H58" s="159"/>
      <c r="R58"/>
      <c r="S58" s="66"/>
      <c r="T58" s="50" t="s">
        <v>269</v>
      </c>
      <c r="U58" s="66" t="s">
        <v>300</v>
      </c>
      <c r="V58" s="66"/>
      <c r="W58" s="18"/>
      <c r="X58" s="18"/>
    </row>
    <row r="59" spans="1:24" s="20" customFormat="1" ht="33.75" customHeight="1" x14ac:dyDescent="0.3">
      <c r="A59" s="163"/>
      <c r="B59" s="164"/>
      <c r="C59" s="157" t="s">
        <v>420</v>
      </c>
      <c r="D59" s="158"/>
      <c r="E59" s="159"/>
      <c r="F59" s="17" t="s">
        <v>419</v>
      </c>
      <c r="G59" s="160">
        <v>47695</v>
      </c>
      <c r="H59" s="159"/>
      <c r="R59"/>
      <c r="S59" s="66"/>
      <c r="T59" s="50" t="s">
        <v>270</v>
      </c>
      <c r="U59" s="66"/>
      <c r="V59" s="66"/>
      <c r="W59" s="18"/>
      <c r="X59" s="18"/>
    </row>
    <row r="60" spans="1:24" ht="39.75" hidden="1" customHeight="1" x14ac:dyDescent="0.3">
      <c r="A60" s="209" t="s">
        <v>42</v>
      </c>
      <c r="B60" s="210"/>
      <c r="C60" s="209" t="s">
        <v>101</v>
      </c>
      <c r="D60" s="211"/>
      <c r="E60" s="210"/>
      <c r="F60" s="40" t="s">
        <v>40</v>
      </c>
      <c r="G60" s="215" t="s">
        <v>28</v>
      </c>
      <c r="H60" s="216"/>
      <c r="R60"/>
      <c r="S60" s="66"/>
      <c r="T60" s="50" t="s">
        <v>272</v>
      </c>
      <c r="U60" s="66"/>
      <c r="V60" s="66"/>
    </row>
    <row r="61" spans="1:24" x14ac:dyDescent="0.3">
      <c r="A61" s="190" t="s">
        <v>44</v>
      </c>
      <c r="B61" s="190"/>
      <c r="C61" s="190"/>
      <c r="D61" s="190"/>
      <c r="E61" s="190"/>
      <c r="F61" s="190"/>
      <c r="G61" s="190"/>
      <c r="H61" s="190"/>
      <c r="S61" s="66"/>
      <c r="T61" s="50" t="s">
        <v>281</v>
      </c>
      <c r="U61" s="66"/>
      <c r="V61" s="66"/>
    </row>
    <row r="62" spans="1:24" x14ac:dyDescent="0.3">
      <c r="A62" s="156" t="s">
        <v>88</v>
      </c>
      <c r="B62" s="156"/>
      <c r="C62" s="156"/>
      <c r="D62" s="127">
        <f>E46</f>
        <v>55445.343999999997</v>
      </c>
      <c r="E62" s="127"/>
      <c r="F62" s="127"/>
      <c r="G62" s="127"/>
      <c r="H62" s="127"/>
      <c r="R62"/>
    </row>
    <row r="63" spans="1:24" x14ac:dyDescent="0.3">
      <c r="A63" s="141" t="s">
        <v>45</v>
      </c>
      <c r="B63" s="145"/>
      <c r="C63" s="145"/>
      <c r="D63" s="145" t="s">
        <v>412</v>
      </c>
      <c r="E63" s="145"/>
      <c r="F63" s="145"/>
      <c r="G63" s="145"/>
      <c r="H63" s="145"/>
      <c r="I63" s="21"/>
      <c r="R63"/>
    </row>
    <row r="64" spans="1:24" ht="33.75" customHeight="1" x14ac:dyDescent="0.3">
      <c r="A64" s="161" t="s">
        <v>46</v>
      </c>
      <c r="B64" s="227"/>
      <c r="C64" s="162"/>
      <c r="D64" s="225" t="s">
        <v>424</v>
      </c>
      <c r="E64" s="226"/>
      <c r="F64" s="226"/>
      <c r="G64" s="226"/>
      <c r="H64" s="226"/>
      <c r="R64"/>
    </row>
    <row r="65" spans="1:19" x14ac:dyDescent="0.3">
      <c r="A65" s="141" t="s">
        <v>86</v>
      </c>
      <c r="B65" s="141"/>
      <c r="C65" s="141"/>
      <c r="D65" s="141" t="s">
        <v>428</v>
      </c>
      <c r="E65" s="141"/>
      <c r="F65" s="141"/>
      <c r="G65" s="141"/>
      <c r="H65" s="141"/>
      <c r="R65"/>
    </row>
    <row r="66" spans="1:19" x14ac:dyDescent="0.3">
      <c r="A66" s="141"/>
      <c r="B66" s="141"/>
      <c r="C66" s="141"/>
      <c r="D66" s="141" t="s">
        <v>425</v>
      </c>
      <c r="E66" s="141"/>
      <c r="F66" s="141"/>
      <c r="G66" s="141"/>
      <c r="H66" s="141"/>
      <c r="R66"/>
    </row>
    <row r="67" spans="1:19" x14ac:dyDescent="0.3">
      <c r="A67" s="141"/>
      <c r="B67" s="141"/>
      <c r="C67" s="141"/>
      <c r="D67" s="141" t="s">
        <v>426</v>
      </c>
      <c r="E67" s="141"/>
      <c r="F67" s="141"/>
      <c r="G67" s="141"/>
      <c r="H67" s="141"/>
      <c r="S67"/>
    </row>
    <row r="68" spans="1:19" ht="15.75" customHeight="1" x14ac:dyDescent="0.3">
      <c r="A68" s="127" t="s">
        <v>43</v>
      </c>
      <c r="B68" s="127"/>
      <c r="C68" s="127"/>
      <c r="D68" s="156" t="s">
        <v>375</v>
      </c>
      <c r="E68" s="156"/>
      <c r="F68" s="156"/>
      <c r="G68" s="156"/>
      <c r="H68" s="156"/>
      <c r="J68" s="22"/>
      <c r="K68" s="21"/>
      <c r="N68" s="21"/>
      <c r="S68"/>
    </row>
    <row r="69" spans="1:19" ht="15.75" customHeight="1" x14ac:dyDescent="0.3">
      <c r="A69" s="127" t="s">
        <v>84</v>
      </c>
      <c r="B69" s="127"/>
      <c r="C69" s="127"/>
      <c r="D69" s="144" t="str">
        <f>(IF(G60="NA","60 Years After Completion",IF(G60&lt;&gt;"NA",""&amp;60-ROUNDDOWN((E3-G60)/360,0)&amp;" Years"," ")))</f>
        <v>60 Years After Completion</v>
      </c>
      <c r="E69" s="144"/>
      <c r="F69" s="144"/>
      <c r="G69" s="144"/>
      <c r="H69" s="144"/>
      <c r="N69" s="21"/>
      <c r="S69"/>
    </row>
    <row r="70" spans="1:19" ht="15.75" customHeight="1" x14ac:dyDescent="0.3">
      <c r="A70" s="127" t="s">
        <v>85</v>
      </c>
      <c r="B70" s="127"/>
      <c r="C70" s="127"/>
      <c r="D70" s="156" t="s">
        <v>23</v>
      </c>
      <c r="E70" s="156"/>
      <c r="F70" s="156"/>
      <c r="G70" s="156"/>
      <c r="H70" s="156"/>
      <c r="J70" s="23"/>
      <c r="K70" s="23"/>
      <c r="S70"/>
    </row>
    <row r="71" spans="1:19" ht="38.549999999999997" customHeight="1" x14ac:dyDescent="0.3">
      <c r="A71" s="145" t="s">
        <v>427</v>
      </c>
      <c r="B71" s="145"/>
      <c r="C71" s="145"/>
      <c r="D71" s="141" t="s">
        <v>376</v>
      </c>
      <c r="E71" s="156"/>
      <c r="F71" s="156"/>
      <c r="G71" s="156"/>
      <c r="H71" s="156"/>
      <c r="S71"/>
    </row>
    <row r="72" spans="1:19" x14ac:dyDescent="0.3">
      <c r="A72" s="156" t="s">
        <v>146</v>
      </c>
      <c r="B72" s="156"/>
      <c r="C72" s="156"/>
      <c r="D72" s="156" t="s">
        <v>28</v>
      </c>
      <c r="E72" s="156"/>
      <c r="F72" s="156"/>
      <c r="G72" s="156"/>
      <c r="H72" s="156"/>
      <c r="I72" s="24"/>
      <c r="J72" s="24"/>
      <c r="K72" s="24"/>
      <c r="L72" s="24"/>
      <c r="M72" s="24"/>
      <c r="N72" s="24"/>
    </row>
    <row r="73" spans="1:19" ht="15.75" customHeight="1" x14ac:dyDescent="0.3">
      <c r="A73" s="127" t="s">
        <v>83</v>
      </c>
      <c r="B73" s="127"/>
      <c r="C73" s="127"/>
      <c r="D73" s="141" t="str">
        <f ca="1">(IF(G79&gt;95%,"Nothing",IF(G79&gt;0%,"Cement, Aggregate, Steel, etc",IF(G79=0%,"Work not yet Started"))))</f>
        <v>Cement, Aggregate, Steel, etc</v>
      </c>
      <c r="E73" s="141"/>
      <c r="F73" s="141"/>
      <c r="G73" s="141"/>
      <c r="H73" s="141"/>
      <c r="J73" s="23"/>
      <c r="S73"/>
    </row>
    <row r="74" spans="1:19" ht="33.75" customHeight="1" thickBot="1" x14ac:dyDescent="0.35">
      <c r="A74" s="156" t="s">
        <v>114</v>
      </c>
      <c r="B74" s="156"/>
      <c r="C74" s="156"/>
      <c r="D74" s="141" t="str">
        <f ca="1">(IF(D73="Nothing","Yes",IF(D73="Cement, Aggregate, Steel, etc","Under Construction",IF(D73="Work not yet Started","Work not yet Started"))))</f>
        <v>Under Construction</v>
      </c>
      <c r="E74" s="141"/>
      <c r="F74" s="141" t="str">
        <f ca="1">(IF(D73="Nothing","Yes",IF(D73="Cement, Aggregate, Steel, etc","Under Construction",IF(D73="Work not yet Started","Work not yet Started"))))</f>
        <v>Under Construction</v>
      </c>
      <c r="G74" s="141"/>
      <c r="H74" s="141"/>
      <c r="S74"/>
    </row>
    <row r="75" spans="1:19" ht="15.75" customHeight="1" x14ac:dyDescent="0.3">
      <c r="A75" s="120" t="s">
        <v>136</v>
      </c>
      <c r="B75" s="120"/>
      <c r="C75" s="120" t="str">
        <f>D65</f>
        <v>Wing A = 1B + Gr. + P1 to P6 + 7th to 37th Floor</v>
      </c>
      <c r="D75" s="120"/>
      <c r="E75" s="120"/>
      <c r="F75" s="120"/>
      <c r="G75" s="120"/>
      <c r="H75" s="120"/>
      <c r="I75" s="78" t="str">
        <f ca="1">IF(D88=100%,"All work Completed. Possession granted to the Building.",IF(D87=100%,"All work Completed, Waiting for OC",I76&amp;""&amp;I77&amp;""&amp;J76&amp;""&amp;J75&amp;" "&amp;J77))</f>
        <v>Excavation, Plinth Completed, RCC upto 3 Slab Completed</v>
      </c>
      <c r="J75" s="43"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3 Slab</v>
      </c>
      <c r="S75"/>
    </row>
    <row r="76" spans="1:19" x14ac:dyDescent="0.3">
      <c r="A76" s="15" t="s">
        <v>138</v>
      </c>
      <c r="B76" s="46">
        <f>IF(AND(ISNUMBER(SEARCH("1B",C75))),1,IF(AND(ISNUMBER(SEARCH("2B",C75))),2,IF(AND(ISNUMBER(SEARCH("3B",C75))),3,IF(AND(ISNUMBER(SEARCH("4B",C75))),4,IF(ISNUMBER(SEARCH("5B",C75)),5,0)))))</f>
        <v>1</v>
      </c>
      <c r="C76" s="46" t="s">
        <v>69</v>
      </c>
      <c r="D76" s="46">
        <v>1</v>
      </c>
      <c r="E76" s="46" t="s">
        <v>68</v>
      </c>
      <c r="F76" s="46">
        <v>0</v>
      </c>
      <c r="G76" s="46" t="s">
        <v>77</v>
      </c>
      <c r="H76" s="16">
        <f ca="1">--TRIM(RIGHT(SUBSTITUTE(LEFT(C75,_xlfn.AGGREGATE(16,6,FIND({0,1,2,3,4,5,6,7,8,9},C75,ROW(INDIRECT("1:"&amp;LEN(C75)))),1))," ",REPT(" ",LEN(C75))),LEN(C75)))</f>
        <v>37</v>
      </c>
      <c r="I76" s="44" t="str">
        <f ca="1">IF(D79=100%,"Excavation","")&amp;IF(D80=100%,", Plinth","")&amp;IF(D81=100%,", RCC Slab","")&amp;IF(D82=100%,", Brickwork","")&amp;IF(D83=100%,", Internal Plaster","")&amp;IF(D84=100%,", External Plaster","")&amp;IF(D85=100%,", Flooring","")&amp;IF(D86=100%,", Painting","")&amp;IF(D87=100%,", Building common Amenities","")</f>
        <v>Excavation, Plinth</v>
      </c>
      <c r="J76" s="45"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3">
      <c r="A77" s="118" t="s">
        <v>87</v>
      </c>
      <c r="B77" s="119"/>
      <c r="C77" s="120" t="str">
        <f ca="1">I75</f>
        <v>Excavation, Plinth Completed, RCC upto 3 Slab Completed</v>
      </c>
      <c r="D77" s="120"/>
      <c r="E77" s="120"/>
      <c r="F77" s="120"/>
      <c r="G77" s="120"/>
      <c r="H77" s="121"/>
      <c r="I77" s="44" t="str">
        <f ca="1">IF(I76&lt;&gt;""," Completed","")</f>
        <v xml:space="preserve"> Completed</v>
      </c>
      <c r="J77" s="45" t="str">
        <f ca="1">IF(J75&lt;&gt;"","Completed","")</f>
        <v>Completed</v>
      </c>
      <c r="S77"/>
    </row>
    <row r="78" spans="1:19" ht="15.75" customHeight="1" x14ac:dyDescent="0.3">
      <c r="A78" s="105" t="s">
        <v>47</v>
      </c>
      <c r="B78" s="106"/>
      <c r="C78" s="72" t="s">
        <v>135</v>
      </c>
      <c r="D78" s="72" t="s">
        <v>80</v>
      </c>
      <c r="E78" s="106" t="s">
        <v>82</v>
      </c>
      <c r="F78" s="106"/>
      <c r="G78" s="106" t="s">
        <v>81</v>
      </c>
      <c r="H78" s="122"/>
      <c r="I78" s="13" t="s">
        <v>137</v>
      </c>
      <c r="J78" s="25">
        <f ca="1">H76*25%</f>
        <v>9.25</v>
      </c>
      <c r="S78"/>
    </row>
    <row r="79" spans="1:19" x14ac:dyDescent="0.3">
      <c r="A79" s="105" t="s">
        <v>124</v>
      </c>
      <c r="B79" s="106"/>
      <c r="C79" s="72">
        <f ca="1">J80</f>
        <v>37</v>
      </c>
      <c r="D79" s="73">
        <f ca="1">((100/H76)*C79)/100</f>
        <v>1</v>
      </c>
      <c r="E79" s="107">
        <f ca="1">(((C80/H76*10)+(40/(D76+F76+H76)*C81)+(7.5/(H76)*C82)+(7.5/(H76)*C83)+(10/H76*C84)+(10/H76*C85)+(5/H76*C86)+(5/H76*C87)+(5/H76*C88))/100)</f>
        <v>0.13157894736842107</v>
      </c>
      <c r="F79" s="108"/>
      <c r="G79" s="107">
        <f ca="1">((((C79/H76)*20)+((C80/H76)*25)+(30/(H76+F76+D76)*C81)+(5/H76*C82)+(5/H76*C83)+(5/H76*C84)+(5/H76*C85)+(0/H76*C86)+(0/H76*C87)+(5/H76*C88))/100)</f>
        <v>0.47368421052631576</v>
      </c>
      <c r="H79" s="124"/>
      <c r="I79" s="13" t="s">
        <v>96</v>
      </c>
      <c r="J79" s="26">
        <f ca="1">H76*50%</f>
        <v>18.5</v>
      </c>
    </row>
    <row r="80" spans="1:19" x14ac:dyDescent="0.3">
      <c r="A80" s="105" t="s">
        <v>48</v>
      </c>
      <c r="B80" s="106"/>
      <c r="C80" s="77">
        <f ca="1">J88</f>
        <v>37</v>
      </c>
      <c r="D80" s="73">
        <f ca="1">((100/H76)*C80)/100</f>
        <v>1</v>
      </c>
      <c r="E80" s="109"/>
      <c r="F80" s="110"/>
      <c r="G80" s="109"/>
      <c r="H80" s="125"/>
      <c r="I80" s="13" t="s">
        <v>97</v>
      </c>
      <c r="J80" s="26">
        <f ca="1">H76</f>
        <v>37</v>
      </c>
      <c r="S80"/>
    </row>
    <row r="81" spans="1:19" ht="15.75" customHeight="1" x14ac:dyDescent="0.3">
      <c r="A81" s="105" t="s">
        <v>125</v>
      </c>
      <c r="B81" s="106"/>
      <c r="C81" s="72">
        <v>3</v>
      </c>
      <c r="D81" s="73">
        <f ca="1">((100/(D76+F76+H76))*C81)/100</f>
        <v>7.8947368421052641E-2</v>
      </c>
      <c r="E81" s="109"/>
      <c r="F81" s="110"/>
      <c r="G81" s="109"/>
      <c r="H81" s="125"/>
      <c r="I81" s="13" t="s">
        <v>98</v>
      </c>
      <c r="J81" s="27">
        <f ca="1">(IF(B76&gt;1,(H76/(B76+2)),H76/4))</f>
        <v>9.25</v>
      </c>
      <c r="S81"/>
    </row>
    <row r="82" spans="1:19" ht="15.75" customHeight="1" x14ac:dyDescent="0.3">
      <c r="A82" s="105" t="s">
        <v>132</v>
      </c>
      <c r="B82" s="106" t="s">
        <v>126</v>
      </c>
      <c r="C82" s="72">
        <v>0</v>
      </c>
      <c r="D82" s="73">
        <f ca="1">((100/H76)*C82)/100</f>
        <v>0</v>
      </c>
      <c r="E82" s="109"/>
      <c r="F82" s="110"/>
      <c r="G82" s="109"/>
      <c r="H82" s="125"/>
      <c r="I82" s="13" t="s">
        <v>99</v>
      </c>
      <c r="J82" s="27">
        <f ca="1">(IF(B76&gt;1,(H76/(B76+2)+J81),H76/4+J81))</f>
        <v>18.5</v>
      </c>
    </row>
    <row r="83" spans="1:19" ht="15.75" customHeight="1" x14ac:dyDescent="0.3">
      <c r="A83" s="105" t="s">
        <v>133</v>
      </c>
      <c r="B83" s="106" t="s">
        <v>126</v>
      </c>
      <c r="C83" s="72">
        <v>0</v>
      </c>
      <c r="D83" s="73">
        <f ca="1">((100/H76)*C83)/100</f>
        <v>0</v>
      </c>
      <c r="E83" s="109"/>
      <c r="F83" s="110"/>
      <c r="G83" s="109"/>
      <c r="H83" s="125"/>
      <c r="I83" s="13" t="s">
        <v>144</v>
      </c>
      <c r="J83" s="27">
        <f>(IF(B76&gt;1,(H76/(B76+2)+J82),0))</f>
        <v>0</v>
      </c>
    </row>
    <row r="84" spans="1:19" ht="15" customHeight="1" x14ac:dyDescent="0.3">
      <c r="A84" s="105" t="s">
        <v>131</v>
      </c>
      <c r="B84" s="106" t="s">
        <v>128</v>
      </c>
      <c r="C84" s="72">
        <v>0</v>
      </c>
      <c r="D84" s="73">
        <f ca="1">((100/(H76))*C84)/100</f>
        <v>0</v>
      </c>
      <c r="E84" s="109"/>
      <c r="F84" s="110"/>
      <c r="G84" s="109"/>
      <c r="H84" s="125"/>
      <c r="I84" s="13" t="s">
        <v>139</v>
      </c>
      <c r="J84" s="27">
        <f>(IF(B76&gt;2,(H76/(B76+2)+J83),0))</f>
        <v>0</v>
      </c>
    </row>
    <row r="85" spans="1:19" ht="15.75" customHeight="1" x14ac:dyDescent="0.3">
      <c r="A85" s="105" t="s">
        <v>127</v>
      </c>
      <c r="B85" s="106" t="s">
        <v>127</v>
      </c>
      <c r="C85" s="72">
        <v>0</v>
      </c>
      <c r="D85" s="73">
        <f ca="1">((100/H76)*C85)/100</f>
        <v>0</v>
      </c>
      <c r="E85" s="109"/>
      <c r="F85" s="110"/>
      <c r="G85" s="109"/>
      <c r="H85" s="125"/>
      <c r="I85" s="13" t="s">
        <v>140</v>
      </c>
      <c r="J85" s="28">
        <f>(IF(B76&gt;3,(H76/(B76+2)+J84),0))</f>
        <v>0</v>
      </c>
    </row>
    <row r="86" spans="1:19" ht="15.75" customHeight="1" x14ac:dyDescent="0.3">
      <c r="A86" s="105" t="s">
        <v>134</v>
      </c>
      <c r="B86" s="106"/>
      <c r="C86" s="72">
        <v>0</v>
      </c>
      <c r="D86" s="73">
        <f ca="1">((100/H76)*C86)/100</f>
        <v>0</v>
      </c>
      <c r="E86" s="109"/>
      <c r="F86" s="110"/>
      <c r="G86" s="109"/>
      <c r="H86" s="125"/>
      <c r="I86" s="13" t="s">
        <v>141</v>
      </c>
      <c r="J86" s="27">
        <f>(IF(B76&gt;4,(H76/(B76+2)+J85),0))</f>
        <v>0</v>
      </c>
    </row>
    <row r="87" spans="1:19" ht="15.75" customHeight="1" x14ac:dyDescent="0.3">
      <c r="A87" s="105" t="s">
        <v>129</v>
      </c>
      <c r="B87" s="106" t="s">
        <v>129</v>
      </c>
      <c r="C87" s="72">
        <v>0</v>
      </c>
      <c r="D87" s="73">
        <f ca="1">((100/(H76))*C87)/100</f>
        <v>0</v>
      </c>
      <c r="E87" s="109"/>
      <c r="F87" s="110"/>
      <c r="G87" s="109"/>
      <c r="H87" s="125"/>
      <c r="I87" s="13" t="s">
        <v>145</v>
      </c>
      <c r="J87" s="27">
        <f ca="1">(IF(B76=1,(H76/(B76+3)+J82),IF(B76=0,(H76/4+J82),IF(B76&gt;1,0))))</f>
        <v>27.75</v>
      </c>
    </row>
    <row r="88" spans="1:19" ht="16.2" thickBot="1" x14ac:dyDescent="0.35">
      <c r="A88" s="204" t="s">
        <v>130</v>
      </c>
      <c r="B88" s="205"/>
      <c r="C88" s="74">
        <v>0</v>
      </c>
      <c r="D88" s="75">
        <f ca="1">((100/(H76))*C88)/100</f>
        <v>0</v>
      </c>
      <c r="E88" s="111"/>
      <c r="F88" s="112"/>
      <c r="G88" s="111"/>
      <c r="H88" s="126"/>
      <c r="I88" s="14" t="s">
        <v>100</v>
      </c>
      <c r="J88" s="29">
        <f ca="1">(IF(B76&gt;1.5,(H76/(B76+2)+J82+MAX(0,J83-J82)+MAX(0,J84-J83)+MAX(0,J85-J84)+MAX(0,J86-J85)+MAX(0,J87-J86)),IF(B76=1,(H76/(B76+3)+J87),IF(B76=0,H76/4+J87))))</f>
        <v>37</v>
      </c>
    </row>
    <row r="89" spans="1:19" ht="15.75" customHeight="1" x14ac:dyDescent="0.3">
      <c r="A89" s="113" t="s">
        <v>136</v>
      </c>
      <c r="B89" s="114"/>
      <c r="C89" s="115" t="str">
        <f>D66</f>
        <v>Wing B = 1B + Gr. + P1 to P6 + 7th to 44th Floor</v>
      </c>
      <c r="D89" s="116"/>
      <c r="E89" s="116"/>
      <c r="F89" s="116"/>
      <c r="G89" s="116"/>
      <c r="H89" s="117"/>
      <c r="I89" s="42" t="str">
        <f ca="1">IF(D102=100%,"All work Completed. Possession granted to the Building.",IF(D101=100%,"All work Completed, Waiting for OC",I90&amp;""&amp;I91&amp;""&amp;J90&amp;""&amp;J89&amp;" "&amp;J91))</f>
        <v>Excavation, Plinth Completed, RCC upto 3 Slab Completed</v>
      </c>
      <c r="J89" s="43"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RCC upto 3 Slab</v>
      </c>
      <c r="S89"/>
    </row>
    <row r="90" spans="1:19" x14ac:dyDescent="0.3">
      <c r="A90" s="15" t="s">
        <v>138</v>
      </c>
      <c r="B90" s="46">
        <f>IF(AND(ISNUMBER(SEARCH("1B",C89))),1,IF(AND(ISNUMBER(SEARCH("2B",C89))),2,IF(AND(ISNUMBER(SEARCH("3B",C89))),3,IF(AND(ISNUMBER(SEARCH("4B",C89))),4,IF(ISNUMBER(SEARCH("5B",C89)),5,0)))))</f>
        <v>1</v>
      </c>
      <c r="C90" s="46" t="s">
        <v>69</v>
      </c>
      <c r="D90" s="46">
        <v>1</v>
      </c>
      <c r="E90" s="46" t="s">
        <v>68</v>
      </c>
      <c r="F90" s="46">
        <v>0</v>
      </c>
      <c r="G90" s="46" t="s">
        <v>77</v>
      </c>
      <c r="H90" s="16">
        <f ca="1">--TRIM(RIGHT(SUBSTITUTE(LEFT(C89,_xlfn.AGGREGATE(16,6,FIND({0,1,2,3,4,5,6,7,8,9},C89,ROW(INDIRECT("1:"&amp;LEN(C89)))),1))," ",REPT(" ",LEN(C89))),LEN(C89)))</f>
        <v>44</v>
      </c>
      <c r="I90" s="44" t="str">
        <f ca="1">IF(D93=100%,"Excavation","")&amp;IF(D94=100%,", Plinth","")&amp;IF(D95=100%,", RCC Slab","")&amp;IF(D96=100%,", Brickwork","")&amp;IF(D97=100%,", Internal Plaster","")&amp;IF(D98=100%,", External Plaster","")&amp;IF(D99=100%,", Flooring","")&amp;IF(D100=100%,", Painting","")&amp;IF(D101=100%,", Building common Amenities","")</f>
        <v>Excavation, Plinth</v>
      </c>
      <c r="J90" s="45"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x14ac:dyDescent="0.3">
      <c r="A91" s="118" t="s">
        <v>87</v>
      </c>
      <c r="B91" s="119"/>
      <c r="C91" s="120" t="str">
        <f ca="1">I89</f>
        <v>Excavation, Plinth Completed, RCC upto 3 Slab Completed</v>
      </c>
      <c r="D91" s="120"/>
      <c r="E91" s="120"/>
      <c r="F91" s="120"/>
      <c r="G91" s="120"/>
      <c r="H91" s="121"/>
      <c r="I91" s="44" t="str">
        <f ca="1">IF(I90&lt;&gt;""," Completed","")</f>
        <v xml:space="preserve"> Completed</v>
      </c>
      <c r="J91" s="45" t="str">
        <f ca="1">IF(J89&lt;&gt;"","Completed","")</f>
        <v>Completed</v>
      </c>
      <c r="S91"/>
    </row>
    <row r="92" spans="1:19" ht="15.75" customHeight="1" x14ac:dyDescent="0.3">
      <c r="A92" s="105" t="s">
        <v>47</v>
      </c>
      <c r="B92" s="106"/>
      <c r="C92" s="72" t="s">
        <v>135</v>
      </c>
      <c r="D92" s="72" t="s">
        <v>80</v>
      </c>
      <c r="E92" s="106" t="s">
        <v>82</v>
      </c>
      <c r="F92" s="106"/>
      <c r="G92" s="106" t="s">
        <v>81</v>
      </c>
      <c r="H92" s="122"/>
      <c r="I92" s="13" t="s">
        <v>137</v>
      </c>
      <c r="J92" s="25">
        <f ca="1">H90*25%</f>
        <v>11</v>
      </c>
      <c r="S92"/>
    </row>
    <row r="93" spans="1:19" x14ac:dyDescent="0.3">
      <c r="A93" s="105" t="s">
        <v>124</v>
      </c>
      <c r="B93" s="106"/>
      <c r="C93" s="72">
        <f ca="1">J94</f>
        <v>44</v>
      </c>
      <c r="D93" s="73">
        <f ca="1">((100/H90)*C93)/100</f>
        <v>1.0000000000000002</v>
      </c>
      <c r="E93" s="107">
        <f ca="1">(((C94/H90*10)+(40/(D90+F90+H90)*C95)+(7.5/(H90)*C96)+(7.5/(H90)*C97)+(10/H90*C98)+(10/H90*C99)+(5/H90*C100)+(5/H90*C101)+(5/H90*C102))/100)</f>
        <v>0.12666666666666665</v>
      </c>
      <c r="F93" s="108"/>
      <c r="G93" s="107">
        <f ca="1">((((C93/H90)*20)+((C94/H90)*25)+(30/(H90+F90+D90)*C95)+(5/H90*C96)+(5/H90*C97)+(5/H90*C98)+(5/H90*C99)+(0/H90*C100)+(0/H90*C101)+(5/H90*C102))/100)</f>
        <v>0.47</v>
      </c>
      <c r="H93" s="124"/>
      <c r="I93" s="13" t="s">
        <v>96</v>
      </c>
      <c r="J93" s="26">
        <f ca="1">H90*50%</f>
        <v>22</v>
      </c>
    </row>
    <row r="94" spans="1:19" x14ac:dyDescent="0.3">
      <c r="A94" s="105" t="s">
        <v>48</v>
      </c>
      <c r="B94" s="106"/>
      <c r="C94" s="77">
        <f ca="1">J102</f>
        <v>44</v>
      </c>
      <c r="D94" s="73">
        <f ca="1">((100/H90)*C94)/100</f>
        <v>1.0000000000000002</v>
      </c>
      <c r="E94" s="109"/>
      <c r="F94" s="110"/>
      <c r="G94" s="109"/>
      <c r="H94" s="125"/>
      <c r="I94" s="13" t="s">
        <v>97</v>
      </c>
      <c r="J94" s="26">
        <f ca="1">H90</f>
        <v>44</v>
      </c>
      <c r="S94"/>
    </row>
    <row r="95" spans="1:19" ht="15.75" customHeight="1" x14ac:dyDescent="0.3">
      <c r="A95" s="105" t="s">
        <v>125</v>
      </c>
      <c r="B95" s="106"/>
      <c r="C95" s="72">
        <v>3</v>
      </c>
      <c r="D95" s="73">
        <f ca="1">((100/(D90+F90+H90))*C95)/100</f>
        <v>6.6666666666666666E-2</v>
      </c>
      <c r="E95" s="109"/>
      <c r="F95" s="110"/>
      <c r="G95" s="109"/>
      <c r="H95" s="125"/>
      <c r="I95" s="13" t="s">
        <v>98</v>
      </c>
      <c r="J95" s="27">
        <f ca="1">(IF(B90&gt;1,(H90/(B90+2)),H90/4))</f>
        <v>11</v>
      </c>
      <c r="S95"/>
    </row>
    <row r="96" spans="1:19" ht="15.75" customHeight="1" x14ac:dyDescent="0.3">
      <c r="A96" s="105" t="s">
        <v>132</v>
      </c>
      <c r="B96" s="106" t="s">
        <v>126</v>
      </c>
      <c r="C96" s="72">
        <v>0</v>
      </c>
      <c r="D96" s="73">
        <f ca="1">((100/H90)*C96)/100</f>
        <v>0</v>
      </c>
      <c r="E96" s="109"/>
      <c r="F96" s="110"/>
      <c r="G96" s="109"/>
      <c r="H96" s="125"/>
      <c r="I96" s="13" t="s">
        <v>99</v>
      </c>
      <c r="J96" s="27">
        <f ca="1">(IF(B90&gt;1,(H90/(B90+2)+J95),H90/4+J95))</f>
        <v>22</v>
      </c>
    </row>
    <row r="97" spans="1:19" ht="15.75" customHeight="1" x14ac:dyDescent="0.3">
      <c r="A97" s="105" t="s">
        <v>133</v>
      </c>
      <c r="B97" s="106" t="s">
        <v>126</v>
      </c>
      <c r="C97" s="72">
        <v>0</v>
      </c>
      <c r="D97" s="73">
        <f ca="1">((100/H90)*C97)/100</f>
        <v>0</v>
      </c>
      <c r="E97" s="109"/>
      <c r="F97" s="110"/>
      <c r="G97" s="109"/>
      <c r="H97" s="125"/>
      <c r="I97" s="13" t="s">
        <v>144</v>
      </c>
      <c r="J97" s="27">
        <f>(IF(B90&gt;1,(H90/(B90+2)+J96),0))</f>
        <v>0</v>
      </c>
    </row>
    <row r="98" spans="1:19" ht="15" customHeight="1" x14ac:dyDescent="0.3">
      <c r="A98" s="105" t="s">
        <v>131</v>
      </c>
      <c r="B98" s="106" t="s">
        <v>128</v>
      </c>
      <c r="C98" s="72">
        <v>0</v>
      </c>
      <c r="D98" s="73">
        <f ca="1">((100/(H90))*C98)/100</f>
        <v>0</v>
      </c>
      <c r="E98" s="109"/>
      <c r="F98" s="110"/>
      <c r="G98" s="109"/>
      <c r="H98" s="125"/>
      <c r="I98" s="13" t="s">
        <v>139</v>
      </c>
      <c r="J98" s="27">
        <f>(IF(B90&gt;2,(H90/(B90+2)+J97),0))</f>
        <v>0</v>
      </c>
    </row>
    <row r="99" spans="1:19" ht="15.75" customHeight="1" x14ac:dyDescent="0.3">
      <c r="A99" s="105" t="s">
        <v>127</v>
      </c>
      <c r="B99" s="106" t="s">
        <v>127</v>
      </c>
      <c r="C99" s="72">
        <v>0</v>
      </c>
      <c r="D99" s="73">
        <f ca="1">((100/H90)*C99)/100</f>
        <v>0</v>
      </c>
      <c r="E99" s="109"/>
      <c r="F99" s="110"/>
      <c r="G99" s="109"/>
      <c r="H99" s="125"/>
      <c r="I99" s="13" t="s">
        <v>140</v>
      </c>
      <c r="J99" s="28">
        <f>(IF(B90&gt;3,(H90/(B90+2)+J98),0))</f>
        <v>0</v>
      </c>
    </row>
    <row r="100" spans="1:19" ht="15.75" customHeight="1" x14ac:dyDescent="0.3">
      <c r="A100" s="105" t="s">
        <v>134</v>
      </c>
      <c r="B100" s="106"/>
      <c r="C100" s="72">
        <v>0</v>
      </c>
      <c r="D100" s="73">
        <f ca="1">((100/H90)*C100)/100</f>
        <v>0</v>
      </c>
      <c r="E100" s="109"/>
      <c r="F100" s="110"/>
      <c r="G100" s="109"/>
      <c r="H100" s="125"/>
      <c r="I100" s="13" t="s">
        <v>141</v>
      </c>
      <c r="J100" s="27">
        <f>(IF(B90&gt;4,(H90/(B90+2)+J99),0))</f>
        <v>0</v>
      </c>
    </row>
    <row r="101" spans="1:19" ht="15.75" customHeight="1" x14ac:dyDescent="0.3">
      <c r="A101" s="105" t="s">
        <v>129</v>
      </c>
      <c r="B101" s="106" t="s">
        <v>129</v>
      </c>
      <c r="C101" s="72">
        <v>0</v>
      </c>
      <c r="D101" s="73">
        <f ca="1">((100/(H90))*C101)/100</f>
        <v>0</v>
      </c>
      <c r="E101" s="109"/>
      <c r="F101" s="110"/>
      <c r="G101" s="109"/>
      <c r="H101" s="125"/>
      <c r="I101" s="13" t="s">
        <v>145</v>
      </c>
      <c r="J101" s="27">
        <f ca="1">(IF(B90=1,(H90/(B90+3)+J96),IF(B90=0,(H90/4+J96),IF(B90&gt;1,0))))</f>
        <v>33</v>
      </c>
    </row>
    <row r="102" spans="1:19" ht="16.2" thickBot="1" x14ac:dyDescent="0.35">
      <c r="A102" s="204" t="s">
        <v>130</v>
      </c>
      <c r="B102" s="205"/>
      <c r="C102" s="74">
        <v>0</v>
      </c>
      <c r="D102" s="75">
        <f ca="1">((100/(H90))*C102)/100</f>
        <v>0</v>
      </c>
      <c r="E102" s="111"/>
      <c r="F102" s="112"/>
      <c r="G102" s="111"/>
      <c r="H102" s="126"/>
      <c r="I102" s="14" t="s">
        <v>100</v>
      </c>
      <c r="J102" s="29">
        <f ca="1">(IF(B90&gt;1.5,(H90/(B90+2)+J96+MAX(0,J97-J96)+MAX(0,J98-J97)+MAX(0,J99-J98)+MAX(0,J100-J99)+MAX(0,J101-J100)),IF(B90=1,(H90/(B90+3)+J101),IF(B90=0,H90/4+J101))))</f>
        <v>44</v>
      </c>
    </row>
    <row r="103" spans="1:19" ht="15.75" customHeight="1" x14ac:dyDescent="0.3">
      <c r="A103" s="113" t="s">
        <v>136</v>
      </c>
      <c r="B103" s="114"/>
      <c r="C103" s="115" t="str">
        <f>D67</f>
        <v>Wing C = 1B + Gr. + P1 to P6 + 7th to 37th Floor</v>
      </c>
      <c r="D103" s="116"/>
      <c r="E103" s="116"/>
      <c r="F103" s="116"/>
      <c r="G103" s="116"/>
      <c r="H103" s="117"/>
      <c r="I103" s="42" t="str">
        <f ca="1">IF(D116=100%,"All work Completed. Possession granted to the Building.",IF(D115=100%,"All work Completed, Waiting for OC",I104&amp;""&amp;I105&amp;""&amp;J104&amp;""&amp;J103&amp;" "&amp;J105))</f>
        <v>Excavation, Plinth Completed, RCC upto 3 Slab Completed</v>
      </c>
      <c r="J103" s="43"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RCC upto 3 Slab</v>
      </c>
      <c r="S103"/>
    </row>
    <row r="104" spans="1:19" x14ac:dyDescent="0.3">
      <c r="A104" s="15" t="s">
        <v>138</v>
      </c>
      <c r="B104" s="46">
        <f>IF(AND(ISNUMBER(SEARCH("1B",C103))),1,IF(AND(ISNUMBER(SEARCH("2B",C103))),2,IF(AND(ISNUMBER(SEARCH("3B",C103))),3,IF(AND(ISNUMBER(SEARCH("4B",C103))),4,IF(ISNUMBER(SEARCH("5B",C103)),5,0)))))</f>
        <v>1</v>
      </c>
      <c r="C104" s="46" t="s">
        <v>69</v>
      </c>
      <c r="D104" s="46">
        <v>1</v>
      </c>
      <c r="E104" s="46" t="s">
        <v>68</v>
      </c>
      <c r="F104" s="46">
        <v>0</v>
      </c>
      <c r="G104" s="46" t="s">
        <v>77</v>
      </c>
      <c r="H104" s="16">
        <f ca="1">--TRIM(RIGHT(SUBSTITUTE(LEFT(C103,_xlfn.AGGREGATE(16,6,FIND({0,1,2,3,4,5,6,7,8,9},C103,ROW(INDIRECT("1:"&amp;LEN(C103)))),1))," ",REPT(" ",LEN(C103))),LEN(C103)))</f>
        <v>37</v>
      </c>
      <c r="I104" s="44" t="str">
        <f ca="1">IF(D107=100%,"Excavation","")&amp;IF(D108=100%,", Plinth","")&amp;IF(D109=100%,", RCC Slab","")&amp;IF(D110=100%,", Brickwork","")&amp;IF(D111=100%,", Internal Plaster","")&amp;IF(D112=100%,", External Plaster","")&amp;IF(D113=100%,", Flooring","")&amp;IF(D114=100%,", Painting","")&amp;IF(D115=100%,", Building common Amenities","")</f>
        <v>Excavation, Plinth</v>
      </c>
      <c r="J104" s="45"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x14ac:dyDescent="0.3">
      <c r="A105" s="118" t="s">
        <v>87</v>
      </c>
      <c r="B105" s="119"/>
      <c r="C105" s="120" t="str">
        <f ca="1">I103</f>
        <v>Excavation, Plinth Completed, RCC upto 3 Slab Completed</v>
      </c>
      <c r="D105" s="120"/>
      <c r="E105" s="120"/>
      <c r="F105" s="120"/>
      <c r="G105" s="120"/>
      <c r="H105" s="121"/>
      <c r="I105" s="44" t="str">
        <f ca="1">IF(I104&lt;&gt;""," Completed","")</f>
        <v xml:space="preserve"> Completed</v>
      </c>
      <c r="J105" s="45" t="str">
        <f ca="1">IF(J103&lt;&gt;"","Completed","")</f>
        <v>Completed</v>
      </c>
      <c r="S105"/>
    </row>
    <row r="106" spans="1:19" ht="15.75" customHeight="1" x14ac:dyDescent="0.3">
      <c r="A106" s="105" t="s">
        <v>47</v>
      </c>
      <c r="B106" s="106"/>
      <c r="C106" s="72" t="s">
        <v>135</v>
      </c>
      <c r="D106" s="72" t="s">
        <v>80</v>
      </c>
      <c r="E106" s="106" t="s">
        <v>82</v>
      </c>
      <c r="F106" s="106"/>
      <c r="G106" s="106" t="s">
        <v>81</v>
      </c>
      <c r="H106" s="122"/>
      <c r="I106" s="13" t="s">
        <v>137</v>
      </c>
      <c r="J106" s="25">
        <f ca="1">H104*25%</f>
        <v>9.25</v>
      </c>
      <c r="S106"/>
    </row>
    <row r="107" spans="1:19" x14ac:dyDescent="0.3">
      <c r="A107" s="106" t="s">
        <v>124</v>
      </c>
      <c r="B107" s="106"/>
      <c r="C107" s="72">
        <f ca="1">J108</f>
        <v>37</v>
      </c>
      <c r="D107" s="73">
        <f ca="1">((100/H104)*C107)/100</f>
        <v>1</v>
      </c>
      <c r="E107" s="123">
        <f ca="1">(((C108/H104*10)+(40/(D104+F104+H104)*C109)+(7.5/(H104)*C110)+(7.5/(H104)*C111)+(10/H104*C112)+(10/H104*C113)+(5/H104*C114)+(5/H104*C115)+(5/H104*C116))/100)</f>
        <v>0.13157894736842107</v>
      </c>
      <c r="F107" s="123"/>
      <c r="G107" s="123">
        <f ca="1">((((C107/H104)*20)+((C108/H104)*25)+(30/(H104+F104+D104)*C109)+(5/H104*C110)+(5/H104*C111)+(5/H104*C112)+(5/H104*C113)+(0/H104*C114)+(0/H104*C115)+(5/H104*C116))/100)</f>
        <v>0.47368421052631576</v>
      </c>
      <c r="H107" s="123"/>
      <c r="I107" s="13" t="s">
        <v>96</v>
      </c>
      <c r="J107" s="26">
        <f ca="1">H104*50%</f>
        <v>18.5</v>
      </c>
    </row>
    <row r="108" spans="1:19" x14ac:dyDescent="0.3">
      <c r="A108" s="106" t="s">
        <v>48</v>
      </c>
      <c r="B108" s="106"/>
      <c r="C108" s="77">
        <f ca="1">J116</f>
        <v>37</v>
      </c>
      <c r="D108" s="73">
        <f ca="1">((100/H104)*C108)/100</f>
        <v>1</v>
      </c>
      <c r="E108" s="123"/>
      <c r="F108" s="123"/>
      <c r="G108" s="123"/>
      <c r="H108" s="123"/>
      <c r="I108" s="13" t="s">
        <v>97</v>
      </c>
      <c r="J108" s="26">
        <f ca="1">H104</f>
        <v>37</v>
      </c>
      <c r="S108"/>
    </row>
    <row r="109" spans="1:19" ht="15.75" customHeight="1" x14ac:dyDescent="0.3">
      <c r="A109" s="106" t="s">
        <v>125</v>
      </c>
      <c r="B109" s="106"/>
      <c r="C109" s="72">
        <v>3</v>
      </c>
      <c r="D109" s="73">
        <f ca="1">((100/(D104+F104+H104))*C109)/100</f>
        <v>7.8947368421052641E-2</v>
      </c>
      <c r="E109" s="123"/>
      <c r="F109" s="123"/>
      <c r="G109" s="123"/>
      <c r="H109" s="123"/>
      <c r="I109" s="13" t="s">
        <v>98</v>
      </c>
      <c r="J109" s="27">
        <f ca="1">(IF(B104&gt;1,(H104/(B104+2)),H104/4))</f>
        <v>9.25</v>
      </c>
      <c r="S109"/>
    </row>
    <row r="110" spans="1:19" ht="15.75" customHeight="1" x14ac:dyDescent="0.3">
      <c r="A110" s="106" t="s">
        <v>132</v>
      </c>
      <c r="B110" s="106" t="s">
        <v>126</v>
      </c>
      <c r="C110" s="72">
        <v>0</v>
      </c>
      <c r="D110" s="73">
        <f ca="1">((100/H104)*C110)/100</f>
        <v>0</v>
      </c>
      <c r="E110" s="123"/>
      <c r="F110" s="123"/>
      <c r="G110" s="123"/>
      <c r="H110" s="123"/>
      <c r="I110" s="13" t="s">
        <v>99</v>
      </c>
      <c r="J110" s="27">
        <f ca="1">(IF(B104&gt;1,(H104/(B104+2)+J109),H104/4+J109))</f>
        <v>18.5</v>
      </c>
    </row>
    <row r="111" spans="1:19" ht="15.75" customHeight="1" x14ac:dyDescent="0.3">
      <c r="A111" s="106" t="s">
        <v>133</v>
      </c>
      <c r="B111" s="106" t="s">
        <v>126</v>
      </c>
      <c r="C111" s="72">
        <v>0</v>
      </c>
      <c r="D111" s="73">
        <f ca="1">((100/H104)*C111)/100</f>
        <v>0</v>
      </c>
      <c r="E111" s="123"/>
      <c r="F111" s="123"/>
      <c r="G111" s="123"/>
      <c r="H111" s="123"/>
      <c r="I111" s="13" t="s">
        <v>144</v>
      </c>
      <c r="J111" s="27">
        <f>(IF(B104&gt;1,(H104/(B104+2)+J110),0))</f>
        <v>0</v>
      </c>
    </row>
    <row r="112" spans="1:19" ht="15" customHeight="1" x14ac:dyDescent="0.3">
      <c r="A112" s="106" t="s">
        <v>131</v>
      </c>
      <c r="B112" s="106" t="s">
        <v>128</v>
      </c>
      <c r="C112" s="72">
        <v>0</v>
      </c>
      <c r="D112" s="73">
        <f ca="1">((100/(H104))*C112)/100</f>
        <v>0</v>
      </c>
      <c r="E112" s="123"/>
      <c r="F112" s="123"/>
      <c r="G112" s="123"/>
      <c r="H112" s="123"/>
      <c r="I112" s="13" t="s">
        <v>139</v>
      </c>
      <c r="J112" s="27">
        <f>(IF(B104&gt;2,(H104/(B104+2)+J111),0))</f>
        <v>0</v>
      </c>
    </row>
    <row r="113" spans="1:22" ht="15.75" customHeight="1" x14ac:dyDescent="0.3">
      <c r="A113" s="106" t="s">
        <v>127</v>
      </c>
      <c r="B113" s="106" t="s">
        <v>127</v>
      </c>
      <c r="C113" s="72">
        <v>0</v>
      </c>
      <c r="D113" s="73">
        <f ca="1">((100/H104)*C113)/100</f>
        <v>0</v>
      </c>
      <c r="E113" s="123"/>
      <c r="F113" s="123"/>
      <c r="G113" s="123"/>
      <c r="H113" s="123"/>
      <c r="I113" s="13" t="s">
        <v>140</v>
      </c>
      <c r="J113" s="28">
        <f>(IF(B104&gt;3,(H104/(B104+2)+J112),0))</f>
        <v>0</v>
      </c>
    </row>
    <row r="114" spans="1:22" ht="15.75" customHeight="1" x14ac:dyDescent="0.3">
      <c r="A114" s="106" t="s">
        <v>134</v>
      </c>
      <c r="B114" s="106"/>
      <c r="C114" s="72">
        <v>0</v>
      </c>
      <c r="D114" s="73">
        <f ca="1">((100/H104)*C114)/100</f>
        <v>0</v>
      </c>
      <c r="E114" s="123"/>
      <c r="F114" s="123"/>
      <c r="G114" s="123"/>
      <c r="H114" s="123"/>
      <c r="I114" s="13" t="s">
        <v>141</v>
      </c>
      <c r="J114" s="27">
        <f>(IF(B104&gt;4,(H104/(B104+2)+J113),0))</f>
        <v>0</v>
      </c>
    </row>
    <row r="115" spans="1:22" ht="15.75" customHeight="1" x14ac:dyDescent="0.3">
      <c r="A115" s="106" t="s">
        <v>129</v>
      </c>
      <c r="B115" s="106" t="s">
        <v>129</v>
      </c>
      <c r="C115" s="72">
        <v>0</v>
      </c>
      <c r="D115" s="73">
        <f ca="1">((100/(H104))*C115)/100</f>
        <v>0</v>
      </c>
      <c r="E115" s="123"/>
      <c r="F115" s="123"/>
      <c r="G115" s="123"/>
      <c r="H115" s="123"/>
      <c r="I115" s="13" t="s">
        <v>145</v>
      </c>
      <c r="J115" s="27">
        <f ca="1">(IF(B104=1,(H104/(B104+3)+J110),IF(B104=0,(H104/4+J110),IF(B104&gt;1,0))))</f>
        <v>27.75</v>
      </c>
    </row>
    <row r="116" spans="1:22" ht="16.2" thickBot="1" x14ac:dyDescent="0.35">
      <c r="A116" s="106" t="s">
        <v>130</v>
      </c>
      <c r="B116" s="106"/>
      <c r="C116" s="72">
        <v>0</v>
      </c>
      <c r="D116" s="73">
        <f ca="1">((100/(H104))*C116)/100</f>
        <v>0</v>
      </c>
      <c r="E116" s="123"/>
      <c r="F116" s="123"/>
      <c r="G116" s="123"/>
      <c r="H116" s="123"/>
      <c r="I116" s="14" t="s">
        <v>100</v>
      </c>
      <c r="J116" s="29">
        <f ca="1">(IF(B104&gt;1.5,(H104/(B104+2)+J110+MAX(0,J111-J110)+MAX(0,J112-J111)+MAX(0,J113-J112)+MAX(0,J114-J113)+MAX(0,J115-J114)),IF(B104=1,(H104/(B104+3)+J115),IF(B104=0,H104/4+J115))))</f>
        <v>37</v>
      </c>
    </row>
    <row r="117" spans="1:22" x14ac:dyDescent="0.3">
      <c r="A117" s="119" t="s">
        <v>156</v>
      </c>
      <c r="B117" s="119"/>
      <c r="C117" s="119"/>
      <c r="D117" s="119"/>
      <c r="E117" s="119"/>
      <c r="F117" s="192" t="s">
        <v>160</v>
      </c>
      <c r="G117" s="192"/>
      <c r="H117" s="192"/>
      <c r="R117" t="s">
        <v>256</v>
      </c>
      <c r="S117" t="s">
        <v>172</v>
      </c>
      <c r="T117" t="s">
        <v>181</v>
      </c>
      <c r="U117" t="s">
        <v>195</v>
      </c>
      <c r="V117" t="s">
        <v>190</v>
      </c>
    </row>
    <row r="118" spans="1:22" x14ac:dyDescent="0.3">
      <c r="A118" s="145" t="s">
        <v>158</v>
      </c>
      <c r="B118" s="145"/>
      <c r="C118" s="145"/>
      <c r="D118" s="145"/>
      <c r="E118" s="145"/>
      <c r="F118" s="149">
        <v>22700</v>
      </c>
      <c r="G118" s="149"/>
      <c r="H118" s="149"/>
      <c r="I118" s="18" t="s">
        <v>435</v>
      </c>
      <c r="R118"/>
      <c r="S118">
        <v>800000</v>
      </c>
      <c r="T118">
        <v>150000</v>
      </c>
      <c r="U118">
        <v>100000</v>
      </c>
      <c r="V118">
        <v>100000</v>
      </c>
    </row>
    <row r="119" spans="1:22" hidden="1" x14ac:dyDescent="0.3">
      <c r="A119" s="145" t="s">
        <v>157</v>
      </c>
      <c r="B119" s="145"/>
      <c r="C119" s="145"/>
      <c r="D119" s="145"/>
      <c r="E119" s="145"/>
      <c r="F119" s="149"/>
      <c r="G119" s="149"/>
      <c r="H119" s="149"/>
      <c r="R119"/>
      <c r="S119">
        <v>900000</v>
      </c>
      <c r="T119">
        <v>200000</v>
      </c>
      <c r="U119">
        <v>150000</v>
      </c>
      <c r="V119">
        <v>150000</v>
      </c>
    </row>
    <row r="120" spans="1:22" hidden="1" x14ac:dyDescent="0.3">
      <c r="A120" s="127" t="s">
        <v>159</v>
      </c>
      <c r="B120" s="127"/>
      <c r="C120" s="127"/>
      <c r="D120" s="127"/>
      <c r="E120" s="127"/>
      <c r="F120" s="149"/>
      <c r="G120" s="149"/>
      <c r="H120" s="149"/>
      <c r="R120"/>
      <c r="S120">
        <v>1000000</v>
      </c>
      <c r="T120">
        <v>250000</v>
      </c>
      <c r="U120">
        <v>200000</v>
      </c>
      <c r="V120">
        <v>200000</v>
      </c>
    </row>
    <row r="121" spans="1:22" s="30" customFormat="1" hidden="1" x14ac:dyDescent="0.3">
      <c r="A121" s="127" t="s">
        <v>175</v>
      </c>
      <c r="B121" s="127"/>
      <c r="C121" s="127"/>
      <c r="D121" s="127"/>
      <c r="E121" s="127"/>
      <c r="F121" s="149"/>
      <c r="G121" s="149"/>
      <c r="H121" s="149"/>
      <c r="R121"/>
      <c r="S121">
        <v>1100000</v>
      </c>
      <c r="T121">
        <v>300000</v>
      </c>
      <c r="U121">
        <v>250000</v>
      </c>
      <c r="V121" s="20">
        <v>250000</v>
      </c>
    </row>
    <row r="122" spans="1:22" s="30" customFormat="1" x14ac:dyDescent="0.3">
      <c r="A122" s="127" t="s">
        <v>436</v>
      </c>
      <c r="B122" s="127"/>
      <c r="C122" s="127"/>
      <c r="D122" s="127"/>
      <c r="E122" s="127"/>
      <c r="F122" s="149">
        <v>308280</v>
      </c>
      <c r="G122" s="149"/>
      <c r="H122" s="149"/>
      <c r="R122"/>
      <c r="S122">
        <v>1300000</v>
      </c>
      <c r="T122">
        <v>400000</v>
      </c>
      <c r="U122">
        <v>350000</v>
      </c>
      <c r="V122" s="20">
        <v>400000</v>
      </c>
    </row>
    <row r="123" spans="1:22" s="30" customFormat="1" hidden="1" x14ac:dyDescent="0.3">
      <c r="A123" s="127" t="s">
        <v>92</v>
      </c>
      <c r="B123" s="127"/>
      <c r="C123" s="127"/>
      <c r="D123" s="127"/>
      <c r="E123" s="127"/>
      <c r="F123" s="149"/>
      <c r="G123" s="149"/>
      <c r="H123" s="149"/>
      <c r="R123"/>
      <c r="S123">
        <v>1200000</v>
      </c>
      <c r="T123">
        <v>350000</v>
      </c>
      <c r="U123">
        <v>300000</v>
      </c>
      <c r="V123">
        <v>300000</v>
      </c>
    </row>
    <row r="124" spans="1:22" s="30" customFormat="1" hidden="1" x14ac:dyDescent="0.3">
      <c r="A124" s="127" t="s">
        <v>93</v>
      </c>
      <c r="B124" s="127"/>
      <c r="C124" s="127"/>
      <c r="D124" s="127"/>
      <c r="E124" s="127"/>
      <c r="F124" s="149"/>
      <c r="G124" s="149"/>
      <c r="H124" s="149"/>
      <c r="R124"/>
      <c r="S124">
        <v>1300000</v>
      </c>
      <c r="T124">
        <v>400000</v>
      </c>
      <c r="U124">
        <v>350000</v>
      </c>
      <c r="V124" s="20">
        <v>400000</v>
      </c>
    </row>
    <row r="125" spans="1:22" s="30" customFormat="1" x14ac:dyDescent="0.3">
      <c r="A125" s="127" t="s">
        <v>437</v>
      </c>
      <c r="B125" s="127"/>
      <c r="C125" s="127"/>
      <c r="D125" s="127"/>
      <c r="E125" s="127"/>
      <c r="F125" s="149">
        <v>100000</v>
      </c>
      <c r="G125" s="149"/>
      <c r="H125" s="149"/>
      <c r="R125"/>
      <c r="S125">
        <v>1500000</v>
      </c>
      <c r="T125">
        <v>600000</v>
      </c>
      <c r="U125">
        <v>500000</v>
      </c>
      <c r="V125" s="20"/>
    </row>
    <row r="126" spans="1:22" s="30" customFormat="1" x14ac:dyDescent="0.3">
      <c r="A126" s="127" t="s">
        <v>438</v>
      </c>
      <c r="B126" s="127"/>
      <c r="C126" s="127"/>
      <c r="D126" s="127"/>
      <c r="E126" s="127"/>
      <c r="F126" s="149">
        <v>10000</v>
      </c>
      <c r="G126" s="149"/>
      <c r="H126" s="149"/>
      <c r="R126"/>
      <c r="S126">
        <v>1500000</v>
      </c>
      <c r="T126">
        <v>600000</v>
      </c>
      <c r="U126">
        <v>500000</v>
      </c>
      <c r="V126" s="20"/>
    </row>
    <row r="127" spans="1:22" s="30" customFormat="1" x14ac:dyDescent="0.3">
      <c r="A127" s="127" t="s">
        <v>439</v>
      </c>
      <c r="B127" s="127"/>
      <c r="C127" s="127"/>
      <c r="D127" s="127"/>
      <c r="E127" s="127"/>
      <c r="F127" s="149">
        <v>1468000</v>
      </c>
      <c r="G127" s="149"/>
      <c r="H127" s="149"/>
      <c r="R127"/>
      <c r="S127">
        <v>1500000</v>
      </c>
      <c r="T127">
        <v>600000</v>
      </c>
      <c r="U127">
        <v>500000</v>
      </c>
      <c r="V127" s="20"/>
    </row>
    <row r="128" spans="1:22" s="30" customFormat="1" x14ac:dyDescent="0.3">
      <c r="A128" s="127" t="s">
        <v>440</v>
      </c>
      <c r="B128" s="127"/>
      <c r="C128" s="127"/>
      <c r="D128" s="127"/>
      <c r="E128" s="127"/>
      <c r="F128" s="149">
        <v>20000</v>
      </c>
      <c r="G128" s="149"/>
      <c r="H128" s="149"/>
      <c r="R128"/>
      <c r="S128">
        <v>1400000</v>
      </c>
      <c r="T128">
        <v>500000</v>
      </c>
      <c r="U128">
        <v>400000</v>
      </c>
      <c r="V128"/>
    </row>
    <row r="129" spans="1:22" s="30" customFormat="1" x14ac:dyDescent="0.3">
      <c r="A129" s="127" t="s">
        <v>441</v>
      </c>
      <c r="B129" s="127"/>
      <c r="C129" s="127"/>
      <c r="D129" s="127"/>
      <c r="E129" s="127"/>
      <c r="F129" s="149">
        <v>91750</v>
      </c>
      <c r="G129" s="149"/>
      <c r="H129" s="149"/>
      <c r="R129"/>
      <c r="S129">
        <v>1700000</v>
      </c>
      <c r="T129">
        <v>800000</v>
      </c>
      <c r="U129"/>
      <c r="V129" s="20"/>
    </row>
    <row r="130" spans="1:22" s="30" customFormat="1" hidden="1" x14ac:dyDescent="0.3">
      <c r="A130" s="206" t="s">
        <v>94</v>
      </c>
      <c r="B130" s="207"/>
      <c r="C130" s="207"/>
      <c r="D130" s="207"/>
      <c r="E130" s="208"/>
      <c r="F130" s="212"/>
      <c r="G130" s="213"/>
      <c r="H130" s="214"/>
      <c r="R130"/>
      <c r="S130">
        <v>1600000</v>
      </c>
      <c r="T130">
        <v>700000</v>
      </c>
      <c r="U130">
        <v>600000</v>
      </c>
      <c r="V130"/>
    </row>
    <row r="131" spans="1:22" s="30" customFormat="1" hidden="1" x14ac:dyDescent="0.3">
      <c r="A131" s="127" t="s">
        <v>95</v>
      </c>
      <c r="B131" s="127"/>
      <c r="C131" s="127"/>
      <c r="D131" s="127"/>
      <c r="E131" s="127"/>
      <c r="F131" s="149"/>
      <c r="G131" s="149"/>
      <c r="H131" s="149"/>
      <c r="R131"/>
      <c r="S131">
        <v>1700000</v>
      </c>
      <c r="T131">
        <v>800000</v>
      </c>
      <c r="U131"/>
      <c r="V131" s="20"/>
    </row>
    <row r="132" spans="1:22" x14ac:dyDescent="0.3">
      <c r="A132" s="127" t="s">
        <v>49</v>
      </c>
      <c r="B132" s="127"/>
      <c r="C132" s="127"/>
      <c r="D132" s="127"/>
      <c r="E132" s="127"/>
      <c r="F132" s="149">
        <v>1200000</v>
      </c>
      <c r="G132" s="149"/>
      <c r="H132" s="149"/>
      <c r="R132"/>
      <c r="S132">
        <v>1800000</v>
      </c>
      <c r="T132">
        <v>900000</v>
      </c>
      <c r="U132"/>
    </row>
    <row r="133" spans="1:22" s="31" customFormat="1" x14ac:dyDescent="0.3">
      <c r="A133" s="155" t="s">
        <v>50</v>
      </c>
      <c r="B133" s="155"/>
      <c r="C133" s="155"/>
      <c r="D133" s="155"/>
      <c r="E133" s="155"/>
      <c r="F133" s="149">
        <f>F118*0.8</f>
        <v>18160</v>
      </c>
      <c r="G133" s="149"/>
      <c r="H133" s="149"/>
      <c r="R133" s="18"/>
      <c r="S133" s="18"/>
      <c r="T133">
        <v>1000000</v>
      </c>
      <c r="U133"/>
      <c r="V133" s="18"/>
    </row>
    <row r="134" spans="1:22" s="32" customFormat="1" ht="15.75" hidden="1" customHeight="1" x14ac:dyDescent="0.3">
      <c r="A134" s="134" t="s">
        <v>72</v>
      </c>
      <c r="B134" s="134"/>
      <c r="C134" s="134"/>
      <c r="D134" s="134"/>
      <c r="E134" s="134"/>
      <c r="F134" s="134"/>
      <c r="G134" s="134"/>
      <c r="H134" s="134"/>
      <c r="R134"/>
      <c r="S134" s="18"/>
      <c r="T134"/>
      <c r="U134"/>
      <c r="V134" s="18"/>
    </row>
    <row r="135" spans="1:22" s="32" customFormat="1" ht="15.75" hidden="1" customHeight="1" x14ac:dyDescent="0.3">
      <c r="A135" s="137" t="s">
        <v>51</v>
      </c>
      <c r="B135" s="137"/>
      <c r="C135" s="135" t="s">
        <v>75</v>
      </c>
      <c r="D135" s="135"/>
      <c r="E135" s="136" t="s">
        <v>52</v>
      </c>
      <c r="F135" s="136"/>
      <c r="G135" s="137" t="s">
        <v>53</v>
      </c>
      <c r="H135" s="137"/>
      <c r="R135"/>
      <c r="S135" s="18"/>
      <c r="T135"/>
      <c r="U135" s="18"/>
      <c r="V135" s="18"/>
    </row>
    <row r="136" spans="1:22" s="32" customFormat="1" hidden="1" x14ac:dyDescent="0.3">
      <c r="A136" s="138"/>
      <c r="B136" s="138"/>
      <c r="C136" s="131"/>
      <c r="D136" s="131"/>
      <c r="E136" s="132"/>
      <c r="F136" s="132"/>
      <c r="G136" s="133"/>
      <c r="H136" s="133"/>
      <c r="R136"/>
      <c r="S136" s="18"/>
      <c r="T136"/>
      <c r="U136" s="18"/>
      <c r="V136" s="18"/>
    </row>
    <row r="137" spans="1:22" s="32" customFormat="1" hidden="1" x14ac:dyDescent="0.3">
      <c r="A137" s="138"/>
      <c r="B137" s="138"/>
      <c r="C137" s="131"/>
      <c r="D137" s="131"/>
      <c r="E137" s="132"/>
      <c r="F137" s="132"/>
      <c r="G137" s="133"/>
      <c r="H137" s="133"/>
      <c r="R137"/>
      <c r="S137" s="18"/>
      <c r="T137"/>
      <c r="U137" s="18"/>
      <c r="V137" s="18"/>
    </row>
    <row r="138" spans="1:22" s="32" customFormat="1" hidden="1" x14ac:dyDescent="0.3">
      <c r="A138" s="134" t="s">
        <v>149</v>
      </c>
      <c r="B138" s="134"/>
      <c r="C138" s="135"/>
      <c r="D138" s="135"/>
      <c r="E138" s="136"/>
      <c r="F138" s="136"/>
      <c r="G138" s="137"/>
      <c r="H138" s="137"/>
      <c r="R138"/>
      <c r="S138" s="18"/>
      <c r="T138"/>
      <c r="U138" s="18"/>
      <c r="V138" s="18"/>
    </row>
    <row r="139" spans="1:22" s="32" customFormat="1" x14ac:dyDescent="0.3">
      <c r="A139" s="134" t="s">
        <v>67</v>
      </c>
      <c r="B139" s="134"/>
      <c r="C139" s="134"/>
      <c r="D139" s="134"/>
      <c r="E139" s="134"/>
      <c r="F139" s="134"/>
      <c r="G139" s="134"/>
      <c r="H139" s="134"/>
      <c r="T139"/>
    </row>
    <row r="140" spans="1:22" s="32" customFormat="1" ht="15.75" customHeight="1" x14ac:dyDescent="0.3">
      <c r="A140" s="137" t="s">
        <v>51</v>
      </c>
      <c r="B140" s="137"/>
      <c r="C140" s="135" t="s">
        <v>75</v>
      </c>
      <c r="D140" s="135"/>
      <c r="E140" s="136" t="s">
        <v>52</v>
      </c>
      <c r="F140" s="136"/>
      <c r="G140" s="137" t="s">
        <v>53</v>
      </c>
      <c r="H140" s="137"/>
      <c r="T140"/>
    </row>
    <row r="141" spans="1:22" s="32" customFormat="1" x14ac:dyDescent="0.3">
      <c r="A141" s="138" t="s">
        <v>377</v>
      </c>
      <c r="B141" s="138"/>
      <c r="C141" s="139">
        <f>COUNT(D162:D163)+COUNT(D167:D170)*3+COUNT(D172:D175)+COUNT(D177:D180)+COUNT(D182:D183,D186:D189)+COUNT(D191:D198)*6+COUNT(D200:D201,D204:D207)*3+COUNT(D209:D216)*20+COUNT(D218:D219,D221:D225)</f>
        <v>261</v>
      </c>
      <c r="D141" s="139"/>
      <c r="E141" s="139">
        <f t="shared" ref="E141" si="0">SUM(F162:F163)+SUM(F167:F170)*3+SUM(F172:F175)+SUM(F177:F180)+SUM(F182:F183,F186:F189)+SUM(F191:F198)*6+SUM(F200:F201,F204:F207)*3+SUM(F209:F216)*20+SUM(F218:F219,F221:F225)</f>
        <v>176709.76783200004</v>
      </c>
      <c r="F141" s="139"/>
      <c r="G141" s="139">
        <f t="shared" ref="G141" si="1">SUM(H162:H163)+SUM(H167:H170)*3+SUM(H172:H175)+SUM(H177:H180)+SUM(H182:H183,H186:H189)+SUM(H191:H198)*6+SUM(H200:H201,H204:H207)*3+SUM(H209:H216)*20+SUM(H218:H219,H221:H225)</f>
        <v>265064.65174800006</v>
      </c>
      <c r="H141" s="139"/>
      <c r="T141"/>
    </row>
    <row r="142" spans="1:22" s="32" customFormat="1" x14ac:dyDescent="0.3">
      <c r="A142" s="138" t="s">
        <v>395</v>
      </c>
      <c r="B142" s="138"/>
      <c r="C142" s="139">
        <f>COUNT(D230:D231)+COUNT(D235:D238)*3+COUNT(D240:D243)+COUNT(D245:D248)+COUNT(D252:D255)*3+COUNT(D257:D262)*15+COUNT(D266:D269)</f>
        <v>128</v>
      </c>
      <c r="D142" s="139"/>
      <c r="E142" s="139">
        <f t="shared" ref="E142" si="2">SUM(F230:F231)+SUM(F235:F238)*3+SUM(F240:F243)+SUM(F245:F248)+SUM(F252:F255)*3+SUM(F257:F262)*15+SUM(F266:F269)</f>
        <v>182752.80929100001</v>
      </c>
      <c r="F142" s="139"/>
      <c r="G142" s="139">
        <f t="shared" ref="G142" si="3">SUM(H230:H231)+SUM(H235:H238)*3+SUM(H240:H243)+SUM(H245:H248)+SUM(H252:H255)*3+SUM(H257:H262)*15+SUM(H266:H269)</f>
        <v>274129.21393649996</v>
      </c>
      <c r="H142" s="139"/>
      <c r="T142"/>
    </row>
    <row r="143" spans="1:22" s="32" customFormat="1" x14ac:dyDescent="0.3">
      <c r="A143" s="138" t="s">
        <v>396</v>
      </c>
      <c r="B143" s="138"/>
      <c r="C143" s="139">
        <f>COUNT(D274:D275)+COUNT(D279:D282)*2+COUNT(D284:D287)+COUNT(D289:D292)+COUNT(D294:D297)+COUNT(D299:D300,D303:D306)*2+COUNT(D308:D315)*8+COUNT(D317:D324)*18+COUNT(D326:D327,D330:D333)*2+COUNT(D335:D336,D338:D342)</f>
        <v>261</v>
      </c>
      <c r="D143" s="139"/>
      <c r="E143" s="139">
        <f t="shared" ref="E143" si="4">SUM(F274:F275)+SUM(F279:F282)*2+SUM(F284:F287)+SUM(F289:F292)+SUM(F294:F297)+SUM(F299:F300,F303:F306)*2+SUM(F308:F315)*8+SUM(F317:F324)*18+SUM(F326:F327,F330:F333)*2+SUM(F335:F336,F338:F342)</f>
        <v>177513.063624</v>
      </c>
      <c r="F143" s="139"/>
      <c r="G143" s="139">
        <f t="shared" ref="G143" si="5">SUM(H274:H275)+SUM(H279:H282)*2+SUM(H284:H287)+SUM(H289:H292)+SUM(H294:H297)+SUM(H299:H300,H303:H306)*2+SUM(H308:H315)*8+SUM(H317:H324)*18+SUM(H326:H327,H330:H333)*2+SUM(H335:H336,H338:H342)</f>
        <v>266269.59543600003</v>
      </c>
      <c r="H143" s="139"/>
      <c r="T143"/>
    </row>
    <row r="144" spans="1:22" s="32" customFormat="1" ht="16.2" thickBot="1" x14ac:dyDescent="0.35">
      <c r="A144" s="128" t="s">
        <v>149</v>
      </c>
      <c r="B144" s="128"/>
      <c r="C144" s="129">
        <f>C141+C142+C143</f>
        <v>650</v>
      </c>
      <c r="D144" s="130"/>
      <c r="E144" s="129">
        <f t="shared" ref="E144" si="6">E141+E142+E143</f>
        <v>536975.640747</v>
      </c>
      <c r="F144" s="130"/>
      <c r="G144" s="129">
        <f t="shared" ref="G144" si="7">G141+G142+G143</f>
        <v>805463.4611205</v>
      </c>
      <c r="H144" s="130"/>
      <c r="T144"/>
    </row>
    <row r="145" spans="1:20" s="32" customFormat="1" ht="16.2" thickBot="1" x14ac:dyDescent="0.35">
      <c r="A145" s="199" t="s">
        <v>166</v>
      </c>
      <c r="B145" s="200"/>
      <c r="C145" s="201">
        <f>C138+C144</f>
        <v>650</v>
      </c>
      <c r="D145" s="201"/>
      <c r="E145" s="202">
        <f>E138+E144</f>
        <v>536975.640747</v>
      </c>
      <c r="F145" s="202"/>
      <c r="G145" s="217">
        <f>G138+G144</f>
        <v>805463.4611205</v>
      </c>
      <c r="H145" s="218"/>
      <c r="T145"/>
    </row>
    <row r="146" spans="1:20" s="31" customFormat="1" x14ac:dyDescent="0.3">
      <c r="A146" s="196" t="s">
        <v>54</v>
      </c>
      <c r="B146" s="196"/>
      <c r="C146" s="196"/>
      <c r="D146" s="196"/>
      <c r="E146" s="196"/>
      <c r="F146" s="196"/>
      <c r="G146" s="196"/>
      <c r="H146" s="196"/>
      <c r="T146" s="32"/>
    </row>
    <row r="147" spans="1:20" x14ac:dyDescent="0.3">
      <c r="A147" s="192" t="s">
        <v>174</v>
      </c>
      <c r="B147" s="192"/>
      <c r="C147" s="192"/>
      <c r="D147" s="192"/>
      <c r="E147" s="192"/>
      <c r="F147" s="192"/>
      <c r="G147" s="192"/>
      <c r="H147" s="192"/>
      <c r="T147" s="32"/>
    </row>
    <row r="148" spans="1:20" ht="47.25" hidden="1" customHeight="1" x14ac:dyDescent="0.3">
      <c r="A148" s="102" t="s">
        <v>422</v>
      </c>
      <c r="B148" s="102" t="s">
        <v>177</v>
      </c>
      <c r="C148" s="102" t="s">
        <v>55</v>
      </c>
      <c r="D148" s="102" t="s">
        <v>234</v>
      </c>
      <c r="E148" s="142" t="s">
        <v>155</v>
      </c>
      <c r="F148" s="102" t="s">
        <v>56</v>
      </c>
      <c r="G148" s="142" t="s">
        <v>57</v>
      </c>
      <c r="H148" s="69" t="s">
        <v>147</v>
      </c>
      <c r="T148" s="32"/>
    </row>
    <row r="149" spans="1:20" s="34" customFormat="1" hidden="1" x14ac:dyDescent="0.3">
      <c r="A149" s="103"/>
      <c r="B149" s="103"/>
      <c r="C149" s="103"/>
      <c r="D149" s="103"/>
      <c r="E149" s="143"/>
      <c r="F149" s="103"/>
      <c r="G149" s="143"/>
      <c r="H149" s="70">
        <v>0.45</v>
      </c>
      <c r="T149" s="32"/>
    </row>
    <row r="150" spans="1:20" s="34" customFormat="1" hidden="1" x14ac:dyDescent="0.3">
      <c r="A150" s="146" t="s">
        <v>115</v>
      </c>
      <c r="B150" s="147"/>
      <c r="C150" s="147"/>
      <c r="D150" s="147"/>
      <c r="E150" s="147"/>
      <c r="F150" s="147"/>
      <c r="G150" s="147"/>
      <c r="H150" s="148"/>
      <c r="J150" s="33"/>
      <c r="T150" s="32"/>
    </row>
    <row r="151" spans="1:20" s="34" customFormat="1" ht="15.75" hidden="1" customHeight="1" x14ac:dyDescent="0.3">
      <c r="A151" s="193">
        <v>1</v>
      </c>
      <c r="B151" s="194"/>
      <c r="C151" s="71"/>
      <c r="D151" s="71">
        <v>0</v>
      </c>
      <c r="E151" s="71">
        <v>0</v>
      </c>
      <c r="F151" s="71">
        <f>D151+(IF(E151&lt;201,E151,IF(E151&lt;301,E151/2,E151/3)))</f>
        <v>0</v>
      </c>
      <c r="G151" s="71">
        <v>0</v>
      </c>
      <c r="H151" s="71">
        <f>(F151+(IF(G151&lt;101,G151,IF(G151&lt;201,G151/2,IF(G151&lt;=301,G151/3,G151/4)))))*(($H$149)+1)</f>
        <v>0</v>
      </c>
      <c r="I151" s="33"/>
      <c r="L151" s="84"/>
      <c r="M151" s="84"/>
      <c r="N151" s="33"/>
      <c r="T151" s="32"/>
    </row>
    <row r="152" spans="1:20" s="34" customFormat="1" ht="15.75" hidden="1" customHeight="1" x14ac:dyDescent="0.3">
      <c r="A152" s="193">
        <f>A151+1</f>
        <v>2</v>
      </c>
      <c r="B152" s="194"/>
      <c r="C152" s="71"/>
      <c r="D152" s="71"/>
      <c r="E152" s="71">
        <v>0</v>
      </c>
      <c r="F152" s="71">
        <f t="shared" ref="F152:F154" si="8">D152+(IF(E152&lt;201,E152,IF(E152&lt;301,E152/2,E152/3)))</f>
        <v>0</v>
      </c>
      <c r="G152" s="71">
        <v>0</v>
      </c>
      <c r="H152" s="71">
        <f t="shared" ref="H152:H154" si="9">(F152+(IF(G152&lt;101,G152,IF(G152&lt;201,G152/2,IF(G152&lt;=301,G152/3,G152/4)))))*(($H$149)+1)</f>
        <v>0</v>
      </c>
      <c r="I152" s="33"/>
      <c r="L152" s="84"/>
      <c r="M152" s="84"/>
      <c r="N152" s="33"/>
      <c r="T152" s="31"/>
    </row>
    <row r="153" spans="1:20" s="34" customFormat="1" ht="15.75" hidden="1" customHeight="1" x14ac:dyDescent="0.3">
      <c r="A153" s="193">
        <f>A152+1</f>
        <v>3</v>
      </c>
      <c r="B153" s="194"/>
      <c r="C153" s="71"/>
      <c r="D153" s="71"/>
      <c r="E153" s="71">
        <v>0</v>
      </c>
      <c r="F153" s="71">
        <f t="shared" si="8"/>
        <v>0</v>
      </c>
      <c r="G153" s="71">
        <v>0</v>
      </c>
      <c r="H153" s="71">
        <f t="shared" si="9"/>
        <v>0</v>
      </c>
      <c r="I153" s="33"/>
      <c r="L153" s="84"/>
      <c r="M153" s="84"/>
      <c r="N153" s="33"/>
      <c r="T153" s="18"/>
    </row>
    <row r="154" spans="1:20" s="34" customFormat="1" ht="15.75" hidden="1" customHeight="1" x14ac:dyDescent="0.3">
      <c r="A154" s="193">
        <f>A153+1</f>
        <v>4</v>
      </c>
      <c r="B154" s="194"/>
      <c r="C154" s="71"/>
      <c r="D154" s="71"/>
      <c r="E154" s="71">
        <v>0</v>
      </c>
      <c r="F154" s="71">
        <f t="shared" si="8"/>
        <v>0</v>
      </c>
      <c r="G154" s="71">
        <v>0</v>
      </c>
      <c r="H154" s="71">
        <f t="shared" si="9"/>
        <v>0</v>
      </c>
      <c r="I154" s="33"/>
      <c r="L154" s="84"/>
      <c r="M154" s="84"/>
      <c r="N154" s="33"/>
      <c r="T154" s="18"/>
    </row>
    <row r="155" spans="1:20" s="34" customFormat="1" hidden="1" x14ac:dyDescent="0.3">
      <c r="A155" s="193"/>
      <c r="B155" s="195"/>
      <c r="C155" s="195"/>
      <c r="D155" s="195"/>
      <c r="E155" s="195"/>
      <c r="F155" s="195"/>
      <c r="G155" s="195"/>
      <c r="H155" s="194"/>
      <c r="I155" s="33"/>
      <c r="N155" s="33"/>
    </row>
    <row r="156" spans="1:20" ht="47.25" customHeight="1" x14ac:dyDescent="0.3">
      <c r="A156" s="197" t="s">
        <v>423</v>
      </c>
      <c r="B156" s="102" t="s">
        <v>178</v>
      </c>
      <c r="C156" s="102" t="s">
        <v>55</v>
      </c>
      <c r="D156" s="102" t="s">
        <v>385</v>
      </c>
      <c r="E156" s="102" t="s">
        <v>233</v>
      </c>
      <c r="F156" s="102" t="s">
        <v>56</v>
      </c>
      <c r="G156" s="142" t="s">
        <v>57</v>
      </c>
      <c r="H156" s="69" t="s">
        <v>147</v>
      </c>
      <c r="I156" s="33"/>
      <c r="L156" s="39">
        <v>10.763999999999999</v>
      </c>
      <c r="T156" s="34"/>
    </row>
    <row r="157" spans="1:20" s="34" customFormat="1" x14ac:dyDescent="0.3">
      <c r="A157" s="198"/>
      <c r="B157" s="103"/>
      <c r="C157" s="103"/>
      <c r="D157" s="103"/>
      <c r="E157" s="103"/>
      <c r="F157" s="103"/>
      <c r="G157" s="143"/>
      <c r="H157" s="70">
        <v>0.5</v>
      </c>
      <c r="I157" s="33"/>
    </row>
    <row r="158" spans="1:20" s="34" customFormat="1" x14ac:dyDescent="0.3">
      <c r="A158" s="98" t="s">
        <v>377</v>
      </c>
      <c r="B158" s="99"/>
      <c r="C158" s="99"/>
      <c r="D158" s="99"/>
      <c r="E158" s="99"/>
      <c r="F158" s="99"/>
      <c r="G158" s="99"/>
      <c r="H158" s="100"/>
      <c r="J158" s="33"/>
    </row>
    <row r="159" spans="1:20" s="34" customFormat="1" x14ac:dyDescent="0.3">
      <c r="A159" s="98" t="s">
        <v>378</v>
      </c>
      <c r="B159" s="99"/>
      <c r="C159" s="99"/>
      <c r="D159" s="99"/>
      <c r="E159" s="99"/>
      <c r="F159" s="99"/>
      <c r="G159" s="99"/>
      <c r="H159" s="100"/>
      <c r="J159" s="33"/>
    </row>
    <row r="160" spans="1:20" s="34" customFormat="1" x14ac:dyDescent="0.3">
      <c r="A160" s="98" t="s">
        <v>380</v>
      </c>
      <c r="B160" s="99"/>
      <c r="C160" s="99"/>
      <c r="D160" s="99"/>
      <c r="E160" s="99"/>
      <c r="F160" s="99"/>
      <c r="G160" s="99"/>
      <c r="H160" s="100"/>
      <c r="J160" s="33"/>
    </row>
    <row r="161" spans="1:20" s="34" customFormat="1" x14ac:dyDescent="0.3">
      <c r="A161" s="98" t="s">
        <v>379</v>
      </c>
      <c r="B161" s="99"/>
      <c r="C161" s="99"/>
      <c r="D161" s="99"/>
      <c r="E161" s="99"/>
      <c r="F161" s="99"/>
      <c r="G161" s="99"/>
      <c r="H161" s="100"/>
      <c r="I161" s="34">
        <v>1</v>
      </c>
      <c r="J161" s="33"/>
    </row>
    <row r="162" spans="1:20" s="34" customFormat="1" ht="15.75" customHeight="1" x14ac:dyDescent="0.3">
      <c r="A162" s="82">
        <v>1</v>
      </c>
      <c r="B162" s="83"/>
      <c r="C162" s="39" t="s">
        <v>381</v>
      </c>
      <c r="D162" s="39">
        <f>(68.265)*10.764</f>
        <v>734.80445999999995</v>
      </c>
      <c r="E162" s="39">
        <v>0</v>
      </c>
      <c r="F162" s="39">
        <f>D162+E162</f>
        <v>734.80445999999995</v>
      </c>
      <c r="G162" s="39">
        <v>0</v>
      </c>
      <c r="H162" s="39">
        <f>F162*(($H$157)+1)+(IF(G162&lt;101,G162,IF(G162&lt;201,G162/2,IF(G162&lt;=301,G162/3,G162/4))))</f>
        <v>1102.20669</v>
      </c>
      <c r="I162" s="33">
        <f>3.17*5.11+2.13*3.25+2.96*3.3+3.05*3.59+2.485*2.275+2.275*(1.375+1.375)+(3.475+1.185)*1+(0.75+1.81)*0.63+0.78*2.425+0.3+0.2*1.945</f>
        <v>64.601624999999999</v>
      </c>
      <c r="L162" s="84"/>
      <c r="M162" s="84"/>
      <c r="N162" s="33"/>
    </row>
    <row r="163" spans="1:20" s="34" customFormat="1" ht="15.75" customHeight="1" x14ac:dyDescent="0.3">
      <c r="A163" s="82">
        <f>A162+1</f>
        <v>2</v>
      </c>
      <c r="B163" s="83"/>
      <c r="C163" s="39" t="s">
        <v>382</v>
      </c>
      <c r="D163" s="39">
        <f>(58.508)*10.764</f>
        <v>629.78011200000003</v>
      </c>
      <c r="E163" s="39">
        <v>0</v>
      </c>
      <c r="F163" s="39">
        <f>D163+E163</f>
        <v>629.78011200000003</v>
      </c>
      <c r="G163" s="39">
        <v>0</v>
      </c>
      <c r="H163" s="39">
        <f>F163*(($H$157)+1)+(IF(G163&lt;101,G163,IF(G163&lt;201,G163/2,IF(G163&lt;=301,G163/3,G163/4))))</f>
        <v>944.6701680000001</v>
      </c>
      <c r="I163" s="33"/>
      <c r="L163" s="84"/>
      <c r="M163" s="84"/>
      <c r="N163" s="33"/>
    </row>
    <row r="164" spans="1:20" s="34" customFormat="1" ht="15.75" customHeight="1" x14ac:dyDescent="0.3">
      <c r="A164" s="82">
        <f>A163+1</f>
        <v>3</v>
      </c>
      <c r="B164" s="83"/>
      <c r="C164" s="85" t="s">
        <v>383</v>
      </c>
      <c r="D164" s="87" t="s">
        <v>384</v>
      </c>
      <c r="E164" s="88"/>
      <c r="F164" s="88"/>
      <c r="G164" s="89"/>
      <c r="H164" s="85" t="s">
        <v>383</v>
      </c>
      <c r="I164" s="33"/>
      <c r="L164" s="84"/>
      <c r="M164" s="84"/>
      <c r="N164" s="33"/>
    </row>
    <row r="165" spans="1:20" s="34" customFormat="1" ht="15.75" customHeight="1" x14ac:dyDescent="0.3">
      <c r="A165" s="82">
        <f>A164+1</f>
        <v>4</v>
      </c>
      <c r="B165" s="83"/>
      <c r="C165" s="86"/>
      <c r="D165" s="90"/>
      <c r="E165" s="91"/>
      <c r="F165" s="91"/>
      <c r="G165" s="92"/>
      <c r="H165" s="86"/>
      <c r="I165" s="33"/>
      <c r="L165" s="84"/>
      <c r="M165" s="84"/>
      <c r="N165" s="33"/>
      <c r="T165" s="18"/>
    </row>
    <row r="166" spans="1:20" s="34" customFormat="1" x14ac:dyDescent="0.3">
      <c r="A166" s="98" t="s">
        <v>386</v>
      </c>
      <c r="B166" s="99"/>
      <c r="C166" s="99"/>
      <c r="D166" s="99"/>
      <c r="E166" s="99"/>
      <c r="F166" s="99"/>
      <c r="G166" s="99"/>
      <c r="H166" s="100"/>
      <c r="I166" s="34">
        <v>3</v>
      </c>
      <c r="J166" s="33"/>
    </row>
    <row r="167" spans="1:20" s="34" customFormat="1" ht="15.75" customHeight="1" x14ac:dyDescent="0.3">
      <c r="A167" s="82">
        <v>1</v>
      </c>
      <c r="B167" s="83"/>
      <c r="C167" s="39" t="s">
        <v>381</v>
      </c>
      <c r="D167" s="39">
        <f>(68.265)*10.764</f>
        <v>734.80445999999995</v>
      </c>
      <c r="E167" s="39">
        <v>0</v>
      </c>
      <c r="F167" s="39">
        <f>D167+E167</f>
        <v>734.80445999999995</v>
      </c>
      <c r="G167" s="39">
        <v>0</v>
      </c>
      <c r="H167" s="39">
        <f>F167*(($H$157)+1)+(IF(G167&lt;101,G167,IF(G167&lt;201,G167/2,IF(G167&lt;=301,G167/3,G167/4))))</f>
        <v>1102.20669</v>
      </c>
      <c r="I167" s="33"/>
      <c r="L167" s="84"/>
      <c r="M167" s="84"/>
      <c r="N167" s="33"/>
    </row>
    <row r="168" spans="1:20" s="34" customFormat="1" ht="15.75" customHeight="1" x14ac:dyDescent="0.3">
      <c r="A168" s="82">
        <f>A167+1</f>
        <v>2</v>
      </c>
      <c r="B168" s="83"/>
      <c r="C168" s="39" t="s">
        <v>382</v>
      </c>
      <c r="D168" s="39">
        <f>(58.508)*10.764</f>
        <v>629.78011200000003</v>
      </c>
      <c r="E168" s="39">
        <v>0</v>
      </c>
      <c r="F168" s="39">
        <f>D168+E168</f>
        <v>629.78011200000003</v>
      </c>
      <c r="G168" s="39">
        <v>0</v>
      </c>
      <c r="H168" s="39">
        <f>F168*(($H$157)+1)+(IF(G168&lt;101,G168,IF(G168&lt;201,G168/2,IF(G168&lt;=301,G168/3,G168/4))))</f>
        <v>944.6701680000001</v>
      </c>
      <c r="I168" s="33"/>
      <c r="L168" s="84"/>
      <c r="M168" s="84"/>
      <c r="N168" s="33"/>
    </row>
    <row r="169" spans="1:20" s="34" customFormat="1" ht="15.75" customHeight="1" x14ac:dyDescent="0.3">
      <c r="A169" s="82">
        <f>A168+1</f>
        <v>3</v>
      </c>
      <c r="B169" s="83"/>
      <c r="C169" s="39" t="s">
        <v>382</v>
      </c>
      <c r="D169" s="39">
        <f>(58.508)*10.764</f>
        <v>629.78011200000003</v>
      </c>
      <c r="E169" s="39">
        <v>0</v>
      </c>
      <c r="F169" s="39">
        <f>D169+E169</f>
        <v>629.78011200000003</v>
      </c>
      <c r="G169" s="39">
        <v>0</v>
      </c>
      <c r="H169" s="39">
        <f>F169*(($H$157)+1)+(IF(G169&lt;101,G169,IF(G169&lt;201,G169/2,IF(G169&lt;=301,G169/3,G169/4))))</f>
        <v>944.6701680000001</v>
      </c>
      <c r="I169" s="33"/>
      <c r="L169" s="84"/>
      <c r="M169" s="84"/>
      <c r="N169" s="33"/>
    </row>
    <row r="170" spans="1:20" s="34" customFormat="1" ht="15.75" customHeight="1" x14ac:dyDescent="0.3">
      <c r="A170" s="82">
        <f>A169+1</f>
        <v>4</v>
      </c>
      <c r="B170" s="83"/>
      <c r="C170" s="39" t="s">
        <v>382</v>
      </c>
      <c r="D170" s="39">
        <f>(69.503)*10.764</f>
        <v>748.13029199999994</v>
      </c>
      <c r="E170" s="39">
        <f>(3.2*0.925)*10.764</f>
        <v>31.861440000000002</v>
      </c>
      <c r="F170" s="39">
        <f>D170+E170</f>
        <v>779.99173199999996</v>
      </c>
      <c r="G170" s="39">
        <v>0</v>
      </c>
      <c r="H170" s="39">
        <f>F170*(($H$157)+1)+(IF(G170&lt;101,G170,IF(G170&lt;201,G170/2,IF(G170&lt;=301,G170/3,G170/4))))</f>
        <v>1169.9875979999999</v>
      </c>
      <c r="I170" s="33">
        <f>3.2*5.545+2.68*2.13+3.21*3.995+3.315*4.395+1.375*(2.275+2.275)+1*(1.04+1.47)+0.95*2.75+0.925*1.45+0.47*1.85+3.2*0.925+0.3+1.07</f>
        <v>68.765274999999988</v>
      </c>
      <c r="L170" s="84"/>
      <c r="M170" s="84"/>
      <c r="N170" s="33"/>
      <c r="T170" s="18"/>
    </row>
    <row r="171" spans="1:20" s="34" customFormat="1" x14ac:dyDescent="0.3">
      <c r="A171" s="98" t="s">
        <v>387</v>
      </c>
      <c r="B171" s="99"/>
      <c r="C171" s="99"/>
      <c r="D171" s="99"/>
      <c r="E171" s="99"/>
      <c r="F171" s="99"/>
      <c r="G171" s="99"/>
      <c r="H171" s="100"/>
      <c r="I171" s="34">
        <v>1</v>
      </c>
      <c r="J171" s="33"/>
    </row>
    <row r="172" spans="1:20" s="34" customFormat="1" ht="15.75" customHeight="1" x14ac:dyDescent="0.3">
      <c r="A172" s="82">
        <v>1</v>
      </c>
      <c r="B172" s="83"/>
      <c r="C172" s="39" t="s">
        <v>381</v>
      </c>
      <c r="D172" s="39">
        <f>(68.265)*10.764</f>
        <v>734.80445999999995</v>
      </c>
      <c r="E172" s="39">
        <v>0</v>
      </c>
      <c r="F172" s="39">
        <f>D172+E172</f>
        <v>734.80445999999995</v>
      </c>
      <c r="G172" s="39">
        <v>0</v>
      </c>
      <c r="H172" s="39">
        <f>F172*(($H$157)+1)+(IF(G172&lt;101,G172,IF(G172&lt;201,G172/2,IF(G172&lt;=301,G172/3,G172/4))))</f>
        <v>1102.20669</v>
      </c>
      <c r="I172" s="33"/>
      <c r="L172" s="84"/>
      <c r="M172" s="84"/>
      <c r="N172" s="33"/>
    </row>
    <row r="173" spans="1:20" s="34" customFormat="1" ht="15.75" customHeight="1" x14ac:dyDescent="0.3">
      <c r="A173" s="82">
        <f>A172+1</f>
        <v>2</v>
      </c>
      <c r="B173" s="83"/>
      <c r="C173" s="39" t="s">
        <v>382</v>
      </c>
      <c r="D173" s="39">
        <f>(58.508)*10.764</f>
        <v>629.78011200000003</v>
      </c>
      <c r="E173" s="39">
        <v>0</v>
      </c>
      <c r="F173" s="39">
        <f>D173+E173</f>
        <v>629.78011200000003</v>
      </c>
      <c r="G173" s="39">
        <v>0</v>
      </c>
      <c r="H173" s="39">
        <f>F173*(($H$157)+1)+(IF(G173&lt;101,G173,IF(G173&lt;201,G173/2,IF(G173&lt;=301,G173/3,G173/4))))</f>
        <v>944.6701680000001</v>
      </c>
      <c r="I173" s="33"/>
      <c r="L173" s="84"/>
      <c r="M173" s="84"/>
      <c r="N173" s="33"/>
    </row>
    <row r="174" spans="1:20" s="34" customFormat="1" ht="15.75" customHeight="1" x14ac:dyDescent="0.3">
      <c r="A174" s="82">
        <f>A173+1</f>
        <v>3</v>
      </c>
      <c r="B174" s="83"/>
      <c r="C174" s="39" t="s">
        <v>382</v>
      </c>
      <c r="D174" s="39">
        <f>(58.508)*10.764</f>
        <v>629.78011200000003</v>
      </c>
      <c r="E174" s="39">
        <v>0</v>
      </c>
      <c r="F174" s="39">
        <f>D174+E174</f>
        <v>629.78011200000003</v>
      </c>
      <c r="G174" s="39">
        <v>0</v>
      </c>
      <c r="H174" s="39">
        <f>F174*(($H$157)+1)+(IF(G174&lt;101,G174,IF(G174&lt;201,G174/2,IF(G174&lt;=301,G174/3,G174/4))))</f>
        <v>944.6701680000001</v>
      </c>
      <c r="I174" s="33"/>
      <c r="L174" s="84"/>
      <c r="M174" s="84"/>
      <c r="N174" s="33"/>
    </row>
    <row r="175" spans="1:20" s="34" customFormat="1" ht="15.75" customHeight="1" x14ac:dyDescent="0.3">
      <c r="A175" s="82">
        <f>A174+1</f>
        <v>4</v>
      </c>
      <c r="B175" s="83"/>
      <c r="C175" s="39" t="s">
        <v>382</v>
      </c>
      <c r="D175" s="39">
        <f>(69.503)*10.764</f>
        <v>748.13029199999994</v>
      </c>
      <c r="E175" s="39">
        <f>(3.2*0.925)*10.764</f>
        <v>31.861440000000002</v>
      </c>
      <c r="F175" s="39">
        <f>D175+E175</f>
        <v>779.99173199999996</v>
      </c>
      <c r="G175" s="39">
        <v>0</v>
      </c>
      <c r="H175" s="39">
        <f>F175*(($H$157)+1)+(IF(G175&lt;101,G175,IF(G175&lt;201,G175/2,IF(G175&lt;=301,G175/3,G175/4))))</f>
        <v>1169.9875979999999</v>
      </c>
      <c r="I175" s="33"/>
      <c r="L175" s="84"/>
      <c r="M175" s="84"/>
      <c r="N175" s="33"/>
      <c r="T175" s="18"/>
    </row>
    <row r="176" spans="1:20" s="34" customFormat="1" x14ac:dyDescent="0.3">
      <c r="A176" s="101" t="s">
        <v>398</v>
      </c>
      <c r="B176" s="101"/>
      <c r="C176" s="101"/>
      <c r="D176" s="101"/>
      <c r="E176" s="101"/>
      <c r="F176" s="101"/>
      <c r="G176" s="101"/>
      <c r="H176" s="101"/>
      <c r="I176" s="34">
        <v>1</v>
      </c>
      <c r="J176" s="33"/>
    </row>
    <row r="177" spans="1:20" s="34" customFormat="1" ht="15.75" customHeight="1" x14ac:dyDescent="0.3">
      <c r="A177" s="97">
        <v>1</v>
      </c>
      <c r="B177" s="97"/>
      <c r="C177" s="39" t="s">
        <v>381</v>
      </c>
      <c r="D177" s="39">
        <f>(68.265)*10.764</f>
        <v>734.80445999999995</v>
      </c>
      <c r="E177" s="39">
        <v>0</v>
      </c>
      <c r="F177" s="39">
        <f>D177+E177</f>
        <v>734.80445999999995</v>
      </c>
      <c r="G177" s="39">
        <v>0</v>
      </c>
      <c r="H177" s="39">
        <f>F177*(($H$157)+1)+(IF(G177&lt;101,G177,IF(G177&lt;201,G177/2,IF(G177&lt;=301,G177/3,G177/4))))</f>
        <v>1102.20669</v>
      </c>
      <c r="I177" s="33"/>
      <c r="L177" s="84"/>
      <c r="M177" s="84"/>
      <c r="N177" s="33"/>
    </row>
    <row r="178" spans="1:20" s="34" customFormat="1" ht="15.75" customHeight="1" x14ac:dyDescent="0.3">
      <c r="A178" s="97">
        <f>A177+1</f>
        <v>2</v>
      </c>
      <c r="B178" s="97"/>
      <c r="C178" s="39" t="s">
        <v>382</v>
      </c>
      <c r="D178" s="39">
        <f>(58.508)*10.764</f>
        <v>629.78011200000003</v>
      </c>
      <c r="E178" s="39">
        <v>0</v>
      </c>
      <c r="F178" s="39">
        <f>D178+E178</f>
        <v>629.78011200000003</v>
      </c>
      <c r="G178" s="39">
        <v>0</v>
      </c>
      <c r="H178" s="39">
        <f>F178*(($H$157)+1)+(IF(G178&lt;101,G178,IF(G178&lt;201,G178/2,IF(G178&lt;=301,G178/3,G178/4))))</f>
        <v>944.6701680000001</v>
      </c>
      <c r="I178" s="33"/>
      <c r="L178" s="84"/>
      <c r="M178" s="84"/>
      <c r="N178" s="33"/>
    </row>
    <row r="179" spans="1:20" s="34" customFormat="1" ht="15.75" customHeight="1" x14ac:dyDescent="0.3">
      <c r="A179" s="97">
        <f>A178+1</f>
        <v>3</v>
      </c>
      <c r="B179" s="97"/>
      <c r="C179" s="39" t="s">
        <v>382</v>
      </c>
      <c r="D179" s="39">
        <f>(58.508)*10.764</f>
        <v>629.78011200000003</v>
      </c>
      <c r="E179" s="39">
        <v>0</v>
      </c>
      <c r="F179" s="39">
        <f>D179+E179</f>
        <v>629.78011200000003</v>
      </c>
      <c r="G179" s="39">
        <v>0</v>
      </c>
      <c r="H179" s="39">
        <f>F179*(($H$157)+1)+(IF(G179&lt;101,G179,IF(G179&lt;201,G179/2,IF(G179&lt;=301,G179/3,G179/4))))</f>
        <v>944.6701680000001</v>
      </c>
      <c r="I179" s="33"/>
      <c r="L179" s="84"/>
      <c r="M179" s="84"/>
      <c r="N179" s="33"/>
    </row>
    <row r="180" spans="1:20" s="34" customFormat="1" ht="15.75" customHeight="1" x14ac:dyDescent="0.3">
      <c r="A180" s="97">
        <f>A179+1</f>
        <v>4</v>
      </c>
      <c r="B180" s="97"/>
      <c r="C180" s="39" t="s">
        <v>382</v>
      </c>
      <c r="D180" s="39">
        <f>(69.503)*10.764</f>
        <v>748.13029199999994</v>
      </c>
      <c r="E180" s="39">
        <f>(3.2*0.925)*10.764</f>
        <v>31.861440000000002</v>
      </c>
      <c r="F180" s="39">
        <f>D180+E180</f>
        <v>779.99173199999996</v>
      </c>
      <c r="G180" s="39">
        <v>0</v>
      </c>
      <c r="H180" s="39">
        <f>F180*(($H$157)+1)+(IF(G180&lt;101,G180,IF(G180&lt;201,G180/2,IF(G180&lt;=301,G180/3,G180/4))))</f>
        <v>1169.9875979999999</v>
      </c>
      <c r="I180" s="33"/>
      <c r="L180" s="84"/>
      <c r="M180" s="84"/>
      <c r="N180" s="33"/>
      <c r="T180" s="18"/>
    </row>
    <row r="181" spans="1:20" s="34" customFormat="1" x14ac:dyDescent="0.3">
      <c r="A181" s="98" t="s">
        <v>388</v>
      </c>
      <c r="B181" s="99"/>
      <c r="C181" s="99"/>
      <c r="D181" s="99"/>
      <c r="E181" s="99"/>
      <c r="F181" s="99"/>
      <c r="G181" s="99"/>
      <c r="H181" s="100"/>
      <c r="I181" s="34">
        <v>1</v>
      </c>
      <c r="J181" s="33"/>
    </row>
    <row r="182" spans="1:20" s="34" customFormat="1" ht="15.75" customHeight="1" x14ac:dyDescent="0.3">
      <c r="A182" s="82">
        <v>1</v>
      </c>
      <c r="B182" s="83"/>
      <c r="C182" s="39" t="s">
        <v>381</v>
      </c>
      <c r="D182" s="39">
        <f>(68.265)*10.764</f>
        <v>734.80445999999995</v>
      </c>
      <c r="E182" s="39">
        <v>0</v>
      </c>
      <c r="F182" s="39">
        <f>D182+E182</f>
        <v>734.80445999999995</v>
      </c>
      <c r="G182" s="39">
        <v>0</v>
      </c>
      <c r="H182" s="39">
        <f>F182*(($H$157)+1)+(IF(G182&lt;101,G182,IF(G182&lt;201,G182/2,IF(G182&lt;=301,G182/3,G182/4))))</f>
        <v>1102.20669</v>
      </c>
      <c r="I182" s="33"/>
      <c r="L182" s="84"/>
      <c r="M182" s="84"/>
      <c r="N182" s="33"/>
    </row>
    <row r="183" spans="1:20" s="34" customFormat="1" ht="15.75" customHeight="1" x14ac:dyDescent="0.3">
      <c r="A183" s="82">
        <f>A182+1</f>
        <v>2</v>
      </c>
      <c r="B183" s="83"/>
      <c r="C183" s="39" t="s">
        <v>382</v>
      </c>
      <c r="D183" s="39">
        <f>(58.508)*10.764</f>
        <v>629.78011200000003</v>
      </c>
      <c r="E183" s="39">
        <v>0</v>
      </c>
      <c r="F183" s="39">
        <f>D183+E183</f>
        <v>629.78011200000003</v>
      </c>
      <c r="G183" s="39">
        <v>0</v>
      </c>
      <c r="H183" s="39">
        <f>F183*(($H$157)+1)+(IF(G183&lt;101,G183,IF(G183&lt;201,G183/2,IF(G183&lt;=301,G183/3,G183/4))))</f>
        <v>944.6701680000001</v>
      </c>
      <c r="I183" s="33"/>
      <c r="L183" s="84"/>
      <c r="M183" s="84"/>
      <c r="N183" s="33"/>
    </row>
    <row r="184" spans="1:20" s="34" customFormat="1" ht="15.75" customHeight="1" x14ac:dyDescent="0.3">
      <c r="A184" s="82">
        <f>A183+1</f>
        <v>3</v>
      </c>
      <c r="B184" s="83"/>
      <c r="C184" s="85" t="s">
        <v>383</v>
      </c>
      <c r="D184" s="87" t="s">
        <v>389</v>
      </c>
      <c r="E184" s="88"/>
      <c r="F184" s="88"/>
      <c r="G184" s="89"/>
      <c r="H184" s="85" t="s">
        <v>383</v>
      </c>
      <c r="I184" s="33"/>
      <c r="L184" s="84"/>
      <c r="M184" s="84"/>
      <c r="N184" s="33"/>
    </row>
    <row r="185" spans="1:20" s="34" customFormat="1" ht="15.75" customHeight="1" x14ac:dyDescent="0.3">
      <c r="A185" s="82">
        <f>A184+1</f>
        <v>4</v>
      </c>
      <c r="B185" s="83"/>
      <c r="C185" s="86"/>
      <c r="D185" s="90"/>
      <c r="E185" s="91"/>
      <c r="F185" s="91"/>
      <c r="G185" s="92"/>
      <c r="H185" s="86"/>
      <c r="I185" s="33"/>
      <c r="L185" s="84"/>
      <c r="M185" s="84"/>
      <c r="N185" s="33"/>
      <c r="T185" s="18"/>
    </row>
    <row r="186" spans="1:20" s="34" customFormat="1" ht="15.75" customHeight="1" x14ac:dyDescent="0.3">
      <c r="A186" s="82">
        <f t="shared" ref="A186:A189" si="10">A185+1</f>
        <v>5</v>
      </c>
      <c r="B186" s="83"/>
      <c r="C186" s="39" t="s">
        <v>382</v>
      </c>
      <c r="D186" s="39">
        <f>(69.503)*10.764</f>
        <v>748.13029199999994</v>
      </c>
      <c r="E186" s="39">
        <f>(3.2*0.925)*10.764</f>
        <v>31.861440000000002</v>
      </c>
      <c r="F186" s="39">
        <f>D186+E186</f>
        <v>779.99173199999996</v>
      </c>
      <c r="G186" s="39">
        <v>0</v>
      </c>
      <c r="H186" s="39">
        <f>F186*(($H$157)+1)+(IF(G186&lt;101,G186,IF(G186&lt;201,G186/2,IF(G186&lt;=301,G186/3,G186/4))))</f>
        <v>1169.9875979999999</v>
      </c>
      <c r="I186" s="33"/>
      <c r="L186" s="84"/>
      <c r="M186" s="84"/>
      <c r="N186" s="33"/>
    </row>
    <row r="187" spans="1:20" s="34" customFormat="1" ht="15.75" customHeight="1" x14ac:dyDescent="0.3">
      <c r="A187" s="82">
        <f t="shared" si="10"/>
        <v>6</v>
      </c>
      <c r="B187" s="83"/>
      <c r="C187" s="39" t="s">
        <v>390</v>
      </c>
      <c r="D187" s="39">
        <f>(45.076)*10.764</f>
        <v>485.19806399999999</v>
      </c>
      <c r="E187" s="39">
        <v>0</v>
      </c>
      <c r="F187" s="39">
        <f>D187+E187</f>
        <v>485.19806399999999</v>
      </c>
      <c r="G187" s="39">
        <v>0</v>
      </c>
      <c r="H187" s="39">
        <f>F187*(($H$157)+1)+(IF(G187&lt;101,G187,IF(G187&lt;201,G187/2,IF(G187&lt;=301,G187/3,G187/4))))</f>
        <v>727.79709600000001</v>
      </c>
      <c r="I187" s="33"/>
      <c r="L187" s="84"/>
      <c r="M187" s="84"/>
      <c r="N187" s="33"/>
    </row>
    <row r="188" spans="1:20" s="34" customFormat="1" ht="15.75" customHeight="1" x14ac:dyDescent="0.3">
      <c r="A188" s="82">
        <f t="shared" si="10"/>
        <v>7</v>
      </c>
      <c r="B188" s="83"/>
      <c r="C188" s="39" t="s">
        <v>382</v>
      </c>
      <c r="D188" s="39">
        <f>(58.508)*10.764</f>
        <v>629.78011200000003</v>
      </c>
      <c r="E188" s="39">
        <v>0</v>
      </c>
      <c r="F188" s="39">
        <f>D188+E188</f>
        <v>629.78011200000003</v>
      </c>
      <c r="G188" s="39">
        <v>0</v>
      </c>
      <c r="H188" s="39">
        <f>F188*(($H$157)+1)+(IF(G188&lt;101,G188,IF(G188&lt;201,G188/2,IF(G188&lt;=301,G188/3,G188/4))))</f>
        <v>944.6701680000001</v>
      </c>
      <c r="I188" s="33"/>
      <c r="L188" s="84"/>
      <c r="M188" s="84"/>
      <c r="N188" s="33"/>
    </row>
    <row r="189" spans="1:20" s="34" customFormat="1" ht="15.75" customHeight="1" x14ac:dyDescent="0.3">
      <c r="A189" s="82">
        <f t="shared" si="10"/>
        <v>8</v>
      </c>
      <c r="B189" s="83"/>
      <c r="C189" s="39" t="s">
        <v>382</v>
      </c>
      <c r="D189" s="39">
        <f>(58.508)*10.764</f>
        <v>629.78011200000003</v>
      </c>
      <c r="E189" s="39">
        <v>0</v>
      </c>
      <c r="F189" s="39">
        <f>D189+E189</f>
        <v>629.78011200000003</v>
      </c>
      <c r="G189" s="39">
        <v>0</v>
      </c>
      <c r="H189" s="39">
        <f>F189*(($H$157)+1)+(IF(G189&lt;101,G189,IF(G189&lt;201,G189/2,IF(G189&lt;=301,G189/3,G189/4))))</f>
        <v>944.6701680000001</v>
      </c>
      <c r="I189" s="33"/>
      <c r="L189" s="84"/>
      <c r="M189" s="84"/>
      <c r="N189" s="33"/>
      <c r="T189" s="18"/>
    </row>
    <row r="190" spans="1:20" s="34" customFormat="1" x14ac:dyDescent="0.3">
      <c r="A190" s="98" t="s">
        <v>391</v>
      </c>
      <c r="B190" s="99"/>
      <c r="C190" s="99"/>
      <c r="D190" s="99"/>
      <c r="E190" s="99"/>
      <c r="F190" s="99"/>
      <c r="G190" s="99"/>
      <c r="H190" s="100"/>
      <c r="I190" s="34">
        <v>6</v>
      </c>
      <c r="J190" s="33"/>
    </row>
    <row r="191" spans="1:20" s="34" customFormat="1" ht="15.75" customHeight="1" x14ac:dyDescent="0.3">
      <c r="A191" s="82">
        <v>1</v>
      </c>
      <c r="B191" s="83"/>
      <c r="C191" s="39" t="s">
        <v>381</v>
      </c>
      <c r="D191" s="39">
        <f>(68.265)*10.764</f>
        <v>734.80445999999995</v>
      </c>
      <c r="E191" s="39">
        <v>0</v>
      </c>
      <c r="F191" s="39">
        <f t="shared" ref="F191:F198" si="11">D191+E191</f>
        <v>734.80445999999995</v>
      </c>
      <c r="G191" s="39">
        <v>0</v>
      </c>
      <c r="H191" s="39">
        <f t="shared" ref="H191:H198" si="12">F191*(($H$157)+1)+(IF(G191&lt;101,G191,IF(G191&lt;201,G191/2,IF(G191&lt;=301,G191/3,G191/4))))</f>
        <v>1102.20669</v>
      </c>
      <c r="I191" s="33"/>
      <c r="L191" s="84"/>
      <c r="M191" s="84"/>
      <c r="N191" s="33"/>
    </row>
    <row r="192" spans="1:20" s="34" customFormat="1" ht="15.75" customHeight="1" x14ac:dyDescent="0.3">
      <c r="A192" s="82">
        <f>A191+1</f>
        <v>2</v>
      </c>
      <c r="B192" s="83"/>
      <c r="C192" s="39" t="s">
        <v>382</v>
      </c>
      <c r="D192" s="39">
        <f>(58.508)*10.764</f>
        <v>629.78011200000003</v>
      </c>
      <c r="E192" s="39">
        <v>0</v>
      </c>
      <c r="F192" s="39">
        <f t="shared" si="11"/>
        <v>629.78011200000003</v>
      </c>
      <c r="G192" s="39">
        <v>0</v>
      </c>
      <c r="H192" s="39">
        <f t="shared" si="12"/>
        <v>944.6701680000001</v>
      </c>
      <c r="I192" s="33"/>
      <c r="L192" s="84"/>
      <c r="M192" s="84"/>
      <c r="N192" s="33"/>
    </row>
    <row r="193" spans="1:20" s="34" customFormat="1" ht="15.75" customHeight="1" x14ac:dyDescent="0.3">
      <c r="A193" s="82">
        <f>A192+1</f>
        <v>3</v>
      </c>
      <c r="B193" s="83"/>
      <c r="C193" s="39" t="s">
        <v>382</v>
      </c>
      <c r="D193" s="39">
        <f>(58.508)*10.764</f>
        <v>629.78011200000003</v>
      </c>
      <c r="E193" s="39">
        <v>0</v>
      </c>
      <c r="F193" s="39">
        <f t="shared" si="11"/>
        <v>629.78011200000003</v>
      </c>
      <c r="G193" s="39">
        <v>0</v>
      </c>
      <c r="H193" s="39">
        <f t="shared" si="12"/>
        <v>944.6701680000001</v>
      </c>
      <c r="I193" s="33"/>
      <c r="L193" s="84"/>
      <c r="M193" s="84"/>
      <c r="N193" s="33"/>
    </row>
    <row r="194" spans="1:20" s="34" customFormat="1" ht="15.75" customHeight="1" x14ac:dyDescent="0.3">
      <c r="A194" s="82">
        <f>A193+1</f>
        <v>4</v>
      </c>
      <c r="B194" s="83"/>
      <c r="C194" s="39" t="s">
        <v>382</v>
      </c>
      <c r="D194" s="39">
        <f>(69.503)*10.764</f>
        <v>748.13029199999994</v>
      </c>
      <c r="E194" s="39">
        <f>(3.2*0.925)*10.764</f>
        <v>31.861440000000002</v>
      </c>
      <c r="F194" s="39">
        <f t="shared" si="11"/>
        <v>779.99173199999996</v>
      </c>
      <c r="G194" s="39">
        <v>0</v>
      </c>
      <c r="H194" s="39">
        <f t="shared" si="12"/>
        <v>1169.9875979999999</v>
      </c>
      <c r="I194" s="33"/>
      <c r="L194" s="84"/>
      <c r="M194" s="84"/>
      <c r="N194" s="33"/>
      <c r="T194" s="18"/>
    </row>
    <row r="195" spans="1:20" s="34" customFormat="1" ht="15.75" customHeight="1" x14ac:dyDescent="0.3">
      <c r="A195" s="82">
        <f t="shared" ref="A195:A198" si="13">A194+1</f>
        <v>5</v>
      </c>
      <c r="B195" s="83"/>
      <c r="C195" s="39" t="s">
        <v>382</v>
      </c>
      <c r="D195" s="39">
        <f>(69.503)*10.764</f>
        <v>748.13029199999994</v>
      </c>
      <c r="E195" s="39">
        <f>(3.2*0.925)*10.764</f>
        <v>31.861440000000002</v>
      </c>
      <c r="F195" s="39">
        <f t="shared" si="11"/>
        <v>779.99173199999996</v>
      </c>
      <c r="G195" s="39">
        <v>0</v>
      </c>
      <c r="H195" s="39">
        <f t="shared" si="12"/>
        <v>1169.9875979999999</v>
      </c>
      <c r="I195" s="33"/>
      <c r="L195" s="84"/>
      <c r="M195" s="84"/>
      <c r="N195" s="33"/>
    </row>
    <row r="196" spans="1:20" s="34" customFormat="1" ht="15.75" customHeight="1" x14ac:dyDescent="0.3">
      <c r="A196" s="82">
        <f t="shared" si="13"/>
        <v>6</v>
      </c>
      <c r="B196" s="83"/>
      <c r="C196" s="39" t="s">
        <v>390</v>
      </c>
      <c r="D196" s="39">
        <f>(45.076)*10.764</f>
        <v>485.19806399999999</v>
      </c>
      <c r="E196" s="39">
        <v>0</v>
      </c>
      <c r="F196" s="39">
        <f t="shared" si="11"/>
        <v>485.19806399999999</v>
      </c>
      <c r="G196" s="39">
        <v>0</v>
      </c>
      <c r="H196" s="39">
        <f t="shared" si="12"/>
        <v>727.79709600000001</v>
      </c>
      <c r="I196" s="33"/>
      <c r="L196" s="84"/>
      <c r="M196" s="84"/>
      <c r="N196" s="33"/>
    </row>
    <row r="197" spans="1:20" s="34" customFormat="1" ht="15.75" customHeight="1" x14ac:dyDescent="0.3">
      <c r="A197" s="82">
        <f t="shared" si="13"/>
        <v>7</v>
      </c>
      <c r="B197" s="83"/>
      <c r="C197" s="39" t="s">
        <v>382</v>
      </c>
      <c r="D197" s="39">
        <f>(58.508)*10.764</f>
        <v>629.78011200000003</v>
      </c>
      <c r="E197" s="39">
        <v>0</v>
      </c>
      <c r="F197" s="39">
        <f t="shared" si="11"/>
        <v>629.78011200000003</v>
      </c>
      <c r="G197" s="39">
        <v>0</v>
      </c>
      <c r="H197" s="39">
        <f t="shared" si="12"/>
        <v>944.6701680000001</v>
      </c>
      <c r="I197" s="33"/>
      <c r="L197" s="84"/>
      <c r="M197" s="84"/>
      <c r="N197" s="33"/>
    </row>
    <row r="198" spans="1:20" s="34" customFormat="1" ht="15.75" customHeight="1" x14ac:dyDescent="0.3">
      <c r="A198" s="82">
        <f t="shared" si="13"/>
        <v>8</v>
      </c>
      <c r="B198" s="83"/>
      <c r="C198" s="39" t="s">
        <v>382</v>
      </c>
      <c r="D198" s="39">
        <f>(58.508)*10.764</f>
        <v>629.78011200000003</v>
      </c>
      <c r="E198" s="39">
        <v>0</v>
      </c>
      <c r="F198" s="39">
        <f t="shared" si="11"/>
        <v>629.78011200000003</v>
      </c>
      <c r="G198" s="39">
        <v>0</v>
      </c>
      <c r="H198" s="39">
        <f t="shared" si="12"/>
        <v>944.6701680000001</v>
      </c>
      <c r="I198" s="33"/>
      <c r="L198" s="84"/>
      <c r="M198" s="84"/>
      <c r="N198" s="33"/>
      <c r="T198" s="18"/>
    </row>
    <row r="199" spans="1:20" s="34" customFormat="1" x14ac:dyDescent="0.3">
      <c r="A199" s="98" t="s">
        <v>392</v>
      </c>
      <c r="B199" s="99"/>
      <c r="C199" s="99"/>
      <c r="D199" s="99"/>
      <c r="E199" s="99"/>
      <c r="F199" s="99"/>
      <c r="G199" s="99"/>
      <c r="H199" s="100"/>
      <c r="I199" s="34">
        <v>3</v>
      </c>
      <c r="J199" s="33"/>
    </row>
    <row r="200" spans="1:20" s="34" customFormat="1" ht="15.75" customHeight="1" x14ac:dyDescent="0.3">
      <c r="A200" s="82">
        <v>1</v>
      </c>
      <c r="B200" s="83"/>
      <c r="C200" s="39" t="s">
        <v>381</v>
      </c>
      <c r="D200" s="39">
        <f>(68.265)*10.764</f>
        <v>734.80445999999995</v>
      </c>
      <c r="E200" s="39">
        <v>0</v>
      </c>
      <c r="F200" s="39">
        <f>D200+E200</f>
        <v>734.80445999999995</v>
      </c>
      <c r="G200" s="39">
        <v>0</v>
      </c>
      <c r="H200" s="39">
        <f>F200*(($H$157)+1)+(IF(G200&lt;101,G200,IF(G200&lt;201,G200/2,IF(G200&lt;=301,G200/3,G200/4))))</f>
        <v>1102.20669</v>
      </c>
      <c r="I200" s="33"/>
      <c r="L200" s="84"/>
      <c r="M200" s="84"/>
      <c r="N200" s="33"/>
    </row>
    <row r="201" spans="1:20" s="34" customFormat="1" ht="15.75" customHeight="1" x14ac:dyDescent="0.3">
      <c r="A201" s="82">
        <f>A200+1</f>
        <v>2</v>
      </c>
      <c r="B201" s="83"/>
      <c r="C201" s="39" t="s">
        <v>382</v>
      </c>
      <c r="D201" s="39">
        <f>(58.508)*10.764</f>
        <v>629.78011200000003</v>
      </c>
      <c r="E201" s="39">
        <v>0</v>
      </c>
      <c r="F201" s="39">
        <f>D201+E201</f>
        <v>629.78011200000003</v>
      </c>
      <c r="G201" s="39">
        <v>0</v>
      </c>
      <c r="H201" s="39">
        <f>F201*(($H$157)+1)+(IF(G201&lt;101,G201,IF(G201&lt;201,G201/2,IF(G201&lt;=301,G201/3,G201/4))))</f>
        <v>944.6701680000001</v>
      </c>
      <c r="I201" s="33"/>
      <c r="L201" s="84"/>
      <c r="M201" s="84"/>
      <c r="N201" s="33"/>
    </row>
    <row r="202" spans="1:20" s="34" customFormat="1" ht="15.75" customHeight="1" x14ac:dyDescent="0.3">
      <c r="A202" s="82">
        <f>A201+1</f>
        <v>3</v>
      </c>
      <c r="B202" s="83"/>
      <c r="C202" s="85" t="s">
        <v>383</v>
      </c>
      <c r="D202" s="87" t="s">
        <v>389</v>
      </c>
      <c r="E202" s="88"/>
      <c r="F202" s="88"/>
      <c r="G202" s="89"/>
      <c r="H202" s="85" t="s">
        <v>383</v>
      </c>
      <c r="I202" s="33"/>
      <c r="L202" s="84"/>
      <c r="M202" s="84"/>
      <c r="N202" s="33"/>
    </row>
    <row r="203" spans="1:20" s="34" customFormat="1" ht="15.75" customHeight="1" x14ac:dyDescent="0.3">
      <c r="A203" s="82">
        <f>A202+1</f>
        <v>4</v>
      </c>
      <c r="B203" s="83"/>
      <c r="C203" s="86"/>
      <c r="D203" s="90"/>
      <c r="E203" s="91"/>
      <c r="F203" s="91"/>
      <c r="G203" s="92"/>
      <c r="H203" s="86"/>
      <c r="I203" s="33"/>
      <c r="L203" s="84"/>
      <c r="M203" s="84"/>
      <c r="N203" s="33"/>
      <c r="T203" s="18"/>
    </row>
    <row r="204" spans="1:20" s="34" customFormat="1" ht="15.75" customHeight="1" x14ac:dyDescent="0.3">
      <c r="A204" s="82">
        <f t="shared" ref="A204:A207" si="14">A203+1</f>
        <v>5</v>
      </c>
      <c r="B204" s="83"/>
      <c r="C204" s="39" t="s">
        <v>382</v>
      </c>
      <c r="D204" s="39">
        <f>(69.503)*10.764</f>
        <v>748.13029199999994</v>
      </c>
      <c r="E204" s="39">
        <f>(3.2*0.925)*10.764</f>
        <v>31.861440000000002</v>
      </c>
      <c r="F204" s="39">
        <f>D204+E204</f>
        <v>779.99173199999996</v>
      </c>
      <c r="G204" s="39">
        <v>0</v>
      </c>
      <c r="H204" s="39">
        <f>F204*(($H$157)+1)+(IF(G204&lt;101,G204,IF(G204&lt;201,G204/2,IF(G204&lt;=301,G204/3,G204/4))))</f>
        <v>1169.9875979999999</v>
      </c>
      <c r="I204" s="33"/>
      <c r="L204" s="84"/>
      <c r="M204" s="84"/>
      <c r="N204" s="33"/>
    </row>
    <row r="205" spans="1:20" s="34" customFormat="1" ht="15.75" customHeight="1" x14ac:dyDescent="0.3">
      <c r="A205" s="82">
        <f t="shared" si="14"/>
        <v>6</v>
      </c>
      <c r="B205" s="83"/>
      <c r="C205" s="39" t="s">
        <v>382</v>
      </c>
      <c r="D205" s="39">
        <f>(58.508)*10.764</f>
        <v>629.78011200000003</v>
      </c>
      <c r="E205" s="39">
        <v>0</v>
      </c>
      <c r="F205" s="39">
        <f>D205+E205</f>
        <v>629.78011200000003</v>
      </c>
      <c r="G205" s="39">
        <v>0</v>
      </c>
      <c r="H205" s="39">
        <f>F205*(($H$157)+1)+(IF(G205&lt;101,G205,IF(G205&lt;201,G205/2,IF(G205&lt;=301,G205/3,G205/4))))</f>
        <v>944.6701680000001</v>
      </c>
      <c r="I205" s="33"/>
      <c r="L205" s="84"/>
      <c r="M205" s="84"/>
      <c r="N205" s="33"/>
    </row>
    <row r="206" spans="1:20" s="34" customFormat="1" ht="15.75" customHeight="1" x14ac:dyDescent="0.3">
      <c r="A206" s="82">
        <f t="shared" si="14"/>
        <v>7</v>
      </c>
      <c r="B206" s="83"/>
      <c r="C206" s="39" t="s">
        <v>382</v>
      </c>
      <c r="D206" s="39">
        <f>(58.508)*10.764</f>
        <v>629.78011200000003</v>
      </c>
      <c r="E206" s="39">
        <v>0</v>
      </c>
      <c r="F206" s="39">
        <f>D206+E206</f>
        <v>629.78011200000003</v>
      </c>
      <c r="G206" s="39">
        <v>0</v>
      </c>
      <c r="H206" s="39">
        <f>F206*(($H$157)+1)+(IF(G206&lt;101,G206,IF(G206&lt;201,G206/2,IF(G206&lt;=301,G206/3,G206/4))))</f>
        <v>944.6701680000001</v>
      </c>
      <c r="I206" s="33"/>
      <c r="L206" s="84"/>
      <c r="M206" s="84"/>
      <c r="N206" s="33"/>
    </row>
    <row r="207" spans="1:20" s="34" customFormat="1" ht="15.75" customHeight="1" x14ac:dyDescent="0.3">
      <c r="A207" s="82">
        <f t="shared" si="14"/>
        <v>8</v>
      </c>
      <c r="B207" s="83"/>
      <c r="C207" s="39" t="s">
        <v>382</v>
      </c>
      <c r="D207" s="39">
        <f>(58.508)*10.764</f>
        <v>629.78011200000003</v>
      </c>
      <c r="E207" s="39">
        <v>0</v>
      </c>
      <c r="F207" s="39">
        <f>D207+E207</f>
        <v>629.78011200000003</v>
      </c>
      <c r="G207" s="39">
        <v>0</v>
      </c>
      <c r="H207" s="39">
        <f>F207*(($H$157)+1)+(IF(G207&lt;101,G207,IF(G207&lt;201,G207/2,IF(G207&lt;=301,G207/3,G207/4))))</f>
        <v>944.6701680000001</v>
      </c>
      <c r="I207" s="33"/>
      <c r="L207" s="84"/>
      <c r="M207" s="84"/>
      <c r="N207" s="33"/>
      <c r="T207" s="18"/>
    </row>
    <row r="208" spans="1:20" s="34" customFormat="1" x14ac:dyDescent="0.3">
      <c r="A208" s="98" t="s">
        <v>393</v>
      </c>
      <c r="B208" s="99"/>
      <c r="C208" s="99"/>
      <c r="D208" s="99"/>
      <c r="E208" s="99"/>
      <c r="F208" s="99"/>
      <c r="G208" s="99"/>
      <c r="H208" s="100"/>
      <c r="I208" s="34">
        <f>6+6+6+2</f>
        <v>20</v>
      </c>
      <c r="J208" s="33"/>
    </row>
    <row r="209" spans="1:20" s="34" customFormat="1" ht="15.75" customHeight="1" x14ac:dyDescent="0.3">
      <c r="A209" s="82">
        <v>1</v>
      </c>
      <c r="B209" s="83"/>
      <c r="C209" s="39" t="s">
        <v>381</v>
      </c>
      <c r="D209" s="39">
        <f>(68.265)*10.764</f>
        <v>734.80445999999995</v>
      </c>
      <c r="E209" s="39">
        <v>0</v>
      </c>
      <c r="F209" s="39">
        <f t="shared" ref="F209:F216" si="15">D209+E209</f>
        <v>734.80445999999995</v>
      </c>
      <c r="G209" s="39">
        <v>0</v>
      </c>
      <c r="H209" s="39">
        <f t="shared" ref="H209:H216" si="16">F209*(($H$157)+1)+(IF(G209&lt;101,G209,IF(G209&lt;201,G209/2,IF(G209&lt;=301,G209/3,G209/4))))</f>
        <v>1102.20669</v>
      </c>
      <c r="I209" s="33"/>
      <c r="L209" s="84"/>
      <c r="M209" s="84"/>
      <c r="N209" s="33"/>
    </row>
    <row r="210" spans="1:20" s="34" customFormat="1" ht="15.75" customHeight="1" x14ac:dyDescent="0.3">
      <c r="A210" s="82">
        <f>A209+1</f>
        <v>2</v>
      </c>
      <c r="B210" s="83"/>
      <c r="C210" s="39" t="s">
        <v>382</v>
      </c>
      <c r="D210" s="39">
        <f>(58.508)*10.764</f>
        <v>629.78011200000003</v>
      </c>
      <c r="E210" s="39">
        <v>0</v>
      </c>
      <c r="F210" s="39">
        <f t="shared" si="15"/>
        <v>629.78011200000003</v>
      </c>
      <c r="G210" s="39">
        <v>0</v>
      </c>
      <c r="H210" s="39">
        <f t="shared" si="16"/>
        <v>944.6701680000001</v>
      </c>
      <c r="I210" s="33"/>
      <c r="L210" s="84"/>
      <c r="M210" s="84"/>
      <c r="N210" s="33"/>
    </row>
    <row r="211" spans="1:20" s="34" customFormat="1" ht="15.75" customHeight="1" x14ac:dyDescent="0.3">
      <c r="A211" s="82">
        <f>A210+1</f>
        <v>3</v>
      </c>
      <c r="B211" s="83"/>
      <c r="C211" s="39" t="s">
        <v>382</v>
      </c>
      <c r="D211" s="39">
        <f>(58.508)*10.764</f>
        <v>629.78011200000003</v>
      </c>
      <c r="E211" s="39">
        <v>0</v>
      </c>
      <c r="F211" s="39">
        <f t="shared" si="15"/>
        <v>629.78011200000003</v>
      </c>
      <c r="G211" s="39">
        <v>0</v>
      </c>
      <c r="H211" s="39">
        <f t="shared" si="16"/>
        <v>944.6701680000001</v>
      </c>
      <c r="I211" s="33"/>
      <c r="L211" s="84"/>
      <c r="M211" s="84"/>
      <c r="N211" s="33"/>
    </row>
    <row r="212" spans="1:20" s="34" customFormat="1" ht="15.75" customHeight="1" x14ac:dyDescent="0.3">
      <c r="A212" s="82">
        <f>A211+1</f>
        <v>4</v>
      </c>
      <c r="B212" s="83"/>
      <c r="C212" s="39" t="s">
        <v>382</v>
      </c>
      <c r="D212" s="39">
        <f>(69.503)*10.764</f>
        <v>748.13029199999994</v>
      </c>
      <c r="E212" s="39">
        <f>(3.2*0.925)*10.764</f>
        <v>31.861440000000002</v>
      </c>
      <c r="F212" s="39">
        <f t="shared" si="15"/>
        <v>779.99173199999996</v>
      </c>
      <c r="G212" s="39">
        <v>0</v>
      </c>
      <c r="H212" s="39">
        <f t="shared" si="16"/>
        <v>1169.9875979999999</v>
      </c>
      <c r="I212" s="33"/>
      <c r="L212" s="84"/>
      <c r="M212" s="84"/>
      <c r="N212" s="33"/>
      <c r="T212" s="18"/>
    </row>
    <row r="213" spans="1:20" s="34" customFormat="1" ht="15.75" customHeight="1" x14ac:dyDescent="0.3">
      <c r="A213" s="82">
        <f t="shared" ref="A213:A216" si="17">A212+1</f>
        <v>5</v>
      </c>
      <c r="B213" s="83"/>
      <c r="C213" s="39" t="s">
        <v>382</v>
      </c>
      <c r="D213" s="39">
        <f>(69.503)*10.764</f>
        <v>748.13029199999994</v>
      </c>
      <c r="E213" s="39">
        <f>(3.2*0.925)*10.764</f>
        <v>31.861440000000002</v>
      </c>
      <c r="F213" s="39">
        <f t="shared" si="15"/>
        <v>779.99173199999996</v>
      </c>
      <c r="G213" s="39">
        <v>0</v>
      </c>
      <c r="H213" s="39">
        <f t="shared" si="16"/>
        <v>1169.9875979999999</v>
      </c>
      <c r="I213" s="33"/>
      <c r="L213" s="84"/>
      <c r="M213" s="84"/>
      <c r="N213" s="33"/>
    </row>
    <row r="214" spans="1:20" s="34" customFormat="1" ht="15.75" customHeight="1" x14ac:dyDescent="0.3">
      <c r="A214" s="82">
        <f t="shared" si="17"/>
        <v>6</v>
      </c>
      <c r="B214" s="83"/>
      <c r="C214" s="39" t="s">
        <v>382</v>
      </c>
      <c r="D214" s="39">
        <f>(58.508)*10.764</f>
        <v>629.78011200000003</v>
      </c>
      <c r="E214" s="39">
        <v>0</v>
      </c>
      <c r="F214" s="39">
        <f t="shared" si="15"/>
        <v>629.78011200000003</v>
      </c>
      <c r="G214" s="39">
        <v>0</v>
      </c>
      <c r="H214" s="39">
        <f t="shared" si="16"/>
        <v>944.6701680000001</v>
      </c>
      <c r="I214" s="33"/>
      <c r="L214" s="84"/>
      <c r="M214" s="84"/>
      <c r="N214" s="33"/>
    </row>
    <row r="215" spans="1:20" s="34" customFormat="1" ht="15.75" customHeight="1" x14ac:dyDescent="0.3">
      <c r="A215" s="82">
        <f t="shared" si="17"/>
        <v>7</v>
      </c>
      <c r="B215" s="83"/>
      <c r="C215" s="39" t="s">
        <v>382</v>
      </c>
      <c r="D215" s="39">
        <f>(58.508)*10.764</f>
        <v>629.78011200000003</v>
      </c>
      <c r="E215" s="39">
        <v>0</v>
      </c>
      <c r="F215" s="39">
        <f t="shared" si="15"/>
        <v>629.78011200000003</v>
      </c>
      <c r="G215" s="39">
        <v>0</v>
      </c>
      <c r="H215" s="39">
        <f t="shared" si="16"/>
        <v>944.6701680000001</v>
      </c>
      <c r="I215" s="33"/>
      <c r="L215" s="84"/>
      <c r="M215" s="84"/>
      <c r="N215" s="33"/>
    </row>
    <row r="216" spans="1:20" s="34" customFormat="1" ht="15.75" customHeight="1" x14ac:dyDescent="0.3">
      <c r="A216" s="82">
        <f t="shared" si="17"/>
        <v>8</v>
      </c>
      <c r="B216" s="83"/>
      <c r="C216" s="39" t="s">
        <v>382</v>
      </c>
      <c r="D216" s="39">
        <f>(58.508)*10.764</f>
        <v>629.78011200000003</v>
      </c>
      <c r="E216" s="39">
        <v>0</v>
      </c>
      <c r="F216" s="39">
        <f t="shared" si="15"/>
        <v>629.78011200000003</v>
      </c>
      <c r="G216" s="39">
        <v>0</v>
      </c>
      <c r="H216" s="39">
        <f t="shared" si="16"/>
        <v>944.6701680000001</v>
      </c>
      <c r="I216" s="33"/>
      <c r="L216" s="84"/>
      <c r="M216" s="84"/>
      <c r="N216" s="33"/>
      <c r="T216" s="18"/>
    </row>
    <row r="217" spans="1:20" s="34" customFormat="1" x14ac:dyDescent="0.3">
      <c r="A217" s="101" t="s">
        <v>394</v>
      </c>
      <c r="B217" s="101"/>
      <c r="C217" s="101"/>
      <c r="D217" s="101"/>
      <c r="E217" s="101"/>
      <c r="F217" s="101"/>
      <c r="G217" s="101"/>
      <c r="H217" s="101"/>
      <c r="I217" s="34">
        <v>1</v>
      </c>
      <c r="J217" s="33"/>
    </row>
    <row r="218" spans="1:20" s="34" customFormat="1" ht="15.75" customHeight="1" x14ac:dyDescent="0.3">
      <c r="A218" s="97">
        <v>1</v>
      </c>
      <c r="B218" s="97"/>
      <c r="C218" s="39" t="s">
        <v>381</v>
      </c>
      <c r="D218" s="39">
        <f>(68.265)*10.764</f>
        <v>734.80445999999995</v>
      </c>
      <c r="E218" s="39">
        <v>0</v>
      </c>
      <c r="F218" s="39">
        <f>D218+E218</f>
        <v>734.80445999999995</v>
      </c>
      <c r="G218" s="39">
        <v>0</v>
      </c>
      <c r="H218" s="39">
        <f>F218*(($H$157)+1)+(IF(G218&lt;101,G218,IF(G218&lt;201,G218/2,IF(G218&lt;=301,G218/3,G218/4))))</f>
        <v>1102.20669</v>
      </c>
      <c r="I218" s="33"/>
      <c r="L218" s="84"/>
      <c r="M218" s="84"/>
      <c r="N218" s="33"/>
    </row>
    <row r="219" spans="1:20" s="34" customFormat="1" ht="15.75" customHeight="1" x14ac:dyDescent="0.3">
      <c r="A219" s="97">
        <f>A218+1</f>
        <v>2</v>
      </c>
      <c r="B219" s="97"/>
      <c r="C219" s="39" t="s">
        <v>382</v>
      </c>
      <c r="D219" s="39">
        <f>(58.508)*10.764</f>
        <v>629.78011200000003</v>
      </c>
      <c r="E219" s="39">
        <v>0</v>
      </c>
      <c r="F219" s="39">
        <f>D219+E219</f>
        <v>629.78011200000003</v>
      </c>
      <c r="G219" s="39">
        <v>0</v>
      </c>
      <c r="H219" s="39">
        <f>F219*(($H$157)+1)+(IF(G219&lt;101,G219,IF(G219&lt;201,G219/2,IF(G219&lt;=301,G219/3,G219/4))))</f>
        <v>944.6701680000001</v>
      </c>
      <c r="I219" s="33"/>
      <c r="L219" s="84"/>
      <c r="M219" s="84"/>
      <c r="N219" s="33"/>
    </row>
    <row r="220" spans="1:20" s="34" customFormat="1" ht="15.75" customHeight="1" x14ac:dyDescent="0.3">
      <c r="A220" s="97">
        <f>A219+1</f>
        <v>3</v>
      </c>
      <c r="B220" s="97"/>
      <c r="C220" s="39" t="s">
        <v>383</v>
      </c>
      <c r="D220" s="97" t="s">
        <v>389</v>
      </c>
      <c r="E220" s="97"/>
      <c r="F220" s="97"/>
      <c r="G220" s="97"/>
      <c r="H220" s="39" t="s">
        <v>383</v>
      </c>
      <c r="I220" s="33"/>
      <c r="L220" s="84"/>
      <c r="M220" s="84"/>
      <c r="N220" s="33"/>
    </row>
    <row r="221" spans="1:20" s="34" customFormat="1" ht="15.75" customHeight="1" x14ac:dyDescent="0.3">
      <c r="A221" s="97">
        <f>A220+1</f>
        <v>4</v>
      </c>
      <c r="B221" s="97"/>
      <c r="C221" s="39" t="s">
        <v>382</v>
      </c>
      <c r="D221" s="39">
        <f>(69.503)*10.764</f>
        <v>748.13029199999994</v>
      </c>
      <c r="E221" s="39">
        <f>(3.2*0.925)*10.764</f>
        <v>31.861440000000002</v>
      </c>
      <c r="F221" s="39">
        <f>D221+E221</f>
        <v>779.99173199999996</v>
      </c>
      <c r="G221" s="39">
        <v>0</v>
      </c>
      <c r="H221" s="39">
        <f>F221*(($H$157)+1)+(IF(G221&lt;101,G221,IF(G221&lt;201,G221/2,IF(G221&lt;=301,G221/3,G221/4))))</f>
        <v>1169.9875979999999</v>
      </c>
      <c r="I221" s="33"/>
      <c r="L221" s="84"/>
      <c r="M221" s="84"/>
      <c r="N221" s="33"/>
      <c r="T221" s="18"/>
    </row>
    <row r="222" spans="1:20" s="34" customFormat="1" ht="15.75" customHeight="1" x14ac:dyDescent="0.3">
      <c r="A222" s="82">
        <f t="shared" ref="A222:A225" si="18">A221+1</f>
        <v>5</v>
      </c>
      <c r="B222" s="83"/>
      <c r="C222" s="39" t="s">
        <v>382</v>
      </c>
      <c r="D222" s="39">
        <f>(69.503)*10.764</f>
        <v>748.13029199999994</v>
      </c>
      <c r="E222" s="39">
        <f>(3.2*0.925)*10.764</f>
        <v>31.861440000000002</v>
      </c>
      <c r="F222" s="39">
        <f>D222+E222</f>
        <v>779.99173199999996</v>
      </c>
      <c r="G222" s="39">
        <v>0</v>
      </c>
      <c r="H222" s="39">
        <f>F222*(($H$157)+1)+(IF(G222&lt;101,G222,IF(G222&lt;201,G222/2,IF(G222&lt;=301,G222/3,G222/4))))</f>
        <v>1169.9875979999999</v>
      </c>
      <c r="I222" s="33"/>
      <c r="L222" s="84"/>
      <c r="M222" s="84"/>
      <c r="N222" s="33"/>
    </row>
    <row r="223" spans="1:20" s="34" customFormat="1" ht="15.75" customHeight="1" x14ac:dyDescent="0.3">
      <c r="A223" s="82">
        <f t="shared" si="18"/>
        <v>6</v>
      </c>
      <c r="B223" s="83"/>
      <c r="C223" s="39" t="s">
        <v>382</v>
      </c>
      <c r="D223" s="39">
        <f>(58.508)*10.764</f>
        <v>629.78011200000003</v>
      </c>
      <c r="E223" s="39">
        <v>0</v>
      </c>
      <c r="F223" s="39">
        <f>D223+E223</f>
        <v>629.78011200000003</v>
      </c>
      <c r="G223" s="39">
        <v>0</v>
      </c>
      <c r="H223" s="39">
        <f>F223*(($H$157)+1)+(IF(G223&lt;101,G223,IF(G223&lt;201,G223/2,IF(G223&lt;=301,G223/3,G223/4))))</f>
        <v>944.6701680000001</v>
      </c>
      <c r="I223" s="33"/>
      <c r="L223" s="84"/>
      <c r="M223" s="84"/>
      <c r="N223" s="33"/>
    </row>
    <row r="224" spans="1:20" s="34" customFormat="1" ht="15.75" customHeight="1" x14ac:dyDescent="0.3">
      <c r="A224" s="82">
        <f t="shared" si="18"/>
        <v>7</v>
      </c>
      <c r="B224" s="83"/>
      <c r="C224" s="39" t="s">
        <v>382</v>
      </c>
      <c r="D224" s="39">
        <f>(58.508)*10.764</f>
        <v>629.78011200000003</v>
      </c>
      <c r="E224" s="39">
        <v>0</v>
      </c>
      <c r="F224" s="39">
        <f>D224+E224</f>
        <v>629.78011200000003</v>
      </c>
      <c r="G224" s="39">
        <v>0</v>
      </c>
      <c r="H224" s="39">
        <f>F224*(($H$157)+1)+(IF(G224&lt;101,G224,IF(G224&lt;201,G224/2,IF(G224&lt;=301,G224/3,G224/4))))</f>
        <v>944.6701680000001</v>
      </c>
      <c r="I224" s="33"/>
      <c r="L224" s="84"/>
      <c r="M224" s="84"/>
      <c r="N224" s="33"/>
    </row>
    <row r="225" spans="1:20" s="34" customFormat="1" ht="15.75" customHeight="1" x14ac:dyDescent="0.3">
      <c r="A225" s="82">
        <f t="shared" si="18"/>
        <v>8</v>
      </c>
      <c r="B225" s="83"/>
      <c r="C225" s="39" t="s">
        <v>382</v>
      </c>
      <c r="D225" s="39">
        <f>(58.508)*10.764</f>
        <v>629.78011200000003</v>
      </c>
      <c r="E225" s="39">
        <v>0</v>
      </c>
      <c r="F225" s="39">
        <f>D225+E225</f>
        <v>629.78011200000003</v>
      </c>
      <c r="G225" s="39">
        <v>0</v>
      </c>
      <c r="H225" s="39">
        <f>F225*(($H$157)+1)+(IF(G225&lt;101,G225,IF(G225&lt;201,G225/2,IF(G225&lt;=301,G225/3,G225/4))))</f>
        <v>944.6701680000001</v>
      </c>
      <c r="I225" s="33"/>
      <c r="L225" s="84"/>
      <c r="M225" s="84"/>
      <c r="N225" s="33"/>
      <c r="T225" s="18"/>
    </row>
    <row r="226" spans="1:20" s="34" customFormat="1" x14ac:dyDescent="0.3">
      <c r="A226" s="98" t="s">
        <v>395</v>
      </c>
      <c r="B226" s="99"/>
      <c r="C226" s="99"/>
      <c r="D226" s="99"/>
      <c r="E226" s="99"/>
      <c r="F226" s="99"/>
      <c r="G226" s="99"/>
      <c r="H226" s="100"/>
      <c r="J226" s="33"/>
    </row>
    <row r="227" spans="1:20" s="34" customFormat="1" x14ac:dyDescent="0.3">
      <c r="A227" s="98" t="s">
        <v>378</v>
      </c>
      <c r="B227" s="99"/>
      <c r="C227" s="99"/>
      <c r="D227" s="99"/>
      <c r="E227" s="99"/>
      <c r="F227" s="99"/>
      <c r="G227" s="99"/>
      <c r="H227" s="100"/>
      <c r="J227" s="33"/>
    </row>
    <row r="228" spans="1:20" s="34" customFormat="1" x14ac:dyDescent="0.3">
      <c r="A228" s="98" t="s">
        <v>380</v>
      </c>
      <c r="B228" s="99"/>
      <c r="C228" s="99"/>
      <c r="D228" s="99"/>
      <c r="E228" s="99"/>
      <c r="F228" s="99"/>
      <c r="G228" s="99"/>
      <c r="H228" s="100"/>
      <c r="J228" s="33"/>
    </row>
    <row r="229" spans="1:20" s="34" customFormat="1" x14ac:dyDescent="0.3">
      <c r="A229" s="98" t="s">
        <v>379</v>
      </c>
      <c r="B229" s="99"/>
      <c r="C229" s="99"/>
      <c r="D229" s="99"/>
      <c r="E229" s="99"/>
      <c r="F229" s="99"/>
      <c r="G229" s="99"/>
      <c r="H229" s="100"/>
      <c r="I229" s="34">
        <v>1</v>
      </c>
      <c r="J229" s="33"/>
    </row>
    <row r="230" spans="1:20" s="34" customFormat="1" ht="15.75" customHeight="1" x14ac:dyDescent="0.3">
      <c r="A230" s="82">
        <v>1</v>
      </c>
      <c r="B230" s="83"/>
      <c r="C230" s="39" t="s">
        <v>397</v>
      </c>
      <c r="D230" s="39">
        <f>(116.917)*10.764</f>
        <v>1258.494588</v>
      </c>
      <c r="E230" s="39">
        <f>(3.725*1.525)*10.764</f>
        <v>61.146247499999994</v>
      </c>
      <c r="F230" s="39">
        <f>D230+E230</f>
        <v>1319.6408355000001</v>
      </c>
      <c r="G230" s="39">
        <v>0</v>
      </c>
      <c r="H230" s="39">
        <f>F230*(($H$157)+1)+(IF(G230&lt;101,G230,IF(G230&lt;201,G230/2,IF(G230&lt;=301,G230/3,G230/4))))</f>
        <v>1979.46125325</v>
      </c>
      <c r="I230" s="33">
        <f>4.125*5.875+3.05*2.525+4.125*5.875+3.15*4.56+4.75*3.55+1.525*(1.375+2.45+2.45+2.51)+1.825*2.45+5.225*1+1.15*2.975+2.475*0.625+3.04*0.225</f>
        <v>116.142</v>
      </c>
      <c r="L230" s="84"/>
      <c r="M230" s="84"/>
      <c r="N230" s="33"/>
    </row>
    <row r="231" spans="1:20" s="34" customFormat="1" ht="15.75" customHeight="1" x14ac:dyDescent="0.3">
      <c r="A231" s="82">
        <f>A230+1</f>
        <v>2</v>
      </c>
      <c r="B231" s="83"/>
      <c r="C231" s="39" t="s">
        <v>397</v>
      </c>
      <c r="D231" s="39">
        <f>(105.732)*10.764</f>
        <v>1138.099248</v>
      </c>
      <c r="E231" s="39">
        <f>(3.265*1.525)*10.764</f>
        <v>53.595301499999998</v>
      </c>
      <c r="F231" s="39">
        <f>D231+E231</f>
        <v>1191.6945495</v>
      </c>
      <c r="G231" s="39">
        <v>0</v>
      </c>
      <c r="H231" s="39">
        <f>F231*(($H$157)+1)+(IF(G231&lt;101,G231,IF(G231&lt;201,G231/2,IF(G231&lt;=301,G231/3,G231/4))))</f>
        <v>1787.54182425</v>
      </c>
      <c r="I231" s="33">
        <f>3.665*5.875+2.95*2.525+3.125*4.25+3.265*4.25+4.3*3.4+1.525*(2.45+2.45+2.45)+(2.935+0.565)*1+1.46*3.2+1.15*2.975+1.375*2.125+(3.195+2.925+3.075+2.125)*0.15</f>
        <v>98.179999999999993</v>
      </c>
      <c r="J231" s="33">
        <f>3.265*1.525</f>
        <v>4.9791249999999998</v>
      </c>
      <c r="L231" s="84"/>
      <c r="M231" s="84"/>
      <c r="N231" s="33"/>
    </row>
    <row r="232" spans="1:20" s="34" customFormat="1" ht="15.75" customHeight="1" x14ac:dyDescent="0.3">
      <c r="A232" s="82">
        <f>A231+1</f>
        <v>3</v>
      </c>
      <c r="B232" s="83"/>
      <c r="C232" s="85" t="s">
        <v>383</v>
      </c>
      <c r="D232" s="87" t="s">
        <v>384</v>
      </c>
      <c r="E232" s="88"/>
      <c r="F232" s="88"/>
      <c r="G232" s="89"/>
      <c r="H232" s="85" t="s">
        <v>383</v>
      </c>
      <c r="I232" s="33"/>
      <c r="L232" s="84"/>
      <c r="M232" s="84"/>
      <c r="N232" s="33"/>
    </row>
    <row r="233" spans="1:20" s="34" customFormat="1" ht="15.75" customHeight="1" x14ac:dyDescent="0.3">
      <c r="A233" s="82">
        <f>A232+1</f>
        <v>4</v>
      </c>
      <c r="B233" s="83"/>
      <c r="C233" s="86"/>
      <c r="D233" s="90"/>
      <c r="E233" s="91"/>
      <c r="F233" s="91"/>
      <c r="G233" s="92"/>
      <c r="H233" s="86"/>
      <c r="I233" s="33"/>
      <c r="L233" s="84"/>
      <c r="M233" s="84"/>
      <c r="N233" s="33"/>
      <c r="T233" s="18"/>
    </row>
    <row r="234" spans="1:20" s="34" customFormat="1" x14ac:dyDescent="0.3">
      <c r="A234" s="98" t="s">
        <v>386</v>
      </c>
      <c r="B234" s="99"/>
      <c r="C234" s="99"/>
      <c r="D234" s="99"/>
      <c r="E234" s="99"/>
      <c r="F234" s="99"/>
      <c r="G234" s="99"/>
      <c r="H234" s="100"/>
      <c r="I234" s="34">
        <v>3</v>
      </c>
      <c r="J234" s="33"/>
    </row>
    <row r="235" spans="1:20" s="34" customFormat="1" ht="15.75" customHeight="1" x14ac:dyDescent="0.3">
      <c r="A235" s="82">
        <v>1</v>
      </c>
      <c r="B235" s="83"/>
      <c r="C235" s="39" t="s">
        <v>397</v>
      </c>
      <c r="D235" s="39">
        <f>(116.917)*10.764</f>
        <v>1258.494588</v>
      </c>
      <c r="E235" s="39">
        <f>(3.725*1.525)*10.764</f>
        <v>61.146247499999994</v>
      </c>
      <c r="F235" s="39">
        <f t="shared" ref="F235:F238" si="19">D235+E235</f>
        <v>1319.6408355000001</v>
      </c>
      <c r="G235" s="39">
        <v>0</v>
      </c>
      <c r="H235" s="39">
        <f t="shared" ref="H235:H238" si="20">F235*(($H$157)+1)+(IF(G235&lt;101,G235,IF(G235&lt;201,G235/2,IF(G235&lt;=301,G235/3,G235/4))))</f>
        <v>1979.46125325</v>
      </c>
      <c r="I235" s="33"/>
      <c r="L235" s="84"/>
      <c r="M235" s="84"/>
      <c r="N235" s="33"/>
    </row>
    <row r="236" spans="1:20" s="34" customFormat="1" ht="15.75" customHeight="1" x14ac:dyDescent="0.3">
      <c r="A236" s="82">
        <f>A235+1</f>
        <v>2</v>
      </c>
      <c r="B236" s="83"/>
      <c r="C236" s="39" t="s">
        <v>397</v>
      </c>
      <c r="D236" s="39">
        <f>(105.732)*10.764</f>
        <v>1138.099248</v>
      </c>
      <c r="E236" s="39">
        <f>(3.265*1.525)*10.764</f>
        <v>53.595301499999998</v>
      </c>
      <c r="F236" s="39">
        <f t="shared" si="19"/>
        <v>1191.6945495</v>
      </c>
      <c r="G236" s="39">
        <v>0</v>
      </c>
      <c r="H236" s="39">
        <f t="shared" si="20"/>
        <v>1787.54182425</v>
      </c>
      <c r="I236" s="33"/>
      <c r="L236" s="84"/>
      <c r="M236" s="84"/>
      <c r="N236" s="33"/>
    </row>
    <row r="237" spans="1:20" s="34" customFormat="1" ht="15.75" customHeight="1" x14ac:dyDescent="0.3">
      <c r="A237" s="82">
        <f>A236+1</f>
        <v>3</v>
      </c>
      <c r="B237" s="83"/>
      <c r="C237" s="39" t="s">
        <v>397</v>
      </c>
      <c r="D237" s="39">
        <f>(105.732)*10.764</f>
        <v>1138.099248</v>
      </c>
      <c r="E237" s="39">
        <f>(3.265*1.525)*10.764</f>
        <v>53.595301499999998</v>
      </c>
      <c r="F237" s="39">
        <f t="shared" si="19"/>
        <v>1191.6945495</v>
      </c>
      <c r="G237" s="39">
        <v>0</v>
      </c>
      <c r="H237" s="39">
        <f t="shared" si="20"/>
        <v>1787.54182425</v>
      </c>
      <c r="I237" s="33"/>
      <c r="L237" s="84"/>
      <c r="M237" s="84"/>
      <c r="N237" s="33"/>
    </row>
    <row r="238" spans="1:20" s="34" customFormat="1" ht="15.75" customHeight="1" x14ac:dyDescent="0.3">
      <c r="A238" s="82">
        <f>A237+1</f>
        <v>4</v>
      </c>
      <c r="B238" s="83"/>
      <c r="C238" s="39" t="s">
        <v>397</v>
      </c>
      <c r="D238" s="39">
        <f>(116.917)*10.764</f>
        <v>1258.494588</v>
      </c>
      <c r="E238" s="39">
        <f>(3.725*1.525)*10.764</f>
        <v>61.146247499999994</v>
      </c>
      <c r="F238" s="39">
        <f t="shared" si="19"/>
        <v>1319.6408355000001</v>
      </c>
      <c r="G238" s="39">
        <v>0</v>
      </c>
      <c r="H238" s="39">
        <f t="shared" si="20"/>
        <v>1979.46125325</v>
      </c>
      <c r="I238" s="33"/>
      <c r="L238" s="84"/>
      <c r="M238" s="84"/>
      <c r="N238" s="33"/>
      <c r="T238" s="18"/>
    </row>
    <row r="239" spans="1:20" s="34" customFormat="1" x14ac:dyDescent="0.3">
      <c r="A239" s="98" t="s">
        <v>387</v>
      </c>
      <c r="B239" s="99"/>
      <c r="C239" s="99"/>
      <c r="D239" s="99"/>
      <c r="E239" s="99"/>
      <c r="F239" s="99"/>
      <c r="G239" s="99"/>
      <c r="H239" s="100"/>
      <c r="I239" s="34">
        <v>1</v>
      </c>
      <c r="J239" s="33"/>
    </row>
    <row r="240" spans="1:20" s="34" customFormat="1" ht="15.75" customHeight="1" x14ac:dyDescent="0.3">
      <c r="A240" s="82">
        <v>1</v>
      </c>
      <c r="B240" s="83"/>
      <c r="C240" s="39" t="s">
        <v>397</v>
      </c>
      <c r="D240" s="39">
        <f>(116.917)*10.764</f>
        <v>1258.494588</v>
      </c>
      <c r="E240" s="39">
        <f>(3.725*1.525)*10.764</f>
        <v>61.146247499999994</v>
      </c>
      <c r="F240" s="39">
        <f t="shared" ref="F240:F243" si="21">D240+E240</f>
        <v>1319.6408355000001</v>
      </c>
      <c r="G240" s="39">
        <v>0</v>
      </c>
      <c r="H240" s="39">
        <f t="shared" ref="H240:H243" si="22">F240*(($H$157)+1)+(IF(G240&lt;101,G240,IF(G240&lt;201,G240/2,IF(G240&lt;=301,G240/3,G240/4))))</f>
        <v>1979.46125325</v>
      </c>
      <c r="I240" s="33"/>
      <c r="L240" s="84"/>
      <c r="M240" s="84"/>
      <c r="N240" s="33"/>
    </row>
    <row r="241" spans="1:20" s="34" customFormat="1" ht="15.75" customHeight="1" x14ac:dyDescent="0.3">
      <c r="A241" s="82">
        <f>A240+1</f>
        <v>2</v>
      </c>
      <c r="B241" s="83"/>
      <c r="C241" s="39" t="s">
        <v>397</v>
      </c>
      <c r="D241" s="39">
        <f>(105.732)*10.764</f>
        <v>1138.099248</v>
      </c>
      <c r="E241" s="39">
        <f>(3.265*1.525)*10.764</f>
        <v>53.595301499999998</v>
      </c>
      <c r="F241" s="39">
        <f t="shared" si="21"/>
        <v>1191.6945495</v>
      </c>
      <c r="G241" s="39">
        <v>0</v>
      </c>
      <c r="H241" s="39">
        <f t="shared" si="22"/>
        <v>1787.54182425</v>
      </c>
      <c r="I241" s="33"/>
      <c r="L241" s="84"/>
      <c r="M241" s="84"/>
      <c r="N241" s="33"/>
    </row>
    <row r="242" spans="1:20" s="34" customFormat="1" ht="15.75" customHeight="1" x14ac:dyDescent="0.3">
      <c r="A242" s="82">
        <f>A241+1</f>
        <v>3</v>
      </c>
      <c r="B242" s="83"/>
      <c r="C242" s="39" t="s">
        <v>397</v>
      </c>
      <c r="D242" s="39">
        <f>(105.732)*10.764</f>
        <v>1138.099248</v>
      </c>
      <c r="E242" s="39">
        <f>(3.265*1.525)*10.764</f>
        <v>53.595301499999998</v>
      </c>
      <c r="F242" s="39">
        <f t="shared" si="21"/>
        <v>1191.6945495</v>
      </c>
      <c r="G242" s="39">
        <v>0</v>
      </c>
      <c r="H242" s="39">
        <f t="shared" si="22"/>
        <v>1787.54182425</v>
      </c>
      <c r="I242" s="33"/>
      <c r="L242" s="84"/>
      <c r="M242" s="84"/>
      <c r="N242" s="33"/>
    </row>
    <row r="243" spans="1:20" s="34" customFormat="1" ht="15.75" customHeight="1" x14ac:dyDescent="0.3">
      <c r="A243" s="82">
        <f>A242+1</f>
        <v>4</v>
      </c>
      <c r="B243" s="83"/>
      <c r="C243" s="39" t="s">
        <v>397</v>
      </c>
      <c r="D243" s="39">
        <f>(116.917)*10.764</f>
        <v>1258.494588</v>
      </c>
      <c r="E243" s="39">
        <f>(3.725*1.525)*10.764</f>
        <v>61.146247499999994</v>
      </c>
      <c r="F243" s="39">
        <f t="shared" si="21"/>
        <v>1319.6408355000001</v>
      </c>
      <c r="G243" s="39">
        <v>0</v>
      </c>
      <c r="H243" s="39">
        <f t="shared" si="22"/>
        <v>1979.46125325</v>
      </c>
      <c r="I243" s="33"/>
      <c r="L243" s="84"/>
      <c r="M243" s="84"/>
      <c r="N243" s="33"/>
      <c r="T243" s="18"/>
    </row>
    <row r="244" spans="1:20" s="34" customFormat="1" x14ac:dyDescent="0.3">
      <c r="A244" s="98" t="s">
        <v>399</v>
      </c>
      <c r="B244" s="99"/>
      <c r="C244" s="99"/>
      <c r="D244" s="99"/>
      <c r="E244" s="99"/>
      <c r="F244" s="99"/>
      <c r="G244" s="99"/>
      <c r="H244" s="100"/>
      <c r="I244" s="34">
        <v>1</v>
      </c>
      <c r="J244" s="33"/>
    </row>
    <row r="245" spans="1:20" s="34" customFormat="1" ht="15.75" customHeight="1" x14ac:dyDescent="0.3">
      <c r="A245" s="82">
        <v>1</v>
      </c>
      <c r="B245" s="83"/>
      <c r="C245" s="39" t="s">
        <v>397</v>
      </c>
      <c r="D245" s="39">
        <f>(116.917)*10.764</f>
        <v>1258.494588</v>
      </c>
      <c r="E245" s="39">
        <f>(3.725*1.525)*10.764</f>
        <v>61.146247499999994</v>
      </c>
      <c r="F245" s="39">
        <f t="shared" ref="F245:F248" si="23">D245+E245</f>
        <v>1319.6408355000001</v>
      </c>
      <c r="G245" s="39">
        <v>0</v>
      </c>
      <c r="H245" s="39">
        <f t="shared" ref="H245:H248" si="24">F245*(($H$157)+1)+(IF(G245&lt;101,G245,IF(G245&lt;201,G245/2,IF(G245&lt;=301,G245/3,G245/4))))</f>
        <v>1979.46125325</v>
      </c>
      <c r="I245" s="33"/>
      <c r="L245" s="84"/>
      <c r="M245" s="84"/>
      <c r="N245" s="33"/>
    </row>
    <row r="246" spans="1:20" s="34" customFormat="1" ht="15.75" customHeight="1" x14ac:dyDescent="0.3">
      <c r="A246" s="82">
        <f>A245+1</f>
        <v>2</v>
      </c>
      <c r="B246" s="83"/>
      <c r="C246" s="39" t="s">
        <v>397</v>
      </c>
      <c r="D246" s="39">
        <f>(105.732)*10.764</f>
        <v>1138.099248</v>
      </c>
      <c r="E246" s="39">
        <f>(3.265*1.525)*10.764</f>
        <v>53.595301499999998</v>
      </c>
      <c r="F246" s="39">
        <f t="shared" si="23"/>
        <v>1191.6945495</v>
      </c>
      <c r="G246" s="39">
        <v>0</v>
      </c>
      <c r="H246" s="39">
        <f t="shared" si="24"/>
        <v>1787.54182425</v>
      </c>
      <c r="I246" s="33"/>
      <c r="L246" s="84"/>
      <c r="M246" s="84"/>
      <c r="N246" s="33"/>
    </row>
    <row r="247" spans="1:20" s="34" customFormat="1" ht="15.75" customHeight="1" x14ac:dyDescent="0.3">
      <c r="A247" s="82">
        <f>A246+1</f>
        <v>3</v>
      </c>
      <c r="B247" s="83"/>
      <c r="C247" s="39" t="s">
        <v>397</v>
      </c>
      <c r="D247" s="39">
        <f>(105.732)*10.764</f>
        <v>1138.099248</v>
      </c>
      <c r="E247" s="39">
        <f>(3.265*1.525)*10.764</f>
        <v>53.595301499999998</v>
      </c>
      <c r="F247" s="39">
        <f t="shared" si="23"/>
        <v>1191.6945495</v>
      </c>
      <c r="G247" s="39">
        <v>0</v>
      </c>
      <c r="H247" s="39">
        <f t="shared" si="24"/>
        <v>1787.54182425</v>
      </c>
      <c r="I247" s="33"/>
      <c r="L247" s="84"/>
      <c r="M247" s="84"/>
      <c r="N247" s="33"/>
    </row>
    <row r="248" spans="1:20" s="34" customFormat="1" ht="15.75" customHeight="1" x14ac:dyDescent="0.3">
      <c r="A248" s="82">
        <f>A247+1</f>
        <v>4</v>
      </c>
      <c r="B248" s="83"/>
      <c r="C248" s="39" t="s">
        <v>397</v>
      </c>
      <c r="D248" s="39">
        <f>(116.917)*10.764</f>
        <v>1258.494588</v>
      </c>
      <c r="E248" s="39">
        <f>(3.725*1.525)*10.764</f>
        <v>61.146247499999994</v>
      </c>
      <c r="F248" s="39">
        <f t="shared" si="23"/>
        <v>1319.6408355000001</v>
      </c>
      <c r="G248" s="39">
        <v>0</v>
      </c>
      <c r="H248" s="39">
        <f t="shared" si="24"/>
        <v>1979.46125325</v>
      </c>
      <c r="I248" s="33"/>
      <c r="L248" s="84"/>
      <c r="M248" s="84"/>
      <c r="N248" s="33"/>
      <c r="T248" s="18"/>
    </row>
    <row r="249" spans="1:20" s="34" customFormat="1" x14ac:dyDescent="0.3">
      <c r="A249" s="98" t="s">
        <v>400</v>
      </c>
      <c r="B249" s="99"/>
      <c r="C249" s="99"/>
      <c r="D249" s="99"/>
      <c r="E249" s="99"/>
      <c r="F249" s="99"/>
      <c r="G249" s="99"/>
      <c r="H249" s="100"/>
      <c r="I249" s="34">
        <v>3</v>
      </c>
      <c r="J249" s="33"/>
    </row>
    <row r="250" spans="1:20" s="34" customFormat="1" ht="15.75" customHeight="1" x14ac:dyDescent="0.3">
      <c r="A250" s="82">
        <v>1</v>
      </c>
      <c r="B250" s="83"/>
      <c r="C250" s="85" t="s">
        <v>383</v>
      </c>
      <c r="D250" s="87" t="s">
        <v>389</v>
      </c>
      <c r="E250" s="88"/>
      <c r="F250" s="88"/>
      <c r="G250" s="89"/>
      <c r="H250" s="85" t="s">
        <v>383</v>
      </c>
      <c r="I250" s="33"/>
      <c r="L250" s="84"/>
      <c r="M250" s="84"/>
      <c r="N250" s="33"/>
    </row>
    <row r="251" spans="1:20" s="34" customFormat="1" ht="15.75" customHeight="1" x14ac:dyDescent="0.3">
      <c r="A251" s="82">
        <f>A250+1</f>
        <v>2</v>
      </c>
      <c r="B251" s="83"/>
      <c r="C251" s="86"/>
      <c r="D251" s="90"/>
      <c r="E251" s="91"/>
      <c r="F251" s="91"/>
      <c r="G251" s="92"/>
      <c r="H251" s="86"/>
      <c r="I251" s="33"/>
      <c r="L251" s="84"/>
      <c r="M251" s="84"/>
      <c r="N251" s="33"/>
    </row>
    <row r="252" spans="1:20" s="34" customFormat="1" ht="15.75" customHeight="1" x14ac:dyDescent="0.3">
      <c r="A252" s="82">
        <f>A251+1</f>
        <v>3</v>
      </c>
      <c r="B252" s="83"/>
      <c r="C252" s="39" t="s">
        <v>397</v>
      </c>
      <c r="D252" s="39">
        <f>(105.732)*10.764</f>
        <v>1138.099248</v>
      </c>
      <c r="E252" s="39">
        <f>(3.265*1.525)*10.764</f>
        <v>53.595301499999998</v>
      </c>
      <c r="F252" s="39">
        <f t="shared" ref="F252:F255" si="25">D252+E252</f>
        <v>1191.6945495</v>
      </c>
      <c r="G252" s="39">
        <v>0</v>
      </c>
      <c r="H252" s="39">
        <f t="shared" ref="H252:H255" si="26">F252*(($H$157)+1)+(IF(G252&lt;101,G252,IF(G252&lt;201,G252/2,IF(G252&lt;=301,G252/3,G252/4))))</f>
        <v>1787.54182425</v>
      </c>
      <c r="I252" s="33"/>
      <c r="L252" s="84"/>
      <c r="M252" s="84"/>
      <c r="N252" s="33"/>
    </row>
    <row r="253" spans="1:20" s="34" customFormat="1" ht="15.75" customHeight="1" x14ac:dyDescent="0.3">
      <c r="A253" s="82">
        <f>A252+1</f>
        <v>4</v>
      </c>
      <c r="B253" s="83"/>
      <c r="C253" s="39" t="s">
        <v>397</v>
      </c>
      <c r="D253" s="39">
        <f>(116.917)*10.764</f>
        <v>1258.494588</v>
      </c>
      <c r="E253" s="39">
        <f>(3.725*1.525)*10.764</f>
        <v>61.146247499999994</v>
      </c>
      <c r="F253" s="39">
        <f t="shared" si="25"/>
        <v>1319.6408355000001</v>
      </c>
      <c r="G253" s="39">
        <v>0</v>
      </c>
      <c r="H253" s="39">
        <f t="shared" si="26"/>
        <v>1979.46125325</v>
      </c>
      <c r="I253" s="33"/>
      <c r="L253" s="84"/>
      <c r="M253" s="84"/>
      <c r="N253" s="33"/>
      <c r="T253" s="18"/>
    </row>
    <row r="254" spans="1:20" s="34" customFormat="1" ht="15.75" customHeight="1" x14ac:dyDescent="0.3">
      <c r="A254" s="82">
        <f t="shared" ref="A254:A255" si="27">A253+1</f>
        <v>5</v>
      </c>
      <c r="B254" s="83"/>
      <c r="C254" s="39" t="s">
        <v>401</v>
      </c>
      <c r="D254" s="39">
        <f>(158.334)*10.764</f>
        <v>1704.307176</v>
      </c>
      <c r="E254" s="39">
        <f>(6.67*1.825)*10.764</f>
        <v>131.02748099999997</v>
      </c>
      <c r="F254" s="39">
        <f t="shared" si="25"/>
        <v>1835.3346569999999</v>
      </c>
      <c r="G254" s="39">
        <v>0</v>
      </c>
      <c r="H254" s="39">
        <f t="shared" si="26"/>
        <v>2753.0019855</v>
      </c>
      <c r="I254" s="33"/>
      <c r="L254" s="84"/>
      <c r="M254" s="84"/>
      <c r="N254" s="33"/>
    </row>
    <row r="255" spans="1:20" s="34" customFormat="1" ht="15.75" customHeight="1" x14ac:dyDescent="0.3">
      <c r="A255" s="82">
        <f t="shared" si="27"/>
        <v>6</v>
      </c>
      <c r="B255" s="83"/>
      <c r="C255" s="39" t="s">
        <v>401</v>
      </c>
      <c r="D255" s="39">
        <f>(158.334)*10.764</f>
        <v>1704.307176</v>
      </c>
      <c r="E255" s="39">
        <f>(6.67*1.825)*10.764</f>
        <v>131.02748099999997</v>
      </c>
      <c r="F255" s="39">
        <f t="shared" si="25"/>
        <v>1835.3346569999999</v>
      </c>
      <c r="G255" s="39">
        <v>0</v>
      </c>
      <c r="H255" s="39">
        <f t="shared" si="26"/>
        <v>2753.0019855</v>
      </c>
      <c r="I255" s="33"/>
      <c r="L255" s="84"/>
      <c r="M255" s="84"/>
      <c r="N255" s="33"/>
    </row>
    <row r="256" spans="1:20" s="34" customFormat="1" x14ac:dyDescent="0.3">
      <c r="A256" s="101" t="s">
        <v>402</v>
      </c>
      <c r="B256" s="101"/>
      <c r="C256" s="101"/>
      <c r="D256" s="101"/>
      <c r="E256" s="101"/>
      <c r="F256" s="101"/>
      <c r="G256" s="101"/>
      <c r="H256" s="101"/>
      <c r="I256" s="34">
        <f>6+6+3</f>
        <v>15</v>
      </c>
      <c r="J256" s="33"/>
    </row>
    <row r="257" spans="1:20" s="34" customFormat="1" ht="15.75" customHeight="1" x14ac:dyDescent="0.3">
      <c r="A257" s="97">
        <v>1</v>
      </c>
      <c r="B257" s="97"/>
      <c r="C257" s="39" t="s">
        <v>397</v>
      </c>
      <c r="D257" s="39">
        <f>(116.917)*10.764</f>
        <v>1258.494588</v>
      </c>
      <c r="E257" s="39">
        <f>(3.725*1.525)*10.764</f>
        <v>61.146247499999994</v>
      </c>
      <c r="F257" s="39">
        <f t="shared" ref="F257:F262" si="28">D257+E257</f>
        <v>1319.6408355000001</v>
      </c>
      <c r="G257" s="39">
        <v>0</v>
      </c>
      <c r="H257" s="39">
        <f t="shared" ref="H257:H262" si="29">F257*(($H$157)+1)+(IF(G257&lt;101,G257,IF(G257&lt;201,G257/2,IF(G257&lt;=301,G257/3,G257/4))))</f>
        <v>1979.46125325</v>
      </c>
      <c r="I257" s="33"/>
      <c r="L257" s="84"/>
      <c r="M257" s="84"/>
      <c r="N257" s="33"/>
    </row>
    <row r="258" spans="1:20" s="34" customFormat="1" ht="15.75" customHeight="1" x14ac:dyDescent="0.3">
      <c r="A258" s="97">
        <f>A257+1</f>
        <v>2</v>
      </c>
      <c r="B258" s="97"/>
      <c r="C258" s="39" t="s">
        <v>397</v>
      </c>
      <c r="D258" s="39">
        <f>(105.732)*10.764</f>
        <v>1138.099248</v>
      </c>
      <c r="E258" s="39">
        <f>(3.265*1.525)*10.764</f>
        <v>53.595301499999998</v>
      </c>
      <c r="F258" s="39">
        <f t="shared" si="28"/>
        <v>1191.6945495</v>
      </c>
      <c r="G258" s="39">
        <v>0</v>
      </c>
      <c r="H258" s="39">
        <f t="shared" si="29"/>
        <v>1787.54182425</v>
      </c>
      <c r="I258" s="33"/>
      <c r="L258" s="84"/>
      <c r="M258" s="84"/>
      <c r="N258" s="33"/>
    </row>
    <row r="259" spans="1:20" s="34" customFormat="1" ht="15.75" customHeight="1" x14ac:dyDescent="0.3">
      <c r="A259" s="97">
        <f>A258+1</f>
        <v>3</v>
      </c>
      <c r="B259" s="97"/>
      <c r="C259" s="39" t="s">
        <v>397</v>
      </c>
      <c r="D259" s="39">
        <f>(105.732)*10.764</f>
        <v>1138.099248</v>
      </c>
      <c r="E259" s="39">
        <f>(3.265*1.525)*10.764</f>
        <v>53.595301499999998</v>
      </c>
      <c r="F259" s="39">
        <f t="shared" si="28"/>
        <v>1191.6945495</v>
      </c>
      <c r="G259" s="39">
        <v>0</v>
      </c>
      <c r="H259" s="39">
        <f t="shared" si="29"/>
        <v>1787.54182425</v>
      </c>
      <c r="I259" s="33"/>
      <c r="L259" s="84"/>
      <c r="M259" s="84"/>
      <c r="N259" s="33"/>
    </row>
    <row r="260" spans="1:20" s="34" customFormat="1" ht="15.75" customHeight="1" x14ac:dyDescent="0.3">
      <c r="A260" s="97">
        <f>A259+1</f>
        <v>4</v>
      </c>
      <c r="B260" s="97"/>
      <c r="C260" s="39" t="s">
        <v>397</v>
      </c>
      <c r="D260" s="39">
        <f>(116.917)*10.764</f>
        <v>1258.494588</v>
      </c>
      <c r="E260" s="39">
        <f>(3.725*1.525)*10.764</f>
        <v>61.146247499999994</v>
      </c>
      <c r="F260" s="39">
        <f t="shared" si="28"/>
        <v>1319.6408355000001</v>
      </c>
      <c r="G260" s="39">
        <v>0</v>
      </c>
      <c r="H260" s="39">
        <f t="shared" si="29"/>
        <v>1979.46125325</v>
      </c>
      <c r="I260" s="33"/>
      <c r="L260" s="84"/>
      <c r="M260" s="84"/>
      <c r="N260" s="33"/>
      <c r="T260" s="18"/>
    </row>
    <row r="261" spans="1:20" s="34" customFormat="1" ht="15.75" customHeight="1" x14ac:dyDescent="0.3">
      <c r="A261" s="97">
        <f t="shared" ref="A261:A262" si="30">A260+1</f>
        <v>5</v>
      </c>
      <c r="B261" s="97"/>
      <c r="C261" s="39" t="s">
        <v>401</v>
      </c>
      <c r="D261" s="39">
        <f>(158.334)*10.764</f>
        <v>1704.307176</v>
      </c>
      <c r="E261" s="39">
        <f>(6.67*1.825)*10.764</f>
        <v>131.02748099999997</v>
      </c>
      <c r="F261" s="39">
        <f t="shared" si="28"/>
        <v>1835.3346569999999</v>
      </c>
      <c r="G261" s="39">
        <v>0</v>
      </c>
      <c r="H261" s="39">
        <f t="shared" si="29"/>
        <v>2753.0019855</v>
      </c>
      <c r="I261" s="33"/>
      <c r="L261" s="84"/>
      <c r="M261" s="84"/>
      <c r="N261" s="33"/>
    </row>
    <row r="262" spans="1:20" s="34" customFormat="1" ht="15.75" customHeight="1" x14ac:dyDescent="0.3">
      <c r="A262" s="97">
        <f t="shared" si="30"/>
        <v>6</v>
      </c>
      <c r="B262" s="97"/>
      <c r="C262" s="39" t="s">
        <v>401</v>
      </c>
      <c r="D262" s="39">
        <f>(158.334)*10.764</f>
        <v>1704.307176</v>
      </c>
      <c r="E262" s="39">
        <f>(6.67*1.825)*10.764</f>
        <v>131.02748099999997</v>
      </c>
      <c r="F262" s="39">
        <f t="shared" si="28"/>
        <v>1835.3346569999999</v>
      </c>
      <c r="G262" s="39">
        <v>0</v>
      </c>
      <c r="H262" s="39">
        <f t="shared" si="29"/>
        <v>2753.0019855</v>
      </c>
      <c r="I262" s="33"/>
      <c r="L262" s="84"/>
      <c r="M262" s="84"/>
      <c r="N262" s="33"/>
    </row>
    <row r="263" spans="1:20" s="34" customFormat="1" x14ac:dyDescent="0.3">
      <c r="A263" s="101" t="s">
        <v>403</v>
      </c>
      <c r="B263" s="101"/>
      <c r="C263" s="101"/>
      <c r="D263" s="101"/>
      <c r="E263" s="101"/>
      <c r="F263" s="101"/>
      <c r="G263" s="101"/>
      <c r="H263" s="101"/>
      <c r="I263" s="34">
        <v>1</v>
      </c>
      <c r="J263" s="33"/>
    </row>
    <row r="264" spans="1:20" s="34" customFormat="1" ht="15.75" customHeight="1" x14ac:dyDescent="0.3">
      <c r="A264" s="97">
        <v>1</v>
      </c>
      <c r="B264" s="97"/>
      <c r="C264" s="97" t="s">
        <v>383</v>
      </c>
      <c r="D264" s="97" t="s">
        <v>404</v>
      </c>
      <c r="E264" s="97"/>
      <c r="F264" s="97"/>
      <c r="G264" s="97"/>
      <c r="H264" s="97" t="s">
        <v>383</v>
      </c>
      <c r="I264" s="33"/>
      <c r="L264" s="84"/>
      <c r="M264" s="84"/>
      <c r="N264" s="33"/>
    </row>
    <row r="265" spans="1:20" s="34" customFormat="1" ht="15.75" customHeight="1" x14ac:dyDescent="0.3">
      <c r="A265" s="97">
        <f>A264+1</f>
        <v>2</v>
      </c>
      <c r="B265" s="97"/>
      <c r="C265" s="97"/>
      <c r="D265" s="97"/>
      <c r="E265" s="97"/>
      <c r="F265" s="97"/>
      <c r="G265" s="97"/>
      <c r="H265" s="97"/>
      <c r="I265" s="33"/>
      <c r="L265" s="84"/>
      <c r="M265" s="84"/>
      <c r="N265" s="33"/>
    </row>
    <row r="266" spans="1:20" s="34" customFormat="1" ht="15.75" customHeight="1" x14ac:dyDescent="0.3">
      <c r="A266" s="82">
        <f>A265+1</f>
        <v>3</v>
      </c>
      <c r="B266" s="83"/>
      <c r="C266" s="39" t="s">
        <v>397</v>
      </c>
      <c r="D266" s="39">
        <f>(105.732)*10.764</f>
        <v>1138.099248</v>
      </c>
      <c r="E266" s="39">
        <f>(3.265*1.525)*10.764</f>
        <v>53.595301499999998</v>
      </c>
      <c r="F266" s="39">
        <f t="shared" ref="F266:F269" si="31">D266+E266</f>
        <v>1191.6945495</v>
      </c>
      <c r="G266" s="39">
        <v>0</v>
      </c>
      <c r="H266" s="39">
        <f t="shared" ref="H266:H269" si="32">F266*(($H$157)+1)+(IF(G266&lt;101,G266,IF(G266&lt;201,G266/2,IF(G266&lt;=301,G266/3,G266/4))))</f>
        <v>1787.54182425</v>
      </c>
      <c r="I266" s="33"/>
      <c r="L266" s="84"/>
      <c r="M266" s="84"/>
      <c r="N266" s="33"/>
    </row>
    <row r="267" spans="1:20" s="34" customFormat="1" ht="15.75" customHeight="1" x14ac:dyDescent="0.3">
      <c r="A267" s="82">
        <f>A266+1</f>
        <v>4</v>
      </c>
      <c r="B267" s="83"/>
      <c r="C267" s="39" t="s">
        <v>397</v>
      </c>
      <c r="D267" s="39">
        <f>(116.917)*10.764</f>
        <v>1258.494588</v>
      </c>
      <c r="E267" s="39">
        <f>(3.725*1.525)*10.764</f>
        <v>61.146247499999994</v>
      </c>
      <c r="F267" s="39">
        <f t="shared" si="31"/>
        <v>1319.6408355000001</v>
      </c>
      <c r="G267" s="39">
        <v>0</v>
      </c>
      <c r="H267" s="39">
        <f t="shared" si="32"/>
        <v>1979.46125325</v>
      </c>
      <c r="I267" s="33"/>
      <c r="L267" s="84"/>
      <c r="M267" s="84"/>
      <c r="N267" s="33"/>
      <c r="T267" s="18"/>
    </row>
    <row r="268" spans="1:20" s="34" customFormat="1" ht="15.75" customHeight="1" x14ac:dyDescent="0.3">
      <c r="A268" s="82">
        <f t="shared" ref="A268:A269" si="33">A267+1</f>
        <v>5</v>
      </c>
      <c r="B268" s="83"/>
      <c r="C268" s="39" t="s">
        <v>401</v>
      </c>
      <c r="D268" s="39">
        <f>(158.334)*10.764</f>
        <v>1704.307176</v>
      </c>
      <c r="E268" s="39">
        <f>(6.67*1.825)*10.764</f>
        <v>131.02748099999997</v>
      </c>
      <c r="F268" s="39">
        <f t="shared" si="31"/>
        <v>1835.3346569999999</v>
      </c>
      <c r="G268" s="39">
        <v>0</v>
      </c>
      <c r="H268" s="39">
        <f t="shared" si="32"/>
        <v>2753.0019855</v>
      </c>
      <c r="I268" s="33"/>
      <c r="L268" s="84"/>
      <c r="M268" s="84"/>
      <c r="N268" s="33"/>
    </row>
    <row r="269" spans="1:20" s="34" customFormat="1" ht="15.75" customHeight="1" x14ac:dyDescent="0.3">
      <c r="A269" s="82">
        <f t="shared" si="33"/>
        <v>6</v>
      </c>
      <c r="B269" s="83"/>
      <c r="C269" s="39" t="s">
        <v>401</v>
      </c>
      <c r="D269" s="39">
        <f>(158.334)*10.764</f>
        <v>1704.307176</v>
      </c>
      <c r="E269" s="39">
        <f>(6.67*1.825)*10.764</f>
        <v>131.02748099999997</v>
      </c>
      <c r="F269" s="39">
        <f t="shared" si="31"/>
        <v>1835.3346569999999</v>
      </c>
      <c r="G269" s="39">
        <v>0</v>
      </c>
      <c r="H269" s="39">
        <f t="shared" si="32"/>
        <v>2753.0019855</v>
      </c>
      <c r="I269" s="33"/>
      <c r="L269" s="84"/>
      <c r="M269" s="84"/>
      <c r="N269" s="33"/>
    </row>
    <row r="270" spans="1:20" s="34" customFormat="1" x14ac:dyDescent="0.3">
      <c r="A270" s="98" t="s">
        <v>396</v>
      </c>
      <c r="B270" s="99"/>
      <c r="C270" s="99"/>
      <c r="D270" s="99"/>
      <c r="E270" s="99"/>
      <c r="F270" s="99"/>
      <c r="G270" s="99"/>
      <c r="H270" s="100"/>
      <c r="J270" s="33"/>
    </row>
    <row r="271" spans="1:20" s="34" customFormat="1" x14ac:dyDescent="0.3">
      <c r="A271" s="98" t="s">
        <v>378</v>
      </c>
      <c r="B271" s="99"/>
      <c r="C271" s="99"/>
      <c r="D271" s="99"/>
      <c r="E271" s="99"/>
      <c r="F271" s="99"/>
      <c r="G271" s="99"/>
      <c r="H271" s="100"/>
      <c r="J271" s="33"/>
    </row>
    <row r="272" spans="1:20" s="34" customFormat="1" x14ac:dyDescent="0.3">
      <c r="A272" s="98" t="s">
        <v>380</v>
      </c>
      <c r="B272" s="99"/>
      <c r="C272" s="99"/>
      <c r="D272" s="99"/>
      <c r="E272" s="99"/>
      <c r="F272" s="99"/>
      <c r="G272" s="99"/>
      <c r="H272" s="100"/>
      <c r="J272" s="33"/>
    </row>
    <row r="273" spans="1:20" s="34" customFormat="1" x14ac:dyDescent="0.3">
      <c r="A273" s="98" t="s">
        <v>379</v>
      </c>
      <c r="B273" s="99"/>
      <c r="C273" s="99"/>
      <c r="D273" s="99"/>
      <c r="E273" s="99"/>
      <c r="F273" s="99"/>
      <c r="G273" s="99"/>
      <c r="H273" s="100"/>
      <c r="I273" s="34">
        <v>1</v>
      </c>
      <c r="J273" s="33"/>
    </row>
    <row r="274" spans="1:20" s="34" customFormat="1" ht="15.75" customHeight="1" x14ac:dyDescent="0.3">
      <c r="A274" s="82">
        <v>1</v>
      </c>
      <c r="B274" s="83"/>
      <c r="C274" s="39" t="s">
        <v>381</v>
      </c>
      <c r="D274" s="39">
        <f>(68.265)*10.764</f>
        <v>734.80445999999995</v>
      </c>
      <c r="E274" s="39">
        <v>0</v>
      </c>
      <c r="F274" s="39">
        <f t="shared" ref="F274:F275" si="34">D274+E274</f>
        <v>734.80445999999995</v>
      </c>
      <c r="G274" s="39">
        <v>0</v>
      </c>
      <c r="H274" s="39">
        <f t="shared" ref="H274:H275" si="35">F274*(($H$157)+1)+(IF(G274&lt;101,G274,IF(G274&lt;201,G274/2,IF(G274&lt;=301,G274/3,G274/4))))</f>
        <v>1102.20669</v>
      </c>
      <c r="I274" s="33">
        <f>3.175*5.11+2.13*3.25+2.96*3.3+3.05*3.59+2.485*2.275+1.375*(2.275+2.275)+(3.469+1.185)*1+(0.75+1.81)*0.63+0.78*2.425+0.2*1.945</f>
        <v>64.321174999999997</v>
      </c>
      <c r="L274" s="84"/>
      <c r="M274" s="84"/>
      <c r="N274" s="33"/>
    </row>
    <row r="275" spans="1:20" s="34" customFormat="1" ht="15.75" customHeight="1" x14ac:dyDescent="0.3">
      <c r="A275" s="82">
        <f>A274+1</f>
        <v>2</v>
      </c>
      <c r="B275" s="83"/>
      <c r="C275" s="39" t="s">
        <v>382</v>
      </c>
      <c r="D275" s="39">
        <f>(58.508)*10.764</f>
        <v>629.78011200000003</v>
      </c>
      <c r="E275" s="39">
        <v>0</v>
      </c>
      <c r="F275" s="39">
        <f t="shared" si="34"/>
        <v>629.78011200000003</v>
      </c>
      <c r="G275" s="39">
        <v>0</v>
      </c>
      <c r="H275" s="39">
        <f t="shared" si="35"/>
        <v>944.6701680000001</v>
      </c>
      <c r="I275" s="33">
        <f>3.05*5.11+2.13*3.1+2.9*3.15+3.2*3.585+2.275*(1.375+1.375)+(3.85+1.53)*1+1.325*0.675</f>
        <v>55.326124999999998</v>
      </c>
      <c r="L275" s="84"/>
      <c r="M275" s="84"/>
      <c r="N275" s="33"/>
    </row>
    <row r="276" spans="1:20" s="34" customFormat="1" ht="15.75" customHeight="1" x14ac:dyDescent="0.3">
      <c r="A276" s="82">
        <f>A275+1</f>
        <v>3</v>
      </c>
      <c r="B276" s="83"/>
      <c r="C276" s="85" t="s">
        <v>383</v>
      </c>
      <c r="D276" s="87" t="s">
        <v>384</v>
      </c>
      <c r="E276" s="88"/>
      <c r="F276" s="88"/>
      <c r="G276" s="89"/>
      <c r="H276" s="85" t="s">
        <v>383</v>
      </c>
      <c r="I276" s="33"/>
      <c r="L276" s="84"/>
      <c r="M276" s="84"/>
      <c r="N276" s="33"/>
    </row>
    <row r="277" spans="1:20" s="34" customFormat="1" ht="15.75" customHeight="1" x14ac:dyDescent="0.3">
      <c r="A277" s="82">
        <f>A276+1</f>
        <v>4</v>
      </c>
      <c r="B277" s="83"/>
      <c r="C277" s="86"/>
      <c r="D277" s="90"/>
      <c r="E277" s="91"/>
      <c r="F277" s="91"/>
      <c r="G277" s="92"/>
      <c r="H277" s="86"/>
      <c r="I277" s="33"/>
      <c r="L277" s="84"/>
      <c r="M277" s="84"/>
      <c r="N277" s="33"/>
      <c r="T277" s="18"/>
    </row>
    <row r="278" spans="1:20" s="34" customFormat="1" x14ac:dyDescent="0.3">
      <c r="A278" s="98" t="s">
        <v>405</v>
      </c>
      <c r="B278" s="99"/>
      <c r="C278" s="99"/>
      <c r="D278" s="99"/>
      <c r="E278" s="99"/>
      <c r="F278" s="99"/>
      <c r="G278" s="99"/>
      <c r="H278" s="100"/>
      <c r="I278" s="34">
        <v>2</v>
      </c>
      <c r="J278" s="33"/>
    </row>
    <row r="279" spans="1:20" s="34" customFormat="1" ht="15.75" customHeight="1" x14ac:dyDescent="0.3">
      <c r="A279" s="82">
        <v>1</v>
      </c>
      <c r="B279" s="83"/>
      <c r="C279" s="39" t="s">
        <v>381</v>
      </c>
      <c r="D279" s="39">
        <f>(68.265)*10.764</f>
        <v>734.80445999999995</v>
      </c>
      <c r="E279" s="39">
        <v>0</v>
      </c>
      <c r="F279" s="39">
        <f t="shared" ref="F279:F282" si="36">D279+E279</f>
        <v>734.80445999999995</v>
      </c>
      <c r="G279" s="39">
        <v>0</v>
      </c>
      <c r="H279" s="39">
        <f t="shared" ref="H279:H282" si="37">F279*(($H$157)+1)+(IF(G279&lt;101,G279,IF(G279&lt;201,G279/2,IF(G279&lt;=301,G279/3,G279/4))))</f>
        <v>1102.20669</v>
      </c>
      <c r="I279" s="33"/>
      <c r="L279" s="84"/>
      <c r="M279" s="84"/>
      <c r="N279" s="33"/>
    </row>
    <row r="280" spans="1:20" s="34" customFormat="1" ht="15.75" customHeight="1" x14ac:dyDescent="0.3">
      <c r="A280" s="82">
        <f>A279+1</f>
        <v>2</v>
      </c>
      <c r="B280" s="83"/>
      <c r="C280" s="39" t="s">
        <v>382</v>
      </c>
      <c r="D280" s="39">
        <f>(58.508)*10.764</f>
        <v>629.78011200000003</v>
      </c>
      <c r="E280" s="39">
        <v>0</v>
      </c>
      <c r="F280" s="39">
        <f t="shared" si="36"/>
        <v>629.78011200000003</v>
      </c>
      <c r="G280" s="39">
        <v>0</v>
      </c>
      <c r="H280" s="39">
        <f t="shared" si="37"/>
        <v>944.6701680000001</v>
      </c>
      <c r="I280" s="33"/>
      <c r="L280" s="84"/>
      <c r="M280" s="84"/>
      <c r="N280" s="33"/>
    </row>
    <row r="281" spans="1:20" s="34" customFormat="1" ht="15.75" customHeight="1" x14ac:dyDescent="0.3">
      <c r="A281" s="82">
        <f>A280+1</f>
        <v>3</v>
      </c>
      <c r="B281" s="83"/>
      <c r="C281" s="39" t="s">
        <v>382</v>
      </c>
      <c r="D281" s="39">
        <f>(58.508)*10.764</f>
        <v>629.78011200000003</v>
      </c>
      <c r="E281" s="39">
        <v>0</v>
      </c>
      <c r="F281" s="39">
        <f t="shared" si="36"/>
        <v>629.78011200000003</v>
      </c>
      <c r="G281" s="39">
        <v>0</v>
      </c>
      <c r="H281" s="39">
        <f t="shared" si="37"/>
        <v>944.6701680000001</v>
      </c>
      <c r="I281" s="33"/>
      <c r="L281" s="84"/>
      <c r="M281" s="84"/>
      <c r="N281" s="33"/>
    </row>
    <row r="282" spans="1:20" s="34" customFormat="1" ht="15.75" customHeight="1" x14ac:dyDescent="0.3">
      <c r="A282" s="82">
        <f>A281+1</f>
        <v>4</v>
      </c>
      <c r="B282" s="83"/>
      <c r="C282" s="39" t="s">
        <v>381</v>
      </c>
      <c r="D282" s="39">
        <f>(63.636)*10.764</f>
        <v>684.97790399999997</v>
      </c>
      <c r="E282" s="39">
        <v>0</v>
      </c>
      <c r="F282" s="39">
        <f t="shared" si="36"/>
        <v>684.97790399999997</v>
      </c>
      <c r="G282" s="39">
        <v>0</v>
      </c>
      <c r="H282" s="39">
        <f t="shared" si="37"/>
        <v>1027.466856</v>
      </c>
      <c r="I282" s="33"/>
      <c r="L282" s="84"/>
      <c r="M282" s="84"/>
      <c r="N282" s="33"/>
      <c r="T282" s="18"/>
    </row>
    <row r="283" spans="1:20" s="34" customFormat="1" x14ac:dyDescent="0.3">
      <c r="A283" s="98" t="s">
        <v>387</v>
      </c>
      <c r="B283" s="99"/>
      <c r="C283" s="99"/>
      <c r="D283" s="99"/>
      <c r="E283" s="99"/>
      <c r="F283" s="99"/>
      <c r="G283" s="99"/>
      <c r="H283" s="100"/>
      <c r="I283" s="34">
        <v>1</v>
      </c>
      <c r="J283" s="33"/>
    </row>
    <row r="284" spans="1:20" s="34" customFormat="1" ht="15.75" customHeight="1" x14ac:dyDescent="0.3">
      <c r="A284" s="82">
        <v>1</v>
      </c>
      <c r="B284" s="83"/>
      <c r="C284" s="39" t="s">
        <v>381</v>
      </c>
      <c r="D284" s="39">
        <f>(68.265)*10.764</f>
        <v>734.80445999999995</v>
      </c>
      <c r="E284" s="39">
        <v>0</v>
      </c>
      <c r="F284" s="39">
        <f t="shared" ref="F284:F287" si="38">D284+E284</f>
        <v>734.80445999999995</v>
      </c>
      <c r="G284" s="39">
        <v>0</v>
      </c>
      <c r="H284" s="39">
        <f t="shared" ref="H284:H287" si="39">F284*(($H$157)+1)+(IF(G284&lt;101,G284,IF(G284&lt;201,G284/2,IF(G284&lt;=301,G284/3,G284/4))))</f>
        <v>1102.20669</v>
      </c>
      <c r="I284" s="33"/>
      <c r="L284" s="84"/>
      <c r="M284" s="84"/>
      <c r="N284" s="33"/>
    </row>
    <row r="285" spans="1:20" s="34" customFormat="1" ht="15.75" customHeight="1" x14ac:dyDescent="0.3">
      <c r="A285" s="82">
        <f>A284+1</f>
        <v>2</v>
      </c>
      <c r="B285" s="83"/>
      <c r="C285" s="39" t="s">
        <v>382</v>
      </c>
      <c r="D285" s="39">
        <f>(58.508)*10.764</f>
        <v>629.78011200000003</v>
      </c>
      <c r="E285" s="39">
        <v>0</v>
      </c>
      <c r="F285" s="39">
        <f t="shared" si="38"/>
        <v>629.78011200000003</v>
      </c>
      <c r="G285" s="39">
        <v>0</v>
      </c>
      <c r="H285" s="39">
        <f t="shared" si="39"/>
        <v>944.6701680000001</v>
      </c>
      <c r="I285" s="33"/>
      <c r="L285" s="84"/>
      <c r="M285" s="84"/>
      <c r="N285" s="33"/>
    </row>
    <row r="286" spans="1:20" s="34" customFormat="1" ht="15.75" customHeight="1" x14ac:dyDescent="0.3">
      <c r="A286" s="82">
        <f>A285+1</f>
        <v>3</v>
      </c>
      <c r="B286" s="83"/>
      <c r="C286" s="39" t="s">
        <v>382</v>
      </c>
      <c r="D286" s="39">
        <f>(58.508)*10.764</f>
        <v>629.78011200000003</v>
      </c>
      <c r="E286" s="39">
        <v>0</v>
      </c>
      <c r="F286" s="39">
        <f t="shared" si="38"/>
        <v>629.78011200000003</v>
      </c>
      <c r="G286" s="39">
        <v>0</v>
      </c>
      <c r="H286" s="39">
        <f t="shared" si="39"/>
        <v>944.6701680000001</v>
      </c>
      <c r="I286" s="33"/>
      <c r="L286" s="84"/>
      <c r="M286" s="84"/>
      <c r="N286" s="33"/>
    </row>
    <row r="287" spans="1:20" s="34" customFormat="1" ht="15.75" customHeight="1" x14ac:dyDescent="0.3">
      <c r="A287" s="82">
        <f>A286+1</f>
        <v>4</v>
      </c>
      <c r="B287" s="83"/>
      <c r="C287" s="39" t="s">
        <v>381</v>
      </c>
      <c r="D287" s="39">
        <f>(63.636)*10.764</f>
        <v>684.97790399999997</v>
      </c>
      <c r="E287" s="39">
        <v>0</v>
      </c>
      <c r="F287" s="39">
        <f t="shared" si="38"/>
        <v>684.97790399999997</v>
      </c>
      <c r="G287" s="39">
        <v>0</v>
      </c>
      <c r="H287" s="39">
        <f t="shared" si="39"/>
        <v>1027.466856</v>
      </c>
      <c r="I287" s="33"/>
      <c r="L287" s="84"/>
      <c r="M287" s="84"/>
      <c r="N287" s="33"/>
      <c r="T287" s="18"/>
    </row>
    <row r="288" spans="1:20" s="34" customFormat="1" x14ac:dyDescent="0.3">
      <c r="A288" s="98" t="s">
        <v>406</v>
      </c>
      <c r="B288" s="99"/>
      <c r="C288" s="99"/>
      <c r="D288" s="99"/>
      <c r="E288" s="99"/>
      <c r="F288" s="99"/>
      <c r="G288" s="99"/>
      <c r="H288" s="100"/>
      <c r="I288" s="34">
        <v>1</v>
      </c>
      <c r="J288" s="33"/>
    </row>
    <row r="289" spans="1:20" s="34" customFormat="1" ht="15.75" customHeight="1" x14ac:dyDescent="0.3">
      <c r="A289" s="82">
        <v>1</v>
      </c>
      <c r="B289" s="83"/>
      <c r="C289" s="39" t="s">
        <v>381</v>
      </c>
      <c r="D289" s="39">
        <f>(68.265)*10.764</f>
        <v>734.80445999999995</v>
      </c>
      <c r="E289" s="39">
        <v>0</v>
      </c>
      <c r="F289" s="39">
        <f t="shared" ref="F289:F292" si="40">D289+E289</f>
        <v>734.80445999999995</v>
      </c>
      <c r="G289" s="39">
        <v>0</v>
      </c>
      <c r="H289" s="39">
        <f t="shared" ref="H289:H292" si="41">F289*(($H$157)+1)+(IF(G289&lt;101,G289,IF(G289&lt;201,G289/2,IF(G289&lt;=301,G289/3,G289/4))))</f>
        <v>1102.20669</v>
      </c>
      <c r="I289" s="33"/>
      <c r="L289" s="84"/>
      <c r="M289" s="84"/>
      <c r="N289" s="33"/>
    </row>
    <row r="290" spans="1:20" s="34" customFormat="1" ht="15.75" customHeight="1" x14ac:dyDescent="0.3">
      <c r="A290" s="82">
        <f>A289+1</f>
        <v>2</v>
      </c>
      <c r="B290" s="83"/>
      <c r="C290" s="39" t="s">
        <v>382</v>
      </c>
      <c r="D290" s="39">
        <f>(58.508)*10.764</f>
        <v>629.78011200000003</v>
      </c>
      <c r="E290" s="39">
        <v>0</v>
      </c>
      <c r="F290" s="39">
        <f t="shared" si="40"/>
        <v>629.78011200000003</v>
      </c>
      <c r="G290" s="39">
        <v>0</v>
      </c>
      <c r="H290" s="39">
        <f t="shared" si="41"/>
        <v>944.6701680000001</v>
      </c>
      <c r="I290" s="33"/>
      <c r="L290" s="84"/>
      <c r="M290" s="84"/>
      <c r="N290" s="33"/>
    </row>
    <row r="291" spans="1:20" s="34" customFormat="1" ht="15.75" customHeight="1" x14ac:dyDescent="0.3">
      <c r="A291" s="82">
        <f>A290+1</f>
        <v>3</v>
      </c>
      <c r="B291" s="83"/>
      <c r="C291" s="39" t="s">
        <v>382</v>
      </c>
      <c r="D291" s="39">
        <f>(58.508)*10.764</f>
        <v>629.78011200000003</v>
      </c>
      <c r="E291" s="39">
        <v>0</v>
      </c>
      <c r="F291" s="39">
        <f t="shared" si="40"/>
        <v>629.78011200000003</v>
      </c>
      <c r="G291" s="39">
        <v>0</v>
      </c>
      <c r="H291" s="39">
        <f t="shared" si="41"/>
        <v>944.6701680000001</v>
      </c>
      <c r="I291" s="33"/>
      <c r="L291" s="84"/>
      <c r="M291" s="84"/>
      <c r="N291" s="33"/>
    </row>
    <row r="292" spans="1:20" s="34" customFormat="1" ht="15.75" customHeight="1" x14ac:dyDescent="0.3">
      <c r="A292" s="82">
        <f>A291+1</f>
        <v>4</v>
      </c>
      <c r="B292" s="83"/>
      <c r="C292" s="39" t="s">
        <v>381</v>
      </c>
      <c r="D292" s="39">
        <f>(63.636)*10.764</f>
        <v>684.97790399999997</v>
      </c>
      <c r="E292" s="39">
        <v>0</v>
      </c>
      <c r="F292" s="39">
        <f t="shared" si="40"/>
        <v>684.97790399999997</v>
      </c>
      <c r="G292" s="39">
        <v>0</v>
      </c>
      <c r="H292" s="39">
        <f t="shared" si="41"/>
        <v>1027.466856</v>
      </c>
      <c r="I292" s="33"/>
      <c r="L292" s="84"/>
      <c r="M292" s="84"/>
      <c r="N292" s="33"/>
      <c r="T292" s="18"/>
    </row>
    <row r="293" spans="1:20" s="34" customFormat="1" x14ac:dyDescent="0.3">
      <c r="A293" s="98" t="s">
        <v>399</v>
      </c>
      <c r="B293" s="99"/>
      <c r="C293" s="99"/>
      <c r="D293" s="99"/>
      <c r="E293" s="99"/>
      <c r="F293" s="99"/>
      <c r="G293" s="99"/>
      <c r="H293" s="100"/>
      <c r="I293" s="34">
        <v>1</v>
      </c>
      <c r="J293" s="33"/>
    </row>
    <row r="294" spans="1:20" s="34" customFormat="1" ht="15.75" customHeight="1" x14ac:dyDescent="0.3">
      <c r="A294" s="82">
        <v>1</v>
      </c>
      <c r="B294" s="83"/>
      <c r="C294" s="39" t="s">
        <v>381</v>
      </c>
      <c r="D294" s="39">
        <f>(68.265)*10.764</f>
        <v>734.80445999999995</v>
      </c>
      <c r="E294" s="39">
        <v>0</v>
      </c>
      <c r="F294" s="39">
        <f t="shared" ref="F294:F297" si="42">D294+E294</f>
        <v>734.80445999999995</v>
      </c>
      <c r="G294" s="39">
        <v>0</v>
      </c>
      <c r="H294" s="39">
        <f t="shared" ref="H294:H297" si="43">F294*(($H$157)+1)+(IF(G294&lt;101,G294,IF(G294&lt;201,G294/2,IF(G294&lt;=301,G294/3,G294/4))))</f>
        <v>1102.20669</v>
      </c>
      <c r="I294" s="33"/>
      <c r="L294" s="84"/>
      <c r="M294" s="84"/>
      <c r="N294" s="33"/>
    </row>
    <row r="295" spans="1:20" s="34" customFormat="1" ht="15.75" customHeight="1" x14ac:dyDescent="0.3">
      <c r="A295" s="82">
        <f>A294+1</f>
        <v>2</v>
      </c>
      <c r="B295" s="83"/>
      <c r="C295" s="39" t="s">
        <v>382</v>
      </c>
      <c r="D295" s="39">
        <f>(58.508)*10.764</f>
        <v>629.78011200000003</v>
      </c>
      <c r="E295" s="39">
        <v>0</v>
      </c>
      <c r="F295" s="39">
        <f t="shared" si="42"/>
        <v>629.78011200000003</v>
      </c>
      <c r="G295" s="39">
        <v>0</v>
      </c>
      <c r="H295" s="39">
        <f t="shared" si="43"/>
        <v>944.6701680000001</v>
      </c>
      <c r="I295" s="33"/>
      <c r="L295" s="84"/>
      <c r="M295" s="84"/>
      <c r="N295" s="33"/>
    </row>
    <row r="296" spans="1:20" s="34" customFormat="1" ht="15.75" customHeight="1" x14ac:dyDescent="0.3">
      <c r="A296" s="82">
        <f>A295+1</f>
        <v>3</v>
      </c>
      <c r="B296" s="83"/>
      <c r="C296" s="39" t="s">
        <v>382</v>
      </c>
      <c r="D296" s="39">
        <f>(58.508)*10.764</f>
        <v>629.78011200000003</v>
      </c>
      <c r="E296" s="39">
        <v>0</v>
      </c>
      <c r="F296" s="39">
        <f t="shared" si="42"/>
        <v>629.78011200000003</v>
      </c>
      <c r="G296" s="39">
        <v>0</v>
      </c>
      <c r="H296" s="39">
        <f t="shared" si="43"/>
        <v>944.6701680000001</v>
      </c>
      <c r="I296" s="33"/>
      <c r="L296" s="84"/>
      <c r="M296" s="84"/>
      <c r="N296" s="33"/>
    </row>
    <row r="297" spans="1:20" s="34" customFormat="1" ht="15.75" customHeight="1" x14ac:dyDescent="0.3">
      <c r="A297" s="82">
        <f>A296+1</f>
        <v>4</v>
      </c>
      <c r="B297" s="83"/>
      <c r="C297" s="39" t="s">
        <v>381</v>
      </c>
      <c r="D297" s="39">
        <f>(63.636)*10.764</f>
        <v>684.97790399999997</v>
      </c>
      <c r="E297" s="39">
        <v>0</v>
      </c>
      <c r="F297" s="39">
        <f t="shared" si="42"/>
        <v>684.97790399999997</v>
      </c>
      <c r="G297" s="39">
        <v>0</v>
      </c>
      <c r="H297" s="39">
        <f t="shared" si="43"/>
        <v>1027.466856</v>
      </c>
      <c r="I297" s="33"/>
      <c r="L297" s="84"/>
      <c r="M297" s="84"/>
      <c r="N297" s="33"/>
      <c r="T297" s="18"/>
    </row>
    <row r="298" spans="1:20" s="34" customFormat="1" x14ac:dyDescent="0.3">
      <c r="A298" s="101" t="s">
        <v>407</v>
      </c>
      <c r="B298" s="101"/>
      <c r="C298" s="101"/>
      <c r="D298" s="101"/>
      <c r="E298" s="101"/>
      <c r="F298" s="101"/>
      <c r="G298" s="101"/>
      <c r="H298" s="101"/>
      <c r="I298" s="34">
        <v>2</v>
      </c>
      <c r="J298" s="33"/>
    </row>
    <row r="299" spans="1:20" s="34" customFormat="1" ht="15.75" customHeight="1" x14ac:dyDescent="0.3">
      <c r="A299" s="97">
        <v>1</v>
      </c>
      <c r="B299" s="97"/>
      <c r="C299" s="39" t="s">
        <v>381</v>
      </c>
      <c r="D299" s="39">
        <f>(68.265)*10.764</f>
        <v>734.80445999999995</v>
      </c>
      <c r="E299" s="39">
        <v>0</v>
      </c>
      <c r="F299" s="39">
        <f t="shared" ref="F299:F306" si="44">D299+E299</f>
        <v>734.80445999999995</v>
      </c>
      <c r="G299" s="39">
        <v>0</v>
      </c>
      <c r="H299" s="39">
        <f t="shared" ref="H299:H306" si="45">F299*(($H$157)+1)+(IF(G299&lt;101,G299,IF(G299&lt;201,G299/2,IF(G299&lt;=301,G299/3,G299/4))))</f>
        <v>1102.20669</v>
      </c>
      <c r="I299" s="33"/>
      <c r="L299" s="84"/>
      <c r="M299" s="84"/>
      <c r="N299" s="33"/>
    </row>
    <row r="300" spans="1:20" s="34" customFormat="1" ht="15.75" customHeight="1" x14ac:dyDescent="0.3">
      <c r="A300" s="97">
        <f>A299+1</f>
        <v>2</v>
      </c>
      <c r="B300" s="97"/>
      <c r="C300" s="39" t="s">
        <v>382</v>
      </c>
      <c r="D300" s="39">
        <f>(58.508)*10.764</f>
        <v>629.78011200000003</v>
      </c>
      <c r="E300" s="39">
        <v>0</v>
      </c>
      <c r="F300" s="39">
        <f t="shared" si="44"/>
        <v>629.78011200000003</v>
      </c>
      <c r="G300" s="39">
        <v>0</v>
      </c>
      <c r="H300" s="39">
        <f t="shared" si="45"/>
        <v>944.6701680000001</v>
      </c>
      <c r="I300" s="33"/>
      <c r="L300" s="84"/>
      <c r="M300" s="84"/>
      <c r="N300" s="33"/>
    </row>
    <row r="301" spans="1:20" s="34" customFormat="1" ht="15.75" customHeight="1" x14ac:dyDescent="0.3">
      <c r="A301" s="97">
        <f>A300+1</f>
        <v>3</v>
      </c>
      <c r="B301" s="97"/>
      <c r="C301" s="97" t="s">
        <v>383</v>
      </c>
      <c r="D301" s="97" t="s">
        <v>389</v>
      </c>
      <c r="E301" s="97"/>
      <c r="F301" s="97"/>
      <c r="G301" s="97"/>
      <c r="H301" s="97" t="s">
        <v>383</v>
      </c>
      <c r="I301" s="33"/>
      <c r="L301" s="84"/>
      <c r="M301" s="84"/>
      <c r="N301" s="33"/>
    </row>
    <row r="302" spans="1:20" s="34" customFormat="1" ht="15.75" customHeight="1" x14ac:dyDescent="0.3">
      <c r="A302" s="97">
        <f>A301+1</f>
        <v>4</v>
      </c>
      <c r="B302" s="97"/>
      <c r="C302" s="97"/>
      <c r="D302" s="97"/>
      <c r="E302" s="97"/>
      <c r="F302" s="97"/>
      <c r="G302" s="97"/>
      <c r="H302" s="97"/>
      <c r="I302" s="33"/>
      <c r="L302" s="84"/>
      <c r="M302" s="84"/>
      <c r="N302" s="33"/>
      <c r="T302" s="18"/>
    </row>
    <row r="303" spans="1:20" s="34" customFormat="1" ht="15.75" customHeight="1" x14ac:dyDescent="0.3">
      <c r="A303" s="97">
        <f t="shared" ref="A303:A306" si="46">A302+1</f>
        <v>5</v>
      </c>
      <c r="B303" s="97"/>
      <c r="C303" s="39" t="s">
        <v>382</v>
      </c>
      <c r="D303" s="39">
        <f>(51.136)*10.764</f>
        <v>550.42790400000001</v>
      </c>
      <c r="E303" s="39">
        <v>0</v>
      </c>
      <c r="F303" s="39">
        <f t="shared" si="44"/>
        <v>550.42790400000001</v>
      </c>
      <c r="G303" s="39">
        <v>0</v>
      </c>
      <c r="H303" s="39">
        <f t="shared" si="45"/>
        <v>825.64185599999996</v>
      </c>
      <c r="I303" s="33"/>
      <c r="L303" s="84"/>
      <c r="M303" s="84"/>
      <c r="N303" s="33"/>
    </row>
    <row r="304" spans="1:20" s="34" customFormat="1" ht="15.75" customHeight="1" x14ac:dyDescent="0.3">
      <c r="A304" s="97">
        <f t="shared" si="46"/>
        <v>6</v>
      </c>
      <c r="B304" s="97"/>
      <c r="C304" s="39" t="s">
        <v>382</v>
      </c>
      <c r="D304" s="39">
        <f>(58.508)*10.764</f>
        <v>629.78011200000003</v>
      </c>
      <c r="E304" s="39">
        <v>0</v>
      </c>
      <c r="F304" s="39">
        <f t="shared" si="44"/>
        <v>629.78011200000003</v>
      </c>
      <c r="G304" s="39">
        <v>0</v>
      </c>
      <c r="H304" s="39">
        <f t="shared" si="45"/>
        <v>944.6701680000001</v>
      </c>
      <c r="I304" s="33"/>
      <c r="L304" s="84"/>
      <c r="M304" s="84"/>
      <c r="N304" s="33"/>
    </row>
    <row r="305" spans="1:20" s="34" customFormat="1" ht="15.75" customHeight="1" x14ac:dyDescent="0.3">
      <c r="A305" s="97">
        <f t="shared" si="46"/>
        <v>7</v>
      </c>
      <c r="B305" s="97"/>
      <c r="C305" s="39" t="s">
        <v>382</v>
      </c>
      <c r="D305" s="39">
        <f>(69.518)*10.764</f>
        <v>748.29175199999997</v>
      </c>
      <c r="E305" s="39">
        <f>(3.2*0.925)*10.764</f>
        <v>31.861440000000002</v>
      </c>
      <c r="F305" s="39">
        <f t="shared" si="44"/>
        <v>780.15319199999999</v>
      </c>
      <c r="G305" s="39">
        <v>0</v>
      </c>
      <c r="H305" s="39">
        <f t="shared" si="45"/>
        <v>1170.2297880000001</v>
      </c>
      <c r="I305" s="33"/>
      <c r="L305" s="84"/>
      <c r="M305" s="84"/>
      <c r="N305" s="33"/>
    </row>
    <row r="306" spans="1:20" s="34" customFormat="1" ht="15.75" customHeight="1" x14ac:dyDescent="0.3">
      <c r="A306" s="97">
        <f t="shared" si="46"/>
        <v>8</v>
      </c>
      <c r="B306" s="97"/>
      <c r="C306" s="39" t="s">
        <v>382</v>
      </c>
      <c r="D306" s="39">
        <f>(69.518)*10.764</f>
        <v>748.29175199999997</v>
      </c>
      <c r="E306" s="39">
        <f>(3.2*0.925)*10.764</f>
        <v>31.861440000000002</v>
      </c>
      <c r="F306" s="39">
        <f t="shared" si="44"/>
        <v>780.15319199999999</v>
      </c>
      <c r="G306" s="39">
        <v>0</v>
      </c>
      <c r="H306" s="39">
        <f t="shared" si="45"/>
        <v>1170.2297880000001</v>
      </c>
      <c r="I306" s="33"/>
      <c r="L306" s="84"/>
      <c r="M306" s="84"/>
      <c r="N306" s="33"/>
      <c r="T306" s="18"/>
    </row>
    <row r="307" spans="1:20" s="34" customFormat="1" x14ac:dyDescent="0.3">
      <c r="A307" s="101" t="s">
        <v>408</v>
      </c>
      <c r="B307" s="101"/>
      <c r="C307" s="101"/>
      <c r="D307" s="101"/>
      <c r="E307" s="101"/>
      <c r="F307" s="101"/>
      <c r="G307" s="101"/>
      <c r="H307" s="101"/>
      <c r="I307" s="34">
        <f>6+2</f>
        <v>8</v>
      </c>
      <c r="J307" s="33"/>
    </row>
    <row r="308" spans="1:20" s="34" customFormat="1" ht="15.75" customHeight="1" x14ac:dyDescent="0.3">
      <c r="A308" s="97">
        <v>1</v>
      </c>
      <c r="B308" s="97"/>
      <c r="C308" s="39" t="s">
        <v>381</v>
      </c>
      <c r="D308" s="39">
        <f>(68.265)*10.764</f>
        <v>734.80445999999995</v>
      </c>
      <c r="E308" s="39">
        <v>0</v>
      </c>
      <c r="F308" s="39">
        <f t="shared" ref="F308:F315" si="47">D308+E308</f>
        <v>734.80445999999995</v>
      </c>
      <c r="G308" s="39">
        <v>0</v>
      </c>
      <c r="H308" s="39">
        <f t="shared" ref="H308:H315" si="48">F308*(($H$157)+1)+(IF(G308&lt;101,G308,IF(G308&lt;201,G308/2,IF(G308&lt;=301,G308/3,G308/4))))</f>
        <v>1102.20669</v>
      </c>
      <c r="I308" s="33"/>
      <c r="L308" s="84"/>
      <c r="M308" s="84"/>
      <c r="N308" s="33"/>
    </row>
    <row r="309" spans="1:20" s="34" customFormat="1" ht="15.75" customHeight="1" x14ac:dyDescent="0.3">
      <c r="A309" s="97">
        <f>A308+1</f>
        <v>2</v>
      </c>
      <c r="B309" s="97"/>
      <c r="C309" s="39" t="s">
        <v>382</v>
      </c>
      <c r="D309" s="39">
        <f>(58.508)*10.764</f>
        <v>629.78011200000003</v>
      </c>
      <c r="E309" s="39">
        <v>0</v>
      </c>
      <c r="F309" s="39">
        <f t="shared" si="47"/>
        <v>629.78011200000003</v>
      </c>
      <c r="G309" s="39">
        <v>0</v>
      </c>
      <c r="H309" s="39">
        <f t="shared" si="48"/>
        <v>944.6701680000001</v>
      </c>
      <c r="I309" s="33"/>
      <c r="L309" s="84"/>
      <c r="M309" s="84"/>
      <c r="N309" s="33"/>
    </row>
    <row r="310" spans="1:20" s="34" customFormat="1" ht="15.75" customHeight="1" x14ac:dyDescent="0.3">
      <c r="A310" s="82">
        <f>A309+1</f>
        <v>3</v>
      </c>
      <c r="B310" s="83"/>
      <c r="C310" s="39" t="s">
        <v>382</v>
      </c>
      <c r="D310" s="39">
        <f>(58.508)*10.764</f>
        <v>629.78011200000003</v>
      </c>
      <c r="E310" s="39">
        <v>0</v>
      </c>
      <c r="F310" s="39">
        <f t="shared" si="47"/>
        <v>629.78011200000003</v>
      </c>
      <c r="G310" s="39">
        <v>0</v>
      </c>
      <c r="H310" s="39">
        <f t="shared" si="48"/>
        <v>944.6701680000001</v>
      </c>
      <c r="I310" s="33"/>
      <c r="L310" s="84"/>
      <c r="M310" s="84"/>
      <c r="N310" s="33"/>
    </row>
    <row r="311" spans="1:20" s="34" customFormat="1" ht="15.75" customHeight="1" x14ac:dyDescent="0.3">
      <c r="A311" s="82">
        <f>A310+1</f>
        <v>4</v>
      </c>
      <c r="B311" s="83"/>
      <c r="C311" s="39" t="s">
        <v>381</v>
      </c>
      <c r="D311" s="39">
        <f>(63.636)*10.764</f>
        <v>684.97790399999997</v>
      </c>
      <c r="E311" s="39">
        <v>0</v>
      </c>
      <c r="F311" s="39">
        <f t="shared" si="47"/>
        <v>684.97790399999997</v>
      </c>
      <c r="G311" s="39">
        <v>0</v>
      </c>
      <c r="H311" s="39">
        <f t="shared" si="48"/>
        <v>1027.466856</v>
      </c>
      <c r="I311" s="33"/>
      <c r="L311" s="84"/>
      <c r="M311" s="84"/>
      <c r="N311" s="33"/>
      <c r="T311" s="18"/>
    </row>
    <row r="312" spans="1:20" s="34" customFormat="1" ht="15.75" customHeight="1" x14ac:dyDescent="0.3">
      <c r="A312" s="82">
        <f t="shared" ref="A312:A315" si="49">A311+1</f>
        <v>5</v>
      </c>
      <c r="B312" s="83"/>
      <c r="C312" s="39" t="s">
        <v>382</v>
      </c>
      <c r="D312" s="39">
        <f>(51.136)*10.764</f>
        <v>550.42790400000001</v>
      </c>
      <c r="E312" s="39">
        <v>0</v>
      </c>
      <c r="F312" s="39">
        <f t="shared" si="47"/>
        <v>550.42790400000001</v>
      </c>
      <c r="G312" s="39">
        <v>0</v>
      </c>
      <c r="H312" s="39">
        <f t="shared" si="48"/>
        <v>825.64185599999996</v>
      </c>
      <c r="I312" s="33"/>
      <c r="L312" s="84"/>
      <c r="M312" s="84"/>
      <c r="N312" s="33"/>
    </row>
    <row r="313" spans="1:20" s="34" customFormat="1" ht="15.75" customHeight="1" x14ac:dyDescent="0.3">
      <c r="A313" s="82">
        <f t="shared" si="49"/>
        <v>6</v>
      </c>
      <c r="B313" s="83"/>
      <c r="C313" s="39" t="s">
        <v>382</v>
      </c>
      <c r="D313" s="39">
        <f>(58.508)*10.764</f>
        <v>629.78011200000003</v>
      </c>
      <c r="E313" s="39">
        <v>0</v>
      </c>
      <c r="F313" s="39">
        <f t="shared" si="47"/>
        <v>629.78011200000003</v>
      </c>
      <c r="G313" s="39">
        <v>0</v>
      </c>
      <c r="H313" s="39">
        <f t="shared" si="48"/>
        <v>944.6701680000001</v>
      </c>
      <c r="I313" s="33"/>
      <c r="L313" s="84"/>
      <c r="M313" s="84"/>
      <c r="N313" s="33"/>
    </row>
    <row r="314" spans="1:20" s="34" customFormat="1" ht="15.75" customHeight="1" x14ac:dyDescent="0.3">
      <c r="A314" s="82">
        <f t="shared" si="49"/>
        <v>7</v>
      </c>
      <c r="B314" s="83"/>
      <c r="C314" s="39" t="s">
        <v>382</v>
      </c>
      <c r="D314" s="39">
        <f>(69.518)*10.764</f>
        <v>748.29175199999997</v>
      </c>
      <c r="E314" s="39">
        <f>(3.2*0.925)*10.764</f>
        <v>31.861440000000002</v>
      </c>
      <c r="F314" s="39">
        <f t="shared" si="47"/>
        <v>780.15319199999999</v>
      </c>
      <c r="G314" s="39">
        <v>0</v>
      </c>
      <c r="H314" s="39">
        <f t="shared" si="48"/>
        <v>1170.2297880000001</v>
      </c>
      <c r="I314" s="33"/>
      <c r="L314" s="84"/>
      <c r="M314" s="84"/>
      <c r="N314" s="33"/>
    </row>
    <row r="315" spans="1:20" s="34" customFormat="1" ht="15.75" customHeight="1" x14ac:dyDescent="0.3">
      <c r="A315" s="82">
        <f t="shared" si="49"/>
        <v>8</v>
      </c>
      <c r="B315" s="83"/>
      <c r="C315" s="39" t="s">
        <v>382</v>
      </c>
      <c r="D315" s="39">
        <f>(69.518)*10.764</f>
        <v>748.29175199999997</v>
      </c>
      <c r="E315" s="39">
        <f>(3.2*0.925)*10.764</f>
        <v>31.861440000000002</v>
      </c>
      <c r="F315" s="39">
        <f t="shared" si="47"/>
        <v>780.15319199999999</v>
      </c>
      <c r="G315" s="39">
        <v>0</v>
      </c>
      <c r="H315" s="39">
        <f t="shared" si="48"/>
        <v>1170.2297880000001</v>
      </c>
      <c r="I315" s="33"/>
      <c r="L315" s="84"/>
      <c r="M315" s="84"/>
      <c r="N315" s="33"/>
      <c r="T315" s="18"/>
    </row>
    <row r="316" spans="1:20" s="34" customFormat="1" x14ac:dyDescent="0.3">
      <c r="A316" s="98" t="s">
        <v>410</v>
      </c>
      <c r="B316" s="99"/>
      <c r="C316" s="99"/>
      <c r="D316" s="99"/>
      <c r="E316" s="99"/>
      <c r="F316" s="99"/>
      <c r="G316" s="99"/>
      <c r="H316" s="100"/>
      <c r="I316" s="34">
        <f>4+6+6+2</f>
        <v>18</v>
      </c>
      <c r="J316" s="33"/>
    </row>
    <row r="317" spans="1:20" s="34" customFormat="1" ht="15.75" customHeight="1" x14ac:dyDescent="0.3">
      <c r="A317" s="82">
        <v>1</v>
      </c>
      <c r="B317" s="83"/>
      <c r="C317" s="39" t="s">
        <v>381</v>
      </c>
      <c r="D317" s="39">
        <f>(68.265)*10.764</f>
        <v>734.80445999999995</v>
      </c>
      <c r="E317" s="39">
        <v>0</v>
      </c>
      <c r="F317" s="39">
        <f t="shared" ref="F317:F324" si="50">D317+E317</f>
        <v>734.80445999999995</v>
      </c>
      <c r="G317" s="39">
        <v>0</v>
      </c>
      <c r="H317" s="39">
        <f t="shared" ref="H317:H324" si="51">F317*(($H$157)+1)+(IF(G317&lt;101,G317,IF(G317&lt;201,G317/2,IF(G317&lt;=301,G317/3,G317/4))))</f>
        <v>1102.20669</v>
      </c>
      <c r="I317" s="33"/>
      <c r="L317" s="84"/>
      <c r="M317" s="84"/>
      <c r="N317" s="33"/>
    </row>
    <row r="318" spans="1:20" s="34" customFormat="1" ht="15.75" customHeight="1" x14ac:dyDescent="0.3">
      <c r="A318" s="82">
        <f>A317+1</f>
        <v>2</v>
      </c>
      <c r="B318" s="83"/>
      <c r="C318" s="39" t="s">
        <v>382</v>
      </c>
      <c r="D318" s="39">
        <f>(58.508)*10.764</f>
        <v>629.78011200000003</v>
      </c>
      <c r="E318" s="39">
        <v>0</v>
      </c>
      <c r="F318" s="39">
        <f t="shared" si="50"/>
        <v>629.78011200000003</v>
      </c>
      <c r="G318" s="39">
        <v>0</v>
      </c>
      <c r="H318" s="39">
        <f t="shared" si="51"/>
        <v>944.6701680000001</v>
      </c>
      <c r="I318" s="33"/>
      <c r="L318" s="84"/>
      <c r="M318" s="84"/>
      <c r="N318" s="33"/>
    </row>
    <row r="319" spans="1:20" s="34" customFormat="1" ht="15.75" customHeight="1" x14ac:dyDescent="0.3">
      <c r="A319" s="82">
        <f>A318+1</f>
        <v>3</v>
      </c>
      <c r="B319" s="83"/>
      <c r="C319" s="39" t="s">
        <v>382</v>
      </c>
      <c r="D319" s="39">
        <f>(58.508)*10.764</f>
        <v>629.78011200000003</v>
      </c>
      <c r="E319" s="39">
        <v>0</v>
      </c>
      <c r="F319" s="39">
        <f t="shared" si="50"/>
        <v>629.78011200000003</v>
      </c>
      <c r="G319" s="39">
        <v>0</v>
      </c>
      <c r="H319" s="39">
        <f t="shared" si="51"/>
        <v>944.6701680000001</v>
      </c>
      <c r="I319" s="33"/>
      <c r="L319" s="84"/>
      <c r="M319" s="84"/>
      <c r="N319" s="33"/>
    </row>
    <row r="320" spans="1:20" s="34" customFormat="1" ht="15.75" customHeight="1" x14ac:dyDescent="0.3">
      <c r="A320" s="82">
        <f>A319+1</f>
        <v>4</v>
      </c>
      <c r="B320" s="83"/>
      <c r="C320" s="39" t="s">
        <v>381</v>
      </c>
      <c r="D320" s="39">
        <f>(63.636)*10.764</f>
        <v>684.97790399999997</v>
      </c>
      <c r="E320" s="39">
        <v>0</v>
      </c>
      <c r="F320" s="39">
        <f t="shared" si="50"/>
        <v>684.97790399999997</v>
      </c>
      <c r="G320" s="39">
        <v>0</v>
      </c>
      <c r="H320" s="39">
        <f t="shared" si="51"/>
        <v>1027.466856</v>
      </c>
      <c r="I320" s="33"/>
      <c r="L320" s="84"/>
      <c r="M320" s="84"/>
      <c r="N320" s="33"/>
      <c r="T320" s="18"/>
    </row>
    <row r="321" spans="1:20" s="34" customFormat="1" ht="15.75" customHeight="1" x14ac:dyDescent="0.3">
      <c r="A321" s="82">
        <f t="shared" ref="A321:A324" si="52">A320+1</f>
        <v>5</v>
      </c>
      <c r="B321" s="83"/>
      <c r="C321" s="39" t="s">
        <v>382</v>
      </c>
      <c r="D321" s="39">
        <f>(53.901)*10.764</f>
        <v>580.19036400000005</v>
      </c>
      <c r="E321" s="39">
        <v>0</v>
      </c>
      <c r="F321" s="39">
        <f t="shared" si="50"/>
        <v>580.19036400000005</v>
      </c>
      <c r="G321" s="39">
        <v>0</v>
      </c>
      <c r="H321" s="39">
        <f t="shared" si="51"/>
        <v>870.28554600000007</v>
      </c>
      <c r="I321" s="33"/>
      <c r="L321" s="84"/>
      <c r="M321" s="84"/>
      <c r="N321" s="33"/>
    </row>
    <row r="322" spans="1:20" s="34" customFormat="1" ht="15.75" customHeight="1" x14ac:dyDescent="0.3">
      <c r="A322" s="82">
        <f t="shared" si="52"/>
        <v>6</v>
      </c>
      <c r="B322" s="83"/>
      <c r="C322" s="39" t="s">
        <v>382</v>
      </c>
      <c r="D322" s="39">
        <f>(58.508)*10.764</f>
        <v>629.78011200000003</v>
      </c>
      <c r="E322" s="39">
        <v>0</v>
      </c>
      <c r="F322" s="39">
        <f t="shared" si="50"/>
        <v>629.78011200000003</v>
      </c>
      <c r="G322" s="39">
        <v>0</v>
      </c>
      <c r="H322" s="39">
        <f t="shared" si="51"/>
        <v>944.6701680000001</v>
      </c>
      <c r="I322" s="33"/>
      <c r="L322" s="84"/>
      <c r="M322" s="84"/>
      <c r="N322" s="33"/>
    </row>
    <row r="323" spans="1:20" s="34" customFormat="1" ht="15.75" customHeight="1" x14ac:dyDescent="0.3">
      <c r="A323" s="82">
        <f t="shared" si="52"/>
        <v>7</v>
      </c>
      <c r="B323" s="83"/>
      <c r="C323" s="39" t="s">
        <v>382</v>
      </c>
      <c r="D323" s="39">
        <f>(69.518)*10.764</f>
        <v>748.29175199999997</v>
      </c>
      <c r="E323" s="39">
        <f>(3.2*0.925)*10.764</f>
        <v>31.861440000000002</v>
      </c>
      <c r="F323" s="39">
        <f t="shared" si="50"/>
        <v>780.15319199999999</v>
      </c>
      <c r="G323" s="39">
        <v>0</v>
      </c>
      <c r="H323" s="39">
        <f t="shared" si="51"/>
        <v>1170.2297880000001</v>
      </c>
      <c r="I323" s="33"/>
      <c r="L323" s="84"/>
      <c r="M323" s="84"/>
      <c r="N323" s="33"/>
    </row>
    <row r="324" spans="1:20" s="34" customFormat="1" ht="15.75" customHeight="1" x14ac:dyDescent="0.3">
      <c r="A324" s="82">
        <f t="shared" si="52"/>
        <v>8</v>
      </c>
      <c r="B324" s="83"/>
      <c r="C324" s="39" t="s">
        <v>382</v>
      </c>
      <c r="D324" s="39">
        <f>(69.518)*10.764</f>
        <v>748.29175199999997</v>
      </c>
      <c r="E324" s="39">
        <f>(3.2*0.925)*10.764</f>
        <v>31.861440000000002</v>
      </c>
      <c r="F324" s="39">
        <f t="shared" si="50"/>
        <v>780.15319199999999</v>
      </c>
      <c r="G324" s="39">
        <v>0</v>
      </c>
      <c r="H324" s="39">
        <f t="shared" si="51"/>
        <v>1170.2297880000001</v>
      </c>
      <c r="I324" s="33"/>
      <c r="L324" s="84"/>
      <c r="M324" s="84"/>
      <c r="N324" s="33"/>
      <c r="T324" s="18"/>
    </row>
    <row r="325" spans="1:20" s="34" customFormat="1" x14ac:dyDescent="0.3">
      <c r="A325" s="98" t="s">
        <v>409</v>
      </c>
      <c r="B325" s="99"/>
      <c r="C325" s="99"/>
      <c r="D325" s="99"/>
      <c r="E325" s="99"/>
      <c r="F325" s="99"/>
      <c r="G325" s="99"/>
      <c r="H325" s="100"/>
      <c r="I325" s="34">
        <v>2</v>
      </c>
      <c r="J325" s="33"/>
    </row>
    <row r="326" spans="1:20" s="34" customFormat="1" ht="15.75" customHeight="1" x14ac:dyDescent="0.3">
      <c r="A326" s="82">
        <v>1</v>
      </c>
      <c r="B326" s="83"/>
      <c r="C326" s="39" t="s">
        <v>381</v>
      </c>
      <c r="D326" s="39">
        <f>(68.265)*10.764</f>
        <v>734.80445999999995</v>
      </c>
      <c r="E326" s="39">
        <v>0</v>
      </c>
      <c r="F326" s="39">
        <f t="shared" ref="F326:F333" si="53">D326+E326</f>
        <v>734.80445999999995</v>
      </c>
      <c r="G326" s="39">
        <v>0</v>
      </c>
      <c r="H326" s="39">
        <f t="shared" ref="H326:H333" si="54">F326*(($H$157)+1)+(IF(G326&lt;101,G326,IF(G326&lt;201,G326/2,IF(G326&lt;=301,G326/3,G326/4))))</f>
        <v>1102.20669</v>
      </c>
      <c r="I326" s="33"/>
      <c r="L326" s="84"/>
      <c r="M326" s="84"/>
      <c r="N326" s="33"/>
    </row>
    <row r="327" spans="1:20" s="34" customFormat="1" ht="15.75" customHeight="1" x14ac:dyDescent="0.3">
      <c r="A327" s="82">
        <f>A326+1</f>
        <v>2</v>
      </c>
      <c r="B327" s="83"/>
      <c r="C327" s="39" t="s">
        <v>382</v>
      </c>
      <c r="D327" s="39">
        <f>(58.508)*10.764</f>
        <v>629.78011200000003</v>
      </c>
      <c r="E327" s="39">
        <v>0</v>
      </c>
      <c r="F327" s="39">
        <f t="shared" si="53"/>
        <v>629.78011200000003</v>
      </c>
      <c r="G327" s="39">
        <v>0</v>
      </c>
      <c r="H327" s="39">
        <f t="shared" si="54"/>
        <v>944.6701680000001</v>
      </c>
      <c r="I327" s="33"/>
      <c r="L327" s="84"/>
      <c r="M327" s="84"/>
      <c r="N327" s="33"/>
    </row>
    <row r="328" spans="1:20" s="34" customFormat="1" ht="15.75" customHeight="1" x14ac:dyDescent="0.3">
      <c r="A328" s="82">
        <f>A327+1</f>
        <v>3</v>
      </c>
      <c r="B328" s="83"/>
      <c r="C328" s="85" t="s">
        <v>383</v>
      </c>
      <c r="D328" s="87" t="s">
        <v>389</v>
      </c>
      <c r="E328" s="88"/>
      <c r="F328" s="88"/>
      <c r="G328" s="89"/>
      <c r="H328" s="85" t="s">
        <v>383</v>
      </c>
      <c r="I328" s="33"/>
      <c r="L328" s="84"/>
      <c r="M328" s="84"/>
      <c r="N328" s="33"/>
    </row>
    <row r="329" spans="1:20" s="34" customFormat="1" ht="15.75" customHeight="1" x14ac:dyDescent="0.3">
      <c r="A329" s="82">
        <f>A328+1</f>
        <v>4</v>
      </c>
      <c r="B329" s="83"/>
      <c r="C329" s="86"/>
      <c r="D329" s="90"/>
      <c r="E329" s="91"/>
      <c r="F329" s="91"/>
      <c r="G329" s="92"/>
      <c r="H329" s="86"/>
      <c r="I329" s="33"/>
      <c r="L329" s="84"/>
      <c r="M329" s="84"/>
      <c r="N329" s="33"/>
      <c r="T329" s="18"/>
    </row>
    <row r="330" spans="1:20" s="34" customFormat="1" ht="15.75" customHeight="1" x14ac:dyDescent="0.3">
      <c r="A330" s="82">
        <f t="shared" ref="A330:A333" si="55">A329+1</f>
        <v>5</v>
      </c>
      <c r="B330" s="83"/>
      <c r="C330" s="39" t="s">
        <v>382</v>
      </c>
      <c r="D330" s="39">
        <f>(53.901)*10.764</f>
        <v>580.19036400000005</v>
      </c>
      <c r="E330" s="39">
        <v>0</v>
      </c>
      <c r="F330" s="39">
        <f t="shared" si="53"/>
        <v>580.19036400000005</v>
      </c>
      <c r="G330" s="39">
        <v>0</v>
      </c>
      <c r="H330" s="39">
        <f t="shared" si="54"/>
        <v>870.28554600000007</v>
      </c>
      <c r="I330" s="33"/>
      <c r="L330" s="84"/>
      <c r="M330" s="84"/>
      <c r="N330" s="33"/>
    </row>
    <row r="331" spans="1:20" s="34" customFormat="1" ht="15.75" customHeight="1" x14ac:dyDescent="0.3">
      <c r="A331" s="82">
        <f t="shared" si="55"/>
        <v>6</v>
      </c>
      <c r="B331" s="83"/>
      <c r="C331" s="39" t="s">
        <v>382</v>
      </c>
      <c r="D331" s="39">
        <f>(58.508)*10.764</f>
        <v>629.78011200000003</v>
      </c>
      <c r="E331" s="39">
        <v>0</v>
      </c>
      <c r="F331" s="39">
        <f t="shared" si="53"/>
        <v>629.78011200000003</v>
      </c>
      <c r="G331" s="39">
        <v>0</v>
      </c>
      <c r="H331" s="39">
        <f t="shared" si="54"/>
        <v>944.6701680000001</v>
      </c>
      <c r="I331" s="33"/>
      <c r="L331" s="84"/>
      <c r="M331" s="84"/>
      <c r="N331" s="33"/>
    </row>
    <row r="332" spans="1:20" s="34" customFormat="1" ht="15.75" customHeight="1" x14ac:dyDescent="0.3">
      <c r="A332" s="82">
        <f t="shared" si="55"/>
        <v>7</v>
      </c>
      <c r="B332" s="83"/>
      <c r="C332" s="39" t="s">
        <v>382</v>
      </c>
      <c r="D332" s="39">
        <f>(69.518)*10.764</f>
        <v>748.29175199999997</v>
      </c>
      <c r="E332" s="39">
        <f>(3.2*0.925)*10.764</f>
        <v>31.861440000000002</v>
      </c>
      <c r="F332" s="39">
        <f t="shared" si="53"/>
        <v>780.15319199999999</v>
      </c>
      <c r="G332" s="39">
        <v>0</v>
      </c>
      <c r="H332" s="39">
        <f t="shared" si="54"/>
        <v>1170.2297880000001</v>
      </c>
      <c r="I332" s="33"/>
      <c r="L332" s="84"/>
      <c r="M332" s="84"/>
      <c r="N332" s="33"/>
    </row>
    <row r="333" spans="1:20" s="34" customFormat="1" ht="15.75" customHeight="1" x14ac:dyDescent="0.3">
      <c r="A333" s="82">
        <f t="shared" si="55"/>
        <v>8</v>
      </c>
      <c r="B333" s="83"/>
      <c r="C333" s="39" t="s">
        <v>382</v>
      </c>
      <c r="D333" s="39">
        <f>(69.518)*10.764</f>
        <v>748.29175199999997</v>
      </c>
      <c r="E333" s="39">
        <f>(3.2*0.925)*10.764</f>
        <v>31.861440000000002</v>
      </c>
      <c r="F333" s="39">
        <f t="shared" si="53"/>
        <v>780.15319199999999</v>
      </c>
      <c r="G333" s="39">
        <v>0</v>
      </c>
      <c r="H333" s="39">
        <f t="shared" si="54"/>
        <v>1170.2297880000001</v>
      </c>
      <c r="I333" s="33"/>
      <c r="L333" s="84"/>
      <c r="M333" s="84"/>
      <c r="N333" s="33"/>
      <c r="T333" s="18"/>
    </row>
    <row r="334" spans="1:20" s="34" customFormat="1" x14ac:dyDescent="0.3">
      <c r="A334" s="98" t="s">
        <v>394</v>
      </c>
      <c r="B334" s="99"/>
      <c r="C334" s="99"/>
      <c r="D334" s="99"/>
      <c r="E334" s="99"/>
      <c r="F334" s="99"/>
      <c r="G334" s="99"/>
      <c r="H334" s="100"/>
      <c r="I334" s="34">
        <v>1</v>
      </c>
      <c r="J334" s="33"/>
    </row>
    <row r="335" spans="1:20" s="34" customFormat="1" ht="15.75" customHeight="1" x14ac:dyDescent="0.3">
      <c r="A335" s="82">
        <v>1</v>
      </c>
      <c r="B335" s="83"/>
      <c r="C335" s="39" t="s">
        <v>381</v>
      </c>
      <c r="D335" s="39">
        <f>(68.265)*10.764</f>
        <v>734.80445999999995</v>
      </c>
      <c r="E335" s="39">
        <v>0</v>
      </c>
      <c r="F335" s="39">
        <f t="shared" ref="F335:F342" si="56">D335+E335</f>
        <v>734.80445999999995</v>
      </c>
      <c r="G335" s="39">
        <v>0</v>
      </c>
      <c r="H335" s="39">
        <f t="shared" ref="H335:H342" si="57">F335*(($H$157)+1)+(IF(G335&lt;101,G335,IF(G335&lt;201,G335/2,IF(G335&lt;=301,G335/3,G335/4))))</f>
        <v>1102.20669</v>
      </c>
      <c r="I335" s="33"/>
      <c r="L335" s="84"/>
      <c r="M335" s="84"/>
      <c r="N335" s="33"/>
    </row>
    <row r="336" spans="1:20" s="34" customFormat="1" ht="15.75" customHeight="1" x14ac:dyDescent="0.3">
      <c r="A336" s="82">
        <f>A335+1</f>
        <v>2</v>
      </c>
      <c r="B336" s="83"/>
      <c r="C336" s="39" t="s">
        <v>382</v>
      </c>
      <c r="D336" s="39">
        <f>(58.508)*10.764</f>
        <v>629.78011200000003</v>
      </c>
      <c r="E336" s="39">
        <v>0</v>
      </c>
      <c r="F336" s="39">
        <f t="shared" si="56"/>
        <v>629.78011200000003</v>
      </c>
      <c r="G336" s="39">
        <v>0</v>
      </c>
      <c r="H336" s="39">
        <f t="shared" si="57"/>
        <v>944.6701680000001</v>
      </c>
      <c r="I336" s="33"/>
      <c r="L336" s="84"/>
      <c r="M336" s="84"/>
      <c r="N336" s="33"/>
    </row>
    <row r="337" spans="1:20" s="34" customFormat="1" ht="15.75" customHeight="1" x14ac:dyDescent="0.3">
      <c r="A337" s="82">
        <f>A336+1</f>
        <v>3</v>
      </c>
      <c r="B337" s="83"/>
      <c r="C337" s="39" t="s">
        <v>383</v>
      </c>
      <c r="D337" s="82" t="s">
        <v>389</v>
      </c>
      <c r="E337" s="93"/>
      <c r="F337" s="93"/>
      <c r="G337" s="83"/>
      <c r="H337" s="39" t="s">
        <v>383</v>
      </c>
      <c r="I337" s="33"/>
      <c r="L337" s="84"/>
      <c r="M337" s="84"/>
      <c r="N337" s="33"/>
    </row>
    <row r="338" spans="1:20" s="34" customFormat="1" ht="15.75" customHeight="1" x14ac:dyDescent="0.3">
      <c r="A338" s="82">
        <f>A337+1</f>
        <v>4</v>
      </c>
      <c r="B338" s="83"/>
      <c r="C338" s="39" t="s">
        <v>381</v>
      </c>
      <c r="D338" s="39">
        <f>(63.636)*10.764</f>
        <v>684.97790399999997</v>
      </c>
      <c r="E338" s="39">
        <v>0</v>
      </c>
      <c r="F338" s="39">
        <f t="shared" si="56"/>
        <v>684.97790399999997</v>
      </c>
      <c r="G338" s="39">
        <v>0</v>
      </c>
      <c r="H338" s="39">
        <f t="shared" si="57"/>
        <v>1027.466856</v>
      </c>
      <c r="I338" s="33"/>
      <c r="L338" s="84"/>
      <c r="M338" s="84"/>
      <c r="N338" s="33"/>
      <c r="T338" s="18"/>
    </row>
    <row r="339" spans="1:20" s="34" customFormat="1" ht="15.75" customHeight="1" x14ac:dyDescent="0.3">
      <c r="A339" s="82">
        <f t="shared" ref="A339:A342" si="58">A338+1</f>
        <v>5</v>
      </c>
      <c r="B339" s="83"/>
      <c r="C339" s="39" t="s">
        <v>382</v>
      </c>
      <c r="D339" s="39">
        <f>(53.901)*10.764</f>
        <v>580.19036400000005</v>
      </c>
      <c r="E339" s="39">
        <v>0</v>
      </c>
      <c r="F339" s="39">
        <f t="shared" si="56"/>
        <v>580.19036400000005</v>
      </c>
      <c r="G339" s="39">
        <v>0</v>
      </c>
      <c r="H339" s="39">
        <f t="shared" si="57"/>
        <v>870.28554600000007</v>
      </c>
      <c r="I339" s="33"/>
      <c r="L339" s="84"/>
      <c r="M339" s="84"/>
      <c r="N339" s="33"/>
    </row>
    <row r="340" spans="1:20" s="34" customFormat="1" ht="15.75" customHeight="1" x14ac:dyDescent="0.3">
      <c r="A340" s="82">
        <f t="shared" si="58"/>
        <v>6</v>
      </c>
      <c r="B340" s="83"/>
      <c r="C340" s="39" t="s">
        <v>382</v>
      </c>
      <c r="D340" s="39">
        <f>(58.508)*10.764</f>
        <v>629.78011200000003</v>
      </c>
      <c r="E340" s="39">
        <v>0</v>
      </c>
      <c r="F340" s="39">
        <f t="shared" si="56"/>
        <v>629.78011200000003</v>
      </c>
      <c r="G340" s="39">
        <v>0</v>
      </c>
      <c r="H340" s="39">
        <f t="shared" si="57"/>
        <v>944.6701680000001</v>
      </c>
      <c r="I340" s="33"/>
      <c r="L340" s="84"/>
      <c r="M340" s="84"/>
      <c r="N340" s="33"/>
    </row>
    <row r="341" spans="1:20" s="34" customFormat="1" ht="15.75" customHeight="1" x14ac:dyDescent="0.3">
      <c r="A341" s="82">
        <f t="shared" si="58"/>
        <v>7</v>
      </c>
      <c r="B341" s="83"/>
      <c r="C341" s="39" t="s">
        <v>382</v>
      </c>
      <c r="D341" s="39">
        <f>(69.518)*10.764</f>
        <v>748.29175199999997</v>
      </c>
      <c r="E341" s="39">
        <f>(3.2*0.925)*10.764</f>
        <v>31.861440000000002</v>
      </c>
      <c r="F341" s="39">
        <f t="shared" si="56"/>
        <v>780.15319199999999</v>
      </c>
      <c r="G341" s="39">
        <v>0</v>
      </c>
      <c r="H341" s="39">
        <f t="shared" si="57"/>
        <v>1170.2297880000001</v>
      </c>
      <c r="I341" s="33"/>
      <c r="L341" s="84"/>
      <c r="M341" s="84"/>
      <c r="N341" s="33"/>
    </row>
    <row r="342" spans="1:20" s="34" customFormat="1" ht="15.75" customHeight="1" x14ac:dyDescent="0.3">
      <c r="A342" s="82">
        <f t="shared" si="58"/>
        <v>8</v>
      </c>
      <c r="B342" s="83"/>
      <c r="C342" s="39" t="s">
        <v>382</v>
      </c>
      <c r="D342" s="39">
        <f>(69.518)*10.764</f>
        <v>748.29175199999997</v>
      </c>
      <c r="E342" s="39">
        <f>(3.2*0.925)*10.764</f>
        <v>31.861440000000002</v>
      </c>
      <c r="F342" s="39">
        <f t="shared" si="56"/>
        <v>780.15319199999999</v>
      </c>
      <c r="G342" s="39">
        <v>0</v>
      </c>
      <c r="H342" s="39">
        <f t="shared" si="57"/>
        <v>1170.2297880000001</v>
      </c>
      <c r="I342" s="33"/>
      <c r="L342" s="84"/>
      <c r="M342" s="84"/>
      <c r="N342" s="33"/>
      <c r="T342" s="18"/>
    </row>
    <row r="343" spans="1:20" s="34" customFormat="1" hidden="1" x14ac:dyDescent="0.3">
      <c r="A343" s="101" t="s">
        <v>116</v>
      </c>
      <c r="B343" s="101"/>
      <c r="C343" s="101"/>
      <c r="D343" s="101"/>
      <c r="E343" s="101"/>
      <c r="F343" s="101"/>
      <c r="G343" s="101"/>
      <c r="H343" s="101"/>
      <c r="I343" s="33"/>
      <c r="L343" s="84"/>
      <c r="M343" s="84"/>
    </row>
    <row r="344" spans="1:20" s="34" customFormat="1" hidden="1" x14ac:dyDescent="0.3">
      <c r="A344" s="97">
        <f>LEFT(A343,SUM(LEN(A343)-LEN(SUBSTITUTE(A343,{"0","1","2","3","4","5","6","7","8","9"},""))))*100+1</f>
        <v>201</v>
      </c>
      <c r="B344" s="97"/>
      <c r="C344" s="39"/>
      <c r="D344" s="39"/>
      <c r="E344" s="39">
        <v>0</v>
      </c>
      <c r="F344" s="39">
        <f>D344+E344</f>
        <v>0</v>
      </c>
      <c r="G344" s="39">
        <v>0</v>
      </c>
      <c r="H344" s="39">
        <f>F344*(($H$157)+1)+(IF(G344&lt;101,G344,IF(G344&lt;201,G344/2,IF(G344&lt;=301,G344/3,G344/4))))</f>
        <v>0</v>
      </c>
      <c r="I344" s="33"/>
      <c r="N344" s="33"/>
    </row>
    <row r="345" spans="1:20" s="34" customFormat="1" hidden="1" x14ac:dyDescent="0.3">
      <c r="A345" s="97">
        <f>A344+1</f>
        <v>202</v>
      </c>
      <c r="B345" s="97"/>
      <c r="C345" s="39"/>
      <c r="D345" s="39"/>
      <c r="E345" s="39">
        <v>0</v>
      </c>
      <c r="F345" s="39">
        <f>D345+E345</f>
        <v>0</v>
      </c>
      <c r="G345" s="39">
        <v>0</v>
      </c>
      <c r="H345" s="39">
        <f>F345*(($H$157)+1)+(IF(G345&lt;101,G345,IF(G345&lt;201,G345/2,IF(G345&lt;=301,G345/3,G345/4))))</f>
        <v>0</v>
      </c>
      <c r="I345" s="33"/>
      <c r="N345" s="33"/>
    </row>
    <row r="346" spans="1:20" s="34" customFormat="1" hidden="1" x14ac:dyDescent="0.3">
      <c r="A346" s="97">
        <f>A345+1</f>
        <v>203</v>
      </c>
      <c r="B346" s="97"/>
      <c r="C346" s="39"/>
      <c r="D346" s="39"/>
      <c r="E346" s="39">
        <v>0</v>
      </c>
      <c r="F346" s="39">
        <f>D346+E346</f>
        <v>0</v>
      </c>
      <c r="G346" s="39">
        <v>0</v>
      </c>
      <c r="H346" s="39">
        <f>F346*(($H$157)+1)+(IF(G346&lt;101,G346,IF(G346&lt;201,G346/2,IF(G346&lt;=301,G346/3,G346/4))))</f>
        <v>0</v>
      </c>
      <c r="I346" s="33"/>
      <c r="N346" s="33"/>
    </row>
    <row r="347" spans="1:20" s="34" customFormat="1" hidden="1" x14ac:dyDescent="0.3">
      <c r="A347" s="97">
        <f>A346+1</f>
        <v>204</v>
      </c>
      <c r="B347" s="97"/>
      <c r="C347" s="39"/>
      <c r="D347" s="39"/>
      <c r="E347" s="39">
        <v>0</v>
      </c>
      <c r="F347" s="39">
        <f>D347+E347</f>
        <v>0</v>
      </c>
      <c r="G347" s="39">
        <v>0</v>
      </c>
      <c r="H347" s="39">
        <f>F347*(($H$157)+1)+(IF(G347&lt;101,G347,IF(G347&lt;201,G347/2,IF(G347&lt;=301,G347/3,G347/4))))</f>
        <v>0</v>
      </c>
      <c r="I347" s="33"/>
      <c r="N347" s="33"/>
    </row>
    <row r="348" spans="1:20" s="34" customFormat="1" hidden="1" x14ac:dyDescent="0.3">
      <c r="A348" s="97">
        <f>A347+1</f>
        <v>205</v>
      </c>
      <c r="B348" s="97"/>
      <c r="C348" s="39"/>
      <c r="D348" s="39"/>
      <c r="E348" s="39">
        <v>0</v>
      </c>
      <c r="F348" s="39">
        <f>D348+E348</f>
        <v>0</v>
      </c>
      <c r="G348" s="39">
        <v>0</v>
      </c>
      <c r="H348" s="39">
        <f>F348*(($H$157)+1)+(IF(G348&lt;101,G348,IF(G348&lt;201,G348/2,IF(G348&lt;=301,G348/3,G348/4))))</f>
        <v>0</v>
      </c>
      <c r="I348" s="33"/>
      <c r="N348" s="33"/>
    </row>
    <row r="349" spans="1:20" s="34" customFormat="1" ht="15.75" hidden="1" customHeight="1" x14ac:dyDescent="0.3">
      <c r="A349" s="98" t="s">
        <v>148</v>
      </c>
      <c r="B349" s="99"/>
      <c r="C349" s="99"/>
      <c r="D349" s="99"/>
      <c r="E349" s="99"/>
      <c r="F349" s="99"/>
      <c r="G349" s="99"/>
      <c r="H349" s="100"/>
      <c r="I349" s="33"/>
    </row>
    <row r="350" spans="1:20" s="34" customFormat="1" ht="15.75" hidden="1" customHeight="1" x14ac:dyDescent="0.3">
      <c r="A350" s="82" t="str">
        <f ca="1">(SUMPRODUCT(MID(0&amp;(LEFT(A349,SUM(LEN(A349)-LEN(SUBSTITUTE(A349,{"0","1","2"},""))))), LARGE(INDEX(ISNUMBER(--MID((LEFT(A349,SUM(LEN(A349)-LEN(SUBSTITUTE(A349,{"0","1","2"},""))))), ROW(INDIRECT("1:"&amp;LEN((LEFT(A349,SUM(LEN(A349)-LEN(SUBSTITUTE(A349,{"0","1","2"},"")))))))), 1)) * ROW(INDIRECT("1:"&amp;LEN((LEFT(A349,SUM(LEN(A349)-LEN(SUBSTITUTE(A349,{"0","1","2"},"")))))))), 0), ROW(INDIRECT("1:"&amp;LEN((LEFT(A349,SUM(LEN(A349)-LEN(SUBSTITUTE(A349,{"0","1","2"},"")))))))))+1, 1) * 10^ROW(INDIRECT("1:"&amp;LEN((LEFT(A349,SUM(LEN(A349)-LEN(SUBSTITUTE(A349,{"0","1","2"},""))))))))/10))*100+1&amp;""&amp;" ,.., "&amp;""&amp;(SUMPRODUCT(MID(0&amp;(--TRIM(RIGHT(SUBSTITUTE(LEFT(A349,_xlfn.AGGREGATE(16,6,FIND({0,1,2,3,4,5,6,7,8,9},A349,ROW(INDIRECT("1:"&amp;LEN(A349)))),1))," ",REPT(" ",LEN(A349))),LEN(A349)))), LARGE(INDEX(ISNUMBER(--MID((--TRIM(RIGHT(SUBSTITUTE(LEFT(A349,_xlfn.AGGREGATE(16,6,FIND({0,1,2,3,4,5,6,7,8,9},A349,ROW(INDIRECT("1:"&amp;LEN(A349)))),1))," ",REPT(" ",LEN(A349))),LEN(A349)))), ROW(INDIRECT("1:"&amp;LEN((--TRIM(RIGHT(SUBSTITUTE(LEFT(A349,_xlfn.AGGREGATE(16,6,FIND({0,1,2,3,4,5,6,7,8,9},A349,ROW(INDIRECT("1:"&amp;LEN(A349)))),1))," ",REPT(" ",LEN(A349))),LEN(A349))))))), 1)) * ROW(INDIRECT("1:"&amp;LEN((--TRIM(RIGHT(SUBSTITUTE(LEFT(A349,_xlfn.AGGREGATE(16,6,FIND({0,1,2,3,4,5,6,7,8,9},A349,ROW(INDIRECT("1:"&amp;LEN(A349)))),1))," ",REPT(" ",LEN(A349))),LEN(A349))))))), 0), ROW(INDIRECT("1:"&amp;LEN((--TRIM(RIGHT(SUBSTITUTE(LEFT(A349,_xlfn.AGGREGATE(16,6,FIND({0,1,2,3,4,5,6,7,8,9},A349,ROW(INDIRECT("1:"&amp;LEN(A349)))),1))," ",REPT(" ",LEN(A349))),LEN(A349))))))))+1, 1) * 10^ROW(INDIRECT("1:"&amp;LEN((--TRIM(RIGHT(SUBSTITUTE(LEFT(A349,_xlfn.AGGREGATE(16,6,FIND({0,1,2,3,4,5,6,7,8,9},A349,ROW(INDIRECT("1:"&amp;LEN(A349)))),1))," ",REPT(" ",LEN(A349))),LEN(A349)))))))/10))*100+1</f>
        <v>301 ,.., 1501</v>
      </c>
      <c r="B350" s="83"/>
      <c r="C350" s="39"/>
      <c r="D350" s="39"/>
      <c r="E350" s="39">
        <v>0</v>
      </c>
      <c r="F350" s="39">
        <f>D350+E350</f>
        <v>0</v>
      </c>
      <c r="G350" s="39">
        <v>0</v>
      </c>
      <c r="H350" s="39">
        <f>F350*(($H$157)+1)+(IF(G350&lt;101,G350,IF(G350&lt;201,G350/2,IF(G350&lt;=301,G350/3,G350/4))))</f>
        <v>0</v>
      </c>
      <c r="I350" s="33"/>
    </row>
    <row r="351" spans="1:20" s="34" customFormat="1" ht="15.75" hidden="1" customHeight="1" x14ac:dyDescent="0.3">
      <c r="A351" s="82" t="str">
        <f ca="1">(SUMPRODUCT(MID(0&amp;(LEFT(A350,SUM(LEN(A350)-LEN(SUBSTITUTE(A350,{"0","1","2"},""))))), LARGE(INDEX(ISNUMBER(--MID((LEFT(A350,SUM(LEN(A350)-LEN(SUBSTITUTE(A350,{"0","1","2"},""))))), ROW(INDIRECT("1:"&amp;LEN((LEFT(A350,SUM(LEN(A350)-LEN(SUBSTITUTE(A350,{"0","1","2"},"")))))))), 1)) * ROW(INDIRECT("1:"&amp;LEN((LEFT(A350,SUM(LEN(A350)-LEN(SUBSTITUTE(A350,{"0","1","2"},"")))))))), 0), ROW(INDIRECT("1:"&amp;LEN((LEFT(A350,SUM(LEN(A350)-LEN(SUBSTITUTE(A350,{"0","1","2"},"")))))))))+1, 1) * 10^ROW(INDIRECT("1:"&amp;LEN((LEFT(A350,SUM(LEN(A350)-LEN(SUBSTITUTE(A350,{"0","1","2"},""))))))))/10))*1+1&amp;""&amp;" ,.., "&amp;""&amp;(SUMPRODUCT(MID(0&amp;(--TRIM(RIGHT(SUBSTITUTE(LEFT(A350,_xlfn.AGGREGATE(16,6,FIND({0,1,2,3,4,5,6,7,8,9},A350,ROW(INDIRECT("1:"&amp;LEN(A350)))),1))," ",REPT(" ",LEN(A350))),LEN(A350)))), LARGE(INDEX(ISNUMBER(--MID((--TRIM(RIGHT(SUBSTITUTE(LEFT(A350,_xlfn.AGGREGATE(16,6,FIND({0,1,2,3,4,5,6,7,8,9},A350,ROW(INDIRECT("1:"&amp;LEN(A350)))),1))," ",REPT(" ",LEN(A350))),LEN(A350)))), ROW(INDIRECT("1:"&amp;LEN((--TRIM(RIGHT(SUBSTITUTE(LEFT(A350,_xlfn.AGGREGATE(16,6,FIND({0,1,2,3,4,5,6,7,8,9},A350,ROW(INDIRECT("1:"&amp;LEN(A350)))),1))," ",REPT(" ",LEN(A350))),LEN(A350))))))), 1)) * ROW(INDIRECT("1:"&amp;LEN((--TRIM(RIGHT(SUBSTITUTE(LEFT(A350,_xlfn.AGGREGATE(16,6,FIND({0,1,2,3,4,5,6,7,8,9},A350,ROW(INDIRECT("1:"&amp;LEN(A350)))),1))," ",REPT(" ",LEN(A350))),LEN(A350))))))), 0), ROW(INDIRECT("1:"&amp;LEN((--TRIM(RIGHT(SUBSTITUTE(LEFT(A350,_xlfn.AGGREGATE(16,6,FIND({0,1,2,3,4,5,6,7,8,9},A350,ROW(INDIRECT("1:"&amp;LEN(A350)))),1))," ",REPT(" ",LEN(A350))),LEN(A350))))))))+1, 1) * 10^ROW(INDIRECT("1:"&amp;LEN((--TRIM(RIGHT(SUBSTITUTE(LEFT(A350,_xlfn.AGGREGATE(16,6,FIND({0,1,2,3,4,5,6,7,8,9},A350,ROW(INDIRECT("1:"&amp;LEN(A350)))),1))," ",REPT(" ",LEN(A350))),LEN(A350)))))))/10))*1+1</f>
        <v>302 ,.., 1502</v>
      </c>
      <c r="B351" s="83"/>
      <c r="C351" s="39"/>
      <c r="D351" s="39"/>
      <c r="E351" s="39">
        <v>0</v>
      </c>
      <c r="F351" s="39">
        <f>D351+E351</f>
        <v>0</v>
      </c>
      <c r="G351" s="39">
        <v>0</v>
      </c>
      <c r="H351" s="39">
        <f>F351*(($H$157)+1)+(IF(G351&lt;101,G351,IF(G351&lt;201,G351/2,IF(G351&lt;=301,G351/3,G351/4))))</f>
        <v>0</v>
      </c>
      <c r="I351" s="33"/>
    </row>
    <row r="352" spans="1:20" s="34" customFormat="1" ht="15.75" hidden="1" customHeight="1" x14ac:dyDescent="0.3">
      <c r="A352" s="82" t="str">
        <f ca="1">(SUMPRODUCT(MID(0&amp;(LEFT(A351,SUM(LEN(A351)-LEN(SUBSTITUTE(A351,{"0","1","2"},""))))), LARGE(INDEX(ISNUMBER(--MID((LEFT(A351,SUM(LEN(A351)-LEN(SUBSTITUTE(A351,{"0","1","2"},""))))), ROW(INDIRECT("1:"&amp;LEN((LEFT(A351,SUM(LEN(A351)-LEN(SUBSTITUTE(A351,{"0","1","2"},"")))))))), 1)) * ROW(INDIRECT("1:"&amp;LEN((LEFT(A351,SUM(LEN(A351)-LEN(SUBSTITUTE(A351,{"0","1","2"},"")))))))), 0), ROW(INDIRECT("1:"&amp;LEN((LEFT(A351,SUM(LEN(A351)-LEN(SUBSTITUTE(A351,{"0","1","2"},"")))))))))+1, 1) * 10^ROW(INDIRECT("1:"&amp;LEN((LEFT(A351,SUM(LEN(A351)-LEN(SUBSTITUTE(A351,{"0","1","2"},""))))))))/10))*1+1&amp;""&amp;" ,.., "&amp;""&amp;(SUMPRODUCT(MID(0&amp;(--TRIM(RIGHT(SUBSTITUTE(LEFT(A351,_xlfn.AGGREGATE(16,6,FIND({0,1,2,3,4,5,6,7,8,9},A351,ROW(INDIRECT("1:"&amp;LEN(A351)))),1))," ",REPT(" ",LEN(A351))),LEN(A351)))), LARGE(INDEX(ISNUMBER(--MID((--TRIM(RIGHT(SUBSTITUTE(LEFT(A351,_xlfn.AGGREGATE(16,6,FIND({0,1,2,3,4,5,6,7,8,9},A351,ROW(INDIRECT("1:"&amp;LEN(A351)))),1))," ",REPT(" ",LEN(A351))),LEN(A351)))), ROW(INDIRECT("1:"&amp;LEN((--TRIM(RIGHT(SUBSTITUTE(LEFT(A351,_xlfn.AGGREGATE(16,6,FIND({0,1,2,3,4,5,6,7,8,9},A351,ROW(INDIRECT("1:"&amp;LEN(A351)))),1))," ",REPT(" ",LEN(A351))),LEN(A351))))))), 1)) * ROW(INDIRECT("1:"&amp;LEN((--TRIM(RIGHT(SUBSTITUTE(LEFT(A351,_xlfn.AGGREGATE(16,6,FIND({0,1,2,3,4,5,6,7,8,9},A351,ROW(INDIRECT("1:"&amp;LEN(A351)))),1))," ",REPT(" ",LEN(A351))),LEN(A351))))))), 0), ROW(INDIRECT("1:"&amp;LEN((--TRIM(RIGHT(SUBSTITUTE(LEFT(A351,_xlfn.AGGREGATE(16,6,FIND({0,1,2,3,4,5,6,7,8,9},A351,ROW(INDIRECT("1:"&amp;LEN(A351)))),1))," ",REPT(" ",LEN(A351))),LEN(A351))))))))+1, 1) * 10^ROW(INDIRECT("1:"&amp;LEN((--TRIM(RIGHT(SUBSTITUTE(LEFT(A351,_xlfn.AGGREGATE(16,6,FIND({0,1,2,3,4,5,6,7,8,9},A351,ROW(INDIRECT("1:"&amp;LEN(A351)))),1))," ",REPT(" ",LEN(A351))),LEN(A351)))))))/10))*1+1</f>
        <v>303 ,.., 1503</v>
      </c>
      <c r="B352" s="83"/>
      <c r="C352" s="39"/>
      <c r="D352" s="39"/>
      <c r="E352" s="39">
        <v>0</v>
      </c>
      <c r="F352" s="39">
        <f>D352+E352</f>
        <v>0</v>
      </c>
      <c r="G352" s="39">
        <v>0</v>
      </c>
      <c r="H352" s="39">
        <f>F352*(($H$157)+1)+(IF(G352&lt;101,G352,IF(G352&lt;201,G352/2,IF(G352&lt;=301,G352/3,G352/4))))</f>
        <v>0</v>
      </c>
      <c r="I352" s="33"/>
    </row>
    <row r="353" spans="1:20" s="34" customFormat="1" ht="15.75" hidden="1" customHeight="1" x14ac:dyDescent="0.3">
      <c r="A353" s="82" t="str">
        <f ca="1">(SUMPRODUCT(MID(0&amp;(LEFT(A352,SUM(LEN(A352)-LEN(SUBSTITUTE(A352,{"0","1","2"},""))))), LARGE(INDEX(ISNUMBER(--MID((LEFT(A352,SUM(LEN(A352)-LEN(SUBSTITUTE(A352,{"0","1","2"},""))))), ROW(INDIRECT("1:"&amp;LEN((LEFT(A352,SUM(LEN(A352)-LEN(SUBSTITUTE(A352,{"0","1","2"},"")))))))), 1)) * ROW(INDIRECT("1:"&amp;LEN((LEFT(A352,SUM(LEN(A352)-LEN(SUBSTITUTE(A352,{"0","1","2"},"")))))))), 0), ROW(INDIRECT("1:"&amp;LEN((LEFT(A352,SUM(LEN(A352)-LEN(SUBSTITUTE(A352,{"0","1","2"},"")))))))))+1, 1) * 10^ROW(INDIRECT("1:"&amp;LEN((LEFT(A352,SUM(LEN(A352)-LEN(SUBSTITUTE(A352,{"0","1","2"},""))))))))/10))*1+1&amp;""&amp;" ,.., "&amp;""&amp;(SUMPRODUCT(MID(0&amp;(--TRIM(RIGHT(SUBSTITUTE(LEFT(A352,_xlfn.AGGREGATE(16,6,FIND({0,1,2,3,4,5,6,7,8,9},A352,ROW(INDIRECT("1:"&amp;LEN(A352)))),1))," ",REPT(" ",LEN(A352))),LEN(A352)))), LARGE(INDEX(ISNUMBER(--MID((--TRIM(RIGHT(SUBSTITUTE(LEFT(A352,_xlfn.AGGREGATE(16,6,FIND({0,1,2,3,4,5,6,7,8,9},A352,ROW(INDIRECT("1:"&amp;LEN(A352)))),1))," ",REPT(" ",LEN(A352))),LEN(A352)))), ROW(INDIRECT("1:"&amp;LEN((--TRIM(RIGHT(SUBSTITUTE(LEFT(A352,_xlfn.AGGREGATE(16,6,FIND({0,1,2,3,4,5,6,7,8,9},A352,ROW(INDIRECT("1:"&amp;LEN(A352)))),1))," ",REPT(" ",LEN(A352))),LEN(A352))))))), 1)) * ROW(INDIRECT("1:"&amp;LEN((--TRIM(RIGHT(SUBSTITUTE(LEFT(A352,_xlfn.AGGREGATE(16,6,FIND({0,1,2,3,4,5,6,7,8,9},A352,ROW(INDIRECT("1:"&amp;LEN(A352)))),1))," ",REPT(" ",LEN(A352))),LEN(A352))))))), 0), ROW(INDIRECT("1:"&amp;LEN((--TRIM(RIGHT(SUBSTITUTE(LEFT(A352,_xlfn.AGGREGATE(16,6,FIND({0,1,2,3,4,5,6,7,8,9},A352,ROW(INDIRECT("1:"&amp;LEN(A352)))),1))," ",REPT(" ",LEN(A352))),LEN(A352))))))))+1, 1) * 10^ROW(INDIRECT("1:"&amp;LEN((--TRIM(RIGHT(SUBSTITUTE(LEFT(A352,_xlfn.AGGREGATE(16,6,FIND({0,1,2,3,4,5,6,7,8,9},A352,ROW(INDIRECT("1:"&amp;LEN(A352)))),1))," ",REPT(" ",LEN(A352))),LEN(A352)))))))/10))*1+1</f>
        <v>304 ,.., 1504</v>
      </c>
      <c r="B353" s="83"/>
      <c r="C353" s="39"/>
      <c r="D353" s="39"/>
      <c r="E353" s="39">
        <v>0</v>
      </c>
      <c r="F353" s="39">
        <f>D353+E353</f>
        <v>0</v>
      </c>
      <c r="G353" s="39">
        <v>0</v>
      </c>
      <c r="H353" s="39">
        <f>F353*(($H$157)+1)+(IF(G353&lt;101,G353,IF(G353&lt;201,G353/2,IF(G353&lt;=301,G353/3,G353/4))))</f>
        <v>0</v>
      </c>
      <c r="I353" s="33"/>
    </row>
    <row r="354" spans="1:20" s="34" customFormat="1" ht="15.75" hidden="1" customHeight="1" x14ac:dyDescent="0.3">
      <c r="A354" s="82" t="str">
        <f ca="1">(SUMPRODUCT(MID(0&amp;(LEFT(A353,SUM(LEN(A353)-LEN(SUBSTITUTE(A353,{"0","1","2"},""))))), LARGE(INDEX(ISNUMBER(--MID((LEFT(A353,SUM(LEN(A353)-LEN(SUBSTITUTE(A353,{"0","1","2"},""))))), ROW(INDIRECT("1:"&amp;LEN((LEFT(A353,SUM(LEN(A353)-LEN(SUBSTITUTE(A353,{"0","1","2"},"")))))))), 1)) * ROW(INDIRECT("1:"&amp;LEN((LEFT(A353,SUM(LEN(A353)-LEN(SUBSTITUTE(A353,{"0","1","2"},"")))))))), 0), ROW(INDIRECT("1:"&amp;LEN((LEFT(A353,SUM(LEN(A353)-LEN(SUBSTITUTE(A353,{"0","1","2"},"")))))))))+1, 1) * 10^ROW(INDIRECT("1:"&amp;LEN((LEFT(A353,SUM(LEN(A353)-LEN(SUBSTITUTE(A353,{"0","1","2"},""))))))))/10))*1+1&amp;""&amp;" ,.., "&amp;""&amp;(SUMPRODUCT(MID(0&amp;(--TRIM(RIGHT(SUBSTITUTE(LEFT(A353,_xlfn.AGGREGATE(16,6,FIND({0,1,2,3,4,5,6,7,8,9},A353,ROW(INDIRECT("1:"&amp;LEN(A353)))),1))," ",REPT(" ",LEN(A353))),LEN(A353)))), LARGE(INDEX(ISNUMBER(--MID((--TRIM(RIGHT(SUBSTITUTE(LEFT(A353,_xlfn.AGGREGATE(16,6,FIND({0,1,2,3,4,5,6,7,8,9},A353,ROW(INDIRECT("1:"&amp;LEN(A353)))),1))," ",REPT(" ",LEN(A353))),LEN(A353)))), ROW(INDIRECT("1:"&amp;LEN((--TRIM(RIGHT(SUBSTITUTE(LEFT(A353,_xlfn.AGGREGATE(16,6,FIND({0,1,2,3,4,5,6,7,8,9},A353,ROW(INDIRECT("1:"&amp;LEN(A353)))),1))," ",REPT(" ",LEN(A353))),LEN(A353))))))), 1)) * ROW(INDIRECT("1:"&amp;LEN((--TRIM(RIGHT(SUBSTITUTE(LEFT(A353,_xlfn.AGGREGATE(16,6,FIND({0,1,2,3,4,5,6,7,8,9},A353,ROW(INDIRECT("1:"&amp;LEN(A353)))),1))," ",REPT(" ",LEN(A353))),LEN(A353))))))), 0), ROW(INDIRECT("1:"&amp;LEN((--TRIM(RIGHT(SUBSTITUTE(LEFT(A353,_xlfn.AGGREGATE(16,6,FIND({0,1,2,3,4,5,6,7,8,9},A353,ROW(INDIRECT("1:"&amp;LEN(A353)))),1))," ",REPT(" ",LEN(A353))),LEN(A353))))))))+1, 1) * 10^ROW(INDIRECT("1:"&amp;LEN((--TRIM(RIGHT(SUBSTITUTE(LEFT(A353,_xlfn.AGGREGATE(16,6,FIND({0,1,2,3,4,5,6,7,8,9},A353,ROW(INDIRECT("1:"&amp;LEN(A353)))),1))," ",REPT(" ",LEN(A353))),LEN(A353)))))))/10))*1+1</f>
        <v>305 ,.., 1505</v>
      </c>
      <c r="B354" s="83"/>
      <c r="C354" s="39"/>
      <c r="D354" s="39"/>
      <c r="E354" s="39">
        <v>0</v>
      </c>
      <c r="F354" s="39">
        <f>D354+E354</f>
        <v>0</v>
      </c>
      <c r="G354" s="39">
        <v>0</v>
      </c>
      <c r="H354" s="39">
        <f>F354*(($H$157)+1)+(IF(G354&lt;101,G354,IF(G354&lt;201,G354/2,IF(G354&lt;=301,G354/3,G354/4))))</f>
        <v>0</v>
      </c>
      <c r="I354" s="33"/>
    </row>
    <row r="355" spans="1:20" s="34" customFormat="1" hidden="1" x14ac:dyDescent="0.3">
      <c r="A355" s="98" t="s">
        <v>142</v>
      </c>
      <c r="B355" s="99"/>
      <c r="C355" s="99"/>
      <c r="D355" s="99"/>
      <c r="E355" s="99"/>
      <c r="F355" s="99"/>
      <c r="G355" s="99"/>
      <c r="H355" s="100"/>
      <c r="I355" s="33"/>
    </row>
    <row r="356" spans="1:20" s="34" customFormat="1" ht="15.75" hidden="1" customHeight="1" x14ac:dyDescent="0.3">
      <c r="A356" s="82" t="str">
        <f ca="1">(SUMPRODUCT(MID(0&amp;(LEFT(A355,SUM(LEN(A355)-LEN(SUBSTITUTE(A355,{"0","1","2"},""))))), LARGE(INDEX(ISNUMBER(--MID((LEFT(A355,SUM(LEN(A355)-LEN(SUBSTITUTE(A355,{"0","1","2"},""))))), ROW(INDIRECT("1:"&amp;LEN((LEFT(A355,SUM(LEN(A355)-LEN(SUBSTITUTE(A355,{"0","1","2"},"")))))))), 1)) * ROW(INDIRECT("1:"&amp;LEN((LEFT(A355,SUM(LEN(A355)-LEN(SUBSTITUTE(A355,{"0","1","2"},"")))))))), 0), ROW(INDIRECT("1:"&amp;LEN((LEFT(A355,SUM(LEN(A355)-LEN(SUBSTITUTE(A355,{"0","1","2"},"")))))))))+1, 1) * 10^ROW(INDIRECT("1:"&amp;LEN((LEFT(A355,SUM(LEN(A355)-LEN(SUBSTITUTE(A355,{"0","1","2"},""))))))))/10))*100+1&amp;""&amp;" to "&amp;""&amp;(SUMPRODUCT(MID(0&amp;(--TRIM(RIGHT(SUBSTITUTE(LEFT(A355,_xlfn.AGGREGATE(16,6,FIND({0,1,2,3,4,5,6,7,8,9},A355,ROW(INDIRECT("1:"&amp;LEN(A355)))),1))," ",REPT(" ",LEN(A355))),LEN(A355)))), LARGE(INDEX(ISNUMBER(--MID((--TRIM(RIGHT(SUBSTITUTE(LEFT(A355,_xlfn.AGGREGATE(16,6,FIND({0,1,2,3,4,5,6,7,8,9},A355,ROW(INDIRECT("1:"&amp;LEN(A355)))),1))," ",REPT(" ",LEN(A355))),LEN(A355)))), ROW(INDIRECT("1:"&amp;LEN((--TRIM(RIGHT(SUBSTITUTE(LEFT(A355,_xlfn.AGGREGATE(16,6,FIND({0,1,2,3,4,5,6,7,8,9},A355,ROW(INDIRECT("1:"&amp;LEN(A355)))),1))," ",REPT(" ",LEN(A355))),LEN(A355))))))), 1)) * ROW(INDIRECT("1:"&amp;LEN((--TRIM(RIGHT(SUBSTITUTE(LEFT(A355,_xlfn.AGGREGATE(16,6,FIND({0,1,2,3,4,5,6,7,8,9},A355,ROW(INDIRECT("1:"&amp;LEN(A355)))),1))," ",REPT(" ",LEN(A355))),LEN(A355))))))), 0), ROW(INDIRECT("1:"&amp;LEN((--TRIM(RIGHT(SUBSTITUTE(LEFT(A355,_xlfn.AGGREGATE(16,6,FIND({0,1,2,3,4,5,6,7,8,9},A355,ROW(INDIRECT("1:"&amp;LEN(A355)))),1))," ",REPT(" ",LEN(A355))),LEN(A355))))))))+1, 1) * 10^ROW(INDIRECT("1:"&amp;LEN((--TRIM(RIGHT(SUBSTITUTE(LEFT(A355,_xlfn.AGGREGATE(16,6,FIND({0,1,2,3,4,5,6,7,8,9},A355,ROW(INDIRECT("1:"&amp;LEN(A355)))),1))," ",REPT(" ",LEN(A355))),LEN(A355)))))))/10))*100+1</f>
        <v>201 to 501</v>
      </c>
      <c r="B356" s="83"/>
      <c r="C356" s="39"/>
      <c r="D356" s="39"/>
      <c r="E356" s="39">
        <v>0</v>
      </c>
      <c r="F356" s="39">
        <f>D356+E356</f>
        <v>0</v>
      </c>
      <c r="G356" s="39">
        <v>0</v>
      </c>
      <c r="H356" s="39">
        <f>F356*(($H$157)+1)+(IF(G356&lt;101,G356,IF(G356&lt;201,G356/2,IF(G356&lt;=301,G356/3,G356/4))))</f>
        <v>0</v>
      </c>
      <c r="I356" s="33"/>
    </row>
    <row r="357" spans="1:20" s="34" customFormat="1" ht="15.75" hidden="1" customHeight="1" x14ac:dyDescent="0.3">
      <c r="A357" s="82" t="str">
        <f ca="1">(SUMPRODUCT(MID(0&amp;(LEFT(A356,SUM(LEN(A356)-LEN(SUBSTITUTE(A356,{"0","1","2"},""))))), LARGE(INDEX(ISNUMBER(--MID((LEFT(A356,SUM(LEN(A356)-LEN(SUBSTITUTE(A356,{"0","1","2"},""))))), ROW(INDIRECT("1:"&amp;LEN((LEFT(A356,SUM(LEN(A356)-LEN(SUBSTITUTE(A356,{"0","1","2"},"")))))))), 1)) * ROW(INDIRECT("1:"&amp;LEN((LEFT(A356,SUM(LEN(A356)-LEN(SUBSTITUTE(A356,{"0","1","2"},"")))))))), 0), ROW(INDIRECT("1:"&amp;LEN((LEFT(A356,SUM(LEN(A356)-LEN(SUBSTITUTE(A356,{"0","1","2"},"")))))))))+1, 1) * 10^ROW(INDIRECT("1:"&amp;LEN((LEFT(A356,SUM(LEN(A356)-LEN(SUBSTITUTE(A356,{"0","1","2"},""))))))))/10))*1+1&amp;""&amp;" to "&amp;""&amp;(SUMPRODUCT(MID(0&amp;(--TRIM(RIGHT(SUBSTITUTE(LEFT(A356,_xlfn.AGGREGATE(16,6,FIND({0,1,2,3,4,5,6,7,8,9},A356,ROW(INDIRECT("1:"&amp;LEN(A356)))),1))," ",REPT(" ",LEN(A356))),LEN(A356)))), LARGE(INDEX(ISNUMBER(--MID((--TRIM(RIGHT(SUBSTITUTE(LEFT(A356,_xlfn.AGGREGATE(16,6,FIND({0,1,2,3,4,5,6,7,8,9},A356,ROW(INDIRECT("1:"&amp;LEN(A356)))),1))," ",REPT(" ",LEN(A356))),LEN(A356)))), ROW(INDIRECT("1:"&amp;LEN((--TRIM(RIGHT(SUBSTITUTE(LEFT(A356,_xlfn.AGGREGATE(16,6,FIND({0,1,2,3,4,5,6,7,8,9},A356,ROW(INDIRECT("1:"&amp;LEN(A356)))),1))," ",REPT(" ",LEN(A356))),LEN(A356))))))), 1)) * ROW(INDIRECT("1:"&amp;LEN((--TRIM(RIGHT(SUBSTITUTE(LEFT(A356,_xlfn.AGGREGATE(16,6,FIND({0,1,2,3,4,5,6,7,8,9},A356,ROW(INDIRECT("1:"&amp;LEN(A356)))),1))," ",REPT(" ",LEN(A356))),LEN(A356))))))), 0), ROW(INDIRECT("1:"&amp;LEN((--TRIM(RIGHT(SUBSTITUTE(LEFT(A356,_xlfn.AGGREGATE(16,6,FIND({0,1,2,3,4,5,6,7,8,9},A356,ROW(INDIRECT("1:"&amp;LEN(A356)))),1))," ",REPT(" ",LEN(A356))),LEN(A356))))))))+1, 1) * 10^ROW(INDIRECT("1:"&amp;LEN((--TRIM(RIGHT(SUBSTITUTE(LEFT(A356,_xlfn.AGGREGATE(16,6,FIND({0,1,2,3,4,5,6,7,8,9},A356,ROW(INDIRECT("1:"&amp;LEN(A356)))),1))," ",REPT(" ",LEN(A356))),LEN(A356)))))))/10))*1+1</f>
        <v>202 to 502</v>
      </c>
      <c r="B357" s="83"/>
      <c r="C357" s="39"/>
      <c r="D357" s="39"/>
      <c r="E357" s="39">
        <v>0</v>
      </c>
      <c r="F357" s="39">
        <f>D357+E357</f>
        <v>0</v>
      </c>
      <c r="G357" s="39">
        <v>0</v>
      </c>
      <c r="H357" s="39">
        <f>F357*(($H$157)+1)+(IF(G357&lt;101,G357,IF(G357&lt;201,G357/2,IF(G357&lt;=301,G357/3,G357/4))))</f>
        <v>0</v>
      </c>
      <c r="I357" s="33"/>
    </row>
    <row r="358" spans="1:20" s="34" customFormat="1" ht="15.75" hidden="1" customHeight="1" x14ac:dyDescent="0.3">
      <c r="A358" s="82" t="str">
        <f ca="1">(SUMPRODUCT(MID(0&amp;(LEFT(A357,SUM(LEN(A357)-LEN(SUBSTITUTE(A357,{"0","1","2"},""))))), LARGE(INDEX(ISNUMBER(--MID((LEFT(A357,SUM(LEN(A357)-LEN(SUBSTITUTE(A357,{"0","1","2"},""))))), ROW(INDIRECT("1:"&amp;LEN((LEFT(A357,SUM(LEN(A357)-LEN(SUBSTITUTE(A357,{"0","1","2"},"")))))))), 1)) * ROW(INDIRECT("1:"&amp;LEN((LEFT(A357,SUM(LEN(A357)-LEN(SUBSTITUTE(A357,{"0","1","2"},"")))))))), 0), ROW(INDIRECT("1:"&amp;LEN((LEFT(A357,SUM(LEN(A357)-LEN(SUBSTITUTE(A357,{"0","1","2"},"")))))))))+1, 1) * 10^ROW(INDIRECT("1:"&amp;LEN((LEFT(A357,SUM(LEN(A357)-LEN(SUBSTITUTE(A357,{"0","1","2"},""))))))))/10))*1+1&amp;""&amp;" to "&amp;""&amp;(SUMPRODUCT(MID(0&amp;(--TRIM(RIGHT(SUBSTITUTE(LEFT(A357,_xlfn.AGGREGATE(16,6,FIND({0,1,2,3,4,5,6,7,8,9},A357,ROW(INDIRECT("1:"&amp;LEN(A357)))),1))," ",REPT(" ",LEN(A357))),LEN(A357)))), LARGE(INDEX(ISNUMBER(--MID((--TRIM(RIGHT(SUBSTITUTE(LEFT(A357,_xlfn.AGGREGATE(16,6,FIND({0,1,2,3,4,5,6,7,8,9},A357,ROW(INDIRECT("1:"&amp;LEN(A357)))),1))," ",REPT(" ",LEN(A357))),LEN(A357)))), ROW(INDIRECT("1:"&amp;LEN((--TRIM(RIGHT(SUBSTITUTE(LEFT(A357,_xlfn.AGGREGATE(16,6,FIND({0,1,2,3,4,5,6,7,8,9},A357,ROW(INDIRECT("1:"&amp;LEN(A357)))),1))," ",REPT(" ",LEN(A357))),LEN(A357))))))), 1)) * ROW(INDIRECT("1:"&amp;LEN((--TRIM(RIGHT(SUBSTITUTE(LEFT(A357,_xlfn.AGGREGATE(16,6,FIND({0,1,2,3,4,5,6,7,8,9},A357,ROW(INDIRECT("1:"&amp;LEN(A357)))),1))," ",REPT(" ",LEN(A357))),LEN(A357))))))), 0), ROW(INDIRECT("1:"&amp;LEN((--TRIM(RIGHT(SUBSTITUTE(LEFT(A357,_xlfn.AGGREGATE(16,6,FIND({0,1,2,3,4,5,6,7,8,9},A357,ROW(INDIRECT("1:"&amp;LEN(A357)))),1))," ",REPT(" ",LEN(A357))),LEN(A357))))))))+1, 1) * 10^ROW(INDIRECT("1:"&amp;LEN((--TRIM(RIGHT(SUBSTITUTE(LEFT(A357,_xlfn.AGGREGATE(16,6,FIND({0,1,2,3,4,5,6,7,8,9},A357,ROW(INDIRECT("1:"&amp;LEN(A357)))),1))," ",REPT(" ",LEN(A357))),LEN(A357)))))))/10))*1+1</f>
        <v>203 to 503</v>
      </c>
      <c r="B358" s="83"/>
      <c r="C358" s="39"/>
      <c r="D358" s="39"/>
      <c r="E358" s="39">
        <v>0</v>
      </c>
      <c r="F358" s="39">
        <f>D358+E358</f>
        <v>0</v>
      </c>
      <c r="G358" s="39">
        <v>0</v>
      </c>
      <c r="H358" s="39">
        <f>F358*(($H$157)+1)+(IF(G358&lt;101,G358,IF(G358&lt;201,G358/2,IF(G358&lt;=301,G358/3,G358/4))))</f>
        <v>0</v>
      </c>
      <c r="I358" s="33"/>
    </row>
    <row r="359" spans="1:20" s="34" customFormat="1" ht="15.75" hidden="1" customHeight="1" x14ac:dyDescent="0.3">
      <c r="A359" s="82" t="str">
        <f ca="1">(SUMPRODUCT(MID(0&amp;(LEFT(A358,SUM(LEN(A358)-LEN(SUBSTITUTE(A358,{"0","1","2"},""))))), LARGE(INDEX(ISNUMBER(--MID((LEFT(A358,SUM(LEN(A358)-LEN(SUBSTITUTE(A358,{"0","1","2"},""))))), ROW(INDIRECT("1:"&amp;LEN((LEFT(A358,SUM(LEN(A358)-LEN(SUBSTITUTE(A358,{"0","1","2"},"")))))))), 1)) * ROW(INDIRECT("1:"&amp;LEN((LEFT(A358,SUM(LEN(A358)-LEN(SUBSTITUTE(A358,{"0","1","2"},"")))))))), 0), ROW(INDIRECT("1:"&amp;LEN((LEFT(A358,SUM(LEN(A358)-LEN(SUBSTITUTE(A358,{"0","1","2"},"")))))))))+1, 1) * 10^ROW(INDIRECT("1:"&amp;LEN((LEFT(A358,SUM(LEN(A358)-LEN(SUBSTITUTE(A358,{"0","1","2"},""))))))))/10))*1+1&amp;""&amp;" to "&amp;""&amp;(SUMPRODUCT(MID(0&amp;(--TRIM(RIGHT(SUBSTITUTE(LEFT(A358,_xlfn.AGGREGATE(16,6,FIND({0,1,2,3,4,5,6,7,8,9},A358,ROW(INDIRECT("1:"&amp;LEN(A358)))),1))," ",REPT(" ",LEN(A358))),LEN(A358)))), LARGE(INDEX(ISNUMBER(--MID((--TRIM(RIGHT(SUBSTITUTE(LEFT(A358,_xlfn.AGGREGATE(16,6,FIND({0,1,2,3,4,5,6,7,8,9},A358,ROW(INDIRECT("1:"&amp;LEN(A358)))),1))," ",REPT(" ",LEN(A358))),LEN(A358)))), ROW(INDIRECT("1:"&amp;LEN((--TRIM(RIGHT(SUBSTITUTE(LEFT(A358,_xlfn.AGGREGATE(16,6,FIND({0,1,2,3,4,5,6,7,8,9},A358,ROW(INDIRECT("1:"&amp;LEN(A358)))),1))," ",REPT(" ",LEN(A358))),LEN(A358))))))), 1)) * ROW(INDIRECT("1:"&amp;LEN((--TRIM(RIGHT(SUBSTITUTE(LEFT(A358,_xlfn.AGGREGATE(16,6,FIND({0,1,2,3,4,5,6,7,8,9},A358,ROW(INDIRECT("1:"&amp;LEN(A358)))),1))," ",REPT(" ",LEN(A358))),LEN(A358))))))), 0), ROW(INDIRECT("1:"&amp;LEN((--TRIM(RIGHT(SUBSTITUTE(LEFT(A358,_xlfn.AGGREGATE(16,6,FIND({0,1,2,3,4,5,6,7,8,9},A358,ROW(INDIRECT("1:"&amp;LEN(A358)))),1))," ",REPT(" ",LEN(A358))),LEN(A358))))))))+1, 1) * 10^ROW(INDIRECT("1:"&amp;LEN((--TRIM(RIGHT(SUBSTITUTE(LEFT(A358,_xlfn.AGGREGATE(16,6,FIND({0,1,2,3,4,5,6,7,8,9},A358,ROW(INDIRECT("1:"&amp;LEN(A358)))),1))," ",REPT(" ",LEN(A358))),LEN(A358)))))))/10))*1+1</f>
        <v>204 to 504</v>
      </c>
      <c r="B359" s="83"/>
      <c r="C359" s="39"/>
      <c r="D359" s="39"/>
      <c r="E359" s="39">
        <v>0</v>
      </c>
      <c r="F359" s="39">
        <f>D359+E359</f>
        <v>0</v>
      </c>
      <c r="G359" s="39">
        <v>0</v>
      </c>
      <c r="H359" s="39">
        <f>F359*(($H$157)+1)+(IF(G359&lt;101,G359,IF(G359&lt;201,G359/2,IF(G359&lt;=301,G359/3,G359/4))))</f>
        <v>0</v>
      </c>
      <c r="I359" s="33"/>
    </row>
    <row r="360" spans="1:20" s="34" customFormat="1" ht="15.75" hidden="1" customHeight="1" x14ac:dyDescent="0.3">
      <c r="A360" s="82" t="str">
        <f ca="1">(SUMPRODUCT(MID(0&amp;(LEFT(A359,SUM(LEN(A359)-LEN(SUBSTITUTE(A359,{"0","1","2"},""))))), LARGE(INDEX(ISNUMBER(--MID((LEFT(A359,SUM(LEN(A359)-LEN(SUBSTITUTE(A359,{"0","1","2"},""))))), ROW(INDIRECT("1:"&amp;LEN((LEFT(A359,SUM(LEN(A359)-LEN(SUBSTITUTE(A359,{"0","1","2"},"")))))))), 1)) * ROW(INDIRECT("1:"&amp;LEN((LEFT(A359,SUM(LEN(A359)-LEN(SUBSTITUTE(A359,{"0","1","2"},"")))))))), 0), ROW(INDIRECT("1:"&amp;LEN((LEFT(A359,SUM(LEN(A359)-LEN(SUBSTITUTE(A359,{"0","1","2"},"")))))))))+1, 1) * 10^ROW(INDIRECT("1:"&amp;LEN((LEFT(A359,SUM(LEN(A359)-LEN(SUBSTITUTE(A359,{"0","1","2"},""))))))))/10))*1+1&amp;""&amp;" to "&amp;""&amp;(SUMPRODUCT(MID(0&amp;(--TRIM(RIGHT(SUBSTITUTE(LEFT(A359,_xlfn.AGGREGATE(16,6,FIND({0,1,2,3,4,5,6,7,8,9},A359,ROW(INDIRECT("1:"&amp;LEN(A359)))),1))," ",REPT(" ",LEN(A359))),LEN(A359)))), LARGE(INDEX(ISNUMBER(--MID((--TRIM(RIGHT(SUBSTITUTE(LEFT(A359,_xlfn.AGGREGATE(16,6,FIND({0,1,2,3,4,5,6,7,8,9},A359,ROW(INDIRECT("1:"&amp;LEN(A359)))),1))," ",REPT(" ",LEN(A359))),LEN(A359)))), ROW(INDIRECT("1:"&amp;LEN((--TRIM(RIGHT(SUBSTITUTE(LEFT(A359,_xlfn.AGGREGATE(16,6,FIND({0,1,2,3,4,5,6,7,8,9},A359,ROW(INDIRECT("1:"&amp;LEN(A359)))),1))," ",REPT(" ",LEN(A359))),LEN(A359))))))), 1)) * ROW(INDIRECT("1:"&amp;LEN((--TRIM(RIGHT(SUBSTITUTE(LEFT(A359,_xlfn.AGGREGATE(16,6,FIND({0,1,2,3,4,5,6,7,8,9},A359,ROW(INDIRECT("1:"&amp;LEN(A359)))),1))," ",REPT(" ",LEN(A359))),LEN(A359))))))), 0), ROW(INDIRECT("1:"&amp;LEN((--TRIM(RIGHT(SUBSTITUTE(LEFT(A359,_xlfn.AGGREGATE(16,6,FIND({0,1,2,3,4,5,6,7,8,9},A359,ROW(INDIRECT("1:"&amp;LEN(A359)))),1))," ",REPT(" ",LEN(A359))),LEN(A359))))))))+1, 1) * 10^ROW(INDIRECT("1:"&amp;LEN((--TRIM(RIGHT(SUBSTITUTE(LEFT(A359,_xlfn.AGGREGATE(16,6,FIND({0,1,2,3,4,5,6,7,8,9},A359,ROW(INDIRECT("1:"&amp;LEN(A359)))),1))," ",REPT(" ",LEN(A359))),LEN(A359)))))))/10))*1+1</f>
        <v>205 to 505</v>
      </c>
      <c r="B360" s="83"/>
      <c r="C360" s="39"/>
      <c r="D360" s="39"/>
      <c r="E360" s="39">
        <v>0</v>
      </c>
      <c r="F360" s="39">
        <f>D360+E360</f>
        <v>0</v>
      </c>
      <c r="G360" s="39">
        <v>0</v>
      </c>
      <c r="H360" s="39">
        <f>F360*(($H$157)+1)+(IF(G360&lt;101,G360,IF(G360&lt;201,G360/2,IF(G360&lt;=301,G360/3,G360/4))))</f>
        <v>0</v>
      </c>
      <c r="I360" s="33"/>
    </row>
    <row r="361" spans="1:20" s="34" customFormat="1" hidden="1" x14ac:dyDescent="0.3">
      <c r="A361" s="98" t="s">
        <v>143</v>
      </c>
      <c r="B361" s="99"/>
      <c r="C361" s="99"/>
      <c r="D361" s="99"/>
      <c r="E361" s="99"/>
      <c r="F361" s="99"/>
      <c r="G361" s="99"/>
      <c r="H361" s="100"/>
      <c r="I361" s="33"/>
    </row>
    <row r="362" spans="1:20" s="34" customFormat="1" ht="15.75" hidden="1" customHeight="1" x14ac:dyDescent="0.3">
      <c r="A362" s="82" t="str">
        <f ca="1">(SUMPRODUCT(MID(0&amp;(LEFT(A361,SUM(LEN(A361)-LEN(SUBSTITUTE(A361,{"0","1","2"},""))))), LARGE(INDEX(ISNUMBER(--MID((LEFT(A361,SUM(LEN(A361)-LEN(SUBSTITUTE(A361,{"0","1","2"},""))))), ROW(INDIRECT("1:"&amp;LEN((LEFT(A361,SUM(LEN(A361)-LEN(SUBSTITUTE(A361,{"0","1","2"},"")))))))), 1)) * ROW(INDIRECT("1:"&amp;LEN((LEFT(A361,SUM(LEN(A361)-LEN(SUBSTITUTE(A361,{"0","1","2"},"")))))))), 0), ROW(INDIRECT("1:"&amp;LEN((LEFT(A361,SUM(LEN(A361)-LEN(SUBSTITUTE(A361,{"0","1","2"},"")))))))))+1, 1) * 10^ROW(INDIRECT("1:"&amp;LEN((LEFT(A361,SUM(LEN(A361)-LEN(SUBSTITUTE(A361,{"0","1","2"},""))))))))/10))*100+1&amp;""&amp;" &amp; "&amp;""&amp;(SUMPRODUCT(MID(0&amp;(--TRIM(RIGHT(SUBSTITUTE(LEFT(A361,_xlfn.AGGREGATE(16,6,FIND({0,1,2,3,4,5,6,7,8,9},A361,ROW(INDIRECT("1:"&amp;LEN(A361)))),1))," ",REPT(" ",LEN(A361))),LEN(A361)))), LARGE(INDEX(ISNUMBER(--MID((--TRIM(RIGHT(SUBSTITUTE(LEFT(A361,_xlfn.AGGREGATE(16,6,FIND({0,1,2,3,4,5,6,7,8,9},A361,ROW(INDIRECT("1:"&amp;LEN(A361)))),1))," ",REPT(" ",LEN(A361))),LEN(A361)))), ROW(INDIRECT("1:"&amp;LEN((--TRIM(RIGHT(SUBSTITUTE(LEFT(A361,_xlfn.AGGREGATE(16,6,FIND({0,1,2,3,4,5,6,7,8,9},A361,ROW(INDIRECT("1:"&amp;LEN(A361)))),1))," ",REPT(" ",LEN(A361))),LEN(A361))))))), 1)) * ROW(INDIRECT("1:"&amp;LEN((--TRIM(RIGHT(SUBSTITUTE(LEFT(A361,_xlfn.AGGREGATE(16,6,FIND({0,1,2,3,4,5,6,7,8,9},A361,ROW(INDIRECT("1:"&amp;LEN(A361)))),1))," ",REPT(" ",LEN(A361))),LEN(A361))))))), 0), ROW(INDIRECT("1:"&amp;LEN((--TRIM(RIGHT(SUBSTITUTE(LEFT(A361,_xlfn.AGGREGATE(16,6,FIND({0,1,2,3,4,5,6,7,8,9},A361,ROW(INDIRECT("1:"&amp;LEN(A361)))),1))," ",REPT(" ",LEN(A361))),LEN(A361))))))))+1, 1) * 10^ROW(INDIRECT("1:"&amp;LEN((--TRIM(RIGHT(SUBSTITUTE(LEFT(A361,_xlfn.AGGREGATE(16,6,FIND({0,1,2,3,4,5,6,7,8,9},A361,ROW(INDIRECT("1:"&amp;LEN(A361)))),1))," ",REPT(" ",LEN(A361))),LEN(A361)))))))/10))*100+1</f>
        <v>201 &amp; 501</v>
      </c>
      <c r="B362" s="83"/>
      <c r="C362" s="39"/>
      <c r="D362" s="39"/>
      <c r="E362" s="39">
        <v>0</v>
      </c>
      <c r="F362" s="39">
        <f>D362+E362</f>
        <v>0</v>
      </c>
      <c r="G362" s="39">
        <v>0</v>
      </c>
      <c r="H362" s="39">
        <f>F362*(($H$157)+1)+(IF(G362&lt;101,G362,IF(G362&lt;201,G362/2,IF(G362&lt;=301,G362/3,G362/4))))</f>
        <v>0</v>
      </c>
      <c r="I362" s="33"/>
    </row>
    <row r="363" spans="1:20" s="34" customFormat="1" ht="15.75" hidden="1" customHeight="1" x14ac:dyDescent="0.3">
      <c r="A363" s="82" t="str">
        <f ca="1">(SUMPRODUCT(MID(0&amp;(LEFT(A362,SUM(LEN(A362)-LEN(SUBSTITUTE(A362,{"0","1","2"},""))))), LARGE(INDEX(ISNUMBER(--MID((LEFT(A362,SUM(LEN(A362)-LEN(SUBSTITUTE(A362,{"0","1","2"},""))))), ROW(INDIRECT("1:"&amp;LEN((LEFT(A362,SUM(LEN(A362)-LEN(SUBSTITUTE(A362,{"0","1","2"},"")))))))), 1)) * ROW(INDIRECT("1:"&amp;LEN((LEFT(A362,SUM(LEN(A362)-LEN(SUBSTITUTE(A362,{"0","1","2"},"")))))))), 0), ROW(INDIRECT("1:"&amp;LEN((LEFT(A362,SUM(LEN(A362)-LEN(SUBSTITUTE(A362,{"0","1","2"},"")))))))))+1, 1) * 10^ROW(INDIRECT("1:"&amp;LEN((LEFT(A362,SUM(LEN(A362)-LEN(SUBSTITUTE(A362,{"0","1","2"},""))))))))/10))*1+1&amp;""&amp;" &amp; "&amp;""&amp;(SUMPRODUCT(MID(0&amp;(--TRIM(RIGHT(SUBSTITUTE(LEFT(A362,_xlfn.AGGREGATE(16,6,FIND({0,1,2,3,4,5,6,7,8,9},A362,ROW(INDIRECT("1:"&amp;LEN(A362)))),1))," ",REPT(" ",LEN(A362))),LEN(A362)))), LARGE(INDEX(ISNUMBER(--MID((--TRIM(RIGHT(SUBSTITUTE(LEFT(A362,_xlfn.AGGREGATE(16,6,FIND({0,1,2,3,4,5,6,7,8,9},A362,ROW(INDIRECT("1:"&amp;LEN(A362)))),1))," ",REPT(" ",LEN(A362))),LEN(A362)))), ROW(INDIRECT("1:"&amp;LEN((--TRIM(RIGHT(SUBSTITUTE(LEFT(A362,_xlfn.AGGREGATE(16,6,FIND({0,1,2,3,4,5,6,7,8,9},A362,ROW(INDIRECT("1:"&amp;LEN(A362)))),1))," ",REPT(" ",LEN(A362))),LEN(A362))))))), 1)) * ROW(INDIRECT("1:"&amp;LEN((--TRIM(RIGHT(SUBSTITUTE(LEFT(A362,_xlfn.AGGREGATE(16,6,FIND({0,1,2,3,4,5,6,7,8,9},A362,ROW(INDIRECT("1:"&amp;LEN(A362)))),1))," ",REPT(" ",LEN(A362))),LEN(A362))))))), 0), ROW(INDIRECT("1:"&amp;LEN((--TRIM(RIGHT(SUBSTITUTE(LEFT(A362,_xlfn.AGGREGATE(16,6,FIND({0,1,2,3,4,5,6,7,8,9},A362,ROW(INDIRECT("1:"&amp;LEN(A362)))),1))," ",REPT(" ",LEN(A362))),LEN(A362))))))))+1, 1) * 10^ROW(INDIRECT("1:"&amp;LEN((--TRIM(RIGHT(SUBSTITUTE(LEFT(A362,_xlfn.AGGREGATE(16,6,FIND({0,1,2,3,4,5,6,7,8,9},A362,ROW(INDIRECT("1:"&amp;LEN(A362)))),1))," ",REPT(" ",LEN(A362))),LEN(A362)))))))/10))*1+1</f>
        <v>202 &amp; 502</v>
      </c>
      <c r="B363" s="83"/>
      <c r="C363" s="39"/>
      <c r="D363" s="39"/>
      <c r="E363" s="39">
        <v>0</v>
      </c>
      <c r="F363" s="39">
        <f>D363+E363</f>
        <v>0</v>
      </c>
      <c r="G363" s="39">
        <v>0</v>
      </c>
      <c r="H363" s="39">
        <f>F363*(($H$157)+1)+(IF(G363&lt;101,G363,IF(G363&lt;201,G363/2,IF(G363&lt;=301,G363/3,G363/4))))</f>
        <v>0</v>
      </c>
      <c r="I363" s="33"/>
    </row>
    <row r="364" spans="1:20" s="34" customFormat="1" ht="15.75" hidden="1" customHeight="1" x14ac:dyDescent="0.3">
      <c r="A364" s="82" t="str">
        <f ca="1">(SUMPRODUCT(MID(0&amp;(LEFT(A363,SUM(LEN(A363)-LEN(SUBSTITUTE(A363,{"0","1","2"},""))))), LARGE(INDEX(ISNUMBER(--MID((LEFT(A363,SUM(LEN(A363)-LEN(SUBSTITUTE(A363,{"0","1","2"},""))))), ROW(INDIRECT("1:"&amp;LEN((LEFT(A363,SUM(LEN(A363)-LEN(SUBSTITUTE(A363,{"0","1","2"},"")))))))), 1)) * ROW(INDIRECT("1:"&amp;LEN((LEFT(A363,SUM(LEN(A363)-LEN(SUBSTITUTE(A363,{"0","1","2"},"")))))))), 0), ROW(INDIRECT("1:"&amp;LEN((LEFT(A363,SUM(LEN(A363)-LEN(SUBSTITUTE(A363,{"0","1","2"},"")))))))))+1, 1) * 10^ROW(INDIRECT("1:"&amp;LEN((LEFT(A363,SUM(LEN(A363)-LEN(SUBSTITUTE(A363,{"0","1","2"},""))))))))/10))*1+1&amp;""&amp;" &amp; "&amp;""&amp;(SUMPRODUCT(MID(0&amp;(--TRIM(RIGHT(SUBSTITUTE(LEFT(A363,_xlfn.AGGREGATE(16,6,FIND({0,1,2,3,4,5,6,7,8,9},A363,ROW(INDIRECT("1:"&amp;LEN(A363)))),1))," ",REPT(" ",LEN(A363))),LEN(A363)))), LARGE(INDEX(ISNUMBER(--MID((--TRIM(RIGHT(SUBSTITUTE(LEFT(A363,_xlfn.AGGREGATE(16,6,FIND({0,1,2,3,4,5,6,7,8,9},A363,ROW(INDIRECT("1:"&amp;LEN(A363)))),1))," ",REPT(" ",LEN(A363))),LEN(A363)))), ROW(INDIRECT("1:"&amp;LEN((--TRIM(RIGHT(SUBSTITUTE(LEFT(A363,_xlfn.AGGREGATE(16,6,FIND({0,1,2,3,4,5,6,7,8,9},A363,ROW(INDIRECT("1:"&amp;LEN(A363)))),1))," ",REPT(" ",LEN(A363))),LEN(A363))))))), 1)) * ROW(INDIRECT("1:"&amp;LEN((--TRIM(RIGHT(SUBSTITUTE(LEFT(A363,_xlfn.AGGREGATE(16,6,FIND({0,1,2,3,4,5,6,7,8,9},A363,ROW(INDIRECT("1:"&amp;LEN(A363)))),1))," ",REPT(" ",LEN(A363))),LEN(A363))))))), 0), ROW(INDIRECT("1:"&amp;LEN((--TRIM(RIGHT(SUBSTITUTE(LEFT(A363,_xlfn.AGGREGATE(16,6,FIND({0,1,2,3,4,5,6,7,8,9},A363,ROW(INDIRECT("1:"&amp;LEN(A363)))),1))," ",REPT(" ",LEN(A363))),LEN(A363))))))))+1, 1) * 10^ROW(INDIRECT("1:"&amp;LEN((--TRIM(RIGHT(SUBSTITUTE(LEFT(A363,_xlfn.AGGREGATE(16,6,FIND({0,1,2,3,4,5,6,7,8,9},A363,ROW(INDIRECT("1:"&amp;LEN(A363)))),1))," ",REPT(" ",LEN(A363))),LEN(A363)))))))/10))*1+1</f>
        <v>203 &amp; 503</v>
      </c>
      <c r="B364" s="83"/>
      <c r="C364" s="39"/>
      <c r="D364" s="39"/>
      <c r="E364" s="39">
        <v>0</v>
      </c>
      <c r="F364" s="39">
        <f>D364+E364</f>
        <v>0</v>
      </c>
      <c r="G364" s="39">
        <v>0</v>
      </c>
      <c r="H364" s="39">
        <f>F364*(($H$157)+1)+(IF(G364&lt;101,G364,IF(G364&lt;201,G364/2,IF(G364&lt;=301,G364/3,G364/4))))</f>
        <v>0</v>
      </c>
      <c r="I364" s="33"/>
    </row>
    <row r="365" spans="1:20" s="34" customFormat="1" ht="15.75" hidden="1" customHeight="1" x14ac:dyDescent="0.3">
      <c r="A365" s="82" t="str">
        <f ca="1">(SUMPRODUCT(MID(0&amp;(LEFT(A364,SUM(LEN(A364)-LEN(SUBSTITUTE(A364,{"0","1","2"},""))))), LARGE(INDEX(ISNUMBER(--MID((LEFT(A364,SUM(LEN(A364)-LEN(SUBSTITUTE(A364,{"0","1","2"},""))))), ROW(INDIRECT("1:"&amp;LEN((LEFT(A364,SUM(LEN(A364)-LEN(SUBSTITUTE(A364,{"0","1","2"},"")))))))), 1)) * ROW(INDIRECT("1:"&amp;LEN((LEFT(A364,SUM(LEN(A364)-LEN(SUBSTITUTE(A364,{"0","1","2"},"")))))))), 0), ROW(INDIRECT("1:"&amp;LEN((LEFT(A364,SUM(LEN(A364)-LEN(SUBSTITUTE(A364,{"0","1","2"},"")))))))))+1, 1) * 10^ROW(INDIRECT("1:"&amp;LEN((LEFT(A364,SUM(LEN(A364)-LEN(SUBSTITUTE(A364,{"0","1","2"},""))))))))/10))*1+1&amp;""&amp;" &amp; "&amp;""&amp;(SUMPRODUCT(MID(0&amp;(--TRIM(RIGHT(SUBSTITUTE(LEFT(A364,_xlfn.AGGREGATE(16,6,FIND({0,1,2,3,4,5,6,7,8,9},A364,ROW(INDIRECT("1:"&amp;LEN(A364)))),1))," ",REPT(" ",LEN(A364))),LEN(A364)))), LARGE(INDEX(ISNUMBER(--MID((--TRIM(RIGHT(SUBSTITUTE(LEFT(A364,_xlfn.AGGREGATE(16,6,FIND({0,1,2,3,4,5,6,7,8,9},A364,ROW(INDIRECT("1:"&amp;LEN(A364)))),1))," ",REPT(" ",LEN(A364))),LEN(A364)))), ROW(INDIRECT("1:"&amp;LEN((--TRIM(RIGHT(SUBSTITUTE(LEFT(A364,_xlfn.AGGREGATE(16,6,FIND({0,1,2,3,4,5,6,7,8,9},A364,ROW(INDIRECT("1:"&amp;LEN(A364)))),1))," ",REPT(" ",LEN(A364))),LEN(A364))))))), 1)) * ROW(INDIRECT("1:"&amp;LEN((--TRIM(RIGHT(SUBSTITUTE(LEFT(A364,_xlfn.AGGREGATE(16,6,FIND({0,1,2,3,4,5,6,7,8,9},A364,ROW(INDIRECT("1:"&amp;LEN(A364)))),1))," ",REPT(" ",LEN(A364))),LEN(A364))))))), 0), ROW(INDIRECT("1:"&amp;LEN((--TRIM(RIGHT(SUBSTITUTE(LEFT(A364,_xlfn.AGGREGATE(16,6,FIND({0,1,2,3,4,5,6,7,8,9},A364,ROW(INDIRECT("1:"&amp;LEN(A364)))),1))," ",REPT(" ",LEN(A364))),LEN(A364))))))))+1, 1) * 10^ROW(INDIRECT("1:"&amp;LEN((--TRIM(RIGHT(SUBSTITUTE(LEFT(A364,_xlfn.AGGREGATE(16,6,FIND({0,1,2,3,4,5,6,7,8,9},A364,ROW(INDIRECT("1:"&amp;LEN(A364)))),1))," ",REPT(" ",LEN(A364))),LEN(A364)))))))/10))*1+1</f>
        <v>204 &amp; 504</v>
      </c>
      <c r="B365" s="83"/>
      <c r="C365" s="39"/>
      <c r="D365" s="39"/>
      <c r="E365" s="39">
        <v>0</v>
      </c>
      <c r="F365" s="39">
        <f>D365+E365</f>
        <v>0</v>
      </c>
      <c r="G365" s="39">
        <v>0</v>
      </c>
      <c r="H365" s="39">
        <f>F365*(($H$157)+1)+(IF(G365&lt;101,G365,IF(G365&lt;201,G365/2,IF(G365&lt;=301,G365/3,G365/4))))</f>
        <v>0</v>
      </c>
      <c r="I365" s="33"/>
    </row>
    <row r="366" spans="1:20" s="34" customFormat="1" ht="15.75" hidden="1" customHeight="1" x14ac:dyDescent="0.3">
      <c r="A366" s="82" t="str">
        <f ca="1">(SUMPRODUCT(MID(0&amp;(LEFT(A365,SUM(LEN(A365)-LEN(SUBSTITUTE(A365,{"0","1","2"},""))))), LARGE(INDEX(ISNUMBER(--MID((LEFT(A365,SUM(LEN(A365)-LEN(SUBSTITUTE(A365,{"0","1","2"},""))))), ROW(INDIRECT("1:"&amp;LEN((LEFT(A365,SUM(LEN(A365)-LEN(SUBSTITUTE(A365,{"0","1","2"},"")))))))), 1)) * ROW(INDIRECT("1:"&amp;LEN((LEFT(A365,SUM(LEN(A365)-LEN(SUBSTITUTE(A365,{"0","1","2"},"")))))))), 0), ROW(INDIRECT("1:"&amp;LEN((LEFT(A365,SUM(LEN(A365)-LEN(SUBSTITUTE(A365,{"0","1","2"},"")))))))))+1, 1) * 10^ROW(INDIRECT("1:"&amp;LEN((LEFT(A365,SUM(LEN(A365)-LEN(SUBSTITUTE(A365,{"0","1","2"},""))))))))/10))*1+1&amp;""&amp;" &amp; "&amp;""&amp;(SUMPRODUCT(MID(0&amp;(--TRIM(RIGHT(SUBSTITUTE(LEFT(A365,_xlfn.AGGREGATE(16,6,FIND({0,1,2,3,4,5,6,7,8,9},A365,ROW(INDIRECT("1:"&amp;LEN(A365)))),1))," ",REPT(" ",LEN(A365))),LEN(A365)))), LARGE(INDEX(ISNUMBER(--MID((--TRIM(RIGHT(SUBSTITUTE(LEFT(A365,_xlfn.AGGREGATE(16,6,FIND({0,1,2,3,4,5,6,7,8,9},A365,ROW(INDIRECT("1:"&amp;LEN(A365)))),1))," ",REPT(" ",LEN(A365))),LEN(A365)))), ROW(INDIRECT("1:"&amp;LEN((--TRIM(RIGHT(SUBSTITUTE(LEFT(A365,_xlfn.AGGREGATE(16,6,FIND({0,1,2,3,4,5,6,7,8,9},A365,ROW(INDIRECT("1:"&amp;LEN(A365)))),1))," ",REPT(" ",LEN(A365))),LEN(A365))))))), 1)) * ROW(INDIRECT("1:"&amp;LEN((--TRIM(RIGHT(SUBSTITUTE(LEFT(A365,_xlfn.AGGREGATE(16,6,FIND({0,1,2,3,4,5,6,7,8,9},A365,ROW(INDIRECT("1:"&amp;LEN(A365)))),1))," ",REPT(" ",LEN(A365))),LEN(A365))))))), 0), ROW(INDIRECT("1:"&amp;LEN((--TRIM(RIGHT(SUBSTITUTE(LEFT(A365,_xlfn.AGGREGATE(16,6,FIND({0,1,2,3,4,5,6,7,8,9},A365,ROW(INDIRECT("1:"&amp;LEN(A365)))),1))," ",REPT(" ",LEN(A365))),LEN(A365))))))))+1, 1) * 10^ROW(INDIRECT("1:"&amp;LEN((--TRIM(RIGHT(SUBSTITUTE(LEFT(A365,_xlfn.AGGREGATE(16,6,FIND({0,1,2,3,4,5,6,7,8,9},A365,ROW(INDIRECT("1:"&amp;LEN(A365)))),1))," ",REPT(" ",LEN(A365))),LEN(A365)))))))/10))*1+1</f>
        <v>205 &amp; 505</v>
      </c>
      <c r="B366" s="83"/>
      <c r="C366" s="39"/>
      <c r="D366" s="39"/>
      <c r="E366" s="39">
        <v>0</v>
      </c>
      <c r="F366" s="39">
        <f>D366+E366</f>
        <v>0</v>
      </c>
      <c r="G366" s="39">
        <v>0</v>
      </c>
      <c r="H366" s="39">
        <f>F366*(($H$157)+1)+(IF(G366&lt;101,G366,IF(G366&lt;201,G366/2,IF(G366&lt;=301,G366/3,G366/4))))</f>
        <v>0</v>
      </c>
      <c r="I366" s="33"/>
    </row>
    <row r="367" spans="1:20" s="32" customFormat="1" x14ac:dyDescent="0.3">
      <c r="A367" s="228" t="s">
        <v>65</v>
      </c>
      <c r="B367" s="228"/>
      <c r="C367" s="228"/>
      <c r="D367" s="228"/>
      <c r="E367" s="228"/>
      <c r="F367" s="228"/>
      <c r="G367" s="228"/>
      <c r="H367" s="228"/>
      <c r="T367" s="34"/>
    </row>
    <row r="368" spans="1:20" s="32" customFormat="1" x14ac:dyDescent="0.3">
      <c r="A368" s="41" t="s">
        <v>152</v>
      </c>
      <c r="B368" s="104" t="s">
        <v>434</v>
      </c>
      <c r="C368" s="104"/>
      <c r="D368" s="104"/>
      <c r="E368" s="104"/>
      <c r="F368" s="104"/>
      <c r="G368" s="104"/>
      <c r="H368" s="104"/>
      <c r="T368" s="34"/>
    </row>
    <row r="369" spans="1:20" s="32" customFormat="1" x14ac:dyDescent="0.3">
      <c r="A369" s="41" t="s">
        <v>152</v>
      </c>
      <c r="B369" s="104" t="str">
        <f>(IF(H156="Saleable area Loading :","We have considered Saleable area of Flats as per our Calculation.","We considered Saleable area of Flat as per Builder area Sheet."))</f>
        <v>We have considered Saleable area of Flats as per our Calculation.</v>
      </c>
      <c r="C369" s="104"/>
      <c r="D369" s="104"/>
      <c r="E369" s="104"/>
      <c r="F369" s="104"/>
      <c r="G369" s="104"/>
      <c r="H369" s="104"/>
      <c r="T369" s="34"/>
    </row>
    <row r="370" spans="1:20" s="32" customFormat="1" x14ac:dyDescent="0.3">
      <c r="A370" s="41" t="s">
        <v>152</v>
      </c>
      <c r="B370" s="104" t="str">
        <f>(IF(H148="Saleable area Loading :","We have considered Saleable area of Commercial as per our Calculation.","We considered Saleable area of Commercial as per Builder area Sheet."))</f>
        <v>We have considered Saleable area of Commercial as per our Calculation.</v>
      </c>
      <c r="C370" s="104"/>
      <c r="D370" s="104"/>
      <c r="E370" s="104"/>
      <c r="F370" s="104"/>
      <c r="G370" s="104"/>
      <c r="H370" s="104"/>
      <c r="T370" s="34"/>
    </row>
    <row r="371" spans="1:20" s="32" customFormat="1" x14ac:dyDescent="0.3">
      <c r="A371" s="41" t="s">
        <v>152</v>
      </c>
      <c r="B371" s="191" t="s">
        <v>119</v>
      </c>
      <c r="C371" s="191"/>
      <c r="D371" s="191"/>
      <c r="E371" s="191"/>
      <c r="F371" s="191"/>
      <c r="G371" s="191"/>
      <c r="H371" s="191"/>
      <c r="T371" s="34"/>
    </row>
    <row r="372" spans="1:20" s="32" customFormat="1" x14ac:dyDescent="0.3">
      <c r="A372" s="41" t="s">
        <v>152</v>
      </c>
      <c r="B372" s="191" t="s">
        <v>411</v>
      </c>
      <c r="C372" s="191"/>
      <c r="D372" s="191"/>
      <c r="E372" s="191"/>
      <c r="F372" s="191"/>
      <c r="G372" s="191"/>
      <c r="H372" s="191"/>
      <c r="T372" s="34"/>
    </row>
    <row r="373" spans="1:20" s="32" customFormat="1" x14ac:dyDescent="0.3">
      <c r="A373" s="41" t="s">
        <v>152</v>
      </c>
      <c r="B373" s="191" t="s">
        <v>151</v>
      </c>
      <c r="C373" s="191"/>
      <c r="D373" s="191"/>
      <c r="E373" s="191"/>
      <c r="F373" s="191"/>
      <c r="G373" s="191"/>
      <c r="H373" s="191"/>
    </row>
    <row r="374" spans="1:20" s="32" customFormat="1" x14ac:dyDescent="0.3">
      <c r="A374" s="41" t="s">
        <v>152</v>
      </c>
      <c r="B374" s="191" t="s">
        <v>120</v>
      </c>
      <c r="C374" s="191"/>
      <c r="D374" s="191"/>
      <c r="E374" s="191"/>
      <c r="F374" s="191"/>
      <c r="G374" s="191"/>
      <c r="H374" s="191"/>
    </row>
    <row r="375" spans="1:20" s="32" customFormat="1" ht="34.5" customHeight="1" x14ac:dyDescent="0.3">
      <c r="A375" s="41" t="s">
        <v>152</v>
      </c>
      <c r="B375" s="94" t="s">
        <v>153</v>
      </c>
      <c r="C375" s="95"/>
      <c r="D375" s="95"/>
      <c r="E375" s="95"/>
      <c r="F375" s="95"/>
      <c r="G375" s="95"/>
      <c r="H375" s="96"/>
    </row>
    <row r="376" spans="1:20" s="32" customFormat="1" x14ac:dyDescent="0.3">
      <c r="A376" s="41" t="s">
        <v>152</v>
      </c>
      <c r="B376" s="94" t="s">
        <v>121</v>
      </c>
      <c r="C376" s="95"/>
      <c r="D376" s="95"/>
      <c r="E376" s="95"/>
      <c r="F376" s="95"/>
      <c r="G376" s="95"/>
      <c r="H376" s="96"/>
    </row>
    <row r="377" spans="1:20" s="32" customFormat="1" ht="32.25" customHeight="1" x14ac:dyDescent="0.3">
      <c r="A377" s="41" t="s">
        <v>152</v>
      </c>
      <c r="B377" s="79" t="s">
        <v>179</v>
      </c>
      <c r="C377" s="80"/>
      <c r="D377" s="80"/>
      <c r="E377" s="80"/>
      <c r="F377" s="80"/>
      <c r="G377" s="80"/>
      <c r="H377" s="81"/>
    </row>
    <row r="378" spans="1:20" s="32" customFormat="1" hidden="1" x14ac:dyDescent="0.3">
      <c r="A378" s="41" t="s">
        <v>152</v>
      </c>
      <c r="B378" s="79" t="s">
        <v>235</v>
      </c>
      <c r="C378" s="80"/>
      <c r="D378" s="80"/>
      <c r="E378" s="80"/>
      <c r="F378" s="80"/>
      <c r="G378" s="80"/>
      <c r="H378" s="81"/>
    </row>
    <row r="379" spans="1:20" s="32" customFormat="1" x14ac:dyDescent="0.3">
      <c r="A379" s="41" t="s">
        <v>152</v>
      </c>
      <c r="B379" s="79" t="s">
        <v>432</v>
      </c>
      <c r="C379" s="80"/>
      <c r="D379" s="80"/>
      <c r="E379" s="80"/>
      <c r="F379" s="80"/>
      <c r="G379" s="80"/>
      <c r="H379" s="81"/>
    </row>
    <row r="380" spans="1:20" s="32" customFormat="1" x14ac:dyDescent="0.3">
      <c r="A380" s="41" t="s">
        <v>152</v>
      </c>
      <c r="B380" s="79" t="s">
        <v>442</v>
      </c>
      <c r="C380" s="80"/>
      <c r="D380" s="80"/>
      <c r="E380" s="80"/>
      <c r="F380" s="80"/>
      <c r="G380" s="80"/>
      <c r="H380" s="81"/>
    </row>
    <row r="381" spans="1:20" s="32" customFormat="1" x14ac:dyDescent="0.3">
      <c r="A381" s="41" t="s">
        <v>152</v>
      </c>
      <c r="B381" s="79" t="s">
        <v>447</v>
      </c>
      <c r="C381" s="80"/>
      <c r="D381" s="80"/>
      <c r="E381" s="80"/>
      <c r="F381" s="80"/>
      <c r="G381" s="80"/>
      <c r="H381" s="81"/>
    </row>
    <row r="382" spans="1:20" s="32" customFormat="1" x14ac:dyDescent="0.3">
      <c r="A382" s="41" t="s">
        <v>152</v>
      </c>
      <c r="B382" s="79" t="s">
        <v>448</v>
      </c>
      <c r="C382" s="80"/>
      <c r="D382" s="80"/>
      <c r="E382" s="80"/>
      <c r="F382" s="80"/>
      <c r="G382" s="80"/>
      <c r="H382" s="81"/>
    </row>
    <row r="383" spans="1:20" s="32" customFormat="1" x14ac:dyDescent="0.3">
      <c r="A383" s="41" t="s">
        <v>152</v>
      </c>
      <c r="B383" s="79" t="s">
        <v>449</v>
      </c>
      <c r="C383" s="80"/>
      <c r="D383" s="80"/>
      <c r="E383" s="80"/>
      <c r="F383" s="80"/>
      <c r="G383" s="80"/>
      <c r="H383" s="81"/>
    </row>
    <row r="384" spans="1:20" x14ac:dyDescent="0.3">
      <c r="A384" s="190" t="s">
        <v>58</v>
      </c>
      <c r="B384" s="190"/>
      <c r="C384" s="190"/>
      <c r="D384" s="190"/>
      <c r="E384" s="190"/>
      <c r="F384" s="190"/>
      <c r="G384" s="190"/>
      <c r="H384" s="190"/>
      <c r="T384" s="32"/>
    </row>
    <row r="385" spans="1:20" x14ac:dyDescent="0.3">
      <c r="A385" s="127" t="s">
        <v>59</v>
      </c>
      <c r="B385" s="127"/>
      <c r="C385" s="127"/>
      <c r="D385" s="127"/>
      <c r="E385" s="127"/>
      <c r="F385" s="127"/>
      <c r="G385" s="127"/>
      <c r="H385" s="127"/>
      <c r="T385" s="32"/>
    </row>
    <row r="386" spans="1:20" ht="15.75" customHeight="1" x14ac:dyDescent="0.3">
      <c r="A386" s="203" t="s">
        <v>60</v>
      </c>
      <c r="B386" s="203"/>
      <c r="C386" s="203"/>
      <c r="D386" s="203"/>
      <c r="E386" s="203"/>
      <c r="F386" s="203"/>
      <c r="G386" s="203"/>
      <c r="H386" s="203"/>
      <c r="T386" s="32"/>
    </row>
    <row r="387" spans="1:20" x14ac:dyDescent="0.3">
      <c r="A387" s="127" t="s">
        <v>61</v>
      </c>
      <c r="B387" s="127"/>
      <c r="C387" s="127"/>
      <c r="D387" s="127"/>
      <c r="E387" s="127"/>
      <c r="F387" s="127"/>
      <c r="G387" s="127"/>
      <c r="H387" s="127"/>
      <c r="T387" s="32"/>
    </row>
    <row r="388" spans="1:20" x14ac:dyDescent="0.3">
      <c r="A388" s="127" t="s">
        <v>62</v>
      </c>
      <c r="B388" s="127"/>
      <c r="C388" s="127"/>
      <c r="D388" s="127"/>
      <c r="E388" s="127"/>
      <c r="F388" s="127"/>
      <c r="G388" s="127"/>
      <c r="H388" s="127"/>
      <c r="T388" s="32"/>
    </row>
    <row r="389" spans="1:20" x14ac:dyDescent="0.3">
      <c r="A389" s="127" t="s">
        <v>122</v>
      </c>
      <c r="B389" s="127"/>
      <c r="C389" s="127"/>
      <c r="D389" s="127"/>
      <c r="E389" s="127"/>
      <c r="F389" s="127"/>
      <c r="G389" s="127"/>
      <c r="H389" s="127"/>
      <c r="T389" s="32"/>
    </row>
    <row r="390" spans="1:20" ht="34.049999999999997" customHeight="1" x14ac:dyDescent="0.3">
      <c r="A390" s="156" t="s">
        <v>123</v>
      </c>
      <c r="B390" s="156"/>
      <c r="C390" s="156"/>
      <c r="D390" s="156"/>
      <c r="E390" s="156"/>
      <c r="F390" s="156"/>
      <c r="G390" s="156"/>
      <c r="H390" s="156"/>
    </row>
    <row r="391" spans="1:20" x14ac:dyDescent="0.3">
      <c r="A391" s="188" t="s">
        <v>74</v>
      </c>
      <c r="B391" s="188"/>
      <c r="C391" s="188" t="s">
        <v>444</v>
      </c>
      <c r="D391" s="188"/>
      <c r="E391" s="188" t="s">
        <v>102</v>
      </c>
      <c r="F391" s="188"/>
      <c r="G391" s="189" t="s">
        <v>443</v>
      </c>
      <c r="H391" s="189"/>
    </row>
    <row r="392" spans="1:20" x14ac:dyDescent="0.3">
      <c r="A392" s="187" t="s">
        <v>76</v>
      </c>
      <c r="B392" s="187"/>
      <c r="C392" s="187"/>
      <c r="D392" s="187"/>
      <c r="E392" s="187"/>
      <c r="F392" s="187"/>
      <c r="G392" s="187"/>
      <c r="H392" s="187"/>
    </row>
    <row r="393" spans="1:20" x14ac:dyDescent="0.3">
      <c r="A393" s="187"/>
      <c r="B393" s="187"/>
      <c r="C393" s="187"/>
      <c r="D393" s="187"/>
      <c r="E393" s="187"/>
      <c r="F393" s="187"/>
      <c r="G393" s="187"/>
      <c r="H393" s="187"/>
    </row>
    <row r="394" spans="1:20" x14ac:dyDescent="0.3">
      <c r="A394" s="187"/>
      <c r="B394" s="187"/>
      <c r="C394" s="187"/>
      <c r="D394" s="187"/>
      <c r="E394" s="187"/>
      <c r="F394" s="187"/>
      <c r="G394" s="187"/>
      <c r="H394" s="187"/>
    </row>
    <row r="395" spans="1:20" x14ac:dyDescent="0.3">
      <c r="A395" s="187"/>
      <c r="B395" s="187"/>
      <c r="C395" s="187"/>
      <c r="D395" s="187"/>
      <c r="E395" s="187"/>
      <c r="F395" s="187"/>
      <c r="G395" s="187"/>
      <c r="H395" s="187"/>
    </row>
    <row r="396" spans="1:20" x14ac:dyDescent="0.3">
      <c r="A396" s="35" t="s">
        <v>63</v>
      </c>
      <c r="B396" s="36"/>
      <c r="C396" s="36"/>
      <c r="D396" s="35" t="str">
        <f>E9</f>
        <v>Kalpataru Advay</v>
      </c>
      <c r="F396" s="36"/>
      <c r="G396" s="36"/>
      <c r="H396" s="36"/>
    </row>
    <row r="397" spans="1:20" x14ac:dyDescent="0.3">
      <c r="A397" s="36"/>
      <c r="B397" s="36"/>
      <c r="C397" s="36"/>
      <c r="D397" s="36"/>
      <c r="E397" s="36"/>
      <c r="F397" s="36"/>
      <c r="G397" s="36"/>
      <c r="H397" s="36"/>
    </row>
    <row r="398" spans="1:20" x14ac:dyDescent="0.3">
      <c r="A398" s="36"/>
      <c r="B398" s="36"/>
      <c r="C398" s="36"/>
      <c r="D398" s="36"/>
      <c r="E398" s="36"/>
      <c r="F398" s="36"/>
      <c r="G398" s="36"/>
      <c r="H398" s="36"/>
    </row>
    <row r="399" spans="1:20" ht="15" customHeight="1" x14ac:dyDescent="0.3"/>
    <row r="437" spans="1:1" x14ac:dyDescent="0.3">
      <c r="A437" s="38" t="s">
        <v>163</v>
      </c>
    </row>
    <row r="478" spans="1:1" x14ac:dyDescent="0.3">
      <c r="A478" s="38" t="s">
        <v>64</v>
      </c>
    </row>
  </sheetData>
  <mergeCells count="734">
    <mergeCell ref="A351:B351"/>
    <mergeCell ref="A159:H159"/>
    <mergeCell ref="A158:H158"/>
    <mergeCell ref="B381:H381"/>
    <mergeCell ref="F129:H129"/>
    <mergeCell ref="B380:H380"/>
    <mergeCell ref="A100:B100"/>
    <mergeCell ref="A101:B101"/>
    <mergeCell ref="A120:E120"/>
    <mergeCell ref="A117:E117"/>
    <mergeCell ref="F121:H121"/>
    <mergeCell ref="A229:H229"/>
    <mergeCell ref="A230:B230"/>
    <mergeCell ref="A334:H334"/>
    <mergeCell ref="A335:B335"/>
    <mergeCell ref="A160:H160"/>
    <mergeCell ref="A166:H166"/>
    <mergeCell ref="A167:B167"/>
    <mergeCell ref="A367:H367"/>
    <mergeCell ref="A359:B359"/>
    <mergeCell ref="A360:B360"/>
    <mergeCell ref="A355:H355"/>
    <mergeCell ref="A349:H349"/>
    <mergeCell ref="A364:B364"/>
    <mergeCell ref="A361:H361"/>
    <mergeCell ref="A228:H228"/>
    <mergeCell ref="A171:H171"/>
    <mergeCell ref="A172:B172"/>
    <mergeCell ref="A178:B178"/>
    <mergeCell ref="A181:H181"/>
    <mergeCell ref="A182:B182"/>
    <mergeCell ref="A173:B173"/>
    <mergeCell ref="A183:B183"/>
    <mergeCell ref="A174:B174"/>
    <mergeCell ref="A225:B225"/>
    <mergeCell ref="A220:B220"/>
    <mergeCell ref="A199:H199"/>
    <mergeCell ref="A200:B200"/>
    <mergeCell ref="A208:H208"/>
    <mergeCell ref="A209:B209"/>
    <mergeCell ref="A196:B196"/>
    <mergeCell ref="A203:B203"/>
    <mergeCell ref="A187:B187"/>
    <mergeCell ref="A226:H226"/>
    <mergeCell ref="A227:H227"/>
    <mergeCell ref="A204:B204"/>
    <mergeCell ref="L236:M236"/>
    <mergeCell ref="A237:B237"/>
    <mergeCell ref="L237:M237"/>
    <mergeCell ref="A238:B238"/>
    <mergeCell ref="L238:M238"/>
    <mergeCell ref="A62:C62"/>
    <mergeCell ref="A63:C63"/>
    <mergeCell ref="A143:B143"/>
    <mergeCell ref="C143:D143"/>
    <mergeCell ref="E143:F143"/>
    <mergeCell ref="G143:H143"/>
    <mergeCell ref="A71:C71"/>
    <mergeCell ref="D71:H71"/>
    <mergeCell ref="A73:C73"/>
    <mergeCell ref="D64:H64"/>
    <mergeCell ref="A64:C64"/>
    <mergeCell ref="A91:B91"/>
    <mergeCell ref="A122:E122"/>
    <mergeCell ref="F122:H122"/>
    <mergeCell ref="A126:E126"/>
    <mergeCell ref="F126:H126"/>
    <mergeCell ref="A127:E127"/>
    <mergeCell ref="F127:H127"/>
    <mergeCell ref="A129:E129"/>
    <mergeCell ref="A223:B223"/>
    <mergeCell ref="L223:M223"/>
    <mergeCell ref="A224:B224"/>
    <mergeCell ref="L224:M224"/>
    <mergeCell ref="D220:G220"/>
    <mergeCell ref="L335:M335"/>
    <mergeCell ref="A336:B336"/>
    <mergeCell ref="L336:M336"/>
    <mergeCell ref="A337:B337"/>
    <mergeCell ref="L337:M337"/>
    <mergeCell ref="L230:M230"/>
    <mergeCell ref="A231:B231"/>
    <mergeCell ref="L231:M231"/>
    <mergeCell ref="A232:B232"/>
    <mergeCell ref="L232:M232"/>
    <mergeCell ref="A233:B233"/>
    <mergeCell ref="L233:M233"/>
    <mergeCell ref="C232:C233"/>
    <mergeCell ref="D232:G233"/>
    <mergeCell ref="H232:H233"/>
    <mergeCell ref="A234:H234"/>
    <mergeCell ref="A235:B235"/>
    <mergeCell ref="L235:M235"/>
    <mergeCell ref="A236:B236"/>
    <mergeCell ref="L212:M212"/>
    <mergeCell ref="A217:H217"/>
    <mergeCell ref="A218:B218"/>
    <mergeCell ref="A211:B211"/>
    <mergeCell ref="L220:M220"/>
    <mergeCell ref="A221:B221"/>
    <mergeCell ref="L221:M221"/>
    <mergeCell ref="A222:B222"/>
    <mergeCell ref="L222:M222"/>
    <mergeCell ref="A201:B201"/>
    <mergeCell ref="L201:M201"/>
    <mergeCell ref="A202:B202"/>
    <mergeCell ref="L202:M202"/>
    <mergeCell ref="H202:H203"/>
    <mergeCell ref="D202:G203"/>
    <mergeCell ref="L203:M203"/>
    <mergeCell ref="L225:M225"/>
    <mergeCell ref="L209:M209"/>
    <mergeCell ref="A210:B210"/>
    <mergeCell ref="L210:M210"/>
    <mergeCell ref="L218:M218"/>
    <mergeCell ref="A219:B219"/>
    <mergeCell ref="L219:M219"/>
    <mergeCell ref="A213:B213"/>
    <mergeCell ref="L213:M213"/>
    <mergeCell ref="A214:B214"/>
    <mergeCell ref="L214:M214"/>
    <mergeCell ref="A215:B215"/>
    <mergeCell ref="L215:M215"/>
    <mergeCell ref="A216:B216"/>
    <mergeCell ref="L216:M216"/>
    <mergeCell ref="L211:M211"/>
    <mergeCell ref="A212:B212"/>
    <mergeCell ref="L204:M204"/>
    <mergeCell ref="L207:M207"/>
    <mergeCell ref="C202:C203"/>
    <mergeCell ref="L205:M205"/>
    <mergeCell ref="A206:B206"/>
    <mergeCell ref="L206:M206"/>
    <mergeCell ref="A207:B207"/>
    <mergeCell ref="A205:B205"/>
    <mergeCell ref="L191:M191"/>
    <mergeCell ref="A192:B192"/>
    <mergeCell ref="L192:M192"/>
    <mergeCell ref="A193:B193"/>
    <mergeCell ref="L193:M193"/>
    <mergeCell ref="A194:B194"/>
    <mergeCell ref="L194:M194"/>
    <mergeCell ref="A195:B195"/>
    <mergeCell ref="L195:M195"/>
    <mergeCell ref="A191:B191"/>
    <mergeCell ref="L196:M196"/>
    <mergeCell ref="A197:B197"/>
    <mergeCell ref="L197:M197"/>
    <mergeCell ref="A198:B198"/>
    <mergeCell ref="L198:M198"/>
    <mergeCell ref="L200:M200"/>
    <mergeCell ref="L187:M187"/>
    <mergeCell ref="A188:B188"/>
    <mergeCell ref="L188:M188"/>
    <mergeCell ref="A189:B189"/>
    <mergeCell ref="L189:M189"/>
    <mergeCell ref="A190:H190"/>
    <mergeCell ref="A184:B184"/>
    <mergeCell ref="L184:M184"/>
    <mergeCell ref="A185:B185"/>
    <mergeCell ref="L185:M185"/>
    <mergeCell ref="D184:G185"/>
    <mergeCell ref="C184:C185"/>
    <mergeCell ref="H184:H185"/>
    <mergeCell ref="A186:B186"/>
    <mergeCell ref="L174:M174"/>
    <mergeCell ref="A175:B175"/>
    <mergeCell ref="L175:M175"/>
    <mergeCell ref="A176:H176"/>
    <mergeCell ref="A177:B177"/>
    <mergeCell ref="L177:M177"/>
    <mergeCell ref="L182:M182"/>
    <mergeCell ref="L186:M186"/>
    <mergeCell ref="L183:M183"/>
    <mergeCell ref="L178:M178"/>
    <mergeCell ref="A179:B179"/>
    <mergeCell ref="L179:M179"/>
    <mergeCell ref="A180:B180"/>
    <mergeCell ref="L180:M180"/>
    <mergeCell ref="L167:M167"/>
    <mergeCell ref="A168:B168"/>
    <mergeCell ref="L168:M168"/>
    <mergeCell ref="A169:B169"/>
    <mergeCell ref="L169:M169"/>
    <mergeCell ref="L165:M165"/>
    <mergeCell ref="L162:M162"/>
    <mergeCell ref="A163:B163"/>
    <mergeCell ref="A170:B170"/>
    <mergeCell ref="L170:M170"/>
    <mergeCell ref="C164:C165"/>
    <mergeCell ref="D164:G165"/>
    <mergeCell ref="H164:H165"/>
    <mergeCell ref="L163:M163"/>
    <mergeCell ref="A164:B164"/>
    <mergeCell ref="L164:M164"/>
    <mergeCell ref="L172:M172"/>
    <mergeCell ref="A165:B165"/>
    <mergeCell ref="L173:M173"/>
    <mergeCell ref="E43:H43"/>
    <mergeCell ref="A43:D43"/>
    <mergeCell ref="A84:B84"/>
    <mergeCell ref="A50:B50"/>
    <mergeCell ref="D67:H67"/>
    <mergeCell ref="C52:E52"/>
    <mergeCell ref="A65:C67"/>
    <mergeCell ref="D65:H65"/>
    <mergeCell ref="D66:H66"/>
    <mergeCell ref="C53:E53"/>
    <mergeCell ref="G53:H53"/>
    <mergeCell ref="G52:H52"/>
    <mergeCell ref="A61:H61"/>
    <mergeCell ref="C55:H55"/>
    <mergeCell ref="A70:C70"/>
    <mergeCell ref="D70:H70"/>
    <mergeCell ref="A72:C72"/>
    <mergeCell ref="D73:H73"/>
    <mergeCell ref="A79:B79"/>
    <mergeCell ref="G78:H78"/>
    <mergeCell ref="A87:B87"/>
    <mergeCell ref="I15:P15"/>
    <mergeCell ref="F131:H131"/>
    <mergeCell ref="F125:H125"/>
    <mergeCell ref="A54:B55"/>
    <mergeCell ref="C54:E54"/>
    <mergeCell ref="G54:H54"/>
    <mergeCell ref="A56:B57"/>
    <mergeCell ref="C56:E56"/>
    <mergeCell ref="E20:F20"/>
    <mergeCell ref="G20:H20"/>
    <mergeCell ref="A21:B21"/>
    <mergeCell ref="C21:D21"/>
    <mergeCell ref="E21:F21"/>
    <mergeCell ref="G21:H21"/>
    <mergeCell ref="A22:B22"/>
    <mergeCell ref="C22:D22"/>
    <mergeCell ref="E22:F22"/>
    <mergeCell ref="A88:B88"/>
    <mergeCell ref="A83:B83"/>
    <mergeCell ref="A80:B80"/>
    <mergeCell ref="A82:B82"/>
    <mergeCell ref="E78:F78"/>
    <mergeCell ref="G92:H92"/>
    <mergeCell ref="A60:B60"/>
    <mergeCell ref="C60:E60"/>
    <mergeCell ref="D62:H62"/>
    <mergeCell ref="F130:H130"/>
    <mergeCell ref="E135:F135"/>
    <mergeCell ref="A135:B135"/>
    <mergeCell ref="A137:B137"/>
    <mergeCell ref="C140:D140"/>
    <mergeCell ref="D72:H72"/>
    <mergeCell ref="D63:H63"/>
    <mergeCell ref="G60:H60"/>
    <mergeCell ref="A112:B112"/>
    <mergeCell ref="A113:B113"/>
    <mergeCell ref="A114:B114"/>
    <mergeCell ref="A115:B115"/>
    <mergeCell ref="A116:B116"/>
    <mergeCell ref="A85:B85"/>
    <mergeCell ref="A77:B77"/>
    <mergeCell ref="A75:B75"/>
    <mergeCell ref="C75:H75"/>
    <mergeCell ref="C77:H77"/>
    <mergeCell ref="A74:C74"/>
    <mergeCell ref="D74:H74"/>
    <mergeCell ref="A389:H389"/>
    <mergeCell ref="A386:H386"/>
    <mergeCell ref="A344:B344"/>
    <mergeCell ref="A140:B140"/>
    <mergeCell ref="D156:D157"/>
    <mergeCell ref="E156:E157"/>
    <mergeCell ref="A97:B97"/>
    <mergeCell ref="A99:B99"/>
    <mergeCell ref="F118:H118"/>
    <mergeCell ref="G136:H136"/>
    <mergeCell ref="A102:B102"/>
    <mergeCell ref="F128:H128"/>
    <mergeCell ref="C135:D135"/>
    <mergeCell ref="C144:D144"/>
    <mergeCell ref="A161:H161"/>
    <mergeCell ref="A353:B353"/>
    <mergeCell ref="B372:H372"/>
    <mergeCell ref="A362:B362"/>
    <mergeCell ref="A363:B363"/>
    <mergeCell ref="A366:B366"/>
    <mergeCell ref="A365:B365"/>
    <mergeCell ref="B368:H368"/>
    <mergeCell ref="B369:H369"/>
    <mergeCell ref="B371:H371"/>
    <mergeCell ref="A385:H385"/>
    <mergeCell ref="F117:H117"/>
    <mergeCell ref="F123:H123"/>
    <mergeCell ref="A162:B162"/>
    <mergeCell ref="A154:B154"/>
    <mergeCell ref="A153:B153"/>
    <mergeCell ref="A124:E124"/>
    <mergeCell ref="F124:H124"/>
    <mergeCell ref="A125:E125"/>
    <mergeCell ref="F120:H120"/>
    <mergeCell ref="A128:E128"/>
    <mergeCell ref="A155:H155"/>
    <mergeCell ref="E140:F140"/>
    <mergeCell ref="A146:H146"/>
    <mergeCell ref="A156:A157"/>
    <mergeCell ref="F156:F157"/>
    <mergeCell ref="A350:B350"/>
    <mergeCell ref="A151:B151"/>
    <mergeCell ref="B377:H377"/>
    <mergeCell ref="A145:B145"/>
    <mergeCell ref="C145:D145"/>
    <mergeCell ref="E145:F145"/>
    <mergeCell ref="B376:H376"/>
    <mergeCell ref="B374:H374"/>
    <mergeCell ref="A392:H395"/>
    <mergeCell ref="A391:B391"/>
    <mergeCell ref="E391:F391"/>
    <mergeCell ref="C391:D391"/>
    <mergeCell ref="G391:H391"/>
    <mergeCell ref="A134:H134"/>
    <mergeCell ref="A132:E132"/>
    <mergeCell ref="F132:H132"/>
    <mergeCell ref="A133:E133"/>
    <mergeCell ref="F133:H133"/>
    <mergeCell ref="A343:H343"/>
    <mergeCell ref="A141:B141"/>
    <mergeCell ref="A352:B352"/>
    <mergeCell ref="A136:B136"/>
    <mergeCell ref="A387:H387"/>
    <mergeCell ref="A139:H139"/>
    <mergeCell ref="A390:H390"/>
    <mergeCell ref="A388:H388"/>
    <mergeCell ref="A384:H384"/>
    <mergeCell ref="G140:H140"/>
    <mergeCell ref="B373:H373"/>
    <mergeCell ref="A358:B358"/>
    <mergeCell ref="A347:B347"/>
    <mergeCell ref="A354:B35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G59:H59"/>
    <mergeCell ref="C59:E59"/>
    <mergeCell ref="A44:D44"/>
    <mergeCell ref="E44:H44"/>
    <mergeCell ref="E45:H45"/>
    <mergeCell ref="E46:H46"/>
    <mergeCell ref="E47:H47"/>
    <mergeCell ref="C57:H57"/>
    <mergeCell ref="A48:H48"/>
    <mergeCell ref="A45:D45"/>
    <mergeCell ref="A49:B49"/>
    <mergeCell ref="C49:H49"/>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47:D47"/>
    <mergeCell ref="L154:M154"/>
    <mergeCell ref="L153:M153"/>
    <mergeCell ref="L152:M152"/>
    <mergeCell ref="L151:M151"/>
    <mergeCell ref="C141:D141"/>
    <mergeCell ref="E141:F141"/>
    <mergeCell ref="G141:H141"/>
    <mergeCell ref="A118:E118"/>
    <mergeCell ref="A150:H150"/>
    <mergeCell ref="E148:E149"/>
    <mergeCell ref="F119:H119"/>
    <mergeCell ref="A119:E119"/>
    <mergeCell ref="E142:F142"/>
    <mergeCell ref="G142:H142"/>
    <mergeCell ref="D148:D149"/>
    <mergeCell ref="G148:G149"/>
    <mergeCell ref="C148:C149"/>
    <mergeCell ref="A147:H147"/>
    <mergeCell ref="G135:H135"/>
    <mergeCell ref="A130:E130"/>
    <mergeCell ref="A152:B152"/>
    <mergeCell ref="G145:H145"/>
    <mergeCell ref="A346:B346"/>
    <mergeCell ref="A356:B356"/>
    <mergeCell ref="A40:B40"/>
    <mergeCell ref="C40:H40"/>
    <mergeCell ref="F148:F149"/>
    <mergeCell ref="C136:D136"/>
    <mergeCell ref="E136:F136"/>
    <mergeCell ref="B148:B149"/>
    <mergeCell ref="A148:A149"/>
    <mergeCell ref="C156:C157"/>
    <mergeCell ref="G156:G157"/>
    <mergeCell ref="A78:B78"/>
    <mergeCell ref="A86:B86"/>
    <mergeCell ref="A89:B89"/>
    <mergeCell ref="C89:H89"/>
    <mergeCell ref="A93:B93"/>
    <mergeCell ref="C91:H91"/>
    <mergeCell ref="A94:B94"/>
    <mergeCell ref="A95:B95"/>
    <mergeCell ref="G93:H102"/>
    <mergeCell ref="A96:B96"/>
    <mergeCell ref="A121:E121"/>
    <mergeCell ref="A98:B98"/>
    <mergeCell ref="D69:H69"/>
    <mergeCell ref="A357:B357"/>
    <mergeCell ref="A81:B81"/>
    <mergeCell ref="E79:F88"/>
    <mergeCell ref="G79:H88"/>
    <mergeCell ref="A123:E123"/>
    <mergeCell ref="A144:B144"/>
    <mergeCell ref="E144:F144"/>
    <mergeCell ref="A131:E131"/>
    <mergeCell ref="G144:H144"/>
    <mergeCell ref="C137:D137"/>
    <mergeCell ref="E137:F137"/>
    <mergeCell ref="G137:H137"/>
    <mergeCell ref="A138:B138"/>
    <mergeCell ref="C138:D138"/>
    <mergeCell ref="E138:F138"/>
    <mergeCell ref="G138:H138"/>
    <mergeCell ref="A142:B142"/>
    <mergeCell ref="C142:D142"/>
    <mergeCell ref="A248:B248"/>
    <mergeCell ref="A250:B250"/>
    <mergeCell ref="A255:B255"/>
    <mergeCell ref="A259:B259"/>
    <mergeCell ref="A270:H270"/>
    <mergeCell ref="A271:H271"/>
    <mergeCell ref="B156:B157"/>
    <mergeCell ref="B370:H370"/>
    <mergeCell ref="A92:B92"/>
    <mergeCell ref="E92:F92"/>
    <mergeCell ref="E93:F102"/>
    <mergeCell ref="A103:B103"/>
    <mergeCell ref="C103:H103"/>
    <mergeCell ref="A105:B105"/>
    <mergeCell ref="C105:H105"/>
    <mergeCell ref="A106:B106"/>
    <mergeCell ref="E106:F106"/>
    <mergeCell ref="G106:H106"/>
    <mergeCell ref="A107:B107"/>
    <mergeCell ref="E107:F116"/>
    <mergeCell ref="G107:H116"/>
    <mergeCell ref="A108:B108"/>
    <mergeCell ref="A109:B109"/>
    <mergeCell ref="A110:B110"/>
    <mergeCell ref="A111:B111"/>
    <mergeCell ref="A272:H272"/>
    <mergeCell ref="A273:H273"/>
    <mergeCell ref="A274:B274"/>
    <mergeCell ref="A278:H278"/>
    <mergeCell ref="A279:B279"/>
    <mergeCell ref="L248:M248"/>
    <mergeCell ref="A244:H244"/>
    <mergeCell ref="A245:B245"/>
    <mergeCell ref="L245:M245"/>
    <mergeCell ref="A246:B246"/>
    <mergeCell ref="L246:M246"/>
    <mergeCell ref="A247:B247"/>
    <mergeCell ref="L247:M247"/>
    <mergeCell ref="A249:H249"/>
    <mergeCell ref="L255:M255"/>
    <mergeCell ref="D250:G251"/>
    <mergeCell ref="H250:H251"/>
    <mergeCell ref="C250:C251"/>
    <mergeCell ref="A256:H256"/>
    <mergeCell ref="A257:B257"/>
    <mergeCell ref="L257:M257"/>
    <mergeCell ref="A258:B258"/>
    <mergeCell ref="L258:M258"/>
    <mergeCell ref="L250:M250"/>
    <mergeCell ref="A251:B251"/>
    <mergeCell ref="L251:M251"/>
    <mergeCell ref="A252:B252"/>
    <mergeCell ref="L252:M252"/>
    <mergeCell ref="A253:B253"/>
    <mergeCell ref="L253:M253"/>
    <mergeCell ref="A254:B254"/>
    <mergeCell ref="L254:M254"/>
    <mergeCell ref="L259:M259"/>
    <mergeCell ref="A260:B260"/>
    <mergeCell ref="L260:M260"/>
    <mergeCell ref="A261:B261"/>
    <mergeCell ref="L261:M261"/>
    <mergeCell ref="A262:B262"/>
    <mergeCell ref="L262:M262"/>
    <mergeCell ref="A263:H263"/>
    <mergeCell ref="A269:B269"/>
    <mergeCell ref="L269:M269"/>
    <mergeCell ref="C264:C265"/>
    <mergeCell ref="H264:H265"/>
    <mergeCell ref="D264:G265"/>
    <mergeCell ref="A264:B264"/>
    <mergeCell ref="L264:M264"/>
    <mergeCell ref="A265:B265"/>
    <mergeCell ref="L265:M265"/>
    <mergeCell ref="A266:B266"/>
    <mergeCell ref="L266:M266"/>
    <mergeCell ref="A267:B267"/>
    <mergeCell ref="L267:M267"/>
    <mergeCell ref="A268:B268"/>
    <mergeCell ref="L268:M268"/>
    <mergeCell ref="L274:M274"/>
    <mergeCell ref="A275:B275"/>
    <mergeCell ref="L275:M275"/>
    <mergeCell ref="A276:B276"/>
    <mergeCell ref="L276:M276"/>
    <mergeCell ref="A277:B277"/>
    <mergeCell ref="L277:M277"/>
    <mergeCell ref="C276:C277"/>
    <mergeCell ref="D276:G277"/>
    <mergeCell ref="H276:H277"/>
    <mergeCell ref="L279:M279"/>
    <mergeCell ref="A280:B280"/>
    <mergeCell ref="L280:M280"/>
    <mergeCell ref="A281:B281"/>
    <mergeCell ref="L281:M281"/>
    <mergeCell ref="A282:B282"/>
    <mergeCell ref="L282:M282"/>
    <mergeCell ref="A283:H283"/>
    <mergeCell ref="A284:B284"/>
    <mergeCell ref="L284:M284"/>
    <mergeCell ref="A285:B285"/>
    <mergeCell ref="L285:M285"/>
    <mergeCell ref="A286:B286"/>
    <mergeCell ref="L286:M286"/>
    <mergeCell ref="A287:B287"/>
    <mergeCell ref="L287:M287"/>
    <mergeCell ref="A288:H288"/>
    <mergeCell ref="A289:B289"/>
    <mergeCell ref="L289:M289"/>
    <mergeCell ref="A290:B290"/>
    <mergeCell ref="L290:M290"/>
    <mergeCell ref="A291:B291"/>
    <mergeCell ref="L291:M291"/>
    <mergeCell ref="A292:B292"/>
    <mergeCell ref="L292:M292"/>
    <mergeCell ref="A293:H293"/>
    <mergeCell ref="A294:B294"/>
    <mergeCell ref="L294:M294"/>
    <mergeCell ref="A295:B295"/>
    <mergeCell ref="L295:M295"/>
    <mergeCell ref="A296:B296"/>
    <mergeCell ref="L296:M296"/>
    <mergeCell ref="A297:B297"/>
    <mergeCell ref="L297:M297"/>
    <mergeCell ref="A298:H298"/>
    <mergeCell ref="A299:B299"/>
    <mergeCell ref="L299:M299"/>
    <mergeCell ref="A300:B300"/>
    <mergeCell ref="L300:M300"/>
    <mergeCell ref="A301:B301"/>
    <mergeCell ref="L301:M301"/>
    <mergeCell ref="A302:B302"/>
    <mergeCell ref="L302:M302"/>
    <mergeCell ref="A303:B303"/>
    <mergeCell ref="L303:M303"/>
    <mergeCell ref="A304:B304"/>
    <mergeCell ref="L304:M304"/>
    <mergeCell ref="A305:B305"/>
    <mergeCell ref="L305:M305"/>
    <mergeCell ref="A306:B306"/>
    <mergeCell ref="L306:M306"/>
    <mergeCell ref="C301:C302"/>
    <mergeCell ref="D301:G302"/>
    <mergeCell ref="H301:H302"/>
    <mergeCell ref="A307:H307"/>
    <mergeCell ref="A308:B308"/>
    <mergeCell ref="L308:M308"/>
    <mergeCell ref="A309:B309"/>
    <mergeCell ref="L309:M309"/>
    <mergeCell ref="A310:B310"/>
    <mergeCell ref="L310:M310"/>
    <mergeCell ref="A311:B311"/>
    <mergeCell ref="L311:M311"/>
    <mergeCell ref="A312:B312"/>
    <mergeCell ref="L312:M312"/>
    <mergeCell ref="A313:B313"/>
    <mergeCell ref="L313:M313"/>
    <mergeCell ref="A314:B314"/>
    <mergeCell ref="L314:M314"/>
    <mergeCell ref="A315:B315"/>
    <mergeCell ref="L315:M315"/>
    <mergeCell ref="A316:H316"/>
    <mergeCell ref="A317:B317"/>
    <mergeCell ref="L317:M317"/>
    <mergeCell ref="A318:B318"/>
    <mergeCell ref="L318:M318"/>
    <mergeCell ref="A328:B328"/>
    <mergeCell ref="L328:M328"/>
    <mergeCell ref="A319:B319"/>
    <mergeCell ref="L319:M319"/>
    <mergeCell ref="A320:B320"/>
    <mergeCell ref="L320:M320"/>
    <mergeCell ref="A321:B321"/>
    <mergeCell ref="L321:M321"/>
    <mergeCell ref="A322:B322"/>
    <mergeCell ref="L322:M322"/>
    <mergeCell ref="A323:B323"/>
    <mergeCell ref="L323:M323"/>
    <mergeCell ref="A348:B348"/>
    <mergeCell ref="A345:B345"/>
    <mergeCell ref="A329:B329"/>
    <mergeCell ref="L329:M329"/>
    <mergeCell ref="A330:B330"/>
    <mergeCell ref="L330:M330"/>
    <mergeCell ref="A331:B331"/>
    <mergeCell ref="L331:M331"/>
    <mergeCell ref="A239:H239"/>
    <mergeCell ref="A240:B240"/>
    <mergeCell ref="L240:M240"/>
    <mergeCell ref="A241:B241"/>
    <mergeCell ref="L241:M241"/>
    <mergeCell ref="A242:B242"/>
    <mergeCell ref="L242:M242"/>
    <mergeCell ref="A243:B243"/>
    <mergeCell ref="L243:M243"/>
    <mergeCell ref="A324:B324"/>
    <mergeCell ref="L324:M324"/>
    <mergeCell ref="A325:H325"/>
    <mergeCell ref="A326:B326"/>
    <mergeCell ref="L326:M326"/>
    <mergeCell ref="A327:B327"/>
    <mergeCell ref="L327:M327"/>
    <mergeCell ref="B383:H383"/>
    <mergeCell ref="B382:H382"/>
    <mergeCell ref="B379:H379"/>
    <mergeCell ref="A332:B332"/>
    <mergeCell ref="L332:M332"/>
    <mergeCell ref="A333:B333"/>
    <mergeCell ref="L333:M333"/>
    <mergeCell ref="C328:C329"/>
    <mergeCell ref="D328:G329"/>
    <mergeCell ref="H328:H329"/>
    <mergeCell ref="D337:G337"/>
    <mergeCell ref="B378:H378"/>
    <mergeCell ref="A338:B338"/>
    <mergeCell ref="L338:M338"/>
    <mergeCell ref="A339:B339"/>
    <mergeCell ref="L339:M339"/>
    <mergeCell ref="A340:B340"/>
    <mergeCell ref="L340:M340"/>
    <mergeCell ref="A341:B341"/>
    <mergeCell ref="L341:M341"/>
    <mergeCell ref="A342:B342"/>
    <mergeCell ref="L342:M342"/>
    <mergeCell ref="B375:H375"/>
    <mergeCell ref="L343:M343"/>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48:E149" xr:uid="{00000000-0002-0000-0000-000003000000}">
      <formula1>"Attached Loft area,Attached Otla area,Attached Mezzanine area"</formula1>
    </dataValidation>
    <dataValidation type="list" allowBlank="1" showInputMessage="1" showErrorMessage="1" sqref="G391:H391" xr:uid="{00000000-0002-0000-0000-000004000000}">
      <formula1>"Kunal Kadam,Pranita Mhatre,Shruti Fule,Pooja Kawale,Gaurav Panchal,Shruti Tathare, Hitakshi Mhatre, Sachin Sawant"</formula1>
    </dataValidation>
    <dataValidation type="list" allowBlank="1" showInputMessage="1" showErrorMessage="1" sqref="F117:H117" xr:uid="{00000000-0002-0000-0000-000005000000}">
      <formula1>"On Saleable Area,On Builtup Area,On Carpet Area,On Plot Area"</formula1>
    </dataValidation>
    <dataValidation type="list" allowBlank="1" showInputMessage="1" showErrorMessage="1" sqref="F132:H132" xr:uid="{00000000-0002-0000-0000-000006000000}">
      <formula1>OFFSET($S$117,1,MATCH($G20,$S$117:$W$117,0)-1,15,1)</formula1>
    </dataValidation>
    <dataValidation type="list" allowBlank="1" showInputMessage="1" showErrorMessage="1" sqref="B148:B149" xr:uid="{00000000-0002-0000-0000-000007000000}">
      <formula1>"Shop No. (Sale Plan),Sale / Rehab,Sale / Mhada"</formula1>
    </dataValidation>
    <dataValidation type="list" allowBlank="1" showInputMessage="1" showErrorMessage="1" sqref="B156:B157"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56:E157" xr:uid="{00000000-0002-0000-0000-00000B000000}">
      <formula1>"Fungible area,Deck Area,Chajja Area,Cornice Area,AP Area,WS Area"</formula1>
    </dataValidation>
    <dataValidation type="list" allowBlank="1" showInputMessage="1" showErrorMessage="1" sqref="H149 H157"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48 H156" xr:uid="{00000000-0002-0000-0000-00000F000000}">
      <formula1>"Saleable area Loading :,Builder Saleable Area"</formula1>
    </dataValidation>
    <dataValidation type="list" allowBlank="1" showInputMessage="1" showErrorMessage="1" sqref="D148:D149 D156:D157" xr:uid="{00000000-0002-0000-0000-000010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6" manualBreakCount="6">
    <brk id="53" max="16383" man="1"/>
    <brk id="74" max="7" man="1"/>
    <brk id="116" max="7" man="1"/>
    <brk id="395" max="16383" man="1"/>
    <brk id="436" max="16383" man="1"/>
    <brk id="477"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77734375" defaultRowHeight="14.4" x14ac:dyDescent="0.3"/>
  <cols>
    <col min="1" max="1" width="8.77734375" style="1"/>
    <col min="2" max="2" width="22.21875" style="1" customWidth="1"/>
    <col min="3" max="3" width="37" style="1" customWidth="1"/>
    <col min="4" max="5" width="11.44140625" style="1" customWidth="1"/>
    <col min="6" max="6" width="14" style="1" customWidth="1"/>
    <col min="7" max="7" width="20" style="1" customWidth="1"/>
    <col min="8" max="8" width="16.44140625" style="1" customWidth="1"/>
    <col min="9" max="16384" width="8.77734375" style="1"/>
  </cols>
  <sheetData>
    <row r="1" spans="1:9" ht="15" customHeight="1" x14ac:dyDescent="0.3"/>
    <row r="2" spans="1:9" ht="15" customHeight="1" x14ac:dyDescent="0.3">
      <c r="A2" s="2"/>
      <c r="B2" s="2"/>
      <c r="C2" s="2"/>
      <c r="D2" s="2"/>
      <c r="E2" s="2"/>
      <c r="F2" s="2"/>
      <c r="G2" s="2"/>
      <c r="H2" s="2"/>
    </row>
    <row r="3" spans="1:9" ht="15.75" customHeight="1" x14ac:dyDescent="0.3">
      <c r="A3" s="2"/>
      <c r="B3" s="229" t="s">
        <v>103</v>
      </c>
      <c r="C3" s="229"/>
      <c r="D3" s="229"/>
      <c r="E3" s="229"/>
      <c r="F3" s="229"/>
      <c r="G3" s="229"/>
      <c r="H3" s="229"/>
    </row>
    <row r="4" spans="1:9" x14ac:dyDescent="0.3">
      <c r="A4" s="2"/>
      <c r="B4" s="3" t="s">
        <v>104</v>
      </c>
      <c r="C4" s="3" t="s">
        <v>105</v>
      </c>
      <c r="D4" s="3" t="s">
        <v>66</v>
      </c>
      <c r="E4" s="3" t="s">
        <v>106</v>
      </c>
      <c r="F4" s="3" t="s">
        <v>112</v>
      </c>
      <c r="G4" s="3" t="s">
        <v>113</v>
      </c>
      <c r="H4" s="3" t="s">
        <v>107</v>
      </c>
    </row>
    <row r="5" spans="1:9" ht="15" customHeight="1" x14ac:dyDescent="0.3">
      <c r="A5" s="2"/>
      <c r="B5" s="5" t="s">
        <v>108</v>
      </c>
      <c r="C5" s="6"/>
      <c r="D5" s="5"/>
      <c r="E5" s="5"/>
      <c r="F5" s="7">
        <f>E5*1.6</f>
        <v>0</v>
      </c>
      <c r="G5" s="7" t="e">
        <f>H5/F5</f>
        <v>#DIV/0!</v>
      </c>
      <c r="H5" s="8"/>
    </row>
    <row r="6" spans="1:9" x14ac:dyDescent="0.3">
      <c r="A6" s="2"/>
      <c r="B6" s="5" t="s">
        <v>108</v>
      </c>
      <c r="C6" s="9"/>
      <c r="D6" s="5"/>
      <c r="E6" s="5"/>
      <c r="F6" s="7">
        <f t="shared" ref="F6:F11" si="0">E6*1.6</f>
        <v>0</v>
      </c>
      <c r="G6" s="7" t="e">
        <f t="shared" ref="G6:G11" si="1">H6/F6</f>
        <v>#DIV/0!</v>
      </c>
      <c r="H6" s="8"/>
    </row>
    <row r="7" spans="1:9" ht="15" customHeight="1" x14ac:dyDescent="0.3">
      <c r="A7" s="2"/>
      <c r="B7" s="5" t="s">
        <v>108</v>
      </c>
      <c r="C7" s="6"/>
      <c r="D7" s="5"/>
      <c r="E7" s="5"/>
      <c r="F7" s="7">
        <f t="shared" si="0"/>
        <v>0</v>
      </c>
      <c r="G7" s="7" t="e">
        <f t="shared" si="1"/>
        <v>#DIV/0!</v>
      </c>
      <c r="H7" s="8"/>
    </row>
    <row r="8" spans="1:9" x14ac:dyDescent="0.3">
      <c r="A8" s="2"/>
      <c r="B8" s="5" t="s">
        <v>108</v>
      </c>
      <c r="C8" s="9"/>
      <c r="D8" s="5"/>
      <c r="E8" s="5"/>
      <c r="F8" s="7">
        <f t="shared" si="0"/>
        <v>0</v>
      </c>
      <c r="G8" s="7" t="e">
        <f t="shared" si="1"/>
        <v>#DIV/0!</v>
      </c>
      <c r="H8" s="8"/>
    </row>
    <row r="9" spans="1:9" ht="15" customHeight="1" x14ac:dyDescent="0.3">
      <c r="A9" s="2"/>
      <c r="B9" s="5" t="s">
        <v>108</v>
      </c>
      <c r="C9" s="9"/>
      <c r="D9" s="5"/>
      <c r="E9" s="5"/>
      <c r="F9" s="7">
        <f t="shared" si="0"/>
        <v>0</v>
      </c>
      <c r="G9" s="7" t="e">
        <f t="shared" si="1"/>
        <v>#DIV/0!</v>
      </c>
      <c r="H9" s="8"/>
    </row>
    <row r="10" spans="1:9" ht="15" customHeight="1" x14ac:dyDescent="0.3">
      <c r="A10" s="2"/>
      <c r="B10" s="5" t="s">
        <v>109</v>
      </c>
      <c r="C10" s="6"/>
      <c r="D10" s="5"/>
      <c r="E10" s="5"/>
      <c r="F10" s="7">
        <f t="shared" si="0"/>
        <v>0</v>
      </c>
      <c r="G10" s="7" t="e">
        <f t="shared" si="1"/>
        <v>#DIV/0!</v>
      </c>
      <c r="H10" s="8"/>
    </row>
    <row r="11" spans="1:9" ht="15" customHeight="1" x14ac:dyDescent="0.3">
      <c r="A11" s="2"/>
      <c r="B11" s="5" t="s">
        <v>109</v>
      </c>
      <c r="C11" s="6"/>
      <c r="D11" s="5"/>
      <c r="E11" s="5"/>
      <c r="F11" s="7">
        <f t="shared" si="0"/>
        <v>0</v>
      </c>
      <c r="G11" s="7" t="e">
        <f t="shared" si="1"/>
        <v>#DIV/0!</v>
      </c>
      <c r="H11" s="8"/>
    </row>
    <row r="12" spans="1:9" ht="15" customHeight="1" x14ac:dyDescent="0.3">
      <c r="A12" s="2"/>
      <c r="B12" s="10" t="s">
        <v>110</v>
      </c>
      <c r="C12" s="5"/>
      <c r="D12" s="5"/>
      <c r="E12" s="5"/>
      <c r="F12" s="5"/>
      <c r="G12" s="11" t="e">
        <f>AVERAGE(G5:G11)</f>
        <v>#DIV/0!</v>
      </c>
      <c r="H12" s="5"/>
    </row>
    <row r="13" spans="1:9" ht="15" customHeight="1" x14ac:dyDescent="0.3">
      <c r="B13" s="10" t="s">
        <v>111</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77734375" bestFit="1" customWidth="1"/>
    <col min="5" max="5" width="10.44140625" bestFit="1" customWidth="1"/>
    <col min="6" max="6" width="12.44140625" bestFit="1" customWidth="1"/>
    <col min="7" max="7" width="18.21875" customWidth="1"/>
    <col min="8" max="8" width="10.5546875" bestFit="1" customWidth="1"/>
  </cols>
  <sheetData>
    <row r="3" spans="2:11" x14ac:dyDescent="0.3">
      <c r="J3">
        <v>1</v>
      </c>
      <c r="K3">
        <v>2</v>
      </c>
    </row>
    <row r="4" spans="2:11" x14ac:dyDescent="0.3">
      <c r="B4" s="47"/>
      <c r="C4" s="47" t="s">
        <v>11</v>
      </c>
      <c r="D4" s="48" t="s">
        <v>180</v>
      </c>
      <c r="E4" s="48" t="s">
        <v>190</v>
      </c>
      <c r="F4" s="48" t="s">
        <v>172</v>
      </c>
      <c r="G4" s="48" t="s">
        <v>195</v>
      </c>
      <c r="H4" s="48" t="s">
        <v>213</v>
      </c>
      <c r="J4" t="s">
        <v>195</v>
      </c>
      <c r="K4" t="s">
        <v>211</v>
      </c>
    </row>
    <row r="5" spans="2:11" x14ac:dyDescent="0.3">
      <c r="B5" s="47"/>
      <c r="C5" s="47"/>
      <c r="D5" s="48" t="s">
        <v>181</v>
      </c>
      <c r="E5" s="48" t="s">
        <v>188</v>
      </c>
      <c r="F5" s="48" t="s">
        <v>210</v>
      </c>
      <c r="G5" s="48" t="s">
        <v>196</v>
      </c>
      <c r="H5" s="48" t="s">
        <v>214</v>
      </c>
    </row>
    <row r="6" spans="2:11" x14ac:dyDescent="0.3">
      <c r="B6" s="47"/>
      <c r="C6" s="47"/>
      <c r="D6" s="48" t="s">
        <v>182</v>
      </c>
      <c r="E6" s="48" t="s">
        <v>189</v>
      </c>
      <c r="F6" s="48" t="s">
        <v>211</v>
      </c>
      <c r="G6" s="48" t="s">
        <v>197</v>
      </c>
      <c r="H6" s="48" t="s">
        <v>227</v>
      </c>
    </row>
    <row r="7" spans="2:11" x14ac:dyDescent="0.3">
      <c r="B7" s="47"/>
      <c r="C7" s="47"/>
      <c r="D7" s="48" t="s">
        <v>183</v>
      </c>
      <c r="E7" s="48" t="s">
        <v>191</v>
      </c>
      <c r="F7" s="48" t="s">
        <v>212</v>
      </c>
      <c r="G7" s="48" t="s">
        <v>198</v>
      </c>
      <c r="H7" s="48" t="s">
        <v>215</v>
      </c>
    </row>
    <row r="8" spans="2:11" x14ac:dyDescent="0.3">
      <c r="B8" s="47"/>
      <c r="C8" s="47"/>
      <c r="D8" s="48" t="s">
        <v>184</v>
      </c>
      <c r="E8" s="48" t="s">
        <v>192</v>
      </c>
      <c r="F8" s="48"/>
      <c r="G8" s="48" t="s">
        <v>199</v>
      </c>
      <c r="H8" s="48" t="s">
        <v>216</v>
      </c>
    </row>
    <row r="9" spans="2:11" x14ac:dyDescent="0.3">
      <c r="B9" s="47"/>
      <c r="C9" s="47"/>
      <c r="D9" s="48" t="s">
        <v>185</v>
      </c>
      <c r="E9" s="48" t="s">
        <v>190</v>
      </c>
      <c r="F9" s="48"/>
      <c r="G9" s="48" t="s">
        <v>200</v>
      </c>
      <c r="H9" s="48" t="s">
        <v>217</v>
      </c>
    </row>
    <row r="10" spans="2:11" x14ac:dyDescent="0.3">
      <c r="B10" s="47"/>
      <c r="C10" s="47"/>
      <c r="D10" s="48" t="s">
        <v>186</v>
      </c>
      <c r="E10" s="48" t="s">
        <v>193</v>
      </c>
      <c r="F10" s="48"/>
      <c r="G10" s="48" t="s">
        <v>201</v>
      </c>
      <c r="H10" s="48" t="s">
        <v>218</v>
      </c>
    </row>
    <row r="11" spans="2:11" x14ac:dyDescent="0.3">
      <c r="B11" s="47"/>
      <c r="C11" s="47"/>
      <c r="D11" s="48" t="s">
        <v>187</v>
      </c>
      <c r="E11" s="48" t="s">
        <v>194</v>
      </c>
      <c r="F11" s="48"/>
      <c r="G11" s="48" t="s">
        <v>202</v>
      </c>
      <c r="H11" s="48" t="s">
        <v>219</v>
      </c>
    </row>
    <row r="12" spans="2:11" x14ac:dyDescent="0.3">
      <c r="B12" s="47"/>
      <c r="C12" s="47"/>
      <c r="D12" s="48"/>
      <c r="E12" s="48"/>
      <c r="F12" s="48"/>
      <c r="G12" s="48" t="s">
        <v>203</v>
      </c>
      <c r="H12" s="48" t="s">
        <v>220</v>
      </c>
    </row>
    <row r="13" spans="2:11" x14ac:dyDescent="0.3">
      <c r="B13" s="47"/>
      <c r="C13" s="47"/>
      <c r="D13" s="48"/>
      <c r="E13" s="48"/>
      <c r="F13" s="48"/>
      <c r="G13" s="48" t="s">
        <v>204</v>
      </c>
      <c r="H13" s="48" t="s">
        <v>221</v>
      </c>
    </row>
    <row r="14" spans="2:11" x14ac:dyDescent="0.3">
      <c r="B14" s="47"/>
      <c r="C14" s="47"/>
      <c r="D14" s="48"/>
      <c r="E14" s="48"/>
      <c r="F14" s="48"/>
      <c r="G14" s="48" t="s">
        <v>205</v>
      </c>
      <c r="H14" s="48" t="s">
        <v>222</v>
      </c>
    </row>
    <row r="15" spans="2:11" x14ac:dyDescent="0.3">
      <c r="B15" s="47"/>
      <c r="C15" s="47"/>
      <c r="D15" s="48"/>
      <c r="E15" s="48"/>
      <c r="F15" s="48"/>
      <c r="G15" s="48" t="s">
        <v>206</v>
      </c>
      <c r="H15" s="48" t="s">
        <v>223</v>
      </c>
    </row>
    <row r="16" spans="2:11" x14ac:dyDescent="0.3">
      <c r="B16" s="47"/>
      <c r="C16" s="47"/>
      <c r="D16" s="48"/>
      <c r="E16" s="48"/>
      <c r="F16" s="48"/>
      <c r="G16" s="48" t="s">
        <v>207</v>
      </c>
      <c r="H16" s="48" t="s">
        <v>224</v>
      </c>
    </row>
    <row r="17" spans="2:8" x14ac:dyDescent="0.3">
      <c r="B17" s="47"/>
      <c r="C17" s="47"/>
      <c r="D17" s="48"/>
      <c r="E17" s="48"/>
      <c r="F17" s="48"/>
      <c r="G17" s="48" t="s">
        <v>208</v>
      </c>
      <c r="H17" s="48" t="s">
        <v>225</v>
      </c>
    </row>
    <row r="18" spans="2:8" x14ac:dyDescent="0.3">
      <c r="B18" s="47"/>
      <c r="C18" s="47"/>
      <c r="D18" s="48"/>
      <c r="E18" s="48"/>
      <c r="F18" s="48"/>
      <c r="G18" s="48" t="s">
        <v>209</v>
      </c>
      <c r="H18" s="48" t="s">
        <v>226</v>
      </c>
    </row>
    <row r="24" spans="2:8" x14ac:dyDescent="0.3">
      <c r="C24" t="s">
        <v>169</v>
      </c>
    </row>
    <row r="25" spans="2:8" x14ac:dyDescent="0.3">
      <c r="C25" t="s">
        <v>228</v>
      </c>
    </row>
    <row r="26" spans="2:8" x14ac:dyDescent="0.3">
      <c r="C26" t="s">
        <v>229</v>
      </c>
    </row>
    <row r="27" spans="2:8" x14ac:dyDescent="0.3">
      <c r="C27" t="s">
        <v>230</v>
      </c>
    </row>
    <row r="28" spans="2:8" x14ac:dyDescent="0.3">
      <c r="C28" t="s">
        <v>231</v>
      </c>
    </row>
    <row r="29" spans="2:8" x14ac:dyDescent="0.3">
      <c r="C29" t="s">
        <v>232</v>
      </c>
    </row>
    <row r="30" spans="2:8" x14ac:dyDescent="0.3">
      <c r="C30" t="s">
        <v>169</v>
      </c>
    </row>
    <row r="33" spans="3:11" x14ac:dyDescent="0.3">
      <c r="J33">
        <v>1</v>
      </c>
      <c r="K33">
        <v>2</v>
      </c>
    </row>
    <row r="34" spans="3:11" x14ac:dyDescent="0.3">
      <c r="C34" s="49" t="s">
        <v>239</v>
      </c>
      <c r="D34" s="48" t="s">
        <v>237</v>
      </c>
      <c r="E34" s="48" t="s">
        <v>242</v>
      </c>
      <c r="F34" s="48" t="s">
        <v>240</v>
      </c>
      <c r="G34" s="48" t="s">
        <v>241</v>
      </c>
      <c r="H34" s="48" t="s">
        <v>243</v>
      </c>
      <c r="J34" t="s">
        <v>195</v>
      </c>
      <c r="K34" t="s">
        <v>211</v>
      </c>
    </row>
    <row r="35" spans="3:11" x14ac:dyDescent="0.3">
      <c r="C35" s="47" t="s">
        <v>238</v>
      </c>
      <c r="D35" s="48" t="s">
        <v>170</v>
      </c>
      <c r="E35" s="48" t="s">
        <v>247</v>
      </c>
      <c r="F35" s="48" t="s">
        <v>249</v>
      </c>
      <c r="G35" s="48" t="s">
        <v>251</v>
      </c>
      <c r="H35" s="48"/>
    </row>
    <row r="36" spans="3:11" x14ac:dyDescent="0.3">
      <c r="C36" s="47"/>
      <c r="D36" s="48" t="s">
        <v>244</v>
      </c>
      <c r="E36" s="48" t="s">
        <v>248</v>
      </c>
      <c r="F36" s="48" t="s">
        <v>250</v>
      </c>
      <c r="G36" s="48" t="s">
        <v>252</v>
      </c>
      <c r="H36" s="48"/>
    </row>
    <row r="37" spans="3:11" x14ac:dyDescent="0.3">
      <c r="C37" s="47"/>
      <c r="D37" s="48" t="s">
        <v>245</v>
      </c>
      <c r="E37" s="48"/>
      <c r="F37" s="48"/>
      <c r="G37" s="48" t="s">
        <v>253</v>
      </c>
      <c r="H37" s="48"/>
    </row>
    <row r="38" spans="3:11" x14ac:dyDescent="0.3">
      <c r="C38" s="47"/>
      <c r="D38" s="48" t="s">
        <v>246</v>
      </c>
      <c r="E38" s="48"/>
      <c r="F38" s="48"/>
      <c r="G38" s="48" t="s">
        <v>253</v>
      </c>
      <c r="H38" s="48"/>
    </row>
    <row r="39" spans="3:11" x14ac:dyDescent="0.3">
      <c r="C39" s="47"/>
      <c r="D39" s="48"/>
      <c r="E39" s="48"/>
      <c r="F39" s="48"/>
      <c r="G39" s="48" t="s">
        <v>254</v>
      </c>
      <c r="H39" s="48"/>
    </row>
    <row r="40" spans="3:11" x14ac:dyDescent="0.3">
      <c r="C40" s="47"/>
      <c r="D40" s="48"/>
      <c r="E40" s="48"/>
      <c r="F40" s="48"/>
      <c r="G40" s="48" t="s">
        <v>255</v>
      </c>
      <c r="H40" s="48"/>
    </row>
    <row r="41" spans="3:11" x14ac:dyDescent="0.3">
      <c r="C41" s="47"/>
      <c r="D41" s="48"/>
      <c r="E41" s="48"/>
      <c r="F41" s="48"/>
      <c r="G41" s="48"/>
      <c r="H41" s="48"/>
    </row>
    <row r="43" spans="3:11" x14ac:dyDescent="0.3">
      <c r="C43" t="s">
        <v>256</v>
      </c>
    </row>
    <row r="44" spans="3:11" x14ac:dyDescent="0.3">
      <c r="C44" t="s">
        <v>172</v>
      </c>
      <c r="D44" t="s">
        <v>257</v>
      </c>
    </row>
    <row r="45" spans="3:11" x14ac:dyDescent="0.3">
      <c r="D45" t="s">
        <v>258</v>
      </c>
    </row>
    <row r="46" spans="3:11" x14ac:dyDescent="0.3">
      <c r="D46" t="s">
        <v>259</v>
      </c>
    </row>
    <row r="47" spans="3:11" x14ac:dyDescent="0.3">
      <c r="D47" t="s">
        <v>260</v>
      </c>
    </row>
    <row r="48" spans="3:11" x14ac:dyDescent="0.3">
      <c r="D48" t="s">
        <v>261</v>
      </c>
    </row>
    <row r="49" spans="3:4" x14ac:dyDescent="0.3">
      <c r="C49" t="s">
        <v>180</v>
      </c>
      <c r="D49" t="s">
        <v>262</v>
      </c>
    </row>
    <row r="50" spans="3:4" x14ac:dyDescent="0.3">
      <c r="D50" t="s">
        <v>263</v>
      </c>
    </row>
    <row r="51" spans="3:4" x14ac:dyDescent="0.3">
      <c r="D51" t="s">
        <v>264</v>
      </c>
    </row>
    <row r="52" spans="3:4" x14ac:dyDescent="0.3">
      <c r="D52" t="s">
        <v>267</v>
      </c>
    </row>
    <row r="53" spans="3:4" x14ac:dyDescent="0.3">
      <c r="D53" t="s">
        <v>265</v>
      </c>
    </row>
    <row r="54" spans="3:4" x14ac:dyDescent="0.3">
      <c r="D54" t="s">
        <v>266</v>
      </c>
    </row>
    <row r="55" spans="3:4" x14ac:dyDescent="0.3">
      <c r="D55" t="s">
        <v>268</v>
      </c>
    </row>
    <row r="56" spans="3:4" x14ac:dyDescent="0.3">
      <c r="D56" t="s">
        <v>269</v>
      </c>
    </row>
    <row r="57" spans="3:4" x14ac:dyDescent="0.3">
      <c r="D57" t="s">
        <v>270</v>
      </c>
    </row>
    <row r="58" spans="3:4" x14ac:dyDescent="0.3">
      <c r="D58" t="s">
        <v>272</v>
      </c>
    </row>
    <row r="59" spans="3:4" x14ac:dyDescent="0.3">
      <c r="D59" t="s">
        <v>281</v>
      </c>
    </row>
    <row r="60" spans="3:4" x14ac:dyDescent="0.3">
      <c r="C60" t="s">
        <v>195</v>
      </c>
      <c r="D60" t="s">
        <v>273</v>
      </c>
    </row>
    <row r="61" spans="3:4" x14ac:dyDescent="0.3">
      <c r="D61" t="s">
        <v>271</v>
      </c>
    </row>
    <row r="62" spans="3:4" x14ac:dyDescent="0.3">
      <c r="D62" t="s">
        <v>261</v>
      </c>
    </row>
    <row r="63" spans="3:4" x14ac:dyDescent="0.3">
      <c r="D63" t="s">
        <v>274</v>
      </c>
    </row>
    <row r="64" spans="3:4" x14ac:dyDescent="0.3">
      <c r="D64" t="s">
        <v>275</v>
      </c>
    </row>
    <row r="65" spans="3:4" x14ac:dyDescent="0.3">
      <c r="D65" t="s">
        <v>276</v>
      </c>
    </row>
    <row r="66" spans="3:4" x14ac:dyDescent="0.3">
      <c r="D66" t="s">
        <v>277</v>
      </c>
    </row>
    <row r="67" spans="3:4" x14ac:dyDescent="0.3">
      <c r="C67" t="s">
        <v>190</v>
      </c>
      <c r="D67" t="s">
        <v>278</v>
      </c>
    </row>
    <row r="68" spans="3:4" x14ac:dyDescent="0.3">
      <c r="D68" t="s">
        <v>279</v>
      </c>
    </row>
    <row r="69" spans="3:4" x14ac:dyDescent="0.3">
      <c r="D69" t="s">
        <v>280</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35"/>
  <sheetViews>
    <sheetView workbookViewId="0">
      <selection activeCell="C31" sqref="C31"/>
    </sheetView>
  </sheetViews>
  <sheetFormatPr defaultRowHeight="14.4" x14ac:dyDescent="0.3"/>
  <cols>
    <col min="2" max="2" width="3" bestFit="1" customWidth="1"/>
    <col min="3" max="3" width="155.21875" customWidth="1"/>
  </cols>
  <sheetData>
    <row r="2" spans="2:3" ht="15" customHeight="1" x14ac:dyDescent="0.3">
      <c r="B2" s="50">
        <v>1</v>
      </c>
      <c r="C2" s="52" t="s">
        <v>287</v>
      </c>
    </row>
    <row r="3" spans="2:3" x14ac:dyDescent="0.3">
      <c r="B3" s="50">
        <v>2</v>
      </c>
      <c r="C3" s="51" t="s">
        <v>288</v>
      </c>
    </row>
    <row r="4" spans="2:3" x14ac:dyDescent="0.3">
      <c r="B4" s="50">
        <v>3</v>
      </c>
      <c r="C4" s="50" t="s">
        <v>289</v>
      </c>
    </row>
    <row r="5" spans="2:3" x14ac:dyDescent="0.3">
      <c r="B5" s="50">
        <v>4</v>
      </c>
      <c r="C5" s="51" t="s">
        <v>290</v>
      </c>
    </row>
    <row r="6" spans="2:3" x14ac:dyDescent="0.3">
      <c r="B6" s="50">
        <v>5</v>
      </c>
      <c r="C6" s="50" t="s">
        <v>291</v>
      </c>
    </row>
    <row r="7" spans="2:3" x14ac:dyDescent="0.3">
      <c r="B7" s="50">
        <v>6</v>
      </c>
      <c r="C7" s="51" t="s">
        <v>292</v>
      </c>
    </row>
    <row r="8" spans="2:3" ht="72" x14ac:dyDescent="0.3">
      <c r="B8" s="50">
        <v>7</v>
      </c>
      <c r="C8" s="51" t="s">
        <v>293</v>
      </c>
    </row>
    <row r="9" spans="2:3" x14ac:dyDescent="0.3">
      <c r="B9" s="50">
        <v>8</v>
      </c>
      <c r="C9" s="50" t="s">
        <v>294</v>
      </c>
    </row>
    <row r="10" spans="2:3" x14ac:dyDescent="0.3">
      <c r="B10" s="50">
        <v>9</v>
      </c>
      <c r="C10" s="50" t="s">
        <v>295</v>
      </c>
    </row>
    <row r="11" spans="2:3" x14ac:dyDescent="0.3">
      <c r="B11" s="50">
        <v>10</v>
      </c>
      <c r="C11" s="50" t="s">
        <v>296</v>
      </c>
    </row>
    <row r="12" spans="2:3" x14ac:dyDescent="0.3">
      <c r="B12" s="50">
        <v>11</v>
      </c>
      <c r="C12" s="50" t="s">
        <v>297</v>
      </c>
    </row>
    <row r="13" spans="2:3" x14ac:dyDescent="0.3">
      <c r="B13" s="50">
        <v>12</v>
      </c>
      <c r="C13" s="50" t="s">
        <v>298</v>
      </c>
    </row>
    <row r="14" spans="2:3" x14ac:dyDescent="0.3">
      <c r="B14" s="50">
        <v>13</v>
      </c>
      <c r="C14" s="50" t="s">
        <v>299</v>
      </c>
    </row>
    <row r="15" spans="2:3" x14ac:dyDescent="0.3">
      <c r="B15" s="50">
        <v>14</v>
      </c>
      <c r="C15" s="50" t="s">
        <v>289</v>
      </c>
    </row>
    <row r="16" spans="2:3" x14ac:dyDescent="0.3">
      <c r="B16" s="50">
        <v>15</v>
      </c>
      <c r="C16" s="50" t="s">
        <v>301</v>
      </c>
    </row>
    <row r="17" spans="2:3" x14ac:dyDescent="0.3">
      <c r="B17" s="68">
        <v>16</v>
      </c>
      <c r="C17" s="55" t="s">
        <v>302</v>
      </c>
    </row>
    <row r="18" spans="2:3" x14ac:dyDescent="0.3">
      <c r="B18" s="54">
        <v>17</v>
      </c>
      <c r="C18" s="55" t="s">
        <v>303</v>
      </c>
    </row>
    <row r="19" spans="2:3" x14ac:dyDescent="0.3">
      <c r="B19" s="53">
        <v>18</v>
      </c>
      <c r="C19" s="50" t="s">
        <v>304</v>
      </c>
    </row>
    <row r="20" spans="2:3" x14ac:dyDescent="0.3">
      <c r="B20" s="54">
        <v>19</v>
      </c>
      <c r="C20" s="50" t="s">
        <v>340</v>
      </c>
    </row>
    <row r="21" spans="2:3" x14ac:dyDescent="0.3">
      <c r="B21" s="50">
        <v>20</v>
      </c>
      <c r="C21" s="50" t="s">
        <v>305</v>
      </c>
    </row>
    <row r="22" spans="2:3" x14ac:dyDescent="0.3">
      <c r="B22" s="54">
        <v>21</v>
      </c>
      <c r="C22" s="50" t="s">
        <v>304</v>
      </c>
    </row>
    <row r="23" spans="2:3" s="63" customFormat="1" ht="29.25" customHeight="1" x14ac:dyDescent="0.3">
      <c r="B23" s="62">
        <v>22</v>
      </c>
      <c r="C23" s="52" t="s">
        <v>332</v>
      </c>
    </row>
    <row r="24" spans="2:3" s="63" customFormat="1" ht="30.75" customHeight="1" x14ac:dyDescent="0.3">
      <c r="B24" s="64">
        <v>23</v>
      </c>
      <c r="C24" s="52" t="s">
        <v>333</v>
      </c>
    </row>
    <row r="25" spans="2:3" x14ac:dyDescent="0.3">
      <c r="B25" s="50">
        <v>24</v>
      </c>
      <c r="C25" s="50" t="s">
        <v>336</v>
      </c>
    </row>
    <row r="26" spans="2:3" x14ac:dyDescent="0.3">
      <c r="B26" s="54">
        <v>25</v>
      </c>
      <c r="C26" s="50" t="s">
        <v>334</v>
      </c>
    </row>
    <row r="27" spans="2:3" x14ac:dyDescent="0.3">
      <c r="B27" s="64">
        <v>26</v>
      </c>
      <c r="C27" s="50" t="s">
        <v>335</v>
      </c>
    </row>
    <row r="28" spans="2:3" x14ac:dyDescent="0.3">
      <c r="B28" s="54">
        <v>27</v>
      </c>
      <c r="C28" s="50" t="s">
        <v>337</v>
      </c>
    </row>
    <row r="29" spans="2:3" ht="43.2" x14ac:dyDescent="0.3">
      <c r="B29" s="67">
        <v>28</v>
      </c>
      <c r="C29" s="51" t="s">
        <v>338</v>
      </c>
    </row>
    <row r="30" spans="2:3" x14ac:dyDescent="0.3">
      <c r="B30" s="64">
        <v>29</v>
      </c>
      <c r="C30" s="50" t="s">
        <v>339</v>
      </c>
    </row>
    <row r="31" spans="2:3" ht="28.8" x14ac:dyDescent="0.3">
      <c r="B31" s="64">
        <v>30</v>
      </c>
      <c r="C31" s="51" t="s">
        <v>341</v>
      </c>
    </row>
    <row r="32" spans="2:3" x14ac:dyDescent="0.3">
      <c r="B32" s="64">
        <v>31</v>
      </c>
      <c r="C32" s="50" t="s">
        <v>342</v>
      </c>
    </row>
    <row r="33" spans="2:3" x14ac:dyDescent="0.3">
      <c r="B33" s="64">
        <v>32</v>
      </c>
      <c r="C33" s="50" t="s">
        <v>343</v>
      </c>
    </row>
    <row r="34" spans="2:3" ht="36.75" customHeight="1" x14ac:dyDescent="0.3">
      <c r="B34" s="64">
        <v>33</v>
      </c>
      <c r="C34" s="55" t="s">
        <v>344</v>
      </c>
    </row>
    <row r="35" spans="2:3" x14ac:dyDescent="0.3">
      <c r="B35" s="64">
        <v>34</v>
      </c>
      <c r="C35" s="50"/>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21875" defaultRowHeight="14.4" x14ac:dyDescent="0.3"/>
  <cols>
    <col min="1" max="1" width="9.21875" style="47"/>
    <col min="2" max="2" width="12.21875" style="47" customWidth="1"/>
    <col min="3" max="16384" width="9.21875" style="47"/>
  </cols>
  <sheetData>
    <row r="2" spans="1:12" x14ac:dyDescent="0.3">
      <c r="B2" s="56" t="s">
        <v>306</v>
      </c>
      <c r="C2" s="230"/>
      <c r="D2" s="230"/>
    </row>
    <row r="3" spans="1:12" x14ac:dyDescent="0.3">
      <c r="D3" s="57"/>
      <c r="E3" s="57"/>
      <c r="F3" s="57"/>
      <c r="G3" s="57"/>
      <c r="H3" s="57"/>
      <c r="I3" s="57"/>
    </row>
    <row r="4" spans="1:12" x14ac:dyDescent="0.3">
      <c r="A4" s="56" t="s">
        <v>66</v>
      </c>
      <c r="B4" s="58" t="s">
        <v>307</v>
      </c>
      <c r="C4" s="231" t="s">
        <v>308</v>
      </c>
      <c r="D4" s="231"/>
      <c r="E4" s="231"/>
      <c r="F4" s="58"/>
      <c r="G4" s="232" t="s">
        <v>309</v>
      </c>
      <c r="H4" s="232"/>
      <c r="I4" s="232"/>
      <c r="J4" s="233" t="s">
        <v>310</v>
      </c>
      <c r="K4" s="233"/>
      <c r="L4" s="233"/>
    </row>
    <row r="5" spans="1:12" x14ac:dyDescent="0.3">
      <c r="A5" s="56"/>
      <c r="B5" s="58"/>
      <c r="C5" s="58" t="s">
        <v>311</v>
      </c>
      <c r="D5" s="58" t="s">
        <v>312</v>
      </c>
      <c r="E5" s="58" t="s">
        <v>313</v>
      </c>
      <c r="F5" s="58"/>
      <c r="G5" s="58" t="s">
        <v>311</v>
      </c>
      <c r="H5" s="58" t="s">
        <v>312</v>
      </c>
      <c r="I5" s="58" t="s">
        <v>313</v>
      </c>
      <c r="J5" s="58" t="s">
        <v>311</v>
      </c>
      <c r="K5" s="58" t="s">
        <v>312</v>
      </c>
      <c r="L5" s="58" t="s">
        <v>313</v>
      </c>
    </row>
    <row r="6" spans="1:12" x14ac:dyDescent="0.3">
      <c r="B6" s="48" t="s">
        <v>314</v>
      </c>
      <c r="C6" s="48"/>
      <c r="D6" s="48"/>
      <c r="E6" s="48">
        <f>C6*D6</f>
        <v>0</v>
      </c>
      <c r="F6" s="48" t="s">
        <v>331</v>
      </c>
      <c r="G6" s="48"/>
      <c r="H6" s="48"/>
      <c r="I6" s="48">
        <f>G6*H6</f>
        <v>0</v>
      </c>
      <c r="J6" s="48"/>
      <c r="K6" s="48"/>
      <c r="L6" s="48">
        <f>J6*K6</f>
        <v>0</v>
      </c>
    </row>
    <row r="7" spans="1:12" x14ac:dyDescent="0.3">
      <c r="B7" s="48"/>
      <c r="C7" s="48"/>
      <c r="D7" s="48"/>
      <c r="E7" s="48">
        <f t="shared" ref="E7:E41" si="0">C7*D7</f>
        <v>0</v>
      </c>
      <c r="F7" s="48" t="s">
        <v>331</v>
      </c>
      <c r="G7" s="48"/>
      <c r="H7" s="48"/>
      <c r="I7" s="48">
        <f t="shared" ref="I7:I35" si="1">G7*H7</f>
        <v>0</v>
      </c>
      <c r="J7" s="48"/>
      <c r="K7" s="48"/>
      <c r="L7" s="48">
        <f t="shared" ref="L7:L35" si="2">J7*K7</f>
        <v>0</v>
      </c>
    </row>
    <row r="8" spans="1:12" x14ac:dyDescent="0.3">
      <c r="B8" s="48"/>
      <c r="C8" s="48"/>
      <c r="D8" s="48"/>
      <c r="E8" s="48">
        <f t="shared" si="0"/>
        <v>0</v>
      </c>
      <c r="F8" s="48"/>
      <c r="G8" s="48"/>
      <c r="H8" s="48"/>
      <c r="I8" s="48">
        <f t="shared" si="1"/>
        <v>0</v>
      </c>
      <c r="J8" s="48"/>
      <c r="K8" s="48"/>
      <c r="L8" s="48">
        <f t="shared" si="2"/>
        <v>0</v>
      </c>
    </row>
    <row r="9" spans="1:12" x14ac:dyDescent="0.3">
      <c r="B9" s="48"/>
      <c r="C9" s="48"/>
      <c r="D9" s="48"/>
      <c r="E9" s="48">
        <f t="shared" si="0"/>
        <v>0</v>
      </c>
      <c r="F9" s="48" t="s">
        <v>315</v>
      </c>
      <c r="G9" s="48"/>
      <c r="H9" s="48"/>
      <c r="I9" s="48">
        <f t="shared" si="1"/>
        <v>0</v>
      </c>
      <c r="J9" s="48"/>
      <c r="K9" s="48"/>
      <c r="L9" s="48">
        <f t="shared" si="2"/>
        <v>0</v>
      </c>
    </row>
    <row r="10" spans="1:12" x14ac:dyDescent="0.3">
      <c r="B10" s="48" t="s">
        <v>316</v>
      </c>
      <c r="C10" s="48"/>
      <c r="D10" s="48"/>
      <c r="E10" s="48">
        <f t="shared" si="0"/>
        <v>0</v>
      </c>
      <c r="F10" s="48" t="s">
        <v>315</v>
      </c>
      <c r="G10" s="48"/>
      <c r="H10" s="48"/>
      <c r="I10" s="48">
        <f t="shared" si="1"/>
        <v>0</v>
      </c>
      <c r="J10" s="48"/>
      <c r="K10" s="48"/>
      <c r="L10" s="48">
        <f t="shared" si="2"/>
        <v>0</v>
      </c>
    </row>
    <row r="11" spans="1:12" x14ac:dyDescent="0.3">
      <c r="B11" s="48"/>
      <c r="C11" s="48"/>
      <c r="D11" s="48"/>
      <c r="E11" s="48">
        <f t="shared" si="0"/>
        <v>0</v>
      </c>
      <c r="F11" s="48" t="s">
        <v>317</v>
      </c>
      <c r="G11" s="48"/>
      <c r="H11" s="48"/>
      <c r="I11" s="48">
        <f t="shared" si="1"/>
        <v>0</v>
      </c>
      <c r="J11" s="48"/>
      <c r="K11" s="48"/>
      <c r="L11" s="48">
        <f t="shared" si="2"/>
        <v>0</v>
      </c>
    </row>
    <row r="12" spans="1:12" x14ac:dyDescent="0.3">
      <c r="B12" s="48"/>
      <c r="C12" s="48"/>
      <c r="D12" s="48"/>
      <c r="E12" s="48">
        <f t="shared" si="0"/>
        <v>0</v>
      </c>
      <c r="F12" s="48"/>
      <c r="G12" s="48"/>
      <c r="H12" s="48"/>
      <c r="I12" s="48">
        <f t="shared" si="1"/>
        <v>0</v>
      </c>
      <c r="J12" s="48"/>
      <c r="K12" s="48"/>
      <c r="L12" s="48">
        <f t="shared" si="2"/>
        <v>0</v>
      </c>
    </row>
    <row r="13" spans="1:12" x14ac:dyDescent="0.3">
      <c r="B13" s="48"/>
      <c r="C13" s="48"/>
      <c r="D13" s="48"/>
      <c r="E13" s="48">
        <f t="shared" si="0"/>
        <v>0</v>
      </c>
      <c r="F13" s="48"/>
      <c r="G13" s="48"/>
      <c r="H13" s="48"/>
      <c r="I13" s="48">
        <f t="shared" si="1"/>
        <v>0</v>
      </c>
      <c r="J13" s="48"/>
      <c r="K13" s="48"/>
      <c r="L13" s="48">
        <f t="shared" si="2"/>
        <v>0</v>
      </c>
    </row>
    <row r="14" spans="1:12" x14ac:dyDescent="0.3">
      <c r="B14" s="48" t="s">
        <v>318</v>
      </c>
      <c r="C14" s="48"/>
      <c r="D14" s="48"/>
      <c r="E14" s="48">
        <f t="shared" si="0"/>
        <v>0</v>
      </c>
      <c r="F14" s="48" t="s">
        <v>315</v>
      </c>
      <c r="G14" s="48"/>
      <c r="H14" s="48"/>
      <c r="I14" s="48">
        <f t="shared" si="1"/>
        <v>0</v>
      </c>
      <c r="J14" s="48"/>
      <c r="K14" s="48"/>
      <c r="L14" s="48">
        <f t="shared" si="2"/>
        <v>0</v>
      </c>
    </row>
    <row r="15" spans="1:12" x14ac:dyDescent="0.3">
      <c r="B15" s="48"/>
      <c r="C15" s="48"/>
      <c r="D15" s="48"/>
      <c r="E15" s="48">
        <f t="shared" si="0"/>
        <v>0</v>
      </c>
      <c r="F15" s="48" t="s">
        <v>317</v>
      </c>
      <c r="G15" s="48"/>
      <c r="H15" s="48"/>
      <c r="I15" s="48">
        <f t="shared" si="1"/>
        <v>0</v>
      </c>
      <c r="J15" s="48"/>
      <c r="K15" s="48"/>
      <c r="L15" s="48">
        <f t="shared" si="2"/>
        <v>0</v>
      </c>
    </row>
    <row r="16" spans="1:12" x14ac:dyDescent="0.3">
      <c r="B16" s="48"/>
      <c r="C16" s="48"/>
      <c r="D16" s="48"/>
      <c r="E16" s="48">
        <f t="shared" si="0"/>
        <v>0</v>
      </c>
      <c r="F16" s="48"/>
      <c r="G16" s="48"/>
      <c r="H16" s="48"/>
      <c r="I16" s="48">
        <f t="shared" si="1"/>
        <v>0</v>
      </c>
      <c r="J16" s="48"/>
      <c r="K16" s="48"/>
      <c r="L16" s="48">
        <f t="shared" si="2"/>
        <v>0</v>
      </c>
    </row>
    <row r="17" spans="2:12" x14ac:dyDescent="0.3">
      <c r="B17" s="48"/>
      <c r="C17" s="48"/>
      <c r="D17" s="48"/>
      <c r="E17" s="48">
        <f t="shared" si="0"/>
        <v>0</v>
      </c>
      <c r="F17" s="48"/>
      <c r="G17" s="48"/>
      <c r="H17" s="48"/>
      <c r="I17" s="48">
        <f t="shared" si="1"/>
        <v>0</v>
      </c>
      <c r="J17" s="48"/>
      <c r="K17" s="48"/>
      <c r="L17" s="48">
        <f t="shared" si="2"/>
        <v>0</v>
      </c>
    </row>
    <row r="18" spans="2:12" x14ac:dyDescent="0.3">
      <c r="B18" s="48" t="s">
        <v>319</v>
      </c>
      <c r="C18" s="48"/>
      <c r="D18" s="48"/>
      <c r="E18" s="48">
        <f t="shared" si="0"/>
        <v>0</v>
      </c>
      <c r="F18" s="48" t="s">
        <v>315</v>
      </c>
      <c r="G18" s="48"/>
      <c r="H18" s="48"/>
      <c r="I18" s="48">
        <f t="shared" si="1"/>
        <v>0</v>
      </c>
      <c r="J18" s="48"/>
      <c r="K18" s="48"/>
      <c r="L18" s="48">
        <f t="shared" si="2"/>
        <v>0</v>
      </c>
    </row>
    <row r="19" spans="2:12" x14ac:dyDescent="0.3">
      <c r="B19" s="48"/>
      <c r="C19" s="48"/>
      <c r="D19" s="48"/>
      <c r="E19" s="48">
        <f t="shared" si="0"/>
        <v>0</v>
      </c>
      <c r="F19" s="48" t="s">
        <v>317</v>
      </c>
      <c r="G19" s="48"/>
      <c r="H19" s="48"/>
      <c r="I19" s="48">
        <f t="shared" si="1"/>
        <v>0</v>
      </c>
      <c r="J19" s="48"/>
      <c r="K19" s="48"/>
      <c r="L19" s="48">
        <f t="shared" si="2"/>
        <v>0</v>
      </c>
    </row>
    <row r="20" spans="2:12" x14ac:dyDescent="0.3">
      <c r="B20" s="48"/>
      <c r="C20" s="48"/>
      <c r="D20" s="48"/>
      <c r="E20" s="48">
        <f t="shared" si="0"/>
        <v>0</v>
      </c>
      <c r="F20" s="48"/>
      <c r="G20" s="48"/>
      <c r="H20" s="48"/>
      <c r="I20" s="48">
        <f t="shared" si="1"/>
        <v>0</v>
      </c>
      <c r="J20" s="48"/>
      <c r="K20" s="48"/>
      <c r="L20" s="48">
        <f t="shared" si="2"/>
        <v>0</v>
      </c>
    </row>
    <row r="21" spans="2:12" x14ac:dyDescent="0.3">
      <c r="B21" s="48" t="s">
        <v>320</v>
      </c>
      <c r="C21" s="48"/>
      <c r="D21" s="48"/>
      <c r="E21" s="48">
        <f t="shared" si="0"/>
        <v>0</v>
      </c>
      <c r="F21" s="48" t="s">
        <v>315</v>
      </c>
      <c r="G21" s="48"/>
      <c r="H21" s="48"/>
      <c r="I21" s="48">
        <f t="shared" si="1"/>
        <v>0</v>
      </c>
      <c r="J21" s="48"/>
      <c r="K21" s="48"/>
      <c r="L21" s="48">
        <f t="shared" si="2"/>
        <v>0</v>
      </c>
    </row>
    <row r="22" spans="2:12" x14ac:dyDescent="0.3">
      <c r="B22" s="48"/>
      <c r="C22" s="48"/>
      <c r="D22" s="48"/>
      <c r="E22" s="48">
        <f t="shared" si="0"/>
        <v>0</v>
      </c>
      <c r="F22" s="48" t="s">
        <v>317</v>
      </c>
      <c r="G22" s="48"/>
      <c r="H22" s="48"/>
      <c r="I22" s="48">
        <f t="shared" si="1"/>
        <v>0</v>
      </c>
      <c r="J22" s="48"/>
      <c r="K22" s="48"/>
      <c r="L22" s="48">
        <f t="shared" si="2"/>
        <v>0</v>
      </c>
    </row>
    <row r="23" spans="2:12" x14ac:dyDescent="0.3">
      <c r="B23" s="48"/>
      <c r="C23" s="48"/>
      <c r="D23" s="48"/>
      <c r="E23" s="48">
        <f t="shared" si="0"/>
        <v>0</v>
      </c>
      <c r="F23" s="48"/>
      <c r="G23" s="48"/>
      <c r="H23" s="48"/>
      <c r="I23" s="48">
        <f t="shared" si="1"/>
        <v>0</v>
      </c>
      <c r="J23" s="48"/>
      <c r="K23" s="48"/>
      <c r="L23" s="48">
        <f t="shared" si="2"/>
        <v>0</v>
      </c>
    </row>
    <row r="24" spans="2:12" x14ac:dyDescent="0.3">
      <c r="B24" s="48" t="s">
        <v>321</v>
      </c>
      <c r="C24" s="48"/>
      <c r="D24" s="48"/>
      <c r="E24" s="48">
        <f t="shared" si="0"/>
        <v>0</v>
      </c>
      <c r="F24" s="48" t="s">
        <v>322</v>
      </c>
      <c r="G24" s="48"/>
      <c r="H24" s="48"/>
      <c r="I24" s="48">
        <f t="shared" si="1"/>
        <v>0</v>
      </c>
      <c r="J24" s="48"/>
      <c r="K24" s="48"/>
      <c r="L24" s="48">
        <f t="shared" si="2"/>
        <v>0</v>
      </c>
    </row>
    <row r="25" spans="2:12" x14ac:dyDescent="0.3">
      <c r="B25" s="48"/>
      <c r="C25" s="48"/>
      <c r="D25" s="48"/>
      <c r="E25" s="48">
        <f t="shared" ref="E25:E27" si="3">C25*D25</f>
        <v>0</v>
      </c>
      <c r="F25" s="48" t="s">
        <v>322</v>
      </c>
      <c r="G25" s="48"/>
      <c r="H25" s="48"/>
      <c r="I25" s="48">
        <f t="shared" ref="I25:I27" si="4">G25*H25</f>
        <v>0</v>
      </c>
      <c r="J25" s="48"/>
      <c r="K25" s="48"/>
      <c r="L25" s="48">
        <f t="shared" ref="L25:L27" si="5">J25*K25</f>
        <v>0</v>
      </c>
    </row>
    <row r="26" spans="2:12" x14ac:dyDescent="0.3">
      <c r="B26" s="48"/>
      <c r="C26" s="48"/>
      <c r="D26" s="48"/>
      <c r="E26" s="48">
        <f t="shared" si="3"/>
        <v>0</v>
      </c>
      <c r="F26" s="48" t="s">
        <v>322</v>
      </c>
      <c r="G26" s="48"/>
      <c r="H26" s="48"/>
      <c r="I26" s="48">
        <f t="shared" si="4"/>
        <v>0</v>
      </c>
      <c r="J26" s="48"/>
      <c r="K26" s="48"/>
      <c r="L26" s="48">
        <f t="shared" si="5"/>
        <v>0</v>
      </c>
    </row>
    <row r="27" spans="2:12" x14ac:dyDescent="0.3">
      <c r="B27" s="48"/>
      <c r="C27" s="48"/>
      <c r="D27" s="48"/>
      <c r="E27" s="48">
        <f t="shared" si="3"/>
        <v>0</v>
      </c>
      <c r="F27" s="48" t="s">
        <v>322</v>
      </c>
      <c r="G27" s="48"/>
      <c r="H27" s="48"/>
      <c r="I27" s="48">
        <f t="shared" si="4"/>
        <v>0</v>
      </c>
      <c r="J27" s="48"/>
      <c r="K27" s="48"/>
      <c r="L27" s="48">
        <f t="shared" si="5"/>
        <v>0</v>
      </c>
    </row>
    <row r="28" spans="2:12" x14ac:dyDescent="0.3">
      <c r="B28" s="48" t="s">
        <v>323</v>
      </c>
      <c r="C28" s="48"/>
      <c r="D28" s="48"/>
      <c r="E28" s="48">
        <f t="shared" si="0"/>
        <v>0</v>
      </c>
      <c r="F28" s="48" t="s">
        <v>322</v>
      </c>
      <c r="G28" s="48"/>
      <c r="H28" s="48"/>
      <c r="I28" s="48">
        <f t="shared" si="1"/>
        <v>0</v>
      </c>
      <c r="J28" s="48"/>
      <c r="K28" s="48"/>
      <c r="L28" s="48">
        <f t="shared" si="2"/>
        <v>0</v>
      </c>
    </row>
    <row r="29" spans="2:12" x14ac:dyDescent="0.3">
      <c r="B29" s="48" t="s">
        <v>324</v>
      </c>
      <c r="C29" s="48"/>
      <c r="D29" s="48"/>
      <c r="E29" s="48">
        <f t="shared" si="0"/>
        <v>0</v>
      </c>
      <c r="F29" s="48" t="s">
        <v>322</v>
      </c>
      <c r="G29" s="48"/>
      <c r="H29" s="48"/>
      <c r="I29" s="48">
        <f t="shared" si="1"/>
        <v>0</v>
      </c>
      <c r="J29" s="48"/>
      <c r="K29" s="48"/>
      <c r="L29" s="48">
        <f t="shared" si="2"/>
        <v>0</v>
      </c>
    </row>
    <row r="30" spans="2:12" x14ac:dyDescent="0.3">
      <c r="B30" s="48" t="s">
        <v>328</v>
      </c>
      <c r="C30" s="48"/>
      <c r="D30" s="48"/>
      <c r="E30" s="48">
        <f t="shared" si="0"/>
        <v>0</v>
      </c>
      <c r="F30" s="48"/>
      <c r="G30" s="48"/>
      <c r="H30" s="48"/>
      <c r="I30" s="48">
        <f t="shared" si="1"/>
        <v>0</v>
      </c>
      <c r="J30" s="48"/>
      <c r="K30" s="48"/>
      <c r="L30" s="48">
        <f t="shared" si="2"/>
        <v>0</v>
      </c>
    </row>
    <row r="31" spans="2:12" x14ac:dyDescent="0.3">
      <c r="B31" s="48"/>
      <c r="C31" s="48"/>
      <c r="D31" s="48"/>
      <c r="E31" s="48">
        <f t="shared" ref="E31:E32" si="6">C31*D31</f>
        <v>0</v>
      </c>
      <c r="F31" s="48"/>
      <c r="G31" s="48"/>
      <c r="H31" s="48"/>
      <c r="I31" s="48">
        <f t="shared" ref="I31:I32" si="7">G31*H31</f>
        <v>0</v>
      </c>
      <c r="J31" s="48"/>
      <c r="K31" s="48"/>
      <c r="L31" s="48">
        <f t="shared" ref="L31:L32" si="8">J31*K31</f>
        <v>0</v>
      </c>
    </row>
    <row r="32" spans="2:12" x14ac:dyDescent="0.3">
      <c r="B32" s="48"/>
      <c r="C32" s="48"/>
      <c r="D32" s="48"/>
      <c r="E32" s="48">
        <f t="shared" si="6"/>
        <v>0</v>
      </c>
      <c r="F32" s="48"/>
      <c r="G32" s="48"/>
      <c r="H32" s="48"/>
      <c r="I32" s="48">
        <f t="shared" si="7"/>
        <v>0</v>
      </c>
      <c r="J32" s="48"/>
      <c r="K32" s="48"/>
      <c r="L32" s="48">
        <f t="shared" si="8"/>
        <v>0</v>
      </c>
    </row>
    <row r="33" spans="2:12" x14ac:dyDescent="0.3">
      <c r="B33" s="48" t="s">
        <v>325</v>
      </c>
      <c r="C33" s="48"/>
      <c r="D33" s="48"/>
      <c r="E33" s="48">
        <f t="shared" si="0"/>
        <v>0</v>
      </c>
      <c r="F33" s="48"/>
      <c r="G33" s="48"/>
      <c r="H33" s="48"/>
      <c r="I33" s="48">
        <f t="shared" si="1"/>
        <v>0</v>
      </c>
      <c r="J33" s="48"/>
      <c r="K33" s="48"/>
      <c r="L33" s="48">
        <f t="shared" si="2"/>
        <v>0</v>
      </c>
    </row>
    <row r="34" spans="2:12" x14ac:dyDescent="0.3">
      <c r="B34" s="48" t="s">
        <v>329</v>
      </c>
      <c r="C34" s="48"/>
      <c r="D34" s="48"/>
      <c r="E34" s="48">
        <f t="shared" si="0"/>
        <v>0</v>
      </c>
      <c r="F34" s="48"/>
      <c r="G34" s="48"/>
      <c r="H34" s="48"/>
      <c r="I34" s="48">
        <f t="shared" si="1"/>
        <v>0</v>
      </c>
      <c r="J34" s="48"/>
      <c r="K34" s="48"/>
      <c r="L34" s="48">
        <f t="shared" si="2"/>
        <v>0</v>
      </c>
    </row>
    <row r="35" spans="2:12" x14ac:dyDescent="0.3">
      <c r="B35" s="48" t="s">
        <v>326</v>
      </c>
      <c r="C35" s="48"/>
      <c r="D35" s="48"/>
      <c r="E35" s="48">
        <f t="shared" si="0"/>
        <v>0</v>
      </c>
      <c r="F35" s="48"/>
      <c r="G35" s="48"/>
      <c r="H35" s="48"/>
      <c r="I35" s="48">
        <f t="shared" si="1"/>
        <v>0</v>
      </c>
      <c r="J35" s="48"/>
      <c r="K35" s="48"/>
      <c r="L35" s="48">
        <f t="shared" si="2"/>
        <v>0</v>
      </c>
    </row>
    <row r="36" spans="2:12" x14ac:dyDescent="0.3">
      <c r="B36" s="48" t="s">
        <v>327</v>
      </c>
      <c r="C36" s="48"/>
      <c r="D36" s="48"/>
      <c r="E36" s="48">
        <f t="shared" si="0"/>
        <v>0</v>
      </c>
      <c r="F36" s="48"/>
      <c r="G36" s="48"/>
      <c r="H36" s="48"/>
      <c r="I36" s="48">
        <f>G36*H36</f>
        <v>0</v>
      </c>
      <c r="J36" s="48"/>
      <c r="K36" s="48"/>
      <c r="L36" s="48">
        <f>J36*K36</f>
        <v>0</v>
      </c>
    </row>
    <row r="37" spans="2:12" x14ac:dyDescent="0.3">
      <c r="B37" s="48"/>
      <c r="C37" s="48"/>
      <c r="D37" s="48"/>
      <c r="E37" s="48">
        <f t="shared" ref="E37:E38" si="9">C37*D37</f>
        <v>0</v>
      </c>
      <c r="F37" s="48"/>
      <c r="G37" s="48"/>
      <c r="H37" s="48"/>
      <c r="I37" s="48">
        <f t="shared" ref="I37:I38" si="10">G37*H37</f>
        <v>0</v>
      </c>
      <c r="J37" s="48"/>
      <c r="K37" s="48"/>
      <c r="L37" s="48">
        <f t="shared" ref="L37:L38" si="11">J37*K37</f>
        <v>0</v>
      </c>
    </row>
    <row r="38" spans="2:12" x14ac:dyDescent="0.3">
      <c r="B38" s="48" t="s">
        <v>330</v>
      </c>
      <c r="C38" s="48"/>
      <c r="D38" s="48"/>
      <c r="E38" s="48">
        <f t="shared" si="9"/>
        <v>0</v>
      </c>
      <c r="F38" s="48"/>
      <c r="G38" s="48"/>
      <c r="H38" s="48"/>
      <c r="I38" s="48">
        <f t="shared" si="10"/>
        <v>0</v>
      </c>
      <c r="J38" s="48"/>
      <c r="K38" s="48"/>
      <c r="L38" s="48">
        <f t="shared" si="11"/>
        <v>0</v>
      </c>
    </row>
    <row r="39" spans="2:12" x14ac:dyDescent="0.3">
      <c r="B39" s="48"/>
      <c r="C39" s="48"/>
      <c r="D39" s="48"/>
      <c r="E39" s="48">
        <f t="shared" si="0"/>
        <v>0</v>
      </c>
      <c r="F39" s="48"/>
      <c r="G39" s="48"/>
      <c r="H39" s="48"/>
      <c r="I39" s="48">
        <f>G39*H39</f>
        <v>0</v>
      </c>
      <c r="J39" s="48"/>
      <c r="K39" s="48"/>
      <c r="L39" s="48">
        <f>J39*K39</f>
        <v>0</v>
      </c>
    </row>
    <row r="40" spans="2:12" x14ac:dyDescent="0.3">
      <c r="B40" s="48"/>
      <c r="C40" s="48"/>
      <c r="D40" s="48"/>
      <c r="E40" s="48">
        <f t="shared" si="0"/>
        <v>0</v>
      </c>
      <c r="F40" s="48"/>
      <c r="G40" s="48"/>
      <c r="H40" s="48"/>
      <c r="I40" s="48">
        <f>G40*H40</f>
        <v>0</v>
      </c>
      <c r="J40" s="48"/>
      <c r="K40" s="48"/>
      <c r="L40" s="48">
        <f>J40*K40</f>
        <v>0</v>
      </c>
    </row>
    <row r="41" spans="2:12" x14ac:dyDescent="0.3">
      <c r="B41" s="48"/>
      <c r="C41" s="48"/>
      <c r="D41" s="48"/>
      <c r="E41" s="48">
        <f t="shared" si="0"/>
        <v>0</v>
      </c>
      <c r="F41" s="48"/>
      <c r="G41" s="48"/>
      <c r="H41" s="48"/>
      <c r="I41" s="48">
        <f>G41*H41</f>
        <v>0</v>
      </c>
      <c r="J41" s="48"/>
      <c r="K41" s="48"/>
      <c r="L41" s="48">
        <f>J41*K41</f>
        <v>0</v>
      </c>
    </row>
    <row r="42" spans="2:12" x14ac:dyDescent="0.3">
      <c r="B42" s="48" t="s">
        <v>149</v>
      </c>
      <c r="C42" s="48"/>
      <c r="D42" s="48">
        <f>E42*10.764</f>
        <v>0</v>
      </c>
      <c r="E42" s="61">
        <f>SUM(E6:E41)</f>
        <v>0</v>
      </c>
      <c r="F42" s="48"/>
      <c r="G42" s="48"/>
      <c r="H42" s="48">
        <f>I42*10.764</f>
        <v>0</v>
      </c>
      <c r="I42" s="60">
        <f>SUM(I6:I41)</f>
        <v>0</v>
      </c>
      <c r="J42" s="48"/>
      <c r="K42" s="48">
        <f>L42*10.764</f>
        <v>0</v>
      </c>
      <c r="L42" s="59">
        <f>SUM(L6:L41)</f>
        <v>0</v>
      </c>
    </row>
    <row r="44" spans="2:12" x14ac:dyDescent="0.3">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2025-09-29T12:07:34Z</cp:lastPrinted>
  <dcterms:created xsi:type="dcterms:W3CDTF">2019-07-16T09:29:46Z</dcterms:created>
  <dcterms:modified xsi:type="dcterms:W3CDTF">2025-09-29T12:11:30Z</dcterms:modified>
</cp:coreProperties>
</file>