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8EE25F08-E2A5-4A6B-9B63-A904A4147345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AXIS" sheetId="7" r:id="rId2"/>
    <sheet name="Flat detail" sheetId="3" r:id="rId3"/>
    <sheet name="valuation" sheetId="5" r:id="rId4"/>
    <sheet name="Note" sheetId="4" r:id="rId5"/>
  </sheets>
  <definedNames>
    <definedName name="_xlnm.Print_Area" localSheetId="0">Report!$A$1:$H$412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2" i="1" l="1"/>
  <c r="K101" i="1"/>
  <c r="K100" i="1"/>
  <c r="K99" i="1"/>
  <c r="L252" i="1" l="1"/>
  <c r="M252" i="1"/>
  <c r="L251" i="1"/>
  <c r="M251" i="1" s="1"/>
  <c r="R252" i="1"/>
  <c r="R251" i="1"/>
  <c r="Q251" i="1"/>
  <c r="K251" i="1"/>
  <c r="K246" i="1"/>
  <c r="G172" i="1" l="1"/>
  <c r="E3" i="1" l="1"/>
  <c r="I238" i="1" l="1"/>
  <c r="E234" i="1"/>
  <c r="G210" i="1" l="1"/>
  <c r="G204" i="1"/>
  <c r="F6" i="5" l="1"/>
  <c r="F7" i="5"/>
  <c r="F8" i="5"/>
  <c r="F9" i="5"/>
  <c r="F5" i="5"/>
  <c r="C133" i="1" l="1"/>
  <c r="C119" i="1"/>
  <c r="D215" i="1"/>
  <c r="F215" i="1" s="1"/>
  <c r="D214" i="1"/>
  <c r="F214" i="1" s="1"/>
  <c r="D213" i="1"/>
  <c r="F213" i="1" s="1"/>
  <c r="D212" i="1"/>
  <c r="F212" i="1" s="1"/>
  <c r="D211" i="1"/>
  <c r="F211" i="1" s="1"/>
  <c r="P210" i="1"/>
  <c r="P211" i="1" s="1"/>
  <c r="P212" i="1" s="1"/>
  <c r="P213" i="1" s="1"/>
  <c r="O210" i="1"/>
  <c r="O211" i="1" s="1"/>
  <c r="D210" i="1"/>
  <c r="F210" i="1" s="1"/>
  <c r="D207" i="1"/>
  <c r="F207" i="1" s="1"/>
  <c r="D206" i="1"/>
  <c r="F206" i="1" s="1"/>
  <c r="D205" i="1"/>
  <c r="F205" i="1" s="1"/>
  <c r="P204" i="1"/>
  <c r="P205" i="1" s="1"/>
  <c r="P206" i="1" s="1"/>
  <c r="P207" i="1" s="1"/>
  <c r="O204" i="1"/>
  <c r="D204" i="1"/>
  <c r="F204" i="1" s="1"/>
  <c r="P214" i="1"/>
  <c r="O214" i="1"/>
  <c r="G167" i="1" l="1"/>
  <c r="G168" i="1"/>
  <c r="C168" i="1"/>
  <c r="N210" i="1"/>
  <c r="E167" i="1"/>
  <c r="N204" i="1"/>
  <c r="E168" i="1"/>
  <c r="C167" i="1"/>
  <c r="O215" i="1"/>
  <c r="N214" i="1"/>
  <c r="P215" i="1"/>
  <c r="O212" i="1"/>
  <c r="N211" i="1"/>
  <c r="O205" i="1"/>
  <c r="D303" i="1"/>
  <c r="D306" i="1"/>
  <c r="F306" i="1" s="1"/>
  <c r="D305" i="1"/>
  <c r="F305" i="1" s="1"/>
  <c r="D304" i="1"/>
  <c r="F304" i="1" s="1"/>
  <c r="D291" i="1"/>
  <c r="D290" i="1"/>
  <c r="E299" i="1"/>
  <c r="J299" i="1" s="1"/>
  <c r="E298" i="1"/>
  <c r="E297" i="1"/>
  <c r="E293" i="1"/>
  <c r="E296" i="1"/>
  <c r="D300" i="1"/>
  <c r="J300" i="1" s="1"/>
  <c r="D299" i="1"/>
  <c r="D298" i="1"/>
  <c r="D297" i="1"/>
  <c r="D296" i="1"/>
  <c r="E294" i="1"/>
  <c r="E292" i="1"/>
  <c r="E291" i="1"/>
  <c r="E290" i="1"/>
  <c r="D293" i="1"/>
  <c r="D294" i="1"/>
  <c r="D292" i="1"/>
  <c r="D288" i="1"/>
  <c r="J288" i="1" s="1"/>
  <c r="D287" i="1"/>
  <c r="E283" i="1"/>
  <c r="E282" i="1"/>
  <c r="E280" i="1"/>
  <c r="E278" i="1"/>
  <c r="E277" i="1"/>
  <c r="D283" i="1"/>
  <c r="D282" i="1"/>
  <c r="D279" i="1"/>
  <c r="J279" i="1" s="1"/>
  <c r="D280" i="1"/>
  <c r="D281" i="1"/>
  <c r="J281" i="1" s="1"/>
  <c r="D278" i="1"/>
  <c r="D277" i="1"/>
  <c r="E275" i="1"/>
  <c r="E274" i="1"/>
  <c r="E272" i="1"/>
  <c r="E270" i="1"/>
  <c r="E271" i="1"/>
  <c r="E269" i="1"/>
  <c r="D275" i="1"/>
  <c r="D274" i="1"/>
  <c r="D273" i="1"/>
  <c r="J273" i="1" s="1"/>
  <c r="D272" i="1"/>
  <c r="D271" i="1"/>
  <c r="D270" i="1"/>
  <c r="D269" i="1"/>
  <c r="D267" i="1"/>
  <c r="J267" i="1" s="1"/>
  <c r="D266" i="1"/>
  <c r="E263" i="1"/>
  <c r="E262" i="1"/>
  <c r="E259" i="1"/>
  <c r="E258" i="1"/>
  <c r="D263" i="1"/>
  <c r="D262" i="1"/>
  <c r="D261" i="1"/>
  <c r="J261" i="1" s="1"/>
  <c r="D260" i="1"/>
  <c r="J260" i="1" s="1"/>
  <c r="D259" i="1"/>
  <c r="D258" i="1"/>
  <c r="E256" i="1"/>
  <c r="E255" i="1"/>
  <c r="E253" i="1"/>
  <c r="E252" i="1"/>
  <c r="E251" i="1"/>
  <c r="D256" i="1"/>
  <c r="D255" i="1"/>
  <c r="D254" i="1"/>
  <c r="J254" i="1" s="1"/>
  <c r="D253" i="1"/>
  <c r="D252" i="1"/>
  <c r="D251" i="1"/>
  <c r="D249" i="1"/>
  <c r="D248" i="1"/>
  <c r="D247" i="1"/>
  <c r="J247" i="1" s="1"/>
  <c r="D246" i="1"/>
  <c r="L246" i="1" s="1"/>
  <c r="E243" i="1"/>
  <c r="E242" i="1"/>
  <c r="E241" i="1"/>
  <c r="E240" i="1"/>
  <c r="E239" i="1"/>
  <c r="E237" i="1"/>
  <c r="D243" i="1"/>
  <c r="D242" i="1"/>
  <c r="D241" i="1"/>
  <c r="D240" i="1"/>
  <c r="D239" i="1"/>
  <c r="D238" i="1"/>
  <c r="J238" i="1" s="1"/>
  <c r="D237" i="1"/>
  <c r="E235" i="1"/>
  <c r="E233" i="1"/>
  <c r="E232" i="1"/>
  <c r="E231" i="1"/>
  <c r="E230" i="1"/>
  <c r="E229" i="1"/>
  <c r="E227" i="1"/>
  <c r="E226" i="1"/>
  <c r="E225" i="1"/>
  <c r="E224" i="1"/>
  <c r="E223" i="1"/>
  <c r="E222" i="1"/>
  <c r="E221" i="1"/>
  <c r="D235" i="1"/>
  <c r="D234" i="1"/>
  <c r="D233" i="1"/>
  <c r="D232" i="1"/>
  <c r="D231" i="1"/>
  <c r="D230" i="1"/>
  <c r="G229" i="1"/>
  <c r="D229" i="1"/>
  <c r="D227" i="1"/>
  <c r="D226" i="1"/>
  <c r="D225" i="1"/>
  <c r="D224" i="1"/>
  <c r="D223" i="1"/>
  <c r="D222" i="1"/>
  <c r="D221" i="1"/>
  <c r="G303" i="1"/>
  <c r="G287" i="1"/>
  <c r="G296" i="1"/>
  <c r="G290" i="1"/>
  <c r="G277" i="1"/>
  <c r="G258" i="1"/>
  <c r="G237" i="1"/>
  <c r="G269" i="1"/>
  <c r="G251" i="1"/>
  <c r="A267" i="1"/>
  <c r="G266" i="1"/>
  <c r="A247" i="1"/>
  <c r="A248" i="1" s="1"/>
  <c r="A249" i="1" s="1"/>
  <c r="G246" i="1"/>
  <c r="D200" i="1"/>
  <c r="F200" i="1" s="1"/>
  <c r="D199" i="1"/>
  <c r="F199" i="1" s="1"/>
  <c r="D198" i="1"/>
  <c r="F198" i="1" s="1"/>
  <c r="D197" i="1"/>
  <c r="F197" i="1" s="1"/>
  <c r="D196" i="1"/>
  <c r="F196" i="1" s="1"/>
  <c r="D195" i="1"/>
  <c r="F195" i="1" s="1"/>
  <c r="D194" i="1"/>
  <c r="F194" i="1" s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O290" i="1"/>
  <c r="O303" i="1"/>
  <c r="O287" i="1"/>
  <c r="P237" i="1"/>
  <c r="O258" i="1"/>
  <c r="P303" i="1"/>
  <c r="P251" i="1"/>
  <c r="O251" i="1"/>
  <c r="P258" i="1"/>
  <c r="O237" i="1"/>
  <c r="P269" i="1"/>
  <c r="O229" i="1"/>
  <c r="P287" i="1"/>
  <c r="P277" i="1"/>
  <c r="P229" i="1"/>
  <c r="O269" i="1"/>
  <c r="P296" i="1"/>
  <c r="P290" i="1"/>
  <c r="O296" i="1"/>
  <c r="O277" i="1"/>
  <c r="I251" i="1" l="1"/>
  <c r="J259" i="1"/>
  <c r="J242" i="1"/>
  <c r="J255" i="1"/>
  <c r="J274" i="1"/>
  <c r="J237" i="1"/>
  <c r="J269" i="1"/>
  <c r="J291" i="1"/>
  <c r="J239" i="1"/>
  <c r="J252" i="1"/>
  <c r="J271" i="1"/>
  <c r="J293" i="1"/>
  <c r="J256" i="1"/>
  <c r="E172" i="1"/>
  <c r="J243" i="1"/>
  <c r="J275" i="1"/>
  <c r="J277" i="1"/>
  <c r="J251" i="1"/>
  <c r="J282" i="1"/>
  <c r="J296" i="1"/>
  <c r="J240" i="1"/>
  <c r="C173" i="1"/>
  <c r="J246" i="1"/>
  <c r="J253" i="1"/>
  <c r="J263" i="1"/>
  <c r="J270" i="1"/>
  <c r="J278" i="1"/>
  <c r="J287" i="1"/>
  <c r="C175" i="1"/>
  <c r="J294" i="1"/>
  <c r="J297" i="1"/>
  <c r="C176" i="1"/>
  <c r="F303" i="1"/>
  <c r="G176" i="1" s="1"/>
  <c r="I248" i="1"/>
  <c r="J248" i="1"/>
  <c r="C172" i="1"/>
  <c r="I249" i="1"/>
  <c r="J249" i="1"/>
  <c r="J262" i="1"/>
  <c r="J283" i="1"/>
  <c r="J292" i="1"/>
  <c r="J241" i="1"/>
  <c r="J258" i="1"/>
  <c r="C174" i="1"/>
  <c r="J266" i="1"/>
  <c r="J272" i="1"/>
  <c r="J280" i="1"/>
  <c r="J290" i="1"/>
  <c r="J298" i="1"/>
  <c r="C166" i="1"/>
  <c r="C169" i="1" s="1"/>
  <c r="E166" i="1"/>
  <c r="E169" i="1" s="1"/>
  <c r="I299" i="1"/>
  <c r="N215" i="1"/>
  <c r="O213" i="1"/>
  <c r="N213" i="1" s="1"/>
  <c r="N212" i="1"/>
  <c r="E173" i="1"/>
  <c r="E175" i="1"/>
  <c r="E174" i="1"/>
  <c r="E176" i="1"/>
  <c r="N205" i="1"/>
  <c r="O206" i="1"/>
  <c r="O230" i="1"/>
  <c r="N229" i="1"/>
  <c r="P230" i="1"/>
  <c r="P231" i="1" s="1"/>
  <c r="P232" i="1" s="1"/>
  <c r="P233" i="1" s="1"/>
  <c r="P234" i="1" s="1"/>
  <c r="P235" i="1" s="1"/>
  <c r="N303" i="1"/>
  <c r="O304" i="1"/>
  <c r="P304" i="1"/>
  <c r="P305" i="1" s="1"/>
  <c r="P306" i="1" s="1"/>
  <c r="P288" i="1"/>
  <c r="N287" i="1"/>
  <c r="O288" i="1"/>
  <c r="N290" i="1"/>
  <c r="A290" i="1" s="1"/>
  <c r="O291" i="1"/>
  <c r="P291" i="1"/>
  <c r="P292" i="1" s="1"/>
  <c r="P293" i="1" s="1"/>
  <c r="P294" i="1" s="1"/>
  <c r="N296" i="1"/>
  <c r="A296" i="1" s="1"/>
  <c r="O297" i="1"/>
  <c r="P297" i="1"/>
  <c r="P298" i="1" s="1"/>
  <c r="P299" i="1" s="1"/>
  <c r="P300" i="1" s="1"/>
  <c r="N277" i="1"/>
  <c r="A277" i="1" s="1"/>
  <c r="O278" i="1"/>
  <c r="P278" i="1"/>
  <c r="P279" i="1" s="1"/>
  <c r="P280" i="1" s="1"/>
  <c r="P281" i="1" s="1"/>
  <c r="P282" i="1" s="1"/>
  <c r="P283" i="1" s="1"/>
  <c r="P259" i="1"/>
  <c r="P260" i="1" s="1"/>
  <c r="P261" i="1" s="1"/>
  <c r="P262" i="1" s="1"/>
  <c r="P263" i="1" s="1"/>
  <c r="N258" i="1"/>
  <c r="A258" i="1" s="1"/>
  <c r="O259" i="1"/>
  <c r="P238" i="1"/>
  <c r="P239" i="1" s="1"/>
  <c r="P240" i="1" s="1"/>
  <c r="P241" i="1" s="1"/>
  <c r="P242" i="1" s="1"/>
  <c r="P243" i="1" s="1"/>
  <c r="N237" i="1"/>
  <c r="A237" i="1" s="1"/>
  <c r="O238" i="1"/>
  <c r="P270" i="1"/>
  <c r="P271" i="1" s="1"/>
  <c r="P272" i="1" s="1"/>
  <c r="P273" i="1" s="1"/>
  <c r="P274" i="1" s="1"/>
  <c r="P275" i="1" s="1"/>
  <c r="N269" i="1"/>
  <c r="A269" i="1" s="1"/>
  <c r="O270" i="1"/>
  <c r="N251" i="1"/>
  <c r="A251" i="1" s="1"/>
  <c r="O252" i="1"/>
  <c r="P252" i="1"/>
  <c r="P253" i="1" s="1"/>
  <c r="P254" i="1" s="1"/>
  <c r="P255" i="1" s="1"/>
  <c r="P256" i="1" s="1"/>
  <c r="A309" i="1"/>
  <c r="A310" i="1" s="1"/>
  <c r="A311" i="1" s="1"/>
  <c r="A312" i="1" s="1"/>
  <c r="A313" i="1" s="1"/>
  <c r="A314" i="1" s="1"/>
  <c r="A315" i="1" s="1"/>
  <c r="C177" i="1" l="1"/>
  <c r="G175" i="1"/>
  <c r="G174" i="1"/>
  <c r="G173" i="1"/>
  <c r="E177" i="1"/>
  <c r="N206" i="1"/>
  <c r="O207" i="1"/>
  <c r="N207" i="1" s="1"/>
  <c r="O231" i="1"/>
  <c r="N230" i="1"/>
  <c r="O305" i="1"/>
  <c r="N304" i="1"/>
  <c r="N288" i="1"/>
  <c r="N291" i="1"/>
  <c r="A291" i="1" s="1"/>
  <c r="O292" i="1"/>
  <c r="N297" i="1"/>
  <c r="A297" i="1" s="1"/>
  <c r="O298" i="1"/>
  <c r="N278" i="1"/>
  <c r="A278" i="1" s="1"/>
  <c r="O279" i="1"/>
  <c r="O260" i="1"/>
  <c r="N259" i="1"/>
  <c r="A259" i="1" s="1"/>
  <c r="O239" i="1"/>
  <c r="N238" i="1"/>
  <c r="A238" i="1" s="1"/>
  <c r="O271" i="1"/>
  <c r="N270" i="1"/>
  <c r="A270" i="1" s="1"/>
  <c r="N252" i="1"/>
  <c r="A252" i="1" s="1"/>
  <c r="O253" i="1"/>
  <c r="P221" i="1"/>
  <c r="O221" i="1"/>
  <c r="O232" i="1" l="1"/>
  <c r="N231" i="1"/>
  <c r="N305" i="1"/>
  <c r="O306" i="1"/>
  <c r="N292" i="1"/>
  <c r="A292" i="1" s="1"/>
  <c r="O293" i="1"/>
  <c r="N298" i="1"/>
  <c r="A298" i="1" s="1"/>
  <c r="O299" i="1"/>
  <c r="N279" i="1"/>
  <c r="A279" i="1" s="1"/>
  <c r="O280" i="1"/>
  <c r="N260" i="1"/>
  <c r="A260" i="1" s="1"/>
  <c r="O261" i="1"/>
  <c r="N239" i="1"/>
  <c r="A239" i="1" s="1"/>
  <c r="O240" i="1"/>
  <c r="N271" i="1"/>
  <c r="A271" i="1" s="1"/>
  <c r="O272" i="1"/>
  <c r="N253" i="1"/>
  <c r="A253" i="1" s="1"/>
  <c r="O254" i="1"/>
  <c r="N221" i="1"/>
  <c r="C105" i="1"/>
  <c r="C77" i="1"/>
  <c r="H106" i="1"/>
  <c r="H64" i="1"/>
  <c r="H78" i="1"/>
  <c r="O233" i="1" l="1"/>
  <c r="N232" i="1"/>
  <c r="N306" i="1"/>
  <c r="N293" i="1"/>
  <c r="A293" i="1" s="1"/>
  <c r="O294" i="1"/>
  <c r="N299" i="1"/>
  <c r="A299" i="1" s="1"/>
  <c r="O300" i="1"/>
  <c r="N280" i="1"/>
  <c r="A280" i="1" s="1"/>
  <c r="O281" i="1"/>
  <c r="N261" i="1"/>
  <c r="A261" i="1" s="1"/>
  <c r="O262" i="1"/>
  <c r="O241" i="1"/>
  <c r="N240" i="1"/>
  <c r="A240" i="1" s="1"/>
  <c r="O273" i="1"/>
  <c r="N272" i="1"/>
  <c r="A272" i="1" s="1"/>
  <c r="N254" i="1"/>
  <c r="A254" i="1" s="1"/>
  <c r="O255" i="1"/>
  <c r="D118" i="1"/>
  <c r="D111" i="1"/>
  <c r="D117" i="1"/>
  <c r="D115" i="1"/>
  <c r="D116" i="1"/>
  <c r="D114" i="1"/>
  <c r="D113" i="1"/>
  <c r="D112" i="1"/>
  <c r="D89" i="1"/>
  <c r="D88" i="1"/>
  <c r="D87" i="1"/>
  <c r="D86" i="1"/>
  <c r="D83" i="1"/>
  <c r="D85" i="1"/>
  <c r="D84" i="1"/>
  <c r="D90" i="1"/>
  <c r="D69" i="1"/>
  <c r="K108" i="1"/>
  <c r="K110" i="1"/>
  <c r="C109" i="1" s="1"/>
  <c r="K109" i="1"/>
  <c r="K111" i="1"/>
  <c r="K112" i="1" s="1"/>
  <c r="K82" i="1"/>
  <c r="C81" i="1" s="1"/>
  <c r="D81" i="1" s="1"/>
  <c r="K81" i="1"/>
  <c r="K83" i="1"/>
  <c r="K84" i="1" s="1"/>
  <c r="K85" i="1" s="1"/>
  <c r="K86" i="1" s="1"/>
  <c r="K87" i="1" s="1"/>
  <c r="K88" i="1" s="1"/>
  <c r="K80" i="1"/>
  <c r="D76" i="1"/>
  <c r="D72" i="1"/>
  <c r="K68" i="1"/>
  <c r="C67" i="1" s="1"/>
  <c r="D75" i="1"/>
  <c r="D71" i="1"/>
  <c r="K67" i="1"/>
  <c r="D74" i="1"/>
  <c r="D70" i="1"/>
  <c r="K66" i="1"/>
  <c r="K69" i="1"/>
  <c r="K70" i="1" s="1"/>
  <c r="D73" i="1"/>
  <c r="H120" i="1"/>
  <c r="H134" i="1"/>
  <c r="K137" i="1" l="1"/>
  <c r="D146" i="1"/>
  <c r="D144" i="1"/>
  <c r="D142" i="1"/>
  <c r="D140" i="1"/>
  <c r="K138" i="1"/>
  <c r="K136" i="1"/>
  <c r="D145" i="1"/>
  <c r="D141" i="1"/>
  <c r="K139" i="1"/>
  <c r="K140" i="1" s="1"/>
  <c r="D143" i="1"/>
  <c r="D139" i="1"/>
  <c r="K123" i="1"/>
  <c r="D132" i="1"/>
  <c r="D130" i="1"/>
  <c r="D128" i="1"/>
  <c r="D126" i="1"/>
  <c r="K124" i="1"/>
  <c r="K122" i="1"/>
  <c r="K125" i="1"/>
  <c r="K126" i="1" s="1"/>
  <c r="D131" i="1"/>
  <c r="D129" i="1"/>
  <c r="D127" i="1"/>
  <c r="D125" i="1"/>
  <c r="N233" i="1"/>
  <c r="O234" i="1"/>
  <c r="N294" i="1"/>
  <c r="A294" i="1" s="1"/>
  <c r="N300" i="1"/>
  <c r="A300" i="1" s="1"/>
  <c r="N281" i="1"/>
  <c r="A281" i="1" s="1"/>
  <c r="O282" i="1"/>
  <c r="N262" i="1"/>
  <c r="A262" i="1" s="1"/>
  <c r="O263" i="1"/>
  <c r="N263" i="1" s="1"/>
  <c r="A263" i="1" s="1"/>
  <c r="N241" i="1"/>
  <c r="A241" i="1" s="1"/>
  <c r="O242" i="1"/>
  <c r="N273" i="1"/>
  <c r="A273" i="1" s="1"/>
  <c r="O274" i="1"/>
  <c r="N255" i="1"/>
  <c r="A255" i="1" s="1"/>
  <c r="O256" i="1"/>
  <c r="D109" i="1"/>
  <c r="D67" i="1"/>
  <c r="K113" i="1"/>
  <c r="K114" i="1" s="1"/>
  <c r="K115" i="1" s="1"/>
  <c r="K116" i="1" s="1"/>
  <c r="K89" i="1"/>
  <c r="K90" i="1" s="1"/>
  <c r="D82" i="1" s="1"/>
  <c r="K71" i="1"/>
  <c r="K72" i="1" s="1"/>
  <c r="K73" i="1" s="1"/>
  <c r="K74" i="1" s="1"/>
  <c r="H92" i="1"/>
  <c r="D104" i="1" l="1"/>
  <c r="D98" i="1"/>
  <c r="K97" i="1"/>
  <c r="K98" i="1" s="1"/>
  <c r="K103" i="1" s="1"/>
  <c r="K104" i="1" s="1"/>
  <c r="D103" i="1"/>
  <c r="D97" i="1"/>
  <c r="K96" i="1"/>
  <c r="C95" i="1" s="1"/>
  <c r="D96" i="1"/>
  <c r="K95" i="1"/>
  <c r="D102" i="1"/>
  <c r="D101" i="1"/>
  <c r="D100" i="1"/>
  <c r="D99" i="1"/>
  <c r="K94" i="1"/>
  <c r="C123" i="1"/>
  <c r="D123" i="1" s="1"/>
  <c r="K141" i="1"/>
  <c r="K142" i="1" s="1"/>
  <c r="K143" i="1" s="1"/>
  <c r="K144" i="1" s="1"/>
  <c r="D137" i="1"/>
  <c r="K127" i="1"/>
  <c r="K128" i="1" s="1"/>
  <c r="K129" i="1" s="1"/>
  <c r="K130" i="1" s="1"/>
  <c r="O235" i="1"/>
  <c r="N235" i="1" s="1"/>
  <c r="N234" i="1"/>
  <c r="N282" i="1"/>
  <c r="A282" i="1" s="1"/>
  <c r="O283" i="1"/>
  <c r="N283" i="1" s="1"/>
  <c r="A283" i="1" s="1"/>
  <c r="O243" i="1"/>
  <c r="N243" i="1" s="1"/>
  <c r="A243" i="1" s="1"/>
  <c r="N242" i="1"/>
  <c r="A242" i="1" s="1"/>
  <c r="N274" i="1"/>
  <c r="A274" i="1" s="1"/>
  <c r="O275" i="1"/>
  <c r="N275" i="1" s="1"/>
  <c r="A275" i="1" s="1"/>
  <c r="N256" i="1"/>
  <c r="A256" i="1" s="1"/>
  <c r="G81" i="1"/>
  <c r="I77" i="1"/>
  <c r="C79" i="1" s="1"/>
  <c r="E81" i="1" s="1"/>
  <c r="K117" i="1"/>
  <c r="K75" i="1"/>
  <c r="E12" i="7"/>
  <c r="C12" i="7"/>
  <c r="E27" i="7"/>
  <c r="C27" i="7"/>
  <c r="G95" i="1" l="1"/>
  <c r="D95" i="1"/>
  <c r="I91" i="1" s="1"/>
  <c r="C93" i="1" s="1"/>
  <c r="E95" i="1" s="1"/>
  <c r="K145" i="1"/>
  <c r="K146" i="1" s="1"/>
  <c r="D138" i="1" s="1"/>
  <c r="K131" i="1"/>
  <c r="K118" i="1"/>
  <c r="K76" i="1"/>
  <c r="F10" i="7"/>
  <c r="F8" i="7"/>
  <c r="F7" i="7"/>
  <c r="F5" i="7"/>
  <c r="F9" i="7" s="1"/>
  <c r="K132" i="1" l="1"/>
  <c r="I119" i="1" s="1"/>
  <c r="E123" i="1" s="1"/>
  <c r="I133" i="1"/>
  <c r="C135" i="1" s="1"/>
  <c r="E137" i="1" s="1"/>
  <c r="G137" i="1"/>
  <c r="D110" i="1"/>
  <c r="G109" i="1"/>
  <c r="G67" i="1"/>
  <c r="F11" i="7"/>
  <c r="I11" i="7" s="1"/>
  <c r="I10" i="7"/>
  <c r="I9" i="7"/>
  <c r="I8" i="7"/>
  <c r="H7" i="7"/>
  <c r="I6" i="7"/>
  <c r="H6" i="7"/>
  <c r="I5" i="7"/>
  <c r="I4" i="7"/>
  <c r="E44" i="7"/>
  <c r="C44" i="7"/>
  <c r="F43" i="7"/>
  <c r="I43" i="7" s="1"/>
  <c r="F42" i="7"/>
  <c r="I42" i="7" s="1"/>
  <c r="F40" i="7"/>
  <c r="I40" i="7" s="1"/>
  <c r="F38" i="7"/>
  <c r="I38" i="7" s="1"/>
  <c r="F37" i="7"/>
  <c r="I37" i="7" s="1"/>
  <c r="I36" i="7"/>
  <c r="H36" i="7"/>
  <c r="B36" i="7" s="1"/>
  <c r="F35" i="7"/>
  <c r="F39" i="7" s="1"/>
  <c r="I39" i="7" s="1"/>
  <c r="I34" i="7"/>
  <c r="F26" i="7"/>
  <c r="I26" i="7" s="1"/>
  <c r="F25" i="7"/>
  <c r="I25" i="7" s="1"/>
  <c r="F22" i="7"/>
  <c r="I22" i="7" s="1"/>
  <c r="F23" i="7"/>
  <c r="I23" i="7" s="1"/>
  <c r="F20" i="7"/>
  <c r="I20" i="7" s="1"/>
  <c r="I19" i="7"/>
  <c r="H19" i="7"/>
  <c r="B19" i="7" s="1"/>
  <c r="F18" i="7"/>
  <c r="F21" i="7" s="1"/>
  <c r="I17" i="7"/>
  <c r="D124" i="1" l="1"/>
  <c r="G123" i="1"/>
  <c r="D62" i="1"/>
  <c r="F147" i="1"/>
  <c r="I105" i="1"/>
  <c r="C107" i="1" s="1"/>
  <c r="E109" i="1" s="1"/>
  <c r="D68" i="1"/>
  <c r="I63" i="1"/>
  <c r="C65" i="1" s="1"/>
  <c r="E67" i="1" s="1"/>
  <c r="H40" i="7"/>
  <c r="F41" i="7"/>
  <c r="I41" i="7" s="1"/>
  <c r="I7" i="7"/>
  <c r="I12" i="7" s="1"/>
  <c r="H8" i="7"/>
  <c r="H35" i="7"/>
  <c r="I35" i="7"/>
  <c r="D35" i="7" s="1"/>
  <c r="D36" i="7" s="1"/>
  <c r="D37" i="7" s="1"/>
  <c r="D38" i="7" s="1"/>
  <c r="D39" i="7" s="1"/>
  <c r="D40" i="7" s="1"/>
  <c r="H11" i="7"/>
  <c r="H9" i="7"/>
  <c r="H5" i="7"/>
  <c r="H10" i="7"/>
  <c r="H43" i="7"/>
  <c r="H38" i="7"/>
  <c r="H39" i="7"/>
  <c r="H37" i="7"/>
  <c r="B37" i="7" s="1"/>
  <c r="H42" i="7"/>
  <c r="F24" i="7"/>
  <c r="H25" i="7"/>
  <c r="H21" i="7"/>
  <c r="I21" i="7"/>
  <c r="H23" i="7"/>
  <c r="H20" i="7"/>
  <c r="B20" i="7" s="1"/>
  <c r="H18" i="7"/>
  <c r="H22" i="7"/>
  <c r="I18" i="7"/>
  <c r="D18" i="7" s="1"/>
  <c r="D19" i="7" s="1"/>
  <c r="D20" i="7" s="1"/>
  <c r="H26" i="7"/>
  <c r="B21" i="7" l="1"/>
  <c r="B22" i="7" s="1"/>
  <c r="B23" i="7" s="1"/>
  <c r="D41" i="7"/>
  <c r="D42" i="7" s="1"/>
  <c r="D21" i="7"/>
  <c r="D22" i="7" s="1"/>
  <c r="D23" i="7" s="1"/>
  <c r="H41" i="7"/>
  <c r="H44" i="7" s="1"/>
  <c r="B38" i="7"/>
  <c r="B39" i="7" s="1"/>
  <c r="B40" i="7" s="1"/>
  <c r="I44" i="7"/>
  <c r="H12" i="7"/>
  <c r="H24" i="7"/>
  <c r="I24" i="7"/>
  <c r="I27" i="7" s="1"/>
  <c r="B41" i="7" l="1"/>
  <c r="B42" i="7" s="1"/>
  <c r="D24" i="7"/>
  <c r="D25" i="7" s="1"/>
  <c r="B24" i="7"/>
  <c r="B25" i="7" s="1"/>
  <c r="H27" i="7"/>
  <c r="C13" i="1" l="1"/>
  <c r="E40" i="1" l="1"/>
  <c r="E41" i="1" s="1"/>
  <c r="G221" i="1" l="1"/>
  <c r="G185" i="1"/>
  <c r="A186" i="1"/>
  <c r="A187" i="1" s="1"/>
  <c r="A188" i="1" s="1"/>
  <c r="A189" i="1" s="1"/>
  <c r="A190" i="1" s="1"/>
  <c r="D60" i="1"/>
  <c r="G166" i="1" l="1"/>
  <c r="G169" i="1" s="1"/>
  <c r="G177" i="1"/>
  <c r="A191" i="1"/>
  <c r="A192" i="1" s="1"/>
  <c r="A193" i="1" s="1"/>
  <c r="A194" i="1" s="1"/>
  <c r="A195" i="1" s="1"/>
  <c r="A196" i="1" s="1"/>
  <c r="A197" i="1" s="1"/>
  <c r="A198" i="1" s="1"/>
  <c r="A199" i="1" s="1"/>
  <c r="A200" i="1" s="1"/>
  <c r="O222" i="1"/>
  <c r="P222" i="1" l="1"/>
  <c r="P223" i="1" s="1"/>
  <c r="P224" i="1" s="1"/>
  <c r="P225" i="1" s="1"/>
  <c r="P226" i="1" s="1"/>
  <c r="P227" i="1" s="1"/>
  <c r="O223" i="1"/>
  <c r="E24" i="1"/>
  <c r="E22" i="1"/>
  <c r="N223" i="1" l="1"/>
  <c r="N222" i="1"/>
  <c r="O224" i="1"/>
  <c r="N224" i="1" s="1"/>
  <c r="G6" i="5"/>
  <c r="G7" i="5"/>
  <c r="G8" i="5"/>
  <c r="G9" i="5"/>
  <c r="G5" i="5"/>
  <c r="O225" i="1" l="1"/>
  <c r="N225" i="1" s="1"/>
  <c r="G10" i="5"/>
  <c r="O226" i="1" l="1"/>
  <c r="N226" i="1" l="1"/>
  <c r="O227" i="1"/>
  <c r="N227" i="1" s="1"/>
  <c r="E7" i="1" l="1"/>
  <c r="D327" i="1" l="1"/>
  <c r="F163" i="1"/>
  <c r="C46" i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F4" authorId="0" shapeId="0" xr:uid="{00000000-0006-0000-0100-000001000000}">
      <text>
        <r>
          <rPr>
            <sz val="10"/>
            <rFont val="Arial"/>
            <family val="2"/>
          </rPr>
          <t>No of habitable floors</t>
        </r>
      </text>
    </comment>
    <comment ref="F6" authorId="0" shapeId="0" xr:uid="{00000000-0006-0000-0100-000002000000}">
      <text>
        <r>
          <rPr>
            <sz val="10"/>
            <rFont val="Arial"/>
            <family val="2"/>
          </rPr>
          <t>No of RCC slabs including podiums</t>
        </r>
      </text>
    </comment>
    <comment ref="G6" authorId="0" shapeId="0" xr:uid="{00000000-0006-0000-0100-000003000000}">
      <text>
        <r>
          <rPr>
            <sz val="10"/>
            <rFont val="Arial"/>
            <family val="2"/>
          </rPr>
          <t>No of constructed RCC slabs including podium</t>
        </r>
      </text>
    </comment>
    <comment ref="F17" authorId="0" shapeId="0" xr:uid="{00000000-0006-0000-0100-000004000000}">
      <text>
        <r>
          <rPr>
            <sz val="10"/>
            <rFont val="Arial"/>
            <family val="2"/>
          </rPr>
          <t>No of habitable floors</t>
        </r>
      </text>
    </comment>
    <comment ref="F19" authorId="0" shapeId="0" xr:uid="{00000000-0006-0000-0100-000005000000}">
      <text>
        <r>
          <rPr>
            <sz val="10"/>
            <rFont val="Arial"/>
            <family val="2"/>
          </rPr>
          <t>No of RCC slabs including podiums</t>
        </r>
      </text>
    </comment>
    <comment ref="G19" authorId="0" shapeId="0" xr:uid="{00000000-0006-0000-0100-000006000000}">
      <text>
        <r>
          <rPr>
            <sz val="10"/>
            <rFont val="Arial"/>
            <family val="2"/>
          </rPr>
          <t>No of constructed RCC slabs including podium</t>
        </r>
      </text>
    </comment>
    <comment ref="F34" authorId="0" shapeId="0" xr:uid="{00000000-0006-0000-0100-000007000000}">
      <text>
        <r>
          <rPr>
            <sz val="10"/>
            <rFont val="Arial"/>
            <family val="2"/>
          </rPr>
          <t>No of habitable floors</t>
        </r>
      </text>
    </comment>
    <comment ref="F36" authorId="0" shapeId="0" xr:uid="{00000000-0006-0000-0100-000008000000}">
      <text>
        <r>
          <rPr>
            <sz val="10"/>
            <rFont val="Arial"/>
            <family val="2"/>
          </rPr>
          <t>No of RCC slabs including podiums</t>
        </r>
      </text>
    </comment>
    <comment ref="G36" authorId="0" shapeId="0" xr:uid="{00000000-0006-0000-0100-000009000000}">
      <text>
        <r>
          <rPr>
            <sz val="10"/>
            <rFont val="Arial"/>
            <family val="2"/>
          </rPr>
          <t>No of constructed RCC slabs including podium</t>
        </r>
      </text>
    </comment>
  </commentList>
</comments>
</file>

<file path=xl/sharedStrings.xml><?xml version="1.0" encoding="utf-8"?>
<sst xmlns="http://schemas.openxmlformats.org/spreadsheetml/2006/main" count="699" uniqueCount="280">
  <si>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</si>
  <si>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</si>
  <si>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</si>
  <si>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</si>
  <si>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</si>
  <si>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</si>
  <si>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</si>
  <si>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</si>
  <si>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</si>
  <si>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</si>
  <si>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</si>
  <si>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</si>
  <si>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</si>
  <si>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</si>
  <si>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</si>
  <si>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</si>
  <si>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</si>
  <si>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</si>
  <si>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</si>
  <si>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</si>
  <si>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</si>
  <si>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</si>
  <si>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</si>
  <si>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</si>
  <si>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</si>
  <si>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</si>
  <si>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</si>
  <si>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</si>
  <si>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</si>
  <si>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</si>
  <si>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</si>
  <si>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</si>
  <si>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</si>
  <si>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</si>
  <si>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</si>
  <si>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</si>
  <si>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</si>
  <si>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</si>
  <si>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</si>
  <si>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</si>
  <si>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</si>
  <si>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</si>
  <si>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</si>
  <si>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</si>
  <si>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</si>
  <si>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</si>
  <si>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</si>
  <si>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</si>
  <si>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</si>
  <si>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</si>
  <si>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</si>
  <si>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</si>
  <si>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</si>
  <si>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</si>
  <si>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</si>
  <si>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</si>
  <si>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</si>
  <si>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</si>
  <si>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</si>
  <si>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</si>
  <si>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</si>
  <si>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</si>
  <si>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</si>
  <si>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</si>
  <si>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</si>
  <si>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</si>
  <si>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</si>
  <si>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</si>
  <si>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</si>
  <si>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</si>
  <si>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</si>
  <si>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</si>
  <si>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</si>
  <si>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</si>
  <si>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</si>
  <si>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</si>
  <si>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</si>
  <si>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</si>
  <si>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</si>
  <si>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</si>
  <si>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</si>
  <si>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</si>
  <si>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</si>
  <si>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</si>
  <si>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</si>
  <si>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</si>
  <si>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</si>
  <si>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</si>
  <si>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</si>
  <si>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</si>
  <si>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</si>
  <si>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</si>
  <si>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</si>
  <si>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</si>
  <si>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</si>
  <si>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</si>
  <si>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</si>
  <si>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</si>
  <si>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</si>
  <si>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</si>
  <si>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</si>
  <si>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</si>
  <si>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</si>
  <si>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</si>
  <si>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</si>
  <si>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</si>
  <si>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</si>
  <si>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</si>
  <si>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</si>
  <si>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</si>
  <si>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</si>
  <si>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</si>
  <si>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</si>
  <si>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</si>
  <si>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</si>
  <si>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</si>
  <si>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</si>
  <si>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</si>
  <si>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</si>
  <si>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</si>
  <si>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</si>
  <si>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</si>
  <si>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</si>
  <si>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</si>
  <si>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</si>
  <si>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</si>
  <si>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</si>
  <si>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</si>
  <si>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</si>
  <si>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</si>
  <si>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</si>
  <si>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</si>
  <si>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</si>
  <si>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</si>
  <si>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</si>
  <si>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</si>
  <si>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</si>
  <si>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</si>
  <si>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</si>
  <si>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</si>
  <si>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</si>
  <si>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</si>
  <si>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</si>
  <si>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</si>
  <si>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</si>
  <si>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</si>
  <si>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</si>
  <si>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</si>
  <si>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Average</t>
  </si>
  <si>
    <t xml:space="preserve">Valuation Adopted </t>
  </si>
  <si>
    <t>Saleable Area</t>
  </si>
  <si>
    <t>Rate on Saleable</t>
  </si>
  <si>
    <t>All work Completed. Provide OC.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</si>
  <si>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</si>
  <si>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</si>
  <si>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</si>
  <si>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</si>
  <si>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</si>
  <si>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</si>
  <si>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</si>
  <si>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</si>
  <si>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</si>
  <si>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</si>
  <si>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</si>
  <si>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</si>
  <si>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Stage calculator as per Revised Valuation Manual</t>
  </si>
  <si>
    <t>Completed</t>
  </si>
  <si>
    <t>Net completed</t>
  </si>
  <si>
    <t>Recommended</t>
  </si>
  <si>
    <t>Net recommended</t>
  </si>
  <si>
    <t>No of floors in building</t>
  </si>
  <si>
    <t>No of constructed floors</t>
  </si>
  <si>
    <t>Completed (%)</t>
  </si>
  <si>
    <t>Recommended (%)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</si>
  <si>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</si>
  <si>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</si>
  <si>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</si>
  <si>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</si>
  <si>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</si>
  <si>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</si>
  <si>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</si>
  <si>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Final Stage (%)</t>
  </si>
  <si>
    <t>Ext. Plaster &amp; Plumbing</t>
  </si>
  <si>
    <t>Brickwork</t>
  </si>
  <si>
    <t>Internal Plaster</t>
  </si>
  <si>
    <t>Painting &amp; Wooden</t>
  </si>
  <si>
    <t>ASMITA recommendation</t>
  </si>
  <si>
    <t>Actual Stage Provided by AXIS Bank</t>
  </si>
  <si>
    <t>Split % by Asmita ---OK By Ajinkya</t>
  </si>
  <si>
    <t>Slab/Floor</t>
  </si>
  <si>
    <t>Construction details:</t>
  </si>
  <si>
    <t>Piling Work in process</t>
  </si>
  <si>
    <t>Basement</t>
  </si>
  <si>
    <t>Basement 1</t>
  </si>
  <si>
    <t>Basement 2</t>
  </si>
  <si>
    <t>Basement 3</t>
  </si>
  <si>
    <t>Building Common Amenities &amp; Painting</t>
  </si>
  <si>
    <t>Basement 4</t>
  </si>
  <si>
    <t>Building No.1</t>
  </si>
  <si>
    <t>A Wing</t>
  </si>
  <si>
    <t>Shop</t>
  </si>
  <si>
    <t>B Wing</t>
  </si>
  <si>
    <t>Ground Floor for Residential &amp; Parking</t>
  </si>
  <si>
    <t>Ground Floor for Commercial &amp; Parking</t>
  </si>
  <si>
    <t>1BHK</t>
  </si>
  <si>
    <t>1RK</t>
  </si>
  <si>
    <t>C Wing</t>
  </si>
  <si>
    <t>1st &amp; 3rd Floor</t>
  </si>
  <si>
    <t>2BHK</t>
  </si>
  <si>
    <t>2nd &amp; 4th Floor</t>
  </si>
  <si>
    <t>D Wing</t>
  </si>
  <si>
    <t>E Wing</t>
  </si>
  <si>
    <t>101 to 401</t>
  </si>
  <si>
    <t>103 to 401</t>
  </si>
  <si>
    <t>104 to 401</t>
  </si>
  <si>
    <t>102 to 402</t>
  </si>
  <si>
    <t>3rd Floor</t>
  </si>
  <si>
    <t>1st to 4th Floor</t>
  </si>
  <si>
    <t xml:space="preserve">B Wing </t>
  </si>
  <si>
    <t>Building No.2</t>
  </si>
  <si>
    <t>1st Floor</t>
  </si>
  <si>
    <t>Flats - 124, Shops - 26</t>
  </si>
  <si>
    <t>Axis Sanpada</t>
  </si>
  <si>
    <t>M/s.Shree Sai Home Makers</t>
  </si>
  <si>
    <t>K K Residency</t>
  </si>
  <si>
    <t>9029756271/9702474661</t>
  </si>
  <si>
    <t>Building No.1(A, B &amp; C Wing)
Building No.2(D &amp; E Wing)</t>
  </si>
  <si>
    <t xml:space="preserve">P52000027162
</t>
  </si>
  <si>
    <t>377, 378/A, 382/A, 382/B, 389, 390/A, 390/B, 391/A, 391/B, 92/A, 393, 394, 395/A, 395/B, 397/A, 397/B, 398/A, 398/B, 399, 586/A &amp; 586/B</t>
  </si>
  <si>
    <t>Koproli</t>
  </si>
  <si>
    <t>Village</t>
  </si>
  <si>
    <t>Raigad</t>
  </si>
  <si>
    <t>Panvel</t>
  </si>
  <si>
    <t>CIDCO/NAINA/Panvel/Koproli/BP-00511/CC/2020/0025</t>
  </si>
  <si>
    <t>07/02/2020.</t>
  </si>
  <si>
    <t>05 Building</t>
  </si>
  <si>
    <t xml:space="preserve">Valid Up to: Building No.1 (Wing A to C) = Gr/St + 4th Floor 
 Building No.2 (Wing D &amp; E) = Gr/St + 4th Floor </t>
  </si>
  <si>
    <t>Panvel Matheran Road</t>
  </si>
  <si>
    <t>Open Plot</t>
  </si>
  <si>
    <t>Building</t>
  </si>
  <si>
    <t>Commanders Renaissance</t>
  </si>
  <si>
    <t>5.5Km from Panvel Railway Station</t>
  </si>
  <si>
    <t xml:space="preserve">B Wing = Gr/St + 4th Floor </t>
  </si>
  <si>
    <t xml:space="preserve">RCC </t>
  </si>
  <si>
    <t>As per RERA - 31/03/2026.</t>
  </si>
  <si>
    <t>housing.</t>
  </si>
  <si>
    <t>Legal  Charges</t>
  </si>
  <si>
    <t>Society  Charges</t>
  </si>
  <si>
    <t>We considered Gross carpet area = Net carpet + Enclose balcony.</t>
  </si>
  <si>
    <t>Approved Plans, CC, Sale Plans, Cost Sheet</t>
  </si>
  <si>
    <t>CTS No</t>
  </si>
  <si>
    <t>Builder Saleable area</t>
  </si>
  <si>
    <t>10,000/-</t>
  </si>
  <si>
    <t>Gym Charges</t>
  </si>
  <si>
    <t>Saleable area</t>
  </si>
  <si>
    <t xml:space="preserve">Building No.1 - Wing A to C = Gr/St + 4th Floor 
Building No.2 - Wing D &amp; E(EWS) = Gr/St + 4th Floor </t>
  </si>
  <si>
    <t xml:space="preserve">E Wing (EWS) = Gr/St + 4th Floor </t>
  </si>
  <si>
    <t>E Wing (EWS)</t>
  </si>
  <si>
    <t>We considered  Saleable area Shop as per our calculation &amp; Flat area as per builder area sheet.</t>
  </si>
  <si>
    <t>Latitude &amp; Longitude</t>
  </si>
  <si>
    <t>Location Link</t>
  </si>
  <si>
    <t>https://goo.gl/maps/Fx8mkSBKLem1WqyW6</t>
  </si>
  <si>
    <t>Ravindra</t>
  </si>
  <si>
    <t>4000 to 4700</t>
  </si>
  <si>
    <t>smith pal</t>
  </si>
  <si>
    <t>Cost sheet</t>
  </si>
  <si>
    <t>Office No. 1031, Wing J, Akshar Business Park, Plot No. 03 Sector 25, Near APMC Market,
Vashi, Navi Mumbai, Maharashtra 400703 TEL: 022-46090378/79/8
E mail : vsjcapf@gmail.com. Web site : www.vsjadon.com</t>
  </si>
  <si>
    <t>4700 to 5000 by smith on 31/01/2025.Index II on mail</t>
  </si>
  <si>
    <t>Recommended Rates/Other Charges of the Property have been revised on 31/01/2025.</t>
  </si>
  <si>
    <t xml:space="preserve">Building No. 1 A Wing = Gr/St + 4th Floor </t>
  </si>
  <si>
    <t xml:space="preserve">Building No. 1 B Wing = Gr/St + 4th Floor </t>
  </si>
  <si>
    <t xml:space="preserve">Building No. 1 A &amp; B Wing = Gr/St + 4th Floor </t>
  </si>
  <si>
    <t xml:space="preserve">Building No. 1 C Wing = Gr/St + 4th Floor </t>
  </si>
  <si>
    <t xml:space="preserve">Building No. 2 D &amp; E Wing = Gr/St + 4th Floor </t>
  </si>
  <si>
    <t>19.011921,73.1578487</t>
  </si>
  <si>
    <t xml:space="preserve">Excavation work completed, Plinth work is process </t>
  </si>
  <si>
    <t>Please check before changing construction table</t>
  </si>
  <si>
    <t>The project has received first CC on 07/02/2020, But construction work is not yet completed.</t>
  </si>
  <si>
    <t>Building No.1 - Wing A &amp; B = Construction work same as last visit dtd 06/06/2025 but work is in process at the time of Visit. (Very Slow Speed)
Building No.1 - Wing C = Construction work is in process at the time of Visit. (Slow speed)
Building No.2 - Wing D &amp; E = Construction work is same as last visit dtd. 31/11/2024.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</si>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</sst>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5"/>
      <color rgb="FF000000"/>
      <name val="Calibri"/>
      <family val="2"/>
    </font>
    <font>
      <u/>
      <sz val="11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6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45"/>
        <bgColor indexed="29"/>
      </patternFill>
    </fill>
    <fill>
      <patternFill patternType="solid">
        <fgColor indexed="27"/>
        <bgColor indexed="41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211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13" fillId="2" borderId="1" xfId="1" applyFont="1" applyFill="1" applyBorder="1" applyAlignment="1" applyProtection="1">
      <alignment vertical="top"/>
      <protection locked="0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0" fontId="8" fillId="0" borderId="11" xfId="1" applyFont="1" applyBorder="1" applyProtection="1">
      <protection hidden="1"/>
    </xf>
    <xf numFmtId="0" fontId="8" fillId="0" borderId="12" xfId="1" applyFont="1" applyBorder="1" applyProtection="1">
      <protection hidden="1"/>
    </xf>
    <xf numFmtId="0" fontId="8" fillId="0" borderId="13" xfId="1" applyFont="1" applyBorder="1" applyProtection="1">
      <protection hidden="1"/>
    </xf>
    <xf numFmtId="0" fontId="8" fillId="0" borderId="13" xfId="1" applyFont="1" applyBorder="1"/>
    <xf numFmtId="9" fontId="18" fillId="0" borderId="0" xfId="0" applyNumberFormat="1" applyFont="1" applyProtection="1">
      <protection hidden="1"/>
    </xf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9" fontId="9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0" xfId="1" applyNumberFormat="1" applyFont="1" applyAlignment="1">
      <alignment horizontal="center" vertical="center"/>
    </xf>
    <xf numFmtId="0" fontId="18" fillId="0" borderId="0" xfId="0" applyFont="1" applyProtection="1">
      <protection hidden="1"/>
    </xf>
    <xf numFmtId="14" fontId="8" fillId="0" borderId="0" xfId="1" applyNumberFormat="1" applyFont="1"/>
    <xf numFmtId="1" fontId="8" fillId="0" borderId="0" xfId="1" applyNumberFormat="1" applyFont="1"/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25" fillId="4" borderId="25" xfId="0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center" vertical="center" wrapText="1"/>
    </xf>
    <xf numFmtId="0" fontId="25" fillId="5" borderId="25" xfId="0" applyFont="1" applyFill="1" applyBorder="1" applyAlignment="1" applyProtection="1">
      <alignment horizontal="center" vertical="center" wrapText="1"/>
      <protection locked="0"/>
    </xf>
    <xf numFmtId="164" fontId="25" fillId="5" borderId="25" xfId="0" applyNumberFormat="1" applyFont="1" applyFill="1" applyBorder="1" applyAlignment="1">
      <alignment horizontal="center" vertical="center" wrapText="1"/>
    </xf>
    <xf numFmtId="0" fontId="25" fillId="6" borderId="25" xfId="0" applyFont="1" applyFill="1" applyBorder="1" applyAlignment="1" applyProtection="1">
      <alignment horizontal="center" vertical="center" wrapText="1"/>
      <protection locked="0"/>
    </xf>
    <xf numFmtId="0" fontId="25" fillId="7" borderId="25" xfId="0" applyFont="1" applyFill="1" applyBorder="1" applyAlignment="1" applyProtection="1">
      <alignment horizontal="center" vertical="center" wrapText="1"/>
      <protection locked="0"/>
    </xf>
    <xf numFmtId="0" fontId="25" fillId="0" borderId="25" xfId="0" applyFont="1" applyBorder="1" applyAlignment="1">
      <alignment horizontal="center" vertical="center" wrapText="1"/>
    </xf>
    <xf numFmtId="0" fontId="25" fillId="8" borderId="25" xfId="0" applyFont="1" applyFill="1" applyBorder="1" applyAlignment="1">
      <alignment horizontal="center" vertical="center" wrapText="1"/>
    </xf>
    <xf numFmtId="1" fontId="25" fillId="8" borderId="25" xfId="0" applyNumberFormat="1" applyFont="1" applyFill="1" applyBorder="1" applyAlignment="1">
      <alignment horizontal="center" vertical="center" wrapText="1"/>
    </xf>
    <xf numFmtId="0" fontId="18" fillId="0" borderId="13" xfId="0" applyFont="1" applyBorder="1" applyProtection="1">
      <protection hidden="1"/>
    </xf>
    <xf numFmtId="1" fontId="25" fillId="5" borderId="25" xfId="0" applyNumberFormat="1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left" vertical="top" wrapText="1"/>
    </xf>
    <xf numFmtId="0" fontId="25" fillId="5" borderId="25" xfId="0" applyFont="1" applyFill="1" applyBorder="1" applyAlignment="1">
      <alignment horizontal="center" vertical="top" wrapText="1"/>
    </xf>
    <xf numFmtId="0" fontId="25" fillId="5" borderId="25" xfId="0" applyFont="1" applyFill="1" applyBorder="1" applyAlignment="1" applyProtection="1">
      <alignment horizontal="center" vertical="top" wrapText="1"/>
      <protection locked="0"/>
    </xf>
    <xf numFmtId="164" fontId="25" fillId="5" borderId="25" xfId="0" applyNumberFormat="1" applyFont="1" applyFill="1" applyBorder="1" applyAlignment="1">
      <alignment horizontal="center" vertical="top" wrapText="1"/>
    </xf>
    <xf numFmtId="0" fontId="26" fillId="4" borderId="25" xfId="0" applyFont="1" applyFill="1" applyBorder="1" applyAlignment="1">
      <alignment horizontal="center" vertical="center" wrapText="1"/>
    </xf>
    <xf numFmtId="0" fontId="0" fillId="3" borderId="0" xfId="0" applyFill="1"/>
    <xf numFmtId="0" fontId="18" fillId="0" borderId="14" xfId="0" applyFont="1" applyBorder="1" applyProtection="1">
      <protection hidden="1"/>
    </xf>
    <xf numFmtId="9" fontId="18" fillId="0" borderId="14" xfId="0" applyNumberFormat="1" applyFont="1" applyBorder="1" applyProtection="1">
      <protection hidden="1"/>
    </xf>
    <xf numFmtId="164" fontId="0" fillId="0" borderId="0" xfId="0" applyNumberFormat="1"/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3" fillId="0" borderId="4" xfId="1" applyFont="1" applyBorder="1" applyAlignment="1" applyProtection="1">
      <alignment horizontal="center" vertical="top"/>
      <protection locked="0"/>
    </xf>
    <xf numFmtId="0" fontId="0" fillId="0" borderId="13" xfId="0" applyBorder="1"/>
    <xf numFmtId="1" fontId="0" fillId="0" borderId="0" xfId="0" applyNumberFormat="1"/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0" fontId="13" fillId="0" borderId="7" xfId="1" applyFont="1" applyBorder="1" applyAlignment="1" applyProtection="1">
      <alignment horizontal="center" wrapText="1"/>
      <protection locked="0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" fillId="0" borderId="1" xfId="5" applyFont="1" applyBorder="1" applyAlignment="1">
      <alignment horizontal="left" vertical="center"/>
    </xf>
    <xf numFmtId="0" fontId="1" fillId="0" borderId="1" xfId="5" applyFont="1" applyBorder="1" applyAlignment="1">
      <alignment horizontal="center" vertical="center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 applyProtection="1">
      <alignment horizontal="center" vertical="center" wrapText="1"/>
      <protection locked="0"/>
    </xf>
    <xf numFmtId="2" fontId="8" fillId="0" borderId="0" xfId="1" applyNumberFormat="1" applyFont="1" applyAlignment="1">
      <alignment horizontal="center" vertical="center"/>
    </xf>
    <xf numFmtId="0" fontId="8" fillId="3" borderId="0" xfId="1" applyFont="1" applyFill="1"/>
    <xf numFmtId="14" fontId="8" fillId="3" borderId="0" xfId="1" applyNumberFormat="1" applyFont="1" applyFill="1"/>
    <xf numFmtId="164" fontId="8" fillId="0" borderId="0" xfId="1" applyNumberFormat="1" applyFont="1" applyAlignment="1">
      <alignment horizontal="center" vertical="center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0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24" xfId="1" applyNumberFormat="1" applyFont="1" applyBorder="1" applyAlignment="1" applyProtection="1">
      <alignment horizontal="center" vertical="center" wrapText="1"/>
      <protection locked="0"/>
    </xf>
    <xf numFmtId="1" fontId="9" fillId="0" borderId="10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31" xfId="1" applyNumberFormat="1" applyFont="1" applyBorder="1" applyAlignment="1" applyProtection="1">
      <alignment horizontal="center" vertical="center" wrapText="1"/>
      <protection locked="0"/>
    </xf>
    <xf numFmtId="1" fontId="7" fillId="0" borderId="32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28" xfId="1" applyFont="1" applyBorder="1" applyAlignment="1" applyProtection="1">
      <alignment horizontal="center" vertical="top" wrapText="1"/>
      <protection locked="0"/>
    </xf>
    <xf numFmtId="0" fontId="14" fillId="0" borderId="18" xfId="1" applyFont="1" applyBorder="1" applyAlignment="1" applyProtection="1">
      <alignment horizontal="center" vertical="top" wrapText="1"/>
      <protection locked="0"/>
    </xf>
    <xf numFmtId="0" fontId="14" fillId="0" borderId="16" xfId="1" applyFont="1" applyBorder="1" applyAlignment="1" applyProtection="1">
      <alignment horizontal="left" vertical="top" wrapText="1"/>
      <protection locked="0"/>
    </xf>
    <xf numFmtId="0" fontId="14" fillId="0" borderId="17" xfId="1" applyFont="1" applyBorder="1" applyAlignment="1" applyProtection="1">
      <alignment horizontal="left" vertical="top" wrapText="1"/>
      <protection locked="0"/>
    </xf>
    <xf numFmtId="0" fontId="14" fillId="0" borderId="29" xfId="1" applyFont="1" applyBorder="1" applyAlignment="1" applyProtection="1">
      <alignment horizontal="left" vertical="top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1" fontId="14" fillId="0" borderId="24" xfId="0" applyNumberFormat="1" applyFont="1" applyBorder="1" applyAlignment="1" applyProtection="1">
      <alignment vertical="top" wrapText="1"/>
      <protection locked="0"/>
    </xf>
    <xf numFmtId="1" fontId="14" fillId="0" borderId="10" xfId="0" applyNumberFormat="1" applyFont="1" applyBorder="1" applyAlignment="1" applyProtection="1">
      <alignment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3" fontId="13" fillId="2" borderId="1" xfId="1" applyNumberFormat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3" fontId="13" fillId="2" borderId="1" xfId="1" applyNumberFormat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1" fontId="9" fillId="0" borderId="22" xfId="1" applyNumberFormat="1" applyFont="1" applyBorder="1" applyAlignment="1" applyProtection="1">
      <alignment horizontal="center" vertical="top" wrapText="1"/>
      <protection locked="0"/>
    </xf>
    <xf numFmtId="1" fontId="9" fillId="0" borderId="23" xfId="1" applyNumberFormat="1" applyFont="1" applyBorder="1" applyAlignment="1" applyProtection="1">
      <alignment horizontal="center" vertical="top" wrapText="1"/>
      <protection locked="0"/>
    </xf>
    <xf numFmtId="2" fontId="13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164" fontId="13" fillId="0" borderId="1" xfId="1" applyNumberFormat="1" applyFont="1" applyBorder="1" applyAlignment="1" applyProtection="1">
      <alignment horizontal="left" vertical="top"/>
      <protection locked="0"/>
    </xf>
    <xf numFmtId="2" fontId="13" fillId="0" borderId="1" xfId="1" applyNumberFormat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30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30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31" xfId="1" applyFont="1" applyBorder="1" applyAlignment="1" applyProtection="1">
      <alignment horizontal="left" vertical="top"/>
      <protection locked="0"/>
    </xf>
    <xf numFmtId="0" fontId="13" fillId="0" borderId="0" xfId="1" applyFont="1" applyAlignment="1" applyProtection="1">
      <alignment horizontal="left" vertical="top"/>
      <protection locked="0"/>
    </xf>
    <xf numFmtId="0" fontId="13" fillId="0" borderId="32" xfId="1" applyFont="1" applyBorder="1" applyAlignment="1" applyProtection="1">
      <alignment horizontal="left" vertical="top"/>
      <protection locked="0"/>
    </xf>
    <xf numFmtId="0" fontId="13" fillId="2" borderId="9" xfId="1" applyFont="1" applyFill="1" applyBorder="1" applyAlignment="1" applyProtection="1">
      <alignment horizontal="left" vertical="top" wrapText="1"/>
      <protection locked="0"/>
    </xf>
    <xf numFmtId="0" fontId="13" fillId="2" borderId="24" xfId="1" applyFont="1" applyFill="1" applyBorder="1" applyAlignment="1" applyProtection="1">
      <alignment horizontal="left" vertical="top" wrapText="1"/>
      <protection locked="0"/>
    </xf>
    <xf numFmtId="0" fontId="13" fillId="2" borderId="10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vertical="top"/>
      <protection locked="0"/>
    </xf>
    <xf numFmtId="167" fontId="14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31" xfId="1" applyFont="1" applyBorder="1" applyAlignment="1" applyProtection="1">
      <alignment horizontal="left" vertical="top" wrapText="1"/>
      <protection locked="0"/>
    </xf>
    <xf numFmtId="0" fontId="13" fillId="0" borderId="0" xfId="1" applyFont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6" xfId="1" applyFont="1" applyBorder="1" applyAlignment="1" applyProtection="1">
      <alignment horizontal="left" vertical="top"/>
      <protection locked="0"/>
    </xf>
    <xf numFmtId="0" fontId="13" fillId="0" borderId="1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19" xfId="1" applyNumberFormat="1" applyFont="1" applyBorder="1" applyAlignment="1" applyProtection="1">
      <alignment horizontal="center" vertical="top" wrapText="1"/>
      <protection locked="0"/>
    </xf>
    <xf numFmtId="0" fontId="13" fillId="0" borderId="22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/>
      <protection locked="0"/>
    </xf>
    <xf numFmtId="0" fontId="24" fillId="4" borderId="25" xfId="0" applyFont="1" applyFill="1" applyBorder="1" applyAlignment="1">
      <alignment horizontal="center" vertical="center" wrapText="1"/>
    </xf>
    <xf numFmtId="0" fontId="24" fillId="4" borderId="27" xfId="0" applyFont="1" applyFill="1" applyBorder="1" applyAlignment="1">
      <alignment horizontal="center" vertical="center" wrapText="1"/>
    </xf>
    <xf numFmtId="0" fontId="27" fillId="3" borderId="26" xfId="0" applyFont="1" applyFill="1" applyBorder="1" applyAlignment="1">
      <alignment horizontal="center"/>
    </xf>
    <xf numFmtId="0" fontId="27" fillId="3" borderId="9" xfId="0" applyFont="1" applyFill="1" applyBorder="1" applyAlignment="1">
      <alignment horizontal="center"/>
    </xf>
    <xf numFmtId="0" fontId="27" fillId="3" borderId="24" xfId="0" applyFont="1" applyFill="1" applyBorder="1" applyAlignment="1">
      <alignment horizontal="center"/>
    </xf>
    <xf numFmtId="0" fontId="27" fillId="3" borderId="10" xfId="0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5" applyFont="1" applyBorder="1" applyAlignment="1">
      <alignment horizontal="left"/>
    </xf>
    <xf numFmtId="0" fontId="8" fillId="0" borderId="24" xfId="1" applyFont="1" applyBorder="1" applyAlignment="1" applyProtection="1">
      <alignment horizontal="left"/>
      <protection locked="0"/>
    </xf>
    <xf numFmtId="0" fontId="8" fillId="0" borderId="10" xfId="1" applyFont="1" applyBorder="1" applyAlignment="1" applyProtection="1">
      <alignment horizontal="left"/>
      <protection locked="0"/>
    </xf>
    <xf numFmtId="0" fontId="28" fillId="0" borderId="9" xfId="9" applyBorder="1" applyAlignment="1" applyProtection="1">
      <alignment horizontal="left"/>
      <protection locked="0"/>
    </xf>
    <xf numFmtId="0" fontId="11" fillId="0" borderId="9" xfId="1" applyFont="1" applyBorder="1" applyAlignment="1" applyProtection="1">
      <alignment horizontal="left"/>
      <protection locked="0"/>
    </xf>
    <xf numFmtId="0" fontId="11" fillId="0" borderId="24" xfId="1" applyFont="1" applyBorder="1" applyAlignment="1" applyProtection="1">
      <alignment horizontal="left"/>
      <protection locked="0"/>
    </xf>
    <xf numFmtId="0" fontId="11" fillId="0" borderId="10" xfId="1" applyFont="1" applyBorder="1" applyAlignment="1" applyProtection="1">
      <alignment horizontal="left"/>
      <protection locked="0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693422</xdr:colOff>
      <xdr:row>371</xdr:row>
      <xdr:rowOff>45720</xdr:rowOff>
    </xdr:from>
    <xdr:to>
      <xdr:col>7</xdr:col>
      <xdr:colOff>310604</xdr:colOff>
      <xdr:row>389</xdr:row>
      <xdr:rowOff>18600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3422" y="72268080"/>
          <a:ext cx="5461722" cy="353904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678182</xdr:colOff>
      <xdr:row>389</xdr:row>
      <xdr:rowOff>103256</xdr:rowOff>
    </xdr:from>
    <xdr:to>
      <xdr:col>7</xdr:col>
      <xdr:colOff>295364</xdr:colOff>
      <xdr:row>407</xdr:row>
      <xdr:rowOff>76136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8182" y="75891776"/>
          <a:ext cx="5461722" cy="353904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769621</xdr:colOff>
      <xdr:row>325</xdr:row>
      <xdr:rowOff>0</xdr:rowOff>
    </xdr:from>
    <xdr:to>
      <xdr:col>20</xdr:col>
      <xdr:colOff>15241</xdr:colOff>
      <xdr:row>363</xdr:row>
      <xdr:rowOff>70485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467601" y="62278260"/>
          <a:ext cx="5958840" cy="7591425"/>
          <a:chOff x="104776" y="63741300"/>
          <a:chExt cx="5810250" cy="7686675"/>
        </a:xfrm>
      </xdr:grpSpPr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GrpSpPr/>
        </xdr:nvGrpSpPr>
        <xdr:grpSpPr>
          <a:xfrm>
            <a:off x="104776" y="63741300"/>
            <a:ext cx="5810250" cy="7686675"/>
            <a:chOff x="93358" y="253053"/>
            <a:chExt cx="6389521" cy="8676522"/>
          </a:xfrm>
        </xdr:grpSpPr>
        <xdr:pic>
          <xdr:nvPicPr>
            <xdr:cNvPr id="20" name="Picture 19" descr="https://vsjcllp.vsjadon.com/upload/insp-236712-1525.jpg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087397" y="7302657"/>
              <a:ext cx="2164618" cy="162496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" name="Picture 20" descr="https://vsjcllp.vsjadon.com/upload/insp-236712-845.jpg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2961" y="7304607"/>
              <a:ext cx="2164618" cy="162496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" name="Picture 21" descr="https://vsjcllp.vsjadon.com/upload/insp-236712-851.jpg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67765" y="5616079"/>
              <a:ext cx="2016126" cy="151349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3" name="Picture 22" descr="https://vsjcllp.vsjadon.com/upload/insp-236712-874.jpg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8326" y="5616079"/>
              <a:ext cx="2016126" cy="151349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4" name="Picture 23" descr="https://vsjcllp.vsjadon.com/upload/insp-236712-940.jpg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3358" y="3368563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5" name="Picture 24" descr="https://vsjcllp.vsjadon.com/upload/insp-236712-1022.jpg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49452" y="3368563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6" name="Picture 25" descr="https://vsjcllp.vsjadon.com/upload/insp-236712-883.jpg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605546" y="3368563"/>
              <a:ext cx="287733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7" name="Picture 26" descr="https://vsjcllp.vsjadon.com/upload/insp-236712-916.jpg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714781" y="7302657"/>
              <a:ext cx="1217457" cy="162496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8" name="Picture 27" descr="https://vsjcllp.vsjadon.com/upload/insp-236712-925.jpg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1764" y="253053"/>
              <a:ext cx="3974295" cy="298348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29" name="Picture 28" descr="https://vsjcllp.vsjadon.com/upload/insp-236712-928.jpg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95724" y="63750825"/>
            <a:ext cx="1979736" cy="264240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198121</xdr:colOff>
      <xdr:row>328</xdr:row>
      <xdr:rowOff>22860</xdr:rowOff>
    </xdr:from>
    <xdr:to>
      <xdr:col>7</xdr:col>
      <xdr:colOff>723901</xdr:colOff>
      <xdr:row>360</xdr:row>
      <xdr:rowOff>51454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8C1506F5-B319-AAAB-7E83-37626F33A808}"/>
            </a:ext>
          </a:extLst>
        </xdr:cNvPr>
        <xdr:cNvGrpSpPr/>
      </xdr:nvGrpSpPr>
      <xdr:grpSpPr>
        <a:xfrm>
          <a:off x="198121" y="62895480"/>
          <a:ext cx="6370320" cy="6360814"/>
          <a:chOff x="201032" y="144352"/>
          <a:chExt cx="6801367" cy="6787534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B3CDA37-FC1E-74D0-4B05-80896D514615}"/>
              </a:ext>
            </a:extLst>
          </xdr:cNvPr>
          <xdr:cNvGrpSpPr/>
        </xdr:nvGrpSpPr>
        <xdr:grpSpPr>
          <a:xfrm>
            <a:off x="922965" y="5131886"/>
            <a:ext cx="5357500" cy="1800000"/>
            <a:chOff x="564629" y="6277232"/>
            <a:chExt cx="5357500" cy="1800000"/>
          </a:xfrm>
        </xdr:grpSpPr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E15D14E3-121F-85B9-EBEA-04132DB3B2B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64629" y="6277232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7C3C44B8-BB28-59FB-6C49-BDE2E2EDDD5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44490" y="6277232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85743AA7-2846-0767-E75F-196C6E7C2E1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24351" y="6277232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10DAAB8A-4A8C-4F67-1897-AB187BE6B018}"/>
              </a:ext>
            </a:extLst>
          </xdr:cNvPr>
          <xdr:cNvGrpSpPr/>
        </xdr:nvGrpSpPr>
        <xdr:grpSpPr>
          <a:xfrm>
            <a:off x="201032" y="2814189"/>
            <a:ext cx="6801367" cy="2184616"/>
            <a:chOff x="201032" y="2814189"/>
            <a:chExt cx="6801367" cy="2184616"/>
          </a:xfrm>
        </xdr:grpSpPr>
        <xdr:grpSp>
          <xdr:nvGrpSpPr>
            <xdr:cNvPr id="14" name="Group 13">
              <a:extLst>
                <a:ext uri="{FF2B5EF4-FFF2-40B4-BE49-F238E27FC236}">
                  <a16:creationId xmlns:a16="http://schemas.microsoft.com/office/drawing/2014/main" id="{186899E0-99E2-7B31-1A22-E4B0A61B5887}"/>
                </a:ext>
              </a:extLst>
            </xdr:cNvPr>
            <xdr:cNvGrpSpPr/>
          </xdr:nvGrpSpPr>
          <xdr:grpSpPr>
            <a:xfrm>
              <a:off x="234779" y="2814189"/>
              <a:ext cx="6767620" cy="2163930"/>
              <a:chOff x="234779" y="2814189"/>
              <a:chExt cx="6767620" cy="2163930"/>
            </a:xfrm>
          </xdr:grpSpPr>
          <xdr:pic>
            <xdr:nvPicPr>
              <xdr:cNvPr id="18" name="Picture 17">
                <a:extLst>
                  <a:ext uri="{FF2B5EF4-FFF2-40B4-BE49-F238E27FC236}">
                    <a16:creationId xmlns:a16="http://schemas.microsoft.com/office/drawing/2014/main" id="{5951D668-23AF-07BA-4CC7-71BFA659B73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6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 l="7691" r="7691"/>
              <a:stretch/>
            </xdr:blipFill>
            <xdr:spPr>
              <a:xfrm>
                <a:off x="4567653" y="2814189"/>
                <a:ext cx="2434746" cy="216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30" name="Picture 29">
                <a:extLst>
                  <a:ext uri="{FF2B5EF4-FFF2-40B4-BE49-F238E27FC236}">
                    <a16:creationId xmlns:a16="http://schemas.microsoft.com/office/drawing/2014/main" id="{BF344A22-5ACB-5E50-2119-50A5D800FD7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7" cstate="hq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234779" y="2814189"/>
                <a:ext cx="1618312" cy="216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31" name="Picture 30">
                <a:extLst>
                  <a:ext uri="{FF2B5EF4-FFF2-40B4-BE49-F238E27FC236}">
                    <a16:creationId xmlns:a16="http://schemas.microsoft.com/office/drawing/2014/main" id="{640FD3DA-953F-EB32-DD70-7497AB90A6E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8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 l="15382"/>
              <a:stretch/>
            </xdr:blipFill>
            <xdr:spPr>
              <a:xfrm>
                <a:off x="1992999" y="2818119"/>
                <a:ext cx="2434746" cy="216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</xdr:grpSp>
        <xdr:sp macro="" textlink="">
          <xdr:nvSpPr>
            <xdr:cNvPr id="15" name="TextBox 25">
              <a:extLst>
                <a:ext uri="{FF2B5EF4-FFF2-40B4-BE49-F238E27FC236}">
                  <a16:creationId xmlns:a16="http://schemas.microsoft.com/office/drawing/2014/main" id="{ADDFC7AC-5AE5-1270-F12F-69A655301E29}"/>
                </a:ext>
              </a:extLst>
            </xdr:cNvPr>
            <xdr:cNvSpPr txBox="1"/>
          </xdr:nvSpPr>
          <xdr:spPr>
            <a:xfrm>
              <a:off x="5423388" y="4624124"/>
              <a:ext cx="822365" cy="33239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/>
                <a:t>Wing E</a:t>
              </a:r>
              <a:endParaRPr lang="en-IN" sz="1400" b="1"/>
            </a:p>
          </xdr:txBody>
        </xdr:sp>
        <xdr:sp macro="" textlink="">
          <xdr:nvSpPr>
            <xdr:cNvPr id="16" name="TextBox 26">
              <a:extLst>
                <a:ext uri="{FF2B5EF4-FFF2-40B4-BE49-F238E27FC236}">
                  <a16:creationId xmlns:a16="http://schemas.microsoft.com/office/drawing/2014/main" id="{E689AE70-3B6C-67A0-F76E-0C423E7AC61F}"/>
                </a:ext>
              </a:extLst>
            </xdr:cNvPr>
            <xdr:cNvSpPr txBox="1"/>
          </xdr:nvSpPr>
          <xdr:spPr>
            <a:xfrm>
              <a:off x="201032" y="2973860"/>
              <a:ext cx="822365" cy="33239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/>
                <a:t>Wing C</a:t>
              </a:r>
              <a:endParaRPr lang="en-IN" sz="1400" b="1"/>
            </a:p>
          </xdr:txBody>
        </xdr:sp>
        <xdr:sp macro="" textlink="">
          <xdr:nvSpPr>
            <xdr:cNvPr id="17" name="TextBox 27">
              <a:extLst>
                <a:ext uri="{FF2B5EF4-FFF2-40B4-BE49-F238E27FC236}">
                  <a16:creationId xmlns:a16="http://schemas.microsoft.com/office/drawing/2014/main" id="{3E0C2299-B44A-37EE-99A0-C572750E55E0}"/>
                </a:ext>
              </a:extLst>
            </xdr:cNvPr>
            <xdr:cNvSpPr txBox="1"/>
          </xdr:nvSpPr>
          <xdr:spPr>
            <a:xfrm>
              <a:off x="2487097" y="4666412"/>
              <a:ext cx="822365" cy="33239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/>
                <a:t>Wing D</a:t>
              </a:r>
              <a:endParaRPr lang="en-IN" sz="1400" b="1"/>
            </a:p>
          </xdr:txBody>
        </xdr:sp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C1475B8C-477B-9F1B-E079-1530C3E64691}"/>
              </a:ext>
            </a:extLst>
          </xdr:cNvPr>
          <xdr:cNvGrpSpPr/>
        </xdr:nvGrpSpPr>
        <xdr:grpSpPr>
          <a:xfrm>
            <a:off x="907433" y="144352"/>
            <a:ext cx="5388564" cy="2520000"/>
            <a:chOff x="924307" y="144352"/>
            <a:chExt cx="5388564" cy="2520000"/>
          </a:xfrm>
        </xdr:grpSpPr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4D890D19-5967-893B-9E56-BA1DAFE48379}"/>
                </a:ext>
              </a:extLst>
            </xdr:cNvPr>
            <xdr:cNvGrpSpPr/>
          </xdr:nvGrpSpPr>
          <xdr:grpSpPr>
            <a:xfrm>
              <a:off x="924307" y="144352"/>
              <a:ext cx="5388564" cy="2520000"/>
              <a:chOff x="234779" y="144352"/>
              <a:chExt cx="5388564" cy="2520000"/>
            </a:xfrm>
          </xdr:grpSpPr>
          <xdr:pic>
            <xdr:nvPicPr>
              <xdr:cNvPr id="12" name="Picture 11">
                <a:extLst>
                  <a:ext uri="{FF2B5EF4-FFF2-40B4-BE49-F238E27FC236}">
                    <a16:creationId xmlns:a16="http://schemas.microsoft.com/office/drawing/2014/main" id="{89F8BB17-E82A-4D37-1AF2-5E9CD9B30FD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9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234779" y="144352"/>
                <a:ext cx="3356889" cy="25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13" name="Picture 12">
                <a:extLst>
                  <a:ext uri="{FF2B5EF4-FFF2-40B4-BE49-F238E27FC236}">
                    <a16:creationId xmlns:a16="http://schemas.microsoft.com/office/drawing/2014/main" id="{3FC869B4-DD6C-4C40-C893-7E0C4749D05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0" cstate="hq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3735312" y="144352"/>
                <a:ext cx="1888031" cy="25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</xdr:grpSp>
        <xdr:sp macro="" textlink="">
          <xdr:nvSpPr>
            <xdr:cNvPr id="10" name="TextBox 28">
              <a:extLst>
                <a:ext uri="{FF2B5EF4-FFF2-40B4-BE49-F238E27FC236}">
                  <a16:creationId xmlns:a16="http://schemas.microsoft.com/office/drawing/2014/main" id="{968238C6-AF3C-9715-8EA6-600CFAC8B21A}"/>
                </a:ext>
              </a:extLst>
            </xdr:cNvPr>
            <xdr:cNvSpPr txBox="1"/>
          </xdr:nvSpPr>
          <xdr:spPr>
            <a:xfrm>
              <a:off x="5245041" y="160828"/>
              <a:ext cx="822365" cy="33239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/>
                <a:t>Wing B</a:t>
              </a:r>
              <a:endParaRPr lang="en-IN" sz="1400" b="1"/>
            </a:p>
          </xdr:txBody>
        </xdr:sp>
        <xdr:sp macro="" textlink="">
          <xdr:nvSpPr>
            <xdr:cNvPr id="11" name="TextBox 29">
              <a:extLst>
                <a:ext uri="{FF2B5EF4-FFF2-40B4-BE49-F238E27FC236}">
                  <a16:creationId xmlns:a16="http://schemas.microsoft.com/office/drawing/2014/main" id="{2973725B-4C50-26B9-23F0-13EC9AC9BC1F}"/>
                </a:ext>
              </a:extLst>
            </xdr:cNvPr>
            <xdr:cNvSpPr txBox="1"/>
          </xdr:nvSpPr>
          <xdr:spPr>
            <a:xfrm>
              <a:off x="1881332" y="160828"/>
              <a:ext cx="822365" cy="33239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/>
                <a:t>Wing A</a:t>
              </a:r>
              <a:endParaRPr lang="en-IN" sz="1400" b="1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32158</xdr:rowOff>
    </xdr:from>
    <xdr:to>
      <xdr:col>6</xdr:col>
      <xdr:colOff>669</xdr:colOff>
      <xdr:row>31</xdr:row>
      <xdr:rowOff>12658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783" y="2707441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32</xdr:row>
      <xdr:rowOff>61919</xdr:rowOff>
    </xdr:from>
    <xdr:to>
      <xdr:col>6</xdr:col>
      <xdr:colOff>669</xdr:colOff>
      <xdr:row>51</xdr:row>
      <xdr:rowOff>42419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783" y="6547202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211680</xdr:colOff>
      <xdr:row>12</xdr:row>
      <xdr:rowOff>0</xdr:rowOff>
    </xdr:from>
    <xdr:to>
      <xdr:col>15</xdr:col>
      <xdr:colOff>129522</xdr:colOff>
      <xdr:row>30</xdr:row>
      <xdr:rowOff>171000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93919" y="26752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175524</xdr:colOff>
      <xdr:row>31</xdr:row>
      <xdr:rowOff>76867</xdr:rowOff>
    </xdr:from>
    <xdr:to>
      <xdr:col>15</xdr:col>
      <xdr:colOff>93366</xdr:colOff>
      <xdr:row>50</xdr:row>
      <xdr:rowOff>57367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57763" y="6371650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360915</xdr:colOff>
      <xdr:row>12</xdr:row>
      <xdr:rowOff>0</xdr:rowOff>
    </xdr:from>
    <xdr:to>
      <xdr:col>26</xdr:col>
      <xdr:colOff>386432</xdr:colOff>
      <xdr:row>30</xdr:row>
      <xdr:rowOff>171000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828437" y="26752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Fx8mkSBKLem1WqyW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370"/>
  <sheetViews>
    <sheetView tabSelected="1" view="pageBreakPreview" topLeftCell="A308" zoomScaleNormal="100" zoomScaleSheetLayoutView="100" zoomScalePageLayoutView="85" workbookViewId="0">
      <selection activeCell="M314" sqref="M314"/>
    </sheetView>
  </sheetViews>
  <sheetFormatPr defaultColWidth="9.109375" defaultRowHeight="15.6" x14ac:dyDescent="0.3"/>
  <cols>
    <col min="1" max="1" width="11.44140625" style="16" customWidth="1"/>
    <col min="2" max="2" width="12" style="16" customWidth="1"/>
    <col min="3" max="3" width="12.6640625" style="16" customWidth="1"/>
    <col min="4" max="4" width="14.109375" style="16" customWidth="1"/>
    <col min="5" max="7" width="11.6640625" style="16" customWidth="1"/>
    <col min="8" max="8" width="12.44140625" style="16" customWidth="1"/>
    <col min="9" max="9" width="15.6640625" style="8" customWidth="1"/>
    <col min="10" max="10" width="11.44140625" style="8" customWidth="1"/>
    <col min="11" max="11" width="11.88671875" style="8" bestFit="1" customWidth="1"/>
    <col min="12" max="12" width="10.5546875" style="8" customWidth="1"/>
    <col min="13" max="13" width="11.88671875" style="8" customWidth="1"/>
    <col min="14" max="14" width="12.5546875" style="8" hidden="1" customWidth="1"/>
    <col min="15" max="15" width="9.88671875" style="8" hidden="1" customWidth="1"/>
    <col min="16" max="16" width="10.44140625" style="8" hidden="1" customWidth="1"/>
    <col min="17" max="247" width="9.109375" style="8"/>
    <col min="248" max="248" width="8.6640625" style="8" customWidth="1"/>
    <col min="249" max="249" width="9.88671875" style="8" customWidth="1"/>
    <col min="250" max="250" width="14.44140625" style="8" customWidth="1"/>
    <col min="251" max="251" width="7.33203125" style="8" customWidth="1"/>
    <col min="252" max="252" width="5.5546875" style="8" customWidth="1"/>
    <col min="253" max="253" width="9" style="8" customWidth="1"/>
    <col min="254" max="255" width="9.88671875" style="8" customWidth="1"/>
    <col min="256" max="256" width="11.109375" style="8" customWidth="1"/>
    <col min="257" max="257" width="2.88671875" style="8" customWidth="1"/>
    <col min="258" max="258" width="3.5546875" style="8" customWidth="1"/>
    <col min="259" max="503" width="9.109375" style="8"/>
    <col min="504" max="504" width="8.6640625" style="8" customWidth="1"/>
    <col min="505" max="505" width="9.88671875" style="8" customWidth="1"/>
    <col min="506" max="506" width="14.44140625" style="8" customWidth="1"/>
    <col min="507" max="507" width="7.33203125" style="8" customWidth="1"/>
    <col min="508" max="508" width="5.5546875" style="8" customWidth="1"/>
    <col min="509" max="509" width="9" style="8" customWidth="1"/>
    <col min="510" max="511" width="9.88671875" style="8" customWidth="1"/>
    <col min="512" max="512" width="11.109375" style="8" customWidth="1"/>
    <col min="513" max="513" width="2.88671875" style="8" customWidth="1"/>
    <col min="514" max="514" width="3.5546875" style="8" customWidth="1"/>
    <col min="515" max="759" width="9.109375" style="8"/>
    <col min="760" max="760" width="8.6640625" style="8" customWidth="1"/>
    <col min="761" max="761" width="9.88671875" style="8" customWidth="1"/>
    <col min="762" max="762" width="14.44140625" style="8" customWidth="1"/>
    <col min="763" max="763" width="7.33203125" style="8" customWidth="1"/>
    <col min="764" max="764" width="5.5546875" style="8" customWidth="1"/>
    <col min="765" max="765" width="9" style="8" customWidth="1"/>
    <col min="766" max="767" width="9.88671875" style="8" customWidth="1"/>
    <col min="768" max="768" width="11.109375" style="8" customWidth="1"/>
    <col min="769" max="769" width="2.88671875" style="8" customWidth="1"/>
    <col min="770" max="770" width="3.5546875" style="8" customWidth="1"/>
    <col min="771" max="1015" width="9.109375" style="8"/>
    <col min="1016" max="1016" width="8.6640625" style="8" customWidth="1"/>
    <col min="1017" max="1017" width="9.88671875" style="8" customWidth="1"/>
    <col min="1018" max="1018" width="14.44140625" style="8" customWidth="1"/>
    <col min="1019" max="1019" width="7.33203125" style="8" customWidth="1"/>
    <col min="1020" max="1020" width="5.5546875" style="8" customWidth="1"/>
    <col min="1021" max="1021" width="9" style="8" customWidth="1"/>
    <col min="1022" max="1023" width="9.88671875" style="8" customWidth="1"/>
    <col min="1024" max="1024" width="11.109375" style="8" customWidth="1"/>
    <col min="1025" max="1025" width="2.88671875" style="8" customWidth="1"/>
    <col min="1026" max="1026" width="3.5546875" style="8" customWidth="1"/>
    <col min="1027" max="1271" width="9.109375" style="8"/>
    <col min="1272" max="1272" width="8.6640625" style="8" customWidth="1"/>
    <col min="1273" max="1273" width="9.88671875" style="8" customWidth="1"/>
    <col min="1274" max="1274" width="14.44140625" style="8" customWidth="1"/>
    <col min="1275" max="1275" width="7.33203125" style="8" customWidth="1"/>
    <col min="1276" max="1276" width="5.5546875" style="8" customWidth="1"/>
    <col min="1277" max="1277" width="9" style="8" customWidth="1"/>
    <col min="1278" max="1279" width="9.88671875" style="8" customWidth="1"/>
    <col min="1280" max="1280" width="11.109375" style="8" customWidth="1"/>
    <col min="1281" max="1281" width="2.88671875" style="8" customWidth="1"/>
    <col min="1282" max="1282" width="3.5546875" style="8" customWidth="1"/>
    <col min="1283" max="1527" width="9.109375" style="8"/>
    <col min="1528" max="1528" width="8.6640625" style="8" customWidth="1"/>
    <col min="1529" max="1529" width="9.88671875" style="8" customWidth="1"/>
    <col min="1530" max="1530" width="14.44140625" style="8" customWidth="1"/>
    <col min="1531" max="1531" width="7.33203125" style="8" customWidth="1"/>
    <col min="1532" max="1532" width="5.5546875" style="8" customWidth="1"/>
    <col min="1533" max="1533" width="9" style="8" customWidth="1"/>
    <col min="1534" max="1535" width="9.88671875" style="8" customWidth="1"/>
    <col min="1536" max="1536" width="11.109375" style="8" customWidth="1"/>
    <col min="1537" max="1537" width="2.88671875" style="8" customWidth="1"/>
    <col min="1538" max="1538" width="3.5546875" style="8" customWidth="1"/>
    <col min="1539" max="1783" width="9.109375" style="8"/>
    <col min="1784" max="1784" width="8.6640625" style="8" customWidth="1"/>
    <col min="1785" max="1785" width="9.88671875" style="8" customWidth="1"/>
    <col min="1786" max="1786" width="14.44140625" style="8" customWidth="1"/>
    <col min="1787" max="1787" width="7.33203125" style="8" customWidth="1"/>
    <col min="1788" max="1788" width="5.5546875" style="8" customWidth="1"/>
    <col min="1789" max="1789" width="9" style="8" customWidth="1"/>
    <col min="1790" max="1791" width="9.88671875" style="8" customWidth="1"/>
    <col min="1792" max="1792" width="11.109375" style="8" customWidth="1"/>
    <col min="1793" max="1793" width="2.88671875" style="8" customWidth="1"/>
    <col min="1794" max="1794" width="3.5546875" style="8" customWidth="1"/>
    <col min="1795" max="2039" width="9.109375" style="8"/>
    <col min="2040" max="2040" width="8.6640625" style="8" customWidth="1"/>
    <col min="2041" max="2041" width="9.88671875" style="8" customWidth="1"/>
    <col min="2042" max="2042" width="14.44140625" style="8" customWidth="1"/>
    <col min="2043" max="2043" width="7.33203125" style="8" customWidth="1"/>
    <col min="2044" max="2044" width="5.5546875" style="8" customWidth="1"/>
    <col min="2045" max="2045" width="9" style="8" customWidth="1"/>
    <col min="2046" max="2047" width="9.88671875" style="8" customWidth="1"/>
    <col min="2048" max="2048" width="11.109375" style="8" customWidth="1"/>
    <col min="2049" max="2049" width="2.88671875" style="8" customWidth="1"/>
    <col min="2050" max="2050" width="3.5546875" style="8" customWidth="1"/>
    <col min="2051" max="2295" width="9.109375" style="8"/>
    <col min="2296" max="2296" width="8.6640625" style="8" customWidth="1"/>
    <col min="2297" max="2297" width="9.88671875" style="8" customWidth="1"/>
    <col min="2298" max="2298" width="14.44140625" style="8" customWidth="1"/>
    <col min="2299" max="2299" width="7.33203125" style="8" customWidth="1"/>
    <col min="2300" max="2300" width="5.5546875" style="8" customWidth="1"/>
    <col min="2301" max="2301" width="9" style="8" customWidth="1"/>
    <col min="2302" max="2303" width="9.88671875" style="8" customWidth="1"/>
    <col min="2304" max="2304" width="11.109375" style="8" customWidth="1"/>
    <col min="2305" max="2305" width="2.88671875" style="8" customWidth="1"/>
    <col min="2306" max="2306" width="3.5546875" style="8" customWidth="1"/>
    <col min="2307" max="2551" width="9.109375" style="8"/>
    <col min="2552" max="2552" width="8.6640625" style="8" customWidth="1"/>
    <col min="2553" max="2553" width="9.88671875" style="8" customWidth="1"/>
    <col min="2554" max="2554" width="14.44140625" style="8" customWidth="1"/>
    <col min="2555" max="2555" width="7.33203125" style="8" customWidth="1"/>
    <col min="2556" max="2556" width="5.5546875" style="8" customWidth="1"/>
    <col min="2557" max="2557" width="9" style="8" customWidth="1"/>
    <col min="2558" max="2559" width="9.88671875" style="8" customWidth="1"/>
    <col min="2560" max="2560" width="11.109375" style="8" customWidth="1"/>
    <col min="2561" max="2561" width="2.88671875" style="8" customWidth="1"/>
    <col min="2562" max="2562" width="3.5546875" style="8" customWidth="1"/>
    <col min="2563" max="2807" width="9.109375" style="8"/>
    <col min="2808" max="2808" width="8.6640625" style="8" customWidth="1"/>
    <col min="2809" max="2809" width="9.88671875" style="8" customWidth="1"/>
    <col min="2810" max="2810" width="14.44140625" style="8" customWidth="1"/>
    <col min="2811" max="2811" width="7.33203125" style="8" customWidth="1"/>
    <col min="2812" max="2812" width="5.5546875" style="8" customWidth="1"/>
    <col min="2813" max="2813" width="9" style="8" customWidth="1"/>
    <col min="2814" max="2815" width="9.88671875" style="8" customWidth="1"/>
    <col min="2816" max="2816" width="11.109375" style="8" customWidth="1"/>
    <col min="2817" max="2817" width="2.88671875" style="8" customWidth="1"/>
    <col min="2818" max="2818" width="3.5546875" style="8" customWidth="1"/>
    <col min="2819" max="3063" width="9.109375" style="8"/>
    <col min="3064" max="3064" width="8.6640625" style="8" customWidth="1"/>
    <col min="3065" max="3065" width="9.88671875" style="8" customWidth="1"/>
    <col min="3066" max="3066" width="14.44140625" style="8" customWidth="1"/>
    <col min="3067" max="3067" width="7.33203125" style="8" customWidth="1"/>
    <col min="3068" max="3068" width="5.5546875" style="8" customWidth="1"/>
    <col min="3069" max="3069" width="9" style="8" customWidth="1"/>
    <col min="3070" max="3071" width="9.88671875" style="8" customWidth="1"/>
    <col min="3072" max="3072" width="11.109375" style="8" customWidth="1"/>
    <col min="3073" max="3073" width="2.88671875" style="8" customWidth="1"/>
    <col min="3074" max="3074" width="3.5546875" style="8" customWidth="1"/>
    <col min="3075" max="3319" width="9.109375" style="8"/>
    <col min="3320" max="3320" width="8.6640625" style="8" customWidth="1"/>
    <col min="3321" max="3321" width="9.88671875" style="8" customWidth="1"/>
    <col min="3322" max="3322" width="14.44140625" style="8" customWidth="1"/>
    <col min="3323" max="3323" width="7.33203125" style="8" customWidth="1"/>
    <col min="3324" max="3324" width="5.5546875" style="8" customWidth="1"/>
    <col min="3325" max="3325" width="9" style="8" customWidth="1"/>
    <col min="3326" max="3327" width="9.88671875" style="8" customWidth="1"/>
    <col min="3328" max="3328" width="11.109375" style="8" customWidth="1"/>
    <col min="3329" max="3329" width="2.88671875" style="8" customWidth="1"/>
    <col min="3330" max="3330" width="3.5546875" style="8" customWidth="1"/>
    <col min="3331" max="3575" width="9.109375" style="8"/>
    <col min="3576" max="3576" width="8.6640625" style="8" customWidth="1"/>
    <col min="3577" max="3577" width="9.88671875" style="8" customWidth="1"/>
    <col min="3578" max="3578" width="14.44140625" style="8" customWidth="1"/>
    <col min="3579" max="3579" width="7.33203125" style="8" customWidth="1"/>
    <col min="3580" max="3580" width="5.5546875" style="8" customWidth="1"/>
    <col min="3581" max="3581" width="9" style="8" customWidth="1"/>
    <col min="3582" max="3583" width="9.88671875" style="8" customWidth="1"/>
    <col min="3584" max="3584" width="11.109375" style="8" customWidth="1"/>
    <col min="3585" max="3585" width="2.88671875" style="8" customWidth="1"/>
    <col min="3586" max="3586" width="3.5546875" style="8" customWidth="1"/>
    <col min="3587" max="3831" width="9.109375" style="8"/>
    <col min="3832" max="3832" width="8.6640625" style="8" customWidth="1"/>
    <col min="3833" max="3833" width="9.88671875" style="8" customWidth="1"/>
    <col min="3834" max="3834" width="14.44140625" style="8" customWidth="1"/>
    <col min="3835" max="3835" width="7.33203125" style="8" customWidth="1"/>
    <col min="3836" max="3836" width="5.5546875" style="8" customWidth="1"/>
    <col min="3837" max="3837" width="9" style="8" customWidth="1"/>
    <col min="3838" max="3839" width="9.88671875" style="8" customWidth="1"/>
    <col min="3840" max="3840" width="11.109375" style="8" customWidth="1"/>
    <col min="3841" max="3841" width="2.88671875" style="8" customWidth="1"/>
    <col min="3842" max="3842" width="3.5546875" style="8" customWidth="1"/>
    <col min="3843" max="4087" width="9.109375" style="8"/>
    <col min="4088" max="4088" width="8.6640625" style="8" customWidth="1"/>
    <col min="4089" max="4089" width="9.88671875" style="8" customWidth="1"/>
    <col min="4090" max="4090" width="14.44140625" style="8" customWidth="1"/>
    <col min="4091" max="4091" width="7.33203125" style="8" customWidth="1"/>
    <col min="4092" max="4092" width="5.5546875" style="8" customWidth="1"/>
    <col min="4093" max="4093" width="9" style="8" customWidth="1"/>
    <col min="4094" max="4095" width="9.88671875" style="8" customWidth="1"/>
    <col min="4096" max="4096" width="11.109375" style="8" customWidth="1"/>
    <col min="4097" max="4097" width="2.88671875" style="8" customWidth="1"/>
    <col min="4098" max="4098" width="3.5546875" style="8" customWidth="1"/>
    <col min="4099" max="4343" width="9.109375" style="8"/>
    <col min="4344" max="4344" width="8.6640625" style="8" customWidth="1"/>
    <col min="4345" max="4345" width="9.88671875" style="8" customWidth="1"/>
    <col min="4346" max="4346" width="14.44140625" style="8" customWidth="1"/>
    <col min="4347" max="4347" width="7.33203125" style="8" customWidth="1"/>
    <col min="4348" max="4348" width="5.5546875" style="8" customWidth="1"/>
    <col min="4349" max="4349" width="9" style="8" customWidth="1"/>
    <col min="4350" max="4351" width="9.88671875" style="8" customWidth="1"/>
    <col min="4352" max="4352" width="11.109375" style="8" customWidth="1"/>
    <col min="4353" max="4353" width="2.88671875" style="8" customWidth="1"/>
    <col min="4354" max="4354" width="3.5546875" style="8" customWidth="1"/>
    <col min="4355" max="4599" width="9.109375" style="8"/>
    <col min="4600" max="4600" width="8.6640625" style="8" customWidth="1"/>
    <col min="4601" max="4601" width="9.88671875" style="8" customWidth="1"/>
    <col min="4602" max="4602" width="14.44140625" style="8" customWidth="1"/>
    <col min="4603" max="4603" width="7.33203125" style="8" customWidth="1"/>
    <col min="4604" max="4604" width="5.5546875" style="8" customWidth="1"/>
    <col min="4605" max="4605" width="9" style="8" customWidth="1"/>
    <col min="4606" max="4607" width="9.88671875" style="8" customWidth="1"/>
    <col min="4608" max="4608" width="11.109375" style="8" customWidth="1"/>
    <col min="4609" max="4609" width="2.88671875" style="8" customWidth="1"/>
    <col min="4610" max="4610" width="3.5546875" style="8" customWidth="1"/>
    <col min="4611" max="4855" width="9.109375" style="8"/>
    <col min="4856" max="4856" width="8.6640625" style="8" customWidth="1"/>
    <col min="4857" max="4857" width="9.88671875" style="8" customWidth="1"/>
    <col min="4858" max="4858" width="14.44140625" style="8" customWidth="1"/>
    <col min="4859" max="4859" width="7.33203125" style="8" customWidth="1"/>
    <col min="4860" max="4860" width="5.5546875" style="8" customWidth="1"/>
    <col min="4861" max="4861" width="9" style="8" customWidth="1"/>
    <col min="4862" max="4863" width="9.88671875" style="8" customWidth="1"/>
    <col min="4864" max="4864" width="11.109375" style="8" customWidth="1"/>
    <col min="4865" max="4865" width="2.88671875" style="8" customWidth="1"/>
    <col min="4866" max="4866" width="3.5546875" style="8" customWidth="1"/>
    <col min="4867" max="5111" width="9.109375" style="8"/>
    <col min="5112" max="5112" width="8.6640625" style="8" customWidth="1"/>
    <col min="5113" max="5113" width="9.88671875" style="8" customWidth="1"/>
    <col min="5114" max="5114" width="14.44140625" style="8" customWidth="1"/>
    <col min="5115" max="5115" width="7.33203125" style="8" customWidth="1"/>
    <col min="5116" max="5116" width="5.5546875" style="8" customWidth="1"/>
    <col min="5117" max="5117" width="9" style="8" customWidth="1"/>
    <col min="5118" max="5119" width="9.88671875" style="8" customWidth="1"/>
    <col min="5120" max="5120" width="11.109375" style="8" customWidth="1"/>
    <col min="5121" max="5121" width="2.88671875" style="8" customWidth="1"/>
    <col min="5122" max="5122" width="3.5546875" style="8" customWidth="1"/>
    <col min="5123" max="5367" width="9.109375" style="8"/>
    <col min="5368" max="5368" width="8.6640625" style="8" customWidth="1"/>
    <col min="5369" max="5369" width="9.88671875" style="8" customWidth="1"/>
    <col min="5370" max="5370" width="14.44140625" style="8" customWidth="1"/>
    <col min="5371" max="5371" width="7.33203125" style="8" customWidth="1"/>
    <col min="5372" max="5372" width="5.5546875" style="8" customWidth="1"/>
    <col min="5373" max="5373" width="9" style="8" customWidth="1"/>
    <col min="5374" max="5375" width="9.88671875" style="8" customWidth="1"/>
    <col min="5376" max="5376" width="11.109375" style="8" customWidth="1"/>
    <col min="5377" max="5377" width="2.88671875" style="8" customWidth="1"/>
    <col min="5378" max="5378" width="3.5546875" style="8" customWidth="1"/>
    <col min="5379" max="5623" width="9.109375" style="8"/>
    <col min="5624" max="5624" width="8.6640625" style="8" customWidth="1"/>
    <col min="5625" max="5625" width="9.88671875" style="8" customWidth="1"/>
    <col min="5626" max="5626" width="14.44140625" style="8" customWidth="1"/>
    <col min="5627" max="5627" width="7.33203125" style="8" customWidth="1"/>
    <col min="5628" max="5628" width="5.5546875" style="8" customWidth="1"/>
    <col min="5629" max="5629" width="9" style="8" customWidth="1"/>
    <col min="5630" max="5631" width="9.88671875" style="8" customWidth="1"/>
    <col min="5632" max="5632" width="11.109375" style="8" customWidth="1"/>
    <col min="5633" max="5633" width="2.88671875" style="8" customWidth="1"/>
    <col min="5634" max="5634" width="3.5546875" style="8" customWidth="1"/>
    <col min="5635" max="5879" width="9.109375" style="8"/>
    <col min="5880" max="5880" width="8.6640625" style="8" customWidth="1"/>
    <col min="5881" max="5881" width="9.88671875" style="8" customWidth="1"/>
    <col min="5882" max="5882" width="14.44140625" style="8" customWidth="1"/>
    <col min="5883" max="5883" width="7.33203125" style="8" customWidth="1"/>
    <col min="5884" max="5884" width="5.5546875" style="8" customWidth="1"/>
    <col min="5885" max="5885" width="9" style="8" customWidth="1"/>
    <col min="5886" max="5887" width="9.88671875" style="8" customWidth="1"/>
    <col min="5888" max="5888" width="11.109375" style="8" customWidth="1"/>
    <col min="5889" max="5889" width="2.88671875" style="8" customWidth="1"/>
    <col min="5890" max="5890" width="3.5546875" style="8" customWidth="1"/>
    <col min="5891" max="6135" width="9.109375" style="8"/>
    <col min="6136" max="6136" width="8.6640625" style="8" customWidth="1"/>
    <col min="6137" max="6137" width="9.88671875" style="8" customWidth="1"/>
    <col min="6138" max="6138" width="14.44140625" style="8" customWidth="1"/>
    <col min="6139" max="6139" width="7.33203125" style="8" customWidth="1"/>
    <col min="6140" max="6140" width="5.5546875" style="8" customWidth="1"/>
    <col min="6141" max="6141" width="9" style="8" customWidth="1"/>
    <col min="6142" max="6143" width="9.88671875" style="8" customWidth="1"/>
    <col min="6144" max="6144" width="11.109375" style="8" customWidth="1"/>
    <col min="6145" max="6145" width="2.88671875" style="8" customWidth="1"/>
    <col min="6146" max="6146" width="3.5546875" style="8" customWidth="1"/>
    <col min="6147" max="6391" width="9.109375" style="8"/>
    <col min="6392" max="6392" width="8.6640625" style="8" customWidth="1"/>
    <col min="6393" max="6393" width="9.88671875" style="8" customWidth="1"/>
    <col min="6394" max="6394" width="14.44140625" style="8" customWidth="1"/>
    <col min="6395" max="6395" width="7.33203125" style="8" customWidth="1"/>
    <col min="6396" max="6396" width="5.5546875" style="8" customWidth="1"/>
    <col min="6397" max="6397" width="9" style="8" customWidth="1"/>
    <col min="6398" max="6399" width="9.88671875" style="8" customWidth="1"/>
    <col min="6400" max="6400" width="11.109375" style="8" customWidth="1"/>
    <col min="6401" max="6401" width="2.88671875" style="8" customWidth="1"/>
    <col min="6402" max="6402" width="3.5546875" style="8" customWidth="1"/>
    <col min="6403" max="6647" width="9.109375" style="8"/>
    <col min="6648" max="6648" width="8.6640625" style="8" customWidth="1"/>
    <col min="6649" max="6649" width="9.88671875" style="8" customWidth="1"/>
    <col min="6650" max="6650" width="14.44140625" style="8" customWidth="1"/>
    <col min="6651" max="6651" width="7.33203125" style="8" customWidth="1"/>
    <col min="6652" max="6652" width="5.5546875" style="8" customWidth="1"/>
    <col min="6653" max="6653" width="9" style="8" customWidth="1"/>
    <col min="6654" max="6655" width="9.88671875" style="8" customWidth="1"/>
    <col min="6656" max="6656" width="11.109375" style="8" customWidth="1"/>
    <col min="6657" max="6657" width="2.88671875" style="8" customWidth="1"/>
    <col min="6658" max="6658" width="3.5546875" style="8" customWidth="1"/>
    <col min="6659" max="6903" width="9.109375" style="8"/>
    <col min="6904" max="6904" width="8.6640625" style="8" customWidth="1"/>
    <col min="6905" max="6905" width="9.88671875" style="8" customWidth="1"/>
    <col min="6906" max="6906" width="14.44140625" style="8" customWidth="1"/>
    <col min="6907" max="6907" width="7.33203125" style="8" customWidth="1"/>
    <col min="6908" max="6908" width="5.5546875" style="8" customWidth="1"/>
    <col min="6909" max="6909" width="9" style="8" customWidth="1"/>
    <col min="6910" max="6911" width="9.88671875" style="8" customWidth="1"/>
    <col min="6912" max="6912" width="11.109375" style="8" customWidth="1"/>
    <col min="6913" max="6913" width="2.88671875" style="8" customWidth="1"/>
    <col min="6914" max="6914" width="3.5546875" style="8" customWidth="1"/>
    <col min="6915" max="7159" width="9.109375" style="8"/>
    <col min="7160" max="7160" width="8.6640625" style="8" customWidth="1"/>
    <col min="7161" max="7161" width="9.88671875" style="8" customWidth="1"/>
    <col min="7162" max="7162" width="14.44140625" style="8" customWidth="1"/>
    <col min="7163" max="7163" width="7.33203125" style="8" customWidth="1"/>
    <col min="7164" max="7164" width="5.5546875" style="8" customWidth="1"/>
    <col min="7165" max="7165" width="9" style="8" customWidth="1"/>
    <col min="7166" max="7167" width="9.88671875" style="8" customWidth="1"/>
    <col min="7168" max="7168" width="11.109375" style="8" customWidth="1"/>
    <col min="7169" max="7169" width="2.88671875" style="8" customWidth="1"/>
    <col min="7170" max="7170" width="3.5546875" style="8" customWidth="1"/>
    <col min="7171" max="7415" width="9.109375" style="8"/>
    <col min="7416" max="7416" width="8.6640625" style="8" customWidth="1"/>
    <col min="7417" max="7417" width="9.88671875" style="8" customWidth="1"/>
    <col min="7418" max="7418" width="14.44140625" style="8" customWidth="1"/>
    <col min="7419" max="7419" width="7.33203125" style="8" customWidth="1"/>
    <col min="7420" max="7420" width="5.5546875" style="8" customWidth="1"/>
    <col min="7421" max="7421" width="9" style="8" customWidth="1"/>
    <col min="7422" max="7423" width="9.88671875" style="8" customWidth="1"/>
    <col min="7424" max="7424" width="11.109375" style="8" customWidth="1"/>
    <col min="7425" max="7425" width="2.88671875" style="8" customWidth="1"/>
    <col min="7426" max="7426" width="3.5546875" style="8" customWidth="1"/>
    <col min="7427" max="7671" width="9.109375" style="8"/>
    <col min="7672" max="7672" width="8.6640625" style="8" customWidth="1"/>
    <col min="7673" max="7673" width="9.88671875" style="8" customWidth="1"/>
    <col min="7674" max="7674" width="14.44140625" style="8" customWidth="1"/>
    <col min="7675" max="7675" width="7.33203125" style="8" customWidth="1"/>
    <col min="7676" max="7676" width="5.5546875" style="8" customWidth="1"/>
    <col min="7677" max="7677" width="9" style="8" customWidth="1"/>
    <col min="7678" max="7679" width="9.88671875" style="8" customWidth="1"/>
    <col min="7680" max="7680" width="11.109375" style="8" customWidth="1"/>
    <col min="7681" max="7681" width="2.88671875" style="8" customWidth="1"/>
    <col min="7682" max="7682" width="3.5546875" style="8" customWidth="1"/>
    <col min="7683" max="7927" width="9.109375" style="8"/>
    <col min="7928" max="7928" width="8.6640625" style="8" customWidth="1"/>
    <col min="7929" max="7929" width="9.88671875" style="8" customWidth="1"/>
    <col min="7930" max="7930" width="14.44140625" style="8" customWidth="1"/>
    <col min="7931" max="7931" width="7.33203125" style="8" customWidth="1"/>
    <col min="7932" max="7932" width="5.5546875" style="8" customWidth="1"/>
    <col min="7933" max="7933" width="9" style="8" customWidth="1"/>
    <col min="7934" max="7935" width="9.88671875" style="8" customWidth="1"/>
    <col min="7936" max="7936" width="11.109375" style="8" customWidth="1"/>
    <col min="7937" max="7937" width="2.88671875" style="8" customWidth="1"/>
    <col min="7938" max="7938" width="3.5546875" style="8" customWidth="1"/>
    <col min="7939" max="8183" width="9.109375" style="8"/>
    <col min="8184" max="8184" width="8.6640625" style="8" customWidth="1"/>
    <col min="8185" max="8185" width="9.88671875" style="8" customWidth="1"/>
    <col min="8186" max="8186" width="14.44140625" style="8" customWidth="1"/>
    <col min="8187" max="8187" width="7.33203125" style="8" customWidth="1"/>
    <col min="8188" max="8188" width="5.5546875" style="8" customWidth="1"/>
    <col min="8189" max="8189" width="9" style="8" customWidth="1"/>
    <col min="8190" max="8191" width="9.88671875" style="8" customWidth="1"/>
    <col min="8192" max="8192" width="11.109375" style="8" customWidth="1"/>
    <col min="8193" max="8193" width="2.88671875" style="8" customWidth="1"/>
    <col min="8194" max="8194" width="3.5546875" style="8" customWidth="1"/>
    <col min="8195" max="8439" width="9.109375" style="8"/>
    <col min="8440" max="8440" width="8.6640625" style="8" customWidth="1"/>
    <col min="8441" max="8441" width="9.88671875" style="8" customWidth="1"/>
    <col min="8442" max="8442" width="14.44140625" style="8" customWidth="1"/>
    <col min="8443" max="8443" width="7.33203125" style="8" customWidth="1"/>
    <col min="8444" max="8444" width="5.5546875" style="8" customWidth="1"/>
    <col min="8445" max="8445" width="9" style="8" customWidth="1"/>
    <col min="8446" max="8447" width="9.88671875" style="8" customWidth="1"/>
    <col min="8448" max="8448" width="11.109375" style="8" customWidth="1"/>
    <col min="8449" max="8449" width="2.88671875" style="8" customWidth="1"/>
    <col min="8450" max="8450" width="3.5546875" style="8" customWidth="1"/>
    <col min="8451" max="8695" width="9.109375" style="8"/>
    <col min="8696" max="8696" width="8.6640625" style="8" customWidth="1"/>
    <col min="8697" max="8697" width="9.88671875" style="8" customWidth="1"/>
    <col min="8698" max="8698" width="14.44140625" style="8" customWidth="1"/>
    <col min="8699" max="8699" width="7.33203125" style="8" customWidth="1"/>
    <col min="8700" max="8700" width="5.5546875" style="8" customWidth="1"/>
    <col min="8701" max="8701" width="9" style="8" customWidth="1"/>
    <col min="8702" max="8703" width="9.88671875" style="8" customWidth="1"/>
    <col min="8704" max="8704" width="11.109375" style="8" customWidth="1"/>
    <col min="8705" max="8705" width="2.88671875" style="8" customWidth="1"/>
    <col min="8706" max="8706" width="3.5546875" style="8" customWidth="1"/>
    <col min="8707" max="8951" width="9.109375" style="8"/>
    <col min="8952" max="8952" width="8.6640625" style="8" customWidth="1"/>
    <col min="8953" max="8953" width="9.88671875" style="8" customWidth="1"/>
    <col min="8954" max="8954" width="14.44140625" style="8" customWidth="1"/>
    <col min="8955" max="8955" width="7.33203125" style="8" customWidth="1"/>
    <col min="8956" max="8956" width="5.5546875" style="8" customWidth="1"/>
    <col min="8957" max="8957" width="9" style="8" customWidth="1"/>
    <col min="8958" max="8959" width="9.88671875" style="8" customWidth="1"/>
    <col min="8960" max="8960" width="11.109375" style="8" customWidth="1"/>
    <col min="8961" max="8961" width="2.88671875" style="8" customWidth="1"/>
    <col min="8962" max="8962" width="3.5546875" style="8" customWidth="1"/>
    <col min="8963" max="9207" width="9.109375" style="8"/>
    <col min="9208" max="9208" width="8.6640625" style="8" customWidth="1"/>
    <col min="9209" max="9209" width="9.88671875" style="8" customWidth="1"/>
    <col min="9210" max="9210" width="14.44140625" style="8" customWidth="1"/>
    <col min="9211" max="9211" width="7.33203125" style="8" customWidth="1"/>
    <col min="9212" max="9212" width="5.5546875" style="8" customWidth="1"/>
    <col min="9213" max="9213" width="9" style="8" customWidth="1"/>
    <col min="9214" max="9215" width="9.88671875" style="8" customWidth="1"/>
    <col min="9216" max="9216" width="11.109375" style="8" customWidth="1"/>
    <col min="9217" max="9217" width="2.88671875" style="8" customWidth="1"/>
    <col min="9218" max="9218" width="3.5546875" style="8" customWidth="1"/>
    <col min="9219" max="9463" width="9.109375" style="8"/>
    <col min="9464" max="9464" width="8.6640625" style="8" customWidth="1"/>
    <col min="9465" max="9465" width="9.88671875" style="8" customWidth="1"/>
    <col min="9466" max="9466" width="14.44140625" style="8" customWidth="1"/>
    <col min="9467" max="9467" width="7.33203125" style="8" customWidth="1"/>
    <col min="9468" max="9468" width="5.5546875" style="8" customWidth="1"/>
    <col min="9469" max="9469" width="9" style="8" customWidth="1"/>
    <col min="9470" max="9471" width="9.88671875" style="8" customWidth="1"/>
    <col min="9472" max="9472" width="11.109375" style="8" customWidth="1"/>
    <col min="9473" max="9473" width="2.88671875" style="8" customWidth="1"/>
    <col min="9474" max="9474" width="3.5546875" style="8" customWidth="1"/>
    <col min="9475" max="9719" width="9.109375" style="8"/>
    <col min="9720" max="9720" width="8.6640625" style="8" customWidth="1"/>
    <col min="9721" max="9721" width="9.88671875" style="8" customWidth="1"/>
    <col min="9722" max="9722" width="14.44140625" style="8" customWidth="1"/>
    <col min="9723" max="9723" width="7.33203125" style="8" customWidth="1"/>
    <col min="9724" max="9724" width="5.5546875" style="8" customWidth="1"/>
    <col min="9725" max="9725" width="9" style="8" customWidth="1"/>
    <col min="9726" max="9727" width="9.88671875" style="8" customWidth="1"/>
    <col min="9728" max="9728" width="11.109375" style="8" customWidth="1"/>
    <col min="9729" max="9729" width="2.88671875" style="8" customWidth="1"/>
    <col min="9730" max="9730" width="3.5546875" style="8" customWidth="1"/>
    <col min="9731" max="9975" width="9.109375" style="8"/>
    <col min="9976" max="9976" width="8.6640625" style="8" customWidth="1"/>
    <col min="9977" max="9977" width="9.88671875" style="8" customWidth="1"/>
    <col min="9978" max="9978" width="14.44140625" style="8" customWidth="1"/>
    <col min="9979" max="9979" width="7.33203125" style="8" customWidth="1"/>
    <col min="9980" max="9980" width="5.5546875" style="8" customWidth="1"/>
    <col min="9981" max="9981" width="9" style="8" customWidth="1"/>
    <col min="9982" max="9983" width="9.88671875" style="8" customWidth="1"/>
    <col min="9984" max="9984" width="11.109375" style="8" customWidth="1"/>
    <col min="9985" max="9985" width="2.88671875" style="8" customWidth="1"/>
    <col min="9986" max="9986" width="3.5546875" style="8" customWidth="1"/>
    <col min="9987" max="10231" width="9.109375" style="8"/>
    <col min="10232" max="10232" width="8.6640625" style="8" customWidth="1"/>
    <col min="10233" max="10233" width="9.88671875" style="8" customWidth="1"/>
    <col min="10234" max="10234" width="14.44140625" style="8" customWidth="1"/>
    <col min="10235" max="10235" width="7.33203125" style="8" customWidth="1"/>
    <col min="10236" max="10236" width="5.5546875" style="8" customWidth="1"/>
    <col min="10237" max="10237" width="9" style="8" customWidth="1"/>
    <col min="10238" max="10239" width="9.88671875" style="8" customWidth="1"/>
    <col min="10240" max="10240" width="11.109375" style="8" customWidth="1"/>
    <col min="10241" max="10241" width="2.88671875" style="8" customWidth="1"/>
    <col min="10242" max="10242" width="3.5546875" style="8" customWidth="1"/>
    <col min="10243" max="10487" width="9.109375" style="8"/>
    <col min="10488" max="10488" width="8.6640625" style="8" customWidth="1"/>
    <col min="10489" max="10489" width="9.88671875" style="8" customWidth="1"/>
    <col min="10490" max="10490" width="14.44140625" style="8" customWidth="1"/>
    <col min="10491" max="10491" width="7.33203125" style="8" customWidth="1"/>
    <col min="10492" max="10492" width="5.5546875" style="8" customWidth="1"/>
    <col min="10493" max="10493" width="9" style="8" customWidth="1"/>
    <col min="10494" max="10495" width="9.88671875" style="8" customWidth="1"/>
    <col min="10496" max="10496" width="11.109375" style="8" customWidth="1"/>
    <col min="10497" max="10497" width="2.88671875" style="8" customWidth="1"/>
    <col min="10498" max="10498" width="3.5546875" style="8" customWidth="1"/>
    <col min="10499" max="10743" width="9.109375" style="8"/>
    <col min="10744" max="10744" width="8.6640625" style="8" customWidth="1"/>
    <col min="10745" max="10745" width="9.88671875" style="8" customWidth="1"/>
    <col min="10746" max="10746" width="14.44140625" style="8" customWidth="1"/>
    <col min="10747" max="10747" width="7.33203125" style="8" customWidth="1"/>
    <col min="10748" max="10748" width="5.5546875" style="8" customWidth="1"/>
    <col min="10749" max="10749" width="9" style="8" customWidth="1"/>
    <col min="10750" max="10751" width="9.88671875" style="8" customWidth="1"/>
    <col min="10752" max="10752" width="11.109375" style="8" customWidth="1"/>
    <col min="10753" max="10753" width="2.88671875" style="8" customWidth="1"/>
    <col min="10754" max="10754" width="3.5546875" style="8" customWidth="1"/>
    <col min="10755" max="10999" width="9.109375" style="8"/>
    <col min="11000" max="11000" width="8.6640625" style="8" customWidth="1"/>
    <col min="11001" max="11001" width="9.88671875" style="8" customWidth="1"/>
    <col min="11002" max="11002" width="14.44140625" style="8" customWidth="1"/>
    <col min="11003" max="11003" width="7.33203125" style="8" customWidth="1"/>
    <col min="11004" max="11004" width="5.5546875" style="8" customWidth="1"/>
    <col min="11005" max="11005" width="9" style="8" customWidth="1"/>
    <col min="11006" max="11007" width="9.88671875" style="8" customWidth="1"/>
    <col min="11008" max="11008" width="11.109375" style="8" customWidth="1"/>
    <col min="11009" max="11009" width="2.88671875" style="8" customWidth="1"/>
    <col min="11010" max="11010" width="3.5546875" style="8" customWidth="1"/>
    <col min="11011" max="11255" width="9.109375" style="8"/>
    <col min="11256" max="11256" width="8.6640625" style="8" customWidth="1"/>
    <col min="11257" max="11257" width="9.88671875" style="8" customWidth="1"/>
    <col min="11258" max="11258" width="14.44140625" style="8" customWidth="1"/>
    <col min="11259" max="11259" width="7.33203125" style="8" customWidth="1"/>
    <col min="11260" max="11260" width="5.5546875" style="8" customWidth="1"/>
    <col min="11261" max="11261" width="9" style="8" customWidth="1"/>
    <col min="11262" max="11263" width="9.88671875" style="8" customWidth="1"/>
    <col min="11264" max="11264" width="11.109375" style="8" customWidth="1"/>
    <col min="11265" max="11265" width="2.88671875" style="8" customWidth="1"/>
    <col min="11266" max="11266" width="3.5546875" style="8" customWidth="1"/>
    <col min="11267" max="11511" width="9.109375" style="8"/>
    <col min="11512" max="11512" width="8.6640625" style="8" customWidth="1"/>
    <col min="11513" max="11513" width="9.88671875" style="8" customWidth="1"/>
    <col min="11514" max="11514" width="14.44140625" style="8" customWidth="1"/>
    <col min="11515" max="11515" width="7.33203125" style="8" customWidth="1"/>
    <col min="11516" max="11516" width="5.5546875" style="8" customWidth="1"/>
    <col min="11517" max="11517" width="9" style="8" customWidth="1"/>
    <col min="11518" max="11519" width="9.88671875" style="8" customWidth="1"/>
    <col min="11520" max="11520" width="11.109375" style="8" customWidth="1"/>
    <col min="11521" max="11521" width="2.88671875" style="8" customWidth="1"/>
    <col min="11522" max="11522" width="3.5546875" style="8" customWidth="1"/>
    <col min="11523" max="11767" width="9.109375" style="8"/>
    <col min="11768" max="11768" width="8.6640625" style="8" customWidth="1"/>
    <col min="11769" max="11769" width="9.88671875" style="8" customWidth="1"/>
    <col min="11770" max="11770" width="14.44140625" style="8" customWidth="1"/>
    <col min="11771" max="11771" width="7.33203125" style="8" customWidth="1"/>
    <col min="11772" max="11772" width="5.5546875" style="8" customWidth="1"/>
    <col min="11773" max="11773" width="9" style="8" customWidth="1"/>
    <col min="11774" max="11775" width="9.88671875" style="8" customWidth="1"/>
    <col min="11776" max="11776" width="11.109375" style="8" customWidth="1"/>
    <col min="11777" max="11777" width="2.88671875" style="8" customWidth="1"/>
    <col min="11778" max="11778" width="3.5546875" style="8" customWidth="1"/>
    <col min="11779" max="12023" width="9.109375" style="8"/>
    <col min="12024" max="12024" width="8.6640625" style="8" customWidth="1"/>
    <col min="12025" max="12025" width="9.88671875" style="8" customWidth="1"/>
    <col min="12026" max="12026" width="14.44140625" style="8" customWidth="1"/>
    <col min="12027" max="12027" width="7.33203125" style="8" customWidth="1"/>
    <col min="12028" max="12028" width="5.5546875" style="8" customWidth="1"/>
    <col min="12029" max="12029" width="9" style="8" customWidth="1"/>
    <col min="12030" max="12031" width="9.88671875" style="8" customWidth="1"/>
    <col min="12032" max="12032" width="11.109375" style="8" customWidth="1"/>
    <col min="12033" max="12033" width="2.88671875" style="8" customWidth="1"/>
    <col min="12034" max="12034" width="3.5546875" style="8" customWidth="1"/>
    <col min="12035" max="12279" width="9.109375" style="8"/>
    <col min="12280" max="12280" width="8.6640625" style="8" customWidth="1"/>
    <col min="12281" max="12281" width="9.88671875" style="8" customWidth="1"/>
    <col min="12282" max="12282" width="14.44140625" style="8" customWidth="1"/>
    <col min="12283" max="12283" width="7.33203125" style="8" customWidth="1"/>
    <col min="12284" max="12284" width="5.5546875" style="8" customWidth="1"/>
    <col min="12285" max="12285" width="9" style="8" customWidth="1"/>
    <col min="12286" max="12287" width="9.88671875" style="8" customWidth="1"/>
    <col min="12288" max="12288" width="11.109375" style="8" customWidth="1"/>
    <col min="12289" max="12289" width="2.88671875" style="8" customWidth="1"/>
    <col min="12290" max="12290" width="3.5546875" style="8" customWidth="1"/>
    <col min="12291" max="12535" width="9.109375" style="8"/>
    <col min="12536" max="12536" width="8.6640625" style="8" customWidth="1"/>
    <col min="12537" max="12537" width="9.88671875" style="8" customWidth="1"/>
    <col min="12538" max="12538" width="14.44140625" style="8" customWidth="1"/>
    <col min="12539" max="12539" width="7.33203125" style="8" customWidth="1"/>
    <col min="12540" max="12540" width="5.5546875" style="8" customWidth="1"/>
    <col min="12541" max="12541" width="9" style="8" customWidth="1"/>
    <col min="12542" max="12543" width="9.88671875" style="8" customWidth="1"/>
    <col min="12544" max="12544" width="11.109375" style="8" customWidth="1"/>
    <col min="12545" max="12545" width="2.88671875" style="8" customWidth="1"/>
    <col min="12546" max="12546" width="3.5546875" style="8" customWidth="1"/>
    <col min="12547" max="12791" width="9.109375" style="8"/>
    <col min="12792" max="12792" width="8.6640625" style="8" customWidth="1"/>
    <col min="12793" max="12793" width="9.88671875" style="8" customWidth="1"/>
    <col min="12794" max="12794" width="14.44140625" style="8" customWidth="1"/>
    <col min="12795" max="12795" width="7.33203125" style="8" customWidth="1"/>
    <col min="12796" max="12796" width="5.5546875" style="8" customWidth="1"/>
    <col min="12797" max="12797" width="9" style="8" customWidth="1"/>
    <col min="12798" max="12799" width="9.88671875" style="8" customWidth="1"/>
    <col min="12800" max="12800" width="11.109375" style="8" customWidth="1"/>
    <col min="12801" max="12801" width="2.88671875" style="8" customWidth="1"/>
    <col min="12802" max="12802" width="3.5546875" style="8" customWidth="1"/>
    <col min="12803" max="13047" width="9.109375" style="8"/>
    <col min="13048" max="13048" width="8.6640625" style="8" customWidth="1"/>
    <col min="13049" max="13049" width="9.88671875" style="8" customWidth="1"/>
    <col min="13050" max="13050" width="14.44140625" style="8" customWidth="1"/>
    <col min="13051" max="13051" width="7.33203125" style="8" customWidth="1"/>
    <col min="13052" max="13052" width="5.5546875" style="8" customWidth="1"/>
    <col min="13053" max="13053" width="9" style="8" customWidth="1"/>
    <col min="13054" max="13055" width="9.88671875" style="8" customWidth="1"/>
    <col min="13056" max="13056" width="11.109375" style="8" customWidth="1"/>
    <col min="13057" max="13057" width="2.88671875" style="8" customWidth="1"/>
    <col min="13058" max="13058" width="3.5546875" style="8" customWidth="1"/>
    <col min="13059" max="13303" width="9.109375" style="8"/>
    <col min="13304" max="13304" width="8.6640625" style="8" customWidth="1"/>
    <col min="13305" max="13305" width="9.88671875" style="8" customWidth="1"/>
    <col min="13306" max="13306" width="14.44140625" style="8" customWidth="1"/>
    <col min="13307" max="13307" width="7.33203125" style="8" customWidth="1"/>
    <col min="13308" max="13308" width="5.5546875" style="8" customWidth="1"/>
    <col min="13309" max="13309" width="9" style="8" customWidth="1"/>
    <col min="13310" max="13311" width="9.88671875" style="8" customWidth="1"/>
    <col min="13312" max="13312" width="11.109375" style="8" customWidth="1"/>
    <col min="13313" max="13313" width="2.88671875" style="8" customWidth="1"/>
    <col min="13314" max="13314" width="3.5546875" style="8" customWidth="1"/>
    <col min="13315" max="13559" width="9.109375" style="8"/>
    <col min="13560" max="13560" width="8.6640625" style="8" customWidth="1"/>
    <col min="13561" max="13561" width="9.88671875" style="8" customWidth="1"/>
    <col min="13562" max="13562" width="14.44140625" style="8" customWidth="1"/>
    <col min="13563" max="13563" width="7.33203125" style="8" customWidth="1"/>
    <col min="13564" max="13564" width="5.5546875" style="8" customWidth="1"/>
    <col min="13565" max="13565" width="9" style="8" customWidth="1"/>
    <col min="13566" max="13567" width="9.88671875" style="8" customWidth="1"/>
    <col min="13568" max="13568" width="11.109375" style="8" customWidth="1"/>
    <col min="13569" max="13569" width="2.88671875" style="8" customWidth="1"/>
    <col min="13570" max="13570" width="3.5546875" style="8" customWidth="1"/>
    <col min="13571" max="13815" width="9.109375" style="8"/>
    <col min="13816" max="13816" width="8.6640625" style="8" customWidth="1"/>
    <col min="13817" max="13817" width="9.88671875" style="8" customWidth="1"/>
    <col min="13818" max="13818" width="14.44140625" style="8" customWidth="1"/>
    <col min="13819" max="13819" width="7.33203125" style="8" customWidth="1"/>
    <col min="13820" max="13820" width="5.5546875" style="8" customWidth="1"/>
    <col min="13821" max="13821" width="9" style="8" customWidth="1"/>
    <col min="13822" max="13823" width="9.88671875" style="8" customWidth="1"/>
    <col min="13824" max="13824" width="11.109375" style="8" customWidth="1"/>
    <col min="13825" max="13825" width="2.88671875" style="8" customWidth="1"/>
    <col min="13826" max="13826" width="3.5546875" style="8" customWidth="1"/>
    <col min="13827" max="14071" width="9.109375" style="8"/>
    <col min="14072" max="14072" width="8.6640625" style="8" customWidth="1"/>
    <col min="14073" max="14073" width="9.88671875" style="8" customWidth="1"/>
    <col min="14074" max="14074" width="14.44140625" style="8" customWidth="1"/>
    <col min="14075" max="14075" width="7.33203125" style="8" customWidth="1"/>
    <col min="14076" max="14076" width="5.5546875" style="8" customWidth="1"/>
    <col min="14077" max="14077" width="9" style="8" customWidth="1"/>
    <col min="14078" max="14079" width="9.88671875" style="8" customWidth="1"/>
    <col min="14080" max="14080" width="11.109375" style="8" customWidth="1"/>
    <col min="14081" max="14081" width="2.88671875" style="8" customWidth="1"/>
    <col min="14082" max="14082" width="3.5546875" style="8" customWidth="1"/>
    <col min="14083" max="14327" width="9.109375" style="8"/>
    <col min="14328" max="14328" width="8.6640625" style="8" customWidth="1"/>
    <col min="14329" max="14329" width="9.88671875" style="8" customWidth="1"/>
    <col min="14330" max="14330" width="14.44140625" style="8" customWidth="1"/>
    <col min="14331" max="14331" width="7.33203125" style="8" customWidth="1"/>
    <col min="14332" max="14332" width="5.5546875" style="8" customWidth="1"/>
    <col min="14333" max="14333" width="9" style="8" customWidth="1"/>
    <col min="14334" max="14335" width="9.88671875" style="8" customWidth="1"/>
    <col min="14336" max="14336" width="11.109375" style="8" customWidth="1"/>
    <col min="14337" max="14337" width="2.88671875" style="8" customWidth="1"/>
    <col min="14338" max="14338" width="3.5546875" style="8" customWidth="1"/>
    <col min="14339" max="14583" width="9.109375" style="8"/>
    <col min="14584" max="14584" width="8.6640625" style="8" customWidth="1"/>
    <col min="14585" max="14585" width="9.88671875" style="8" customWidth="1"/>
    <col min="14586" max="14586" width="14.44140625" style="8" customWidth="1"/>
    <col min="14587" max="14587" width="7.33203125" style="8" customWidth="1"/>
    <col min="14588" max="14588" width="5.5546875" style="8" customWidth="1"/>
    <col min="14589" max="14589" width="9" style="8" customWidth="1"/>
    <col min="14590" max="14591" width="9.88671875" style="8" customWidth="1"/>
    <col min="14592" max="14592" width="11.109375" style="8" customWidth="1"/>
    <col min="14593" max="14593" width="2.88671875" style="8" customWidth="1"/>
    <col min="14594" max="14594" width="3.5546875" style="8" customWidth="1"/>
    <col min="14595" max="14839" width="9.109375" style="8"/>
    <col min="14840" max="14840" width="8.6640625" style="8" customWidth="1"/>
    <col min="14841" max="14841" width="9.88671875" style="8" customWidth="1"/>
    <col min="14842" max="14842" width="14.44140625" style="8" customWidth="1"/>
    <col min="14843" max="14843" width="7.33203125" style="8" customWidth="1"/>
    <col min="14844" max="14844" width="5.5546875" style="8" customWidth="1"/>
    <col min="14845" max="14845" width="9" style="8" customWidth="1"/>
    <col min="14846" max="14847" width="9.88671875" style="8" customWidth="1"/>
    <col min="14848" max="14848" width="11.109375" style="8" customWidth="1"/>
    <col min="14849" max="14849" width="2.88671875" style="8" customWidth="1"/>
    <col min="14850" max="14850" width="3.5546875" style="8" customWidth="1"/>
    <col min="14851" max="15095" width="9.109375" style="8"/>
    <col min="15096" max="15096" width="8.6640625" style="8" customWidth="1"/>
    <col min="15097" max="15097" width="9.88671875" style="8" customWidth="1"/>
    <col min="15098" max="15098" width="14.44140625" style="8" customWidth="1"/>
    <col min="15099" max="15099" width="7.33203125" style="8" customWidth="1"/>
    <col min="15100" max="15100" width="5.5546875" style="8" customWidth="1"/>
    <col min="15101" max="15101" width="9" style="8" customWidth="1"/>
    <col min="15102" max="15103" width="9.88671875" style="8" customWidth="1"/>
    <col min="15104" max="15104" width="11.109375" style="8" customWidth="1"/>
    <col min="15105" max="15105" width="2.88671875" style="8" customWidth="1"/>
    <col min="15106" max="15106" width="3.5546875" style="8" customWidth="1"/>
    <col min="15107" max="15351" width="9.109375" style="8"/>
    <col min="15352" max="15352" width="8.6640625" style="8" customWidth="1"/>
    <col min="15353" max="15353" width="9.88671875" style="8" customWidth="1"/>
    <col min="15354" max="15354" width="14.44140625" style="8" customWidth="1"/>
    <col min="15355" max="15355" width="7.33203125" style="8" customWidth="1"/>
    <col min="15356" max="15356" width="5.5546875" style="8" customWidth="1"/>
    <col min="15357" max="15357" width="9" style="8" customWidth="1"/>
    <col min="15358" max="15359" width="9.88671875" style="8" customWidth="1"/>
    <col min="15360" max="15360" width="11.109375" style="8" customWidth="1"/>
    <col min="15361" max="15361" width="2.88671875" style="8" customWidth="1"/>
    <col min="15362" max="15362" width="3.5546875" style="8" customWidth="1"/>
    <col min="15363" max="15607" width="9.109375" style="8"/>
    <col min="15608" max="15608" width="8.6640625" style="8" customWidth="1"/>
    <col min="15609" max="15609" width="9.88671875" style="8" customWidth="1"/>
    <col min="15610" max="15610" width="14.44140625" style="8" customWidth="1"/>
    <col min="15611" max="15611" width="7.33203125" style="8" customWidth="1"/>
    <col min="15612" max="15612" width="5.5546875" style="8" customWidth="1"/>
    <col min="15613" max="15613" width="9" style="8" customWidth="1"/>
    <col min="15614" max="15615" width="9.88671875" style="8" customWidth="1"/>
    <col min="15616" max="15616" width="11.109375" style="8" customWidth="1"/>
    <col min="15617" max="15617" width="2.88671875" style="8" customWidth="1"/>
    <col min="15618" max="15618" width="3.5546875" style="8" customWidth="1"/>
    <col min="15619" max="15863" width="9.109375" style="8"/>
    <col min="15864" max="15864" width="8.6640625" style="8" customWidth="1"/>
    <col min="15865" max="15865" width="9.88671875" style="8" customWidth="1"/>
    <col min="15866" max="15866" width="14.44140625" style="8" customWidth="1"/>
    <col min="15867" max="15867" width="7.33203125" style="8" customWidth="1"/>
    <col min="15868" max="15868" width="5.5546875" style="8" customWidth="1"/>
    <col min="15869" max="15869" width="9" style="8" customWidth="1"/>
    <col min="15870" max="15871" width="9.88671875" style="8" customWidth="1"/>
    <col min="15872" max="15872" width="11.109375" style="8" customWidth="1"/>
    <col min="15873" max="15873" width="2.88671875" style="8" customWidth="1"/>
    <col min="15874" max="15874" width="3.5546875" style="8" customWidth="1"/>
    <col min="15875" max="16119" width="9.109375" style="8"/>
    <col min="16120" max="16120" width="8.6640625" style="8" customWidth="1"/>
    <col min="16121" max="16121" width="9.88671875" style="8" customWidth="1"/>
    <col min="16122" max="16122" width="14.44140625" style="8" customWidth="1"/>
    <col min="16123" max="16123" width="7.33203125" style="8" customWidth="1"/>
    <col min="16124" max="16124" width="5.5546875" style="8" customWidth="1"/>
    <col min="16125" max="16125" width="9" style="8" customWidth="1"/>
    <col min="16126" max="16127" width="9.88671875" style="8" customWidth="1"/>
    <col min="16128" max="16128" width="11.109375" style="8" customWidth="1"/>
    <col min="16129" max="16129" width="2.88671875" style="8" customWidth="1"/>
    <col min="16130" max="16130" width="3.5546875" style="8" customWidth="1"/>
    <col min="16131" max="16384" width="9.109375" style="8"/>
  </cols>
  <sheetData>
    <row r="1" spans="1:8" ht="46.5" customHeight="1" x14ac:dyDescent="0.3">
      <c r="A1" s="161" t="s">
        <v>266</v>
      </c>
      <c r="B1" s="161"/>
      <c r="C1" s="161"/>
      <c r="D1" s="161"/>
      <c r="E1" s="161"/>
      <c r="F1" s="161"/>
      <c r="G1" s="161"/>
      <c r="H1" s="161"/>
    </row>
    <row r="2" spans="1:8" ht="16.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</row>
    <row r="3" spans="1:8" x14ac:dyDescent="0.3">
      <c r="A3" s="121" t="s">
        <v>1</v>
      </c>
      <c r="B3" s="121"/>
      <c r="C3" s="121"/>
      <c r="D3" s="121"/>
      <c r="E3" s="160" t="str">
        <f ca="1">TEXT(TODAY(),"DD/MM/YYYY")</f>
        <v>15/09/2025</v>
      </c>
      <c r="F3" s="160"/>
      <c r="G3" s="160"/>
      <c r="H3" s="160"/>
    </row>
    <row r="4" spans="1:8" ht="15" customHeight="1" x14ac:dyDescent="0.3">
      <c r="A4" s="121" t="s">
        <v>2</v>
      </c>
      <c r="B4" s="121"/>
      <c r="C4" s="121"/>
      <c r="D4" s="121"/>
      <c r="E4" s="157" t="s">
        <v>222</v>
      </c>
      <c r="F4" s="157"/>
      <c r="G4" s="157"/>
      <c r="H4" s="157"/>
    </row>
    <row r="5" spans="1:8" x14ac:dyDescent="0.3">
      <c r="A5" s="121" t="s">
        <v>3</v>
      </c>
      <c r="B5" s="121"/>
      <c r="C5" s="121"/>
      <c r="D5" s="121"/>
      <c r="E5" s="160">
        <v>45911</v>
      </c>
      <c r="F5" s="160"/>
      <c r="G5" s="160"/>
      <c r="H5" s="160"/>
    </row>
    <row r="6" spans="1:8" ht="16.5" customHeight="1" x14ac:dyDescent="0.3">
      <c r="A6" s="121" t="s">
        <v>4</v>
      </c>
      <c r="B6" s="121"/>
      <c r="C6" s="121"/>
      <c r="D6" s="121"/>
      <c r="E6" s="156" t="s">
        <v>223</v>
      </c>
      <c r="F6" s="156"/>
      <c r="G6" s="156"/>
      <c r="H6" s="156"/>
    </row>
    <row r="7" spans="1:8" ht="15" customHeight="1" x14ac:dyDescent="0.3">
      <c r="A7" s="121" t="s">
        <v>5</v>
      </c>
      <c r="B7" s="121"/>
      <c r="C7" s="121"/>
      <c r="D7" s="121"/>
      <c r="E7" s="156" t="str">
        <f>E6</f>
        <v>M/s.Shree Sai Home Makers</v>
      </c>
      <c r="F7" s="156"/>
      <c r="G7" s="156"/>
      <c r="H7" s="156"/>
    </row>
    <row r="8" spans="1:8" x14ac:dyDescent="0.3">
      <c r="A8" s="121" t="s">
        <v>6</v>
      </c>
      <c r="B8" s="121"/>
      <c r="C8" s="121"/>
      <c r="D8" s="121"/>
      <c r="E8" s="125" t="s">
        <v>224</v>
      </c>
      <c r="F8" s="125"/>
      <c r="G8" s="125"/>
      <c r="H8" s="125"/>
    </row>
    <row r="9" spans="1:8" x14ac:dyDescent="0.3">
      <c r="A9" s="121" t="s">
        <v>158</v>
      </c>
      <c r="B9" s="121"/>
      <c r="C9" s="121"/>
      <c r="D9" s="121"/>
      <c r="E9" s="121" t="s">
        <v>225</v>
      </c>
      <c r="F9" s="121"/>
      <c r="G9" s="121"/>
      <c r="H9" s="121"/>
    </row>
    <row r="10" spans="1:8" ht="31.5" customHeight="1" x14ac:dyDescent="0.3">
      <c r="A10" s="124" t="s">
        <v>7</v>
      </c>
      <c r="B10" s="124"/>
      <c r="C10" s="124"/>
      <c r="D10" s="124"/>
      <c r="E10" s="151" t="s">
        <v>226</v>
      </c>
      <c r="F10" s="124"/>
      <c r="G10" s="124"/>
      <c r="H10" s="124"/>
    </row>
    <row r="11" spans="1:8" x14ac:dyDescent="0.3">
      <c r="A11" s="121" t="s">
        <v>8</v>
      </c>
      <c r="B11" s="121"/>
      <c r="C11" s="121"/>
      <c r="D11" s="121"/>
      <c r="E11" s="151" t="s">
        <v>249</v>
      </c>
      <c r="F11" s="151"/>
      <c r="G11" s="151"/>
      <c r="H11" s="151"/>
    </row>
    <row r="12" spans="1:8" x14ac:dyDescent="0.3">
      <c r="A12" s="121" t="s">
        <v>9</v>
      </c>
      <c r="B12" s="121"/>
      <c r="C12" s="121"/>
      <c r="D12" s="121"/>
      <c r="E12" s="151" t="s">
        <v>227</v>
      </c>
      <c r="F12" s="124"/>
      <c r="G12" s="124"/>
      <c r="H12" s="124"/>
    </row>
    <row r="13" spans="1:8" ht="64.5" customHeight="1" x14ac:dyDescent="0.3">
      <c r="A13" s="156" t="s">
        <v>10</v>
      </c>
      <c r="B13" s="156"/>
      <c r="C13" s="156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K K Residency, CTS No.377, 378/A, 382/A, 382/B, 389, 390/A, 390/B, 391/A, 391/B, 92/A, 393, 394, 395/A, 395/B, 397/A, 397/B, 398/A, 398/B, 399, 586/A &amp; 586/B, near Commanders Renaissance, Panvel Matheran Road, Koproli, Panvel, Panvel, Raigad.</v>
      </c>
      <c r="D13" s="156"/>
      <c r="E13" s="156"/>
      <c r="F13" s="156"/>
      <c r="G13" s="156"/>
      <c r="H13" s="156"/>
    </row>
    <row r="14" spans="1:8" ht="33" customHeight="1" x14ac:dyDescent="0.3">
      <c r="A14" s="151" t="s">
        <v>250</v>
      </c>
      <c r="B14" s="151"/>
      <c r="C14" s="151" t="s">
        <v>228</v>
      </c>
      <c r="D14" s="151"/>
      <c r="E14" s="151"/>
      <c r="F14" s="151"/>
      <c r="G14" s="151"/>
      <c r="H14" s="151"/>
    </row>
    <row r="15" spans="1:8" ht="15.75" customHeight="1" x14ac:dyDescent="0.3">
      <c r="A15" s="156" t="s">
        <v>11</v>
      </c>
      <c r="B15" s="156"/>
      <c r="C15" s="124" t="s">
        <v>237</v>
      </c>
      <c r="D15" s="124"/>
      <c r="E15" s="156" t="s">
        <v>230</v>
      </c>
      <c r="F15" s="156"/>
      <c r="G15" s="151" t="s">
        <v>229</v>
      </c>
      <c r="H15" s="151"/>
    </row>
    <row r="16" spans="1:8" x14ac:dyDescent="0.3">
      <c r="A16" s="121" t="s">
        <v>13</v>
      </c>
      <c r="B16" s="121"/>
      <c r="C16" s="151" t="s">
        <v>232</v>
      </c>
      <c r="D16" s="151"/>
      <c r="E16" s="156" t="s">
        <v>12</v>
      </c>
      <c r="F16" s="156"/>
      <c r="G16" s="158" t="s">
        <v>231</v>
      </c>
      <c r="H16" s="158"/>
    </row>
    <row r="17" spans="1:8" x14ac:dyDescent="0.3">
      <c r="A17" s="121" t="s">
        <v>102</v>
      </c>
      <c r="B17" s="121"/>
      <c r="C17" s="151" t="s">
        <v>232</v>
      </c>
      <c r="D17" s="151"/>
      <c r="E17" s="156" t="s">
        <v>14</v>
      </c>
      <c r="F17" s="156"/>
      <c r="G17" s="151">
        <v>410208</v>
      </c>
      <c r="H17" s="151"/>
    </row>
    <row r="18" spans="1:8" ht="32.25" customHeight="1" x14ac:dyDescent="0.3">
      <c r="A18" s="121" t="s">
        <v>159</v>
      </c>
      <c r="B18" s="121"/>
      <c r="C18" s="159" t="s">
        <v>240</v>
      </c>
      <c r="D18" s="159"/>
      <c r="E18" s="156" t="s">
        <v>15</v>
      </c>
      <c r="F18" s="156"/>
      <c r="G18" s="151" t="s">
        <v>241</v>
      </c>
      <c r="H18" s="151"/>
    </row>
    <row r="19" spans="1:8" ht="15" customHeight="1" x14ac:dyDescent="0.3">
      <c r="A19" s="156" t="s">
        <v>107</v>
      </c>
      <c r="B19" s="156"/>
      <c r="C19" s="156"/>
      <c r="D19" s="156"/>
      <c r="E19" s="124" t="s">
        <v>16</v>
      </c>
      <c r="F19" s="124"/>
      <c r="G19" s="124"/>
      <c r="H19" s="124"/>
    </row>
    <row r="20" spans="1:8" ht="18.75" customHeight="1" x14ac:dyDescent="0.3">
      <c r="A20" s="156"/>
      <c r="B20" s="156"/>
      <c r="C20" s="156"/>
      <c r="D20" s="156"/>
      <c r="E20" s="124"/>
      <c r="F20" s="124"/>
      <c r="G20" s="124"/>
      <c r="H20" s="124"/>
    </row>
    <row r="21" spans="1:8" ht="15" customHeight="1" x14ac:dyDescent="0.3">
      <c r="A21" s="156" t="s">
        <v>17</v>
      </c>
      <c r="B21" s="156"/>
      <c r="C21" s="156"/>
      <c r="D21" s="156"/>
      <c r="E21" s="151" t="s">
        <v>18</v>
      </c>
      <c r="F21" s="151"/>
      <c r="G21" s="151"/>
      <c r="H21" s="151"/>
    </row>
    <row r="22" spans="1:8" ht="15" customHeight="1" x14ac:dyDescent="0.3">
      <c r="A22" s="121" t="s">
        <v>19</v>
      </c>
      <c r="B22" s="121"/>
      <c r="C22" s="121"/>
      <c r="D22" s="121"/>
      <c r="E22" s="151" t="str">
        <f>IF(AND(G16="Mumbai"),"Upper Class","Middle Class")</f>
        <v>Middle Class</v>
      </c>
      <c r="F22" s="151"/>
      <c r="G22" s="151"/>
      <c r="H22" s="151"/>
    </row>
    <row r="23" spans="1:8" x14ac:dyDescent="0.3">
      <c r="A23" s="121" t="s">
        <v>20</v>
      </c>
      <c r="B23" s="121"/>
      <c r="C23" s="121"/>
      <c r="D23" s="121"/>
      <c r="E23" s="151" t="s">
        <v>21</v>
      </c>
      <c r="F23" s="151"/>
      <c r="G23" s="151"/>
      <c r="H23" s="151"/>
    </row>
    <row r="24" spans="1:8" ht="15.75" customHeight="1" x14ac:dyDescent="0.3">
      <c r="A24" s="121" t="s">
        <v>22</v>
      </c>
      <c r="B24" s="121"/>
      <c r="C24" s="121"/>
      <c r="D24" s="121"/>
      <c r="E24" s="151" t="str">
        <f>IF(AND(G16="Mumbai"),"Developed","Developing")</f>
        <v>Developing</v>
      </c>
      <c r="F24" s="151"/>
      <c r="G24" s="151"/>
      <c r="H24" s="151"/>
    </row>
    <row r="25" spans="1:8" x14ac:dyDescent="0.3">
      <c r="A25" s="121" t="s">
        <v>23</v>
      </c>
      <c r="B25" s="121"/>
      <c r="C25" s="121"/>
      <c r="D25" s="121"/>
      <c r="E25" s="151" t="s">
        <v>24</v>
      </c>
      <c r="F25" s="151"/>
      <c r="G25" s="151"/>
      <c r="H25" s="151"/>
    </row>
    <row r="26" spans="1:8" x14ac:dyDescent="0.3">
      <c r="A26" s="121" t="s">
        <v>115</v>
      </c>
      <c r="B26" s="121"/>
      <c r="C26" s="121"/>
      <c r="D26" s="121"/>
      <c r="E26" s="151" t="s">
        <v>116</v>
      </c>
      <c r="F26" s="151"/>
      <c r="G26" s="151"/>
      <c r="H26" s="151"/>
    </row>
    <row r="27" spans="1:8" ht="15" customHeight="1" x14ac:dyDescent="0.3">
      <c r="A27" s="156" t="s">
        <v>33</v>
      </c>
      <c r="B27" s="156"/>
      <c r="C27" s="156"/>
      <c r="D27" s="156"/>
      <c r="E27" s="157" t="s">
        <v>111</v>
      </c>
      <c r="F27" s="157"/>
      <c r="G27" s="157"/>
      <c r="H27" s="157"/>
    </row>
    <row r="28" spans="1:8" x14ac:dyDescent="0.3">
      <c r="A28" s="156" t="s">
        <v>127</v>
      </c>
      <c r="B28" s="156"/>
      <c r="C28" s="156"/>
      <c r="D28" s="156"/>
      <c r="E28" s="156" t="s">
        <v>34</v>
      </c>
      <c r="F28" s="156"/>
      <c r="G28" s="156"/>
      <c r="H28" s="156"/>
    </row>
    <row r="29" spans="1:8" s="11" customFormat="1" x14ac:dyDescent="0.3">
      <c r="A29" s="155" t="s">
        <v>128</v>
      </c>
      <c r="B29" s="155"/>
      <c r="C29" s="153" t="s">
        <v>29</v>
      </c>
      <c r="D29" s="153"/>
      <c r="E29" s="153"/>
      <c r="F29" s="153" t="s">
        <v>31</v>
      </c>
      <c r="G29" s="153"/>
      <c r="H29" s="153"/>
    </row>
    <row r="30" spans="1:8" s="11" customFormat="1" x14ac:dyDescent="0.3">
      <c r="A30" s="154" t="s">
        <v>25</v>
      </c>
      <c r="B30" s="154" t="s">
        <v>30</v>
      </c>
      <c r="C30" s="152" t="s">
        <v>30</v>
      </c>
      <c r="D30" s="152"/>
      <c r="E30" s="152"/>
      <c r="F30" s="152" t="s">
        <v>11</v>
      </c>
      <c r="G30" s="152"/>
      <c r="H30" s="152"/>
    </row>
    <row r="31" spans="1:8" x14ac:dyDescent="0.3">
      <c r="A31" s="154" t="s">
        <v>26</v>
      </c>
      <c r="B31" s="154" t="s">
        <v>30</v>
      </c>
      <c r="C31" s="152" t="s">
        <v>30</v>
      </c>
      <c r="D31" s="152"/>
      <c r="E31" s="152"/>
      <c r="F31" s="152" t="s">
        <v>239</v>
      </c>
      <c r="G31" s="152"/>
      <c r="H31" s="152"/>
    </row>
    <row r="32" spans="1:8" s="11" customFormat="1" x14ac:dyDescent="0.3">
      <c r="A32" s="154" t="s">
        <v>28</v>
      </c>
      <c r="B32" s="154" t="s">
        <v>30</v>
      </c>
      <c r="C32" s="152" t="s">
        <v>30</v>
      </c>
      <c r="D32" s="152"/>
      <c r="E32" s="152"/>
      <c r="F32" s="152" t="s">
        <v>237</v>
      </c>
      <c r="G32" s="152"/>
      <c r="H32" s="152"/>
    </row>
    <row r="33" spans="1:8" x14ac:dyDescent="0.3">
      <c r="A33" s="154" t="s">
        <v>27</v>
      </c>
      <c r="B33" s="154" t="s">
        <v>30</v>
      </c>
      <c r="C33" s="152" t="s">
        <v>30</v>
      </c>
      <c r="D33" s="152"/>
      <c r="E33" s="152"/>
      <c r="F33" s="152" t="s">
        <v>238</v>
      </c>
      <c r="G33" s="152"/>
      <c r="H33" s="152"/>
    </row>
    <row r="34" spans="1:8" x14ac:dyDescent="0.3">
      <c r="A34" s="121" t="s">
        <v>32</v>
      </c>
      <c r="B34" s="121"/>
      <c r="C34" s="121"/>
      <c r="D34" s="121"/>
      <c r="E34" s="121"/>
      <c r="F34" s="121"/>
      <c r="G34" s="121"/>
      <c r="H34" s="121"/>
    </row>
    <row r="35" spans="1:8" ht="15.75" customHeight="1" x14ac:dyDescent="0.3">
      <c r="A35" s="121" t="s">
        <v>259</v>
      </c>
      <c r="B35" s="121"/>
      <c r="C35" s="208" t="s">
        <v>274</v>
      </c>
      <c r="D35" s="209"/>
      <c r="E35" s="209"/>
      <c r="F35" s="209"/>
      <c r="G35" s="209"/>
      <c r="H35" s="210"/>
    </row>
    <row r="36" spans="1:8" ht="15.75" customHeight="1" x14ac:dyDescent="0.3">
      <c r="A36" s="121" t="s">
        <v>260</v>
      </c>
      <c r="B36" s="121"/>
      <c r="C36" s="207" t="s">
        <v>261</v>
      </c>
      <c r="D36" s="205"/>
      <c r="E36" s="205"/>
      <c r="F36" s="205"/>
      <c r="G36" s="205"/>
      <c r="H36" s="206"/>
    </row>
    <row r="37" spans="1:8" x14ac:dyDescent="0.3">
      <c r="A37" s="125" t="s">
        <v>35</v>
      </c>
      <c r="B37" s="125"/>
      <c r="C37" s="125"/>
      <c r="D37" s="125"/>
      <c r="E37" s="125"/>
      <c r="F37" s="125"/>
      <c r="G37" s="125"/>
      <c r="H37" s="125"/>
    </row>
    <row r="38" spans="1:8" x14ac:dyDescent="0.3">
      <c r="A38" s="121" t="s">
        <v>36</v>
      </c>
      <c r="B38" s="121"/>
      <c r="C38" s="121"/>
      <c r="D38" s="121"/>
      <c r="E38" s="140">
        <v>4208.2700000000004</v>
      </c>
      <c r="F38" s="140"/>
      <c r="G38" s="140"/>
      <c r="H38" s="140"/>
    </row>
    <row r="39" spans="1:8" x14ac:dyDescent="0.3">
      <c r="A39" s="121" t="s">
        <v>37</v>
      </c>
      <c r="B39" s="121"/>
      <c r="C39" s="121"/>
      <c r="D39" s="121"/>
      <c r="E39" s="143">
        <v>1</v>
      </c>
      <c r="F39" s="143"/>
      <c r="G39" s="143"/>
      <c r="H39" s="143"/>
    </row>
    <row r="40" spans="1:8" x14ac:dyDescent="0.3">
      <c r="A40" s="121" t="s">
        <v>38</v>
      </c>
      <c r="B40" s="121"/>
      <c r="C40" s="121"/>
      <c r="D40" s="121"/>
      <c r="E40" s="143">
        <f>E42/E38-E39</f>
        <v>0</v>
      </c>
      <c r="F40" s="143"/>
      <c r="G40" s="143"/>
      <c r="H40" s="143"/>
    </row>
    <row r="41" spans="1:8" x14ac:dyDescent="0.3">
      <c r="A41" s="121" t="s">
        <v>39</v>
      </c>
      <c r="B41" s="121"/>
      <c r="C41" s="121"/>
      <c r="D41" s="121"/>
      <c r="E41" s="143">
        <f>E39+E40</f>
        <v>1</v>
      </c>
      <c r="F41" s="143"/>
      <c r="G41" s="143"/>
      <c r="H41" s="143"/>
    </row>
    <row r="42" spans="1:8" x14ac:dyDescent="0.3">
      <c r="A42" s="121" t="s">
        <v>126</v>
      </c>
      <c r="B42" s="121"/>
      <c r="C42" s="121"/>
      <c r="D42" s="121"/>
      <c r="E42" s="144">
        <v>4208.2700000000004</v>
      </c>
      <c r="F42" s="144"/>
      <c r="G42" s="144"/>
      <c r="H42" s="144"/>
    </row>
    <row r="43" spans="1:8" x14ac:dyDescent="0.3">
      <c r="A43" s="124" t="s">
        <v>40</v>
      </c>
      <c r="B43" s="124"/>
      <c r="C43" s="124"/>
      <c r="D43" s="124"/>
      <c r="E43" s="124" t="s">
        <v>235</v>
      </c>
      <c r="F43" s="124"/>
      <c r="G43" s="124"/>
      <c r="H43" s="124"/>
    </row>
    <row r="44" spans="1:8" x14ac:dyDescent="0.3">
      <c r="A44" s="125" t="s">
        <v>41</v>
      </c>
      <c r="B44" s="125"/>
      <c r="C44" s="125"/>
      <c r="D44" s="125"/>
      <c r="E44" s="125"/>
      <c r="F44" s="125"/>
      <c r="G44" s="125"/>
      <c r="H44" s="125"/>
    </row>
    <row r="45" spans="1:8" ht="31.5" customHeight="1" x14ac:dyDescent="0.3">
      <c r="A45" s="151" t="s">
        <v>42</v>
      </c>
      <c r="B45" s="151"/>
      <c r="C45" s="134" t="s">
        <v>233</v>
      </c>
      <c r="D45" s="123"/>
      <c r="E45" s="123"/>
      <c r="F45" s="76" t="s">
        <v>43</v>
      </c>
      <c r="G45" s="150" t="s">
        <v>234</v>
      </c>
      <c r="H45" s="150"/>
    </row>
    <row r="46" spans="1:8" ht="32.25" customHeight="1" x14ac:dyDescent="0.3">
      <c r="A46" s="124" t="s">
        <v>44</v>
      </c>
      <c r="B46" s="124"/>
      <c r="C46" s="134" t="str">
        <f>C45</f>
        <v>CIDCO/NAINA/Panvel/Koproli/BP-00511/CC/2020/0025</v>
      </c>
      <c r="D46" s="134"/>
      <c r="E46" s="134"/>
      <c r="F46" s="76" t="s">
        <v>43</v>
      </c>
      <c r="G46" s="150" t="s">
        <v>234</v>
      </c>
      <c r="H46" s="150"/>
    </row>
    <row r="47" spans="1:8" s="10" customFormat="1" ht="35.25" customHeight="1" x14ac:dyDescent="0.3">
      <c r="A47" s="151" t="s">
        <v>45</v>
      </c>
      <c r="B47" s="151"/>
      <c r="C47" s="134" t="s">
        <v>233</v>
      </c>
      <c r="D47" s="123"/>
      <c r="E47" s="123"/>
      <c r="F47" s="13" t="s">
        <v>43</v>
      </c>
      <c r="G47" s="150" t="s">
        <v>234</v>
      </c>
      <c r="H47" s="150"/>
    </row>
    <row r="48" spans="1:8" s="10" customFormat="1" ht="32.25" customHeight="1" x14ac:dyDescent="0.3">
      <c r="A48" s="151"/>
      <c r="B48" s="151"/>
      <c r="C48" s="168" t="s">
        <v>236</v>
      </c>
      <c r="D48" s="169"/>
      <c r="E48" s="169"/>
      <c r="F48" s="169"/>
      <c r="G48" s="169"/>
      <c r="H48" s="170"/>
    </row>
    <row r="49" spans="1:14" x14ac:dyDescent="0.3">
      <c r="A49" s="104" t="s">
        <v>46</v>
      </c>
      <c r="B49" s="104"/>
      <c r="C49" s="171" t="s">
        <v>141</v>
      </c>
      <c r="D49" s="172"/>
      <c r="E49" s="172" t="s">
        <v>47</v>
      </c>
      <c r="F49" s="77" t="s">
        <v>43</v>
      </c>
      <c r="G49" s="174" t="s">
        <v>30</v>
      </c>
      <c r="H49" s="174"/>
    </row>
    <row r="50" spans="1:14" x14ac:dyDescent="0.3">
      <c r="A50" s="173" t="s">
        <v>49</v>
      </c>
      <c r="B50" s="173"/>
      <c r="C50" s="173"/>
      <c r="D50" s="173"/>
      <c r="E50" s="173"/>
      <c r="F50" s="173"/>
      <c r="G50" s="173"/>
      <c r="H50" s="173"/>
    </row>
    <row r="51" spans="1:14" x14ac:dyDescent="0.3">
      <c r="A51" s="156" t="s">
        <v>125</v>
      </c>
      <c r="B51" s="156"/>
      <c r="C51" s="156"/>
      <c r="D51" s="121">
        <f>E42</f>
        <v>4208.2700000000004</v>
      </c>
      <c r="E51" s="121"/>
      <c r="F51" s="121"/>
      <c r="G51" s="121"/>
      <c r="H51" s="121"/>
    </row>
    <row r="52" spans="1:14" x14ac:dyDescent="0.3">
      <c r="A52" s="151" t="s">
        <v>50</v>
      </c>
      <c r="B52" s="124"/>
      <c r="C52" s="124"/>
      <c r="D52" s="124" t="s">
        <v>221</v>
      </c>
      <c r="E52" s="124"/>
      <c r="F52" s="124"/>
      <c r="G52" s="124"/>
      <c r="H52" s="124"/>
      <c r="I52" s="40"/>
    </row>
    <row r="53" spans="1:14" ht="35.25" customHeight="1" x14ac:dyDescent="0.3">
      <c r="A53" s="147" t="s">
        <v>51</v>
      </c>
      <c r="B53" s="148"/>
      <c r="C53" s="149"/>
      <c r="D53" s="145" t="s">
        <v>255</v>
      </c>
      <c r="E53" s="146"/>
      <c r="F53" s="146"/>
      <c r="G53" s="146"/>
      <c r="H53" s="146"/>
    </row>
    <row r="54" spans="1:14" ht="15.75" customHeight="1" x14ac:dyDescent="0.3">
      <c r="A54" s="147" t="s">
        <v>123</v>
      </c>
      <c r="B54" s="148"/>
      <c r="C54" s="148"/>
      <c r="D54" s="162" t="s">
        <v>271</v>
      </c>
      <c r="E54" s="163"/>
      <c r="F54" s="163"/>
      <c r="G54" s="163"/>
      <c r="H54" s="164"/>
    </row>
    <row r="55" spans="1:14" ht="15.75" hidden="1" customHeight="1" x14ac:dyDescent="0.3">
      <c r="A55" s="175"/>
      <c r="B55" s="176"/>
      <c r="C55" s="176"/>
      <c r="D55" s="165" t="s">
        <v>242</v>
      </c>
      <c r="E55" s="166"/>
      <c r="F55" s="166"/>
      <c r="G55" s="166"/>
      <c r="H55" s="167"/>
    </row>
    <row r="56" spans="1:14" ht="15.75" customHeight="1" x14ac:dyDescent="0.3">
      <c r="A56" s="175"/>
      <c r="B56" s="176"/>
      <c r="C56" s="176"/>
      <c r="D56" s="165" t="s">
        <v>272</v>
      </c>
      <c r="E56" s="166"/>
      <c r="F56" s="166"/>
      <c r="G56" s="166"/>
      <c r="H56" s="167"/>
    </row>
    <row r="57" spans="1:14" ht="15.75" customHeight="1" x14ac:dyDescent="0.3">
      <c r="A57" s="175"/>
      <c r="B57" s="176"/>
      <c r="C57" s="176"/>
      <c r="D57" s="193" t="s">
        <v>273</v>
      </c>
      <c r="E57" s="194"/>
      <c r="F57" s="194"/>
      <c r="G57" s="194"/>
      <c r="H57" s="195"/>
    </row>
    <row r="58" spans="1:14" ht="15.75" hidden="1" customHeight="1" x14ac:dyDescent="0.3">
      <c r="A58" s="175"/>
      <c r="B58" s="176"/>
      <c r="C58" s="176"/>
      <c r="D58" s="193" t="s">
        <v>256</v>
      </c>
      <c r="E58" s="194"/>
      <c r="F58" s="194"/>
      <c r="G58" s="194"/>
      <c r="H58" s="195"/>
    </row>
    <row r="59" spans="1:14" ht="15.75" customHeight="1" x14ac:dyDescent="0.3">
      <c r="A59" s="121" t="s">
        <v>48</v>
      </c>
      <c r="B59" s="121"/>
      <c r="C59" s="121"/>
      <c r="D59" s="141" t="s">
        <v>244</v>
      </c>
      <c r="E59" s="141"/>
      <c r="F59" s="141"/>
      <c r="G59" s="141"/>
      <c r="H59" s="141"/>
      <c r="J59" s="39"/>
      <c r="K59" s="40"/>
      <c r="N59" s="40"/>
    </row>
    <row r="60" spans="1:14" ht="15.75" customHeight="1" x14ac:dyDescent="0.3">
      <c r="A60" s="121" t="s">
        <v>121</v>
      </c>
      <c r="B60" s="121"/>
      <c r="C60" s="121"/>
      <c r="D60" s="142" t="str">
        <f>(IF(G49="NA","60 Years After Completion",IF(G49&lt;&gt;"NA",""&amp;ROUNDDOWN((E3-G49)/360,0)&amp;" Years"," ")))</f>
        <v>60 Years After Completion</v>
      </c>
      <c r="E60" s="142"/>
      <c r="F60" s="142"/>
      <c r="G60" s="142"/>
      <c r="H60" s="142"/>
      <c r="N60" s="40"/>
    </row>
    <row r="61" spans="1:14" ht="15.75" customHeight="1" x14ac:dyDescent="0.3">
      <c r="A61" s="121" t="s">
        <v>122</v>
      </c>
      <c r="B61" s="121"/>
      <c r="C61" s="121"/>
      <c r="D61" s="156" t="s">
        <v>24</v>
      </c>
      <c r="E61" s="156"/>
      <c r="F61" s="156"/>
      <c r="G61" s="156"/>
      <c r="H61" s="156"/>
      <c r="J61" s="18"/>
      <c r="K61" s="18"/>
    </row>
    <row r="62" spans="1:14" ht="15.75" customHeight="1" thickBot="1" x14ac:dyDescent="0.35">
      <c r="A62" s="146" t="s">
        <v>120</v>
      </c>
      <c r="B62" s="146"/>
      <c r="C62" s="146"/>
      <c r="D62" s="145" t="str">
        <f ca="1">(IF(G67&gt;95%,"Nothing",IF(G67&gt;0%,"Cement, Aggregate, Steel, etc",IF(G67=0%,"Work not yet Started"))))</f>
        <v>Cement, Aggregate, Steel, etc</v>
      </c>
      <c r="E62" s="145"/>
      <c r="F62" s="145"/>
      <c r="G62" s="145"/>
      <c r="H62" s="145"/>
      <c r="J62" s="18"/>
      <c r="K62" s="18"/>
    </row>
    <row r="63" spans="1:14" ht="15.75" customHeight="1" x14ac:dyDescent="0.3">
      <c r="A63" s="113" t="s">
        <v>190</v>
      </c>
      <c r="B63" s="114"/>
      <c r="C63" s="115" t="s">
        <v>269</v>
      </c>
      <c r="D63" s="116"/>
      <c r="E63" s="116"/>
      <c r="F63" s="116"/>
      <c r="G63" s="116"/>
      <c r="H63" s="117"/>
      <c r="I63" s="19" t="str">
        <f ca="1">(IF(C67=0,"Work not yet Started.",IF(D67=25%,"Piling work in process",IF(D67=50%,"Excavation work in process",IF(D67=100%,"Excavation work completed, ","0")))&amp;(IF(C68=0%,"",IF(C68=K69,"Footing work is process",IF(C68=K70,"Footing work Completed",IF(C68=K71,"1st Basement Completed",IF(C68=K72,"1st &amp; 2nd Basement Completed",IF(C68=K73,"1st to 3rd Basement Completed",IF(C68=K74,"1st to 4th Basement Completed",IF(C68=K75,"Plinth work is process",IF(C68=K76,"Plinth work completed","0")))))))))))&amp;(IF(C69&gt;0,", RCC upto "&amp;C69&amp;" Slab completed",""))&amp;(IF(C70&gt;0,", Brickwork upto "&amp;C70&amp;" Floor completed"," "))&amp;(IF(C71&gt;0,", Internal Plaster upto "&amp;C71&amp;" Floor completed"," "))&amp;(IF(C72&gt;0,", External Plaster upto "&amp;C72&amp;" Floor completed"," "))&amp;(IF(C73&gt;0,", Flooring upto "&amp;C73&amp;" Floor completed"," "))&amp;(IF(C74&gt;0,", Painting upto "&amp;C74&amp;" Floor completed"," "))&amp;(IF(C75&gt;0,", Finishing upto "&amp;C75&amp;" Floor completed"," ")))</f>
        <v xml:space="preserve">Excavation work completed, Plinth work completed, RCC upto 5 Slab completed, Brickwork upto 4 Floor completed, Internal Plaster upto 4 Floor completed, External Plaster upto 3 Floor completed   </v>
      </c>
      <c r="J63" s="19"/>
      <c r="K63" s="20"/>
    </row>
    <row r="64" spans="1:14" x14ac:dyDescent="0.3">
      <c r="A64" s="65" t="s">
        <v>192</v>
      </c>
      <c r="B64" s="68">
        <v>0</v>
      </c>
      <c r="C64" s="68" t="s">
        <v>101</v>
      </c>
      <c r="D64" s="68">
        <v>1</v>
      </c>
      <c r="E64" s="68" t="s">
        <v>100</v>
      </c>
      <c r="F64" s="68">
        <v>0</v>
      </c>
      <c r="G64" s="68" t="s">
        <v>114</v>
      </c>
      <c r="H64" s="69">
        <f ca="1">--TRIM(RIGHT(SUBSTITUTE(LEFT(C63,_xlfn.AGGREGATE(16,6,FIND({0,1,2,3,4,5,6,7,8,9},C63,ROW(INDIRECT("1:"&amp;LEN(C63)))),1))," ",REPT(" ",LEN(C63))),LEN(C63)))</f>
        <v>4</v>
      </c>
      <c r="I64" s="18" t="s">
        <v>152</v>
      </c>
      <c r="J64" s="18"/>
      <c r="K64" s="21"/>
    </row>
    <row r="65" spans="1:11" ht="47.4" customHeight="1" x14ac:dyDescent="0.3">
      <c r="A65" s="102" t="s">
        <v>124</v>
      </c>
      <c r="B65" s="103"/>
      <c r="C65" s="104" t="str">
        <f ca="1">I63</f>
        <v xml:space="preserve">Excavation work completed, Plinth work completed, RCC upto 5 Slab completed, Brickwork upto 4 Floor completed, Internal Plaster upto 4 Floor completed, External Plaster upto 3 Floor completed   </v>
      </c>
      <c r="D65" s="104"/>
      <c r="E65" s="104"/>
      <c r="F65" s="104"/>
      <c r="G65" s="104"/>
      <c r="H65" s="105"/>
      <c r="I65" s="18" t="s">
        <v>140</v>
      </c>
      <c r="J65" s="18"/>
      <c r="K65" s="21"/>
    </row>
    <row r="66" spans="1:11" x14ac:dyDescent="0.3">
      <c r="A66" s="99" t="s">
        <v>52</v>
      </c>
      <c r="B66" s="100"/>
      <c r="C66" s="70" t="s">
        <v>189</v>
      </c>
      <c r="D66" s="70" t="s">
        <v>117</v>
      </c>
      <c r="E66" s="100" t="s">
        <v>119</v>
      </c>
      <c r="F66" s="100"/>
      <c r="G66" s="100" t="s">
        <v>118</v>
      </c>
      <c r="H66" s="106"/>
      <c r="I66" s="38" t="s">
        <v>191</v>
      </c>
      <c r="K66" s="22">
        <f ca="1">H64*25%</f>
        <v>1</v>
      </c>
    </row>
    <row r="67" spans="1:11" x14ac:dyDescent="0.3">
      <c r="A67" s="99" t="s">
        <v>174</v>
      </c>
      <c r="B67" s="100"/>
      <c r="C67" s="71">
        <f ca="1">K68</f>
        <v>4</v>
      </c>
      <c r="D67" s="72">
        <f ca="1">((100/H64)*C67)/100</f>
        <v>1</v>
      </c>
      <c r="E67" s="109">
        <f ca="1">(IF(C65=I64,"100%",IF(C65=I65,"100%",(((C68/H64*10)+(40/(D64+F64+H64)*C69)+(7.5/(H64)*C70)+(7.5/(H64)*C71)+(10/H64*C72)+(10/H64*C73)+(5/H64*C74)+(5/H64*C75)+(5/H64*C76))/100))))</f>
        <v>0.72499999999999998</v>
      </c>
      <c r="F67" s="109"/>
      <c r="G67" s="109">
        <f ca="1">((((C67/H64)*20)+((C68/H64)*25)+(30/(H64+F64+D64)*C69)+(5/H64*C70)+(5/H64*C71)+(5/H64*C72)+(5/H64*C73)+(0/H64*C74)+(0/H64*C75)+(5/H64*C76))/100)</f>
        <v>0.88749999999999996</v>
      </c>
      <c r="H67" s="111"/>
      <c r="I67" s="38" t="s">
        <v>134</v>
      </c>
      <c r="J67" s="23"/>
      <c r="K67" s="51">
        <f ca="1">H64*50%</f>
        <v>2</v>
      </c>
    </row>
    <row r="68" spans="1:11" x14ac:dyDescent="0.3">
      <c r="A68" s="99" t="s">
        <v>53</v>
      </c>
      <c r="B68" s="100"/>
      <c r="C68" s="73">
        <v>4</v>
      </c>
      <c r="D68" s="72">
        <f ca="1">((100/H64)*C68)/100</f>
        <v>1</v>
      </c>
      <c r="E68" s="109"/>
      <c r="F68" s="109"/>
      <c r="G68" s="109"/>
      <c r="H68" s="111"/>
      <c r="I68" s="38" t="s">
        <v>135</v>
      </c>
      <c r="J68" s="23"/>
      <c r="K68" s="51">
        <f ca="1">H64</f>
        <v>4</v>
      </c>
    </row>
    <row r="69" spans="1:11" ht="15.75" customHeight="1" x14ac:dyDescent="0.3">
      <c r="A69" s="99" t="s">
        <v>243</v>
      </c>
      <c r="B69" s="100"/>
      <c r="C69" s="73">
        <v>5</v>
      </c>
      <c r="D69" s="72">
        <f ca="1">((100/(D64+F64+H64))*C69)/100</f>
        <v>1</v>
      </c>
      <c r="E69" s="109"/>
      <c r="F69" s="109"/>
      <c r="G69" s="109"/>
      <c r="H69" s="111"/>
      <c r="I69" s="38" t="s">
        <v>136</v>
      </c>
      <c r="J69" s="23"/>
      <c r="K69" s="62">
        <f ca="1">(IF(B64=0,H64/4,(H64/(B64+4))))</f>
        <v>1</v>
      </c>
    </row>
    <row r="70" spans="1:11" ht="15.75" customHeight="1" x14ac:dyDescent="0.3">
      <c r="A70" s="99" t="s">
        <v>183</v>
      </c>
      <c r="B70" s="100" t="s">
        <v>176</v>
      </c>
      <c r="C70" s="71">
        <v>4</v>
      </c>
      <c r="D70" s="72">
        <f ca="1">((100/H64)*C70)/100</f>
        <v>1</v>
      </c>
      <c r="E70" s="109"/>
      <c r="F70" s="109"/>
      <c r="G70" s="109"/>
      <c r="H70" s="111"/>
      <c r="I70" s="38" t="s">
        <v>137</v>
      </c>
      <c r="J70" s="23"/>
      <c r="K70" s="62">
        <f ca="1">(IF(B64=0,H64/4+K69,(H64/(B64+4)+K69)))</f>
        <v>2</v>
      </c>
    </row>
    <row r="71" spans="1:11" ht="15.75" customHeight="1" x14ac:dyDescent="0.3">
      <c r="A71" s="99" t="s">
        <v>184</v>
      </c>
      <c r="B71" s="100" t="s">
        <v>176</v>
      </c>
      <c r="C71" s="71">
        <v>4</v>
      </c>
      <c r="D71" s="72">
        <f ca="1">((100/H64)*C71)/100</f>
        <v>1</v>
      </c>
      <c r="E71" s="109"/>
      <c r="F71" s="109"/>
      <c r="G71" s="109"/>
      <c r="H71" s="111"/>
      <c r="I71" s="38" t="s">
        <v>193</v>
      </c>
      <c r="J71" s="67"/>
      <c r="K71" s="62">
        <f>(IF(B64=0,0,(H64/(B64+4)+K70)))</f>
        <v>0</v>
      </c>
    </row>
    <row r="72" spans="1:11" ht="15" customHeight="1" x14ac:dyDescent="0.3">
      <c r="A72" s="99" t="s">
        <v>182</v>
      </c>
      <c r="B72" s="100" t="s">
        <v>178</v>
      </c>
      <c r="C72" s="71">
        <v>3</v>
      </c>
      <c r="D72" s="72">
        <f ca="1">((100/(H64))*C72)/100</f>
        <v>0.75</v>
      </c>
      <c r="E72" s="109"/>
      <c r="F72" s="109"/>
      <c r="G72" s="109"/>
      <c r="H72" s="111"/>
      <c r="I72" s="38" t="s">
        <v>194</v>
      </c>
      <c r="J72" s="67"/>
      <c r="K72" s="62">
        <f>(IF(B64&gt;1,(H64/(B64+4)+K71),0))</f>
        <v>0</v>
      </c>
    </row>
    <row r="73" spans="1:11" ht="15.75" customHeight="1" x14ac:dyDescent="0.3">
      <c r="A73" s="99" t="s">
        <v>177</v>
      </c>
      <c r="B73" s="100" t="s">
        <v>177</v>
      </c>
      <c r="C73" s="71">
        <v>0</v>
      </c>
      <c r="D73" s="72">
        <f ca="1">((100/H64)*C73)/100</f>
        <v>0</v>
      </c>
      <c r="E73" s="109"/>
      <c r="F73" s="109"/>
      <c r="G73" s="109"/>
      <c r="H73" s="111"/>
      <c r="I73" s="38" t="s">
        <v>195</v>
      </c>
      <c r="J73" s="61"/>
      <c r="K73" s="63">
        <f>(IF(B64&gt;2,(H64/(B64+4)+K72),0))</f>
        <v>0</v>
      </c>
    </row>
    <row r="74" spans="1:11" ht="15.75" customHeight="1" x14ac:dyDescent="0.3">
      <c r="A74" s="99" t="s">
        <v>185</v>
      </c>
      <c r="B74" s="100"/>
      <c r="C74" s="71">
        <v>0</v>
      </c>
      <c r="D74" s="72">
        <f ca="1">((100/H64)*C74)/100</f>
        <v>0</v>
      </c>
      <c r="E74" s="109"/>
      <c r="F74" s="109"/>
      <c r="G74" s="109"/>
      <c r="H74" s="111"/>
      <c r="I74" s="38" t="s">
        <v>197</v>
      </c>
      <c r="J74"/>
      <c r="K74" s="66">
        <f>(IF(B64&gt;3,(H64/(B64+4)+K73),0))</f>
        <v>0</v>
      </c>
    </row>
    <row r="75" spans="1:11" ht="15.75" customHeight="1" x14ac:dyDescent="0.3">
      <c r="A75" s="99" t="s">
        <v>179</v>
      </c>
      <c r="B75" s="100" t="s">
        <v>179</v>
      </c>
      <c r="C75" s="71">
        <v>0</v>
      </c>
      <c r="D75" s="72">
        <f ca="1">((100/(H64))*C75)/100</f>
        <v>0</v>
      </c>
      <c r="E75" s="109"/>
      <c r="F75" s="109"/>
      <c r="G75" s="109"/>
      <c r="H75" s="111"/>
      <c r="I75" s="38" t="s">
        <v>138</v>
      </c>
      <c r="J75" s="23"/>
      <c r="K75" s="62">
        <f ca="1">(IF(B64=0,H64/4+K70,(H64/(B64+4)+K70+MAX(0,K71-K70)+MAX(0,K72-K71)+MAX(0,K73-K72)+MAX(0,K74-K73))))</f>
        <v>3</v>
      </c>
    </row>
    <row r="76" spans="1:11" ht="16.2" thickBot="1" x14ac:dyDescent="0.35">
      <c r="A76" s="107" t="s">
        <v>180</v>
      </c>
      <c r="B76" s="108"/>
      <c r="C76" s="74">
        <v>0</v>
      </c>
      <c r="D76" s="75">
        <f ca="1">((100/(H64))*C76)/100</f>
        <v>0</v>
      </c>
      <c r="E76" s="110"/>
      <c r="F76" s="110"/>
      <c r="G76" s="110"/>
      <c r="H76" s="112"/>
      <c r="I76" s="59" t="s">
        <v>139</v>
      </c>
      <c r="J76" s="60"/>
      <c r="K76" s="64">
        <f ca="1">(IF(B64=0,H64/4+K75,(H64/(B64+4)+K75)))</f>
        <v>4</v>
      </c>
    </row>
    <row r="77" spans="1:11" ht="15.75" hidden="1" customHeight="1" x14ac:dyDescent="0.3">
      <c r="A77" s="113" t="s">
        <v>190</v>
      </c>
      <c r="B77" s="114"/>
      <c r="C77" s="115" t="str">
        <f>D55</f>
        <v xml:space="preserve">B Wing = Gr/St + 4th Floor </v>
      </c>
      <c r="D77" s="116"/>
      <c r="E77" s="116"/>
      <c r="F77" s="116"/>
      <c r="G77" s="116"/>
      <c r="H77" s="117"/>
      <c r="I77" s="19" t="str">
        <f ca="1">(IF(C81=0,"Work not yet Started.",IF(D81=25%,"Piling work in process",IF(D81=50%,"Excavation work in process",IF(D81=100%,"Excavation work completed, ","0")))&amp;(IF(C82=0%,"",IF(C82=K83,"Footing work is process",IF(C82=K84,"Footing work Completed",IF(C82=K85,"1st Basement Completed",IF(C82=K86,"1st &amp; 2nd Basement Completed",IF(C82=K87,"1st to 3rd Basement Completed",IF(C82=K88,"1st to 4th Basement Completed",IF(C82=K89,"Plinth work is process",IF(C82=K90,"Plinth work completed","0")))))))))))&amp;(IF(C83&gt;0,", RCC upto "&amp;C83&amp;" Slab completed",""))&amp;(IF(C84&gt;0,", Brickwork upto "&amp;C84&amp;" Floor completed"," "))&amp;(IF(C85&gt;0,", Internal Plaster upto "&amp;C85&amp;" Floor completed"," "))&amp;(IF(C86&gt;0,", External Plaster upto "&amp;C86&amp;" Floor completed"," "))&amp;(IF(C87&gt;0,", Flooring upto "&amp;C87&amp;" Floor completed"," "))&amp;(IF(C88&gt;0,", Painting upto "&amp;C88&amp;" Floor completed"," "))&amp;(IF(C89&gt;0,", Finishing upto "&amp;C89&amp;" Floor completed"," ")))</f>
        <v xml:space="preserve">Excavation work completed, Plinth work completed      </v>
      </c>
      <c r="J77" s="19"/>
      <c r="K77" s="20"/>
    </row>
    <row r="78" spans="1:11" hidden="1" x14ac:dyDescent="0.3">
      <c r="A78" s="65" t="s">
        <v>192</v>
      </c>
      <c r="B78" s="68">
        <v>0</v>
      </c>
      <c r="C78" s="68" t="s">
        <v>101</v>
      </c>
      <c r="D78" s="68">
        <v>1</v>
      </c>
      <c r="E78" s="68" t="s">
        <v>100</v>
      </c>
      <c r="F78" s="68">
        <v>0</v>
      </c>
      <c r="G78" s="68" t="s">
        <v>114</v>
      </c>
      <c r="H78" s="69">
        <f ca="1">--TRIM(RIGHT(SUBSTITUTE(LEFT(C77,_xlfn.AGGREGATE(16,6,FIND({0,1,2,3,4,5,6,7,8,9},C77,ROW(INDIRECT("1:"&amp;LEN(C77)))),1))," ",REPT(" ",LEN(C77))),LEN(C77)))</f>
        <v>4</v>
      </c>
      <c r="I78" s="18" t="s">
        <v>152</v>
      </c>
      <c r="J78" s="18"/>
      <c r="K78" s="21"/>
    </row>
    <row r="79" spans="1:11" ht="15.75" hidden="1" customHeight="1" x14ac:dyDescent="0.3">
      <c r="A79" s="102" t="s">
        <v>124</v>
      </c>
      <c r="B79" s="103"/>
      <c r="C79" s="104" t="str">
        <f ca="1">I77</f>
        <v xml:space="preserve">Excavation work completed, Plinth work completed      </v>
      </c>
      <c r="D79" s="104"/>
      <c r="E79" s="104"/>
      <c r="F79" s="104"/>
      <c r="G79" s="104"/>
      <c r="H79" s="105"/>
      <c r="I79" s="18" t="s">
        <v>140</v>
      </c>
      <c r="J79" s="18"/>
      <c r="K79" s="21"/>
    </row>
    <row r="80" spans="1:11" hidden="1" x14ac:dyDescent="0.3">
      <c r="A80" s="99" t="s">
        <v>52</v>
      </c>
      <c r="B80" s="100"/>
      <c r="C80" s="70" t="s">
        <v>189</v>
      </c>
      <c r="D80" s="70" t="s">
        <v>117</v>
      </c>
      <c r="E80" s="100" t="s">
        <v>119</v>
      </c>
      <c r="F80" s="100"/>
      <c r="G80" s="100" t="s">
        <v>118</v>
      </c>
      <c r="H80" s="106"/>
      <c r="I80" s="38" t="s">
        <v>191</v>
      </c>
      <c r="K80" s="22">
        <f ca="1">H78*25%</f>
        <v>1</v>
      </c>
    </row>
    <row r="81" spans="1:11" hidden="1" x14ac:dyDescent="0.3">
      <c r="A81" s="99" t="s">
        <v>174</v>
      </c>
      <c r="B81" s="100"/>
      <c r="C81" s="71">
        <f ca="1">K82</f>
        <v>4</v>
      </c>
      <c r="D81" s="72">
        <f ca="1">((100/H78)*C81)/100</f>
        <v>1</v>
      </c>
      <c r="E81" s="109">
        <f ca="1">(IF(C79=I78,"100%",IF(C79=I79,"100%",(((C82/H78*10)+(40/(D78+F78+H78)*C83)+(7.5/(H78)*C84)+(7.5/(H78)*C85)+(10/H78*C86)+(10/H78*C87)+(5/H78*C88)+(5/H78*C89)+(5/H78*C90))/100))))</f>
        <v>0.1</v>
      </c>
      <c r="F81" s="109"/>
      <c r="G81" s="109">
        <f ca="1">((((C81/H78)*20)+((C82/H78)*25)+(30/(H78+F78+D78)*C83)+(5/H78*C84)+(5/H78*C85)+(5/H78*C86)+(5/H78*C87)+(0/H78*C88)+(0/H78*C89)+(5/H78*C90))/100)</f>
        <v>0.45</v>
      </c>
      <c r="H81" s="111"/>
      <c r="I81" s="38" t="s">
        <v>134</v>
      </c>
      <c r="J81" s="23"/>
      <c r="K81" s="51">
        <f ca="1">H78*50%</f>
        <v>2</v>
      </c>
    </row>
    <row r="82" spans="1:11" hidden="1" x14ac:dyDescent="0.3">
      <c r="A82" s="99" t="s">
        <v>53</v>
      </c>
      <c r="B82" s="100"/>
      <c r="C82" s="73">
        <v>4</v>
      </c>
      <c r="D82" s="72">
        <f ca="1">((100/H78)*C82)/100</f>
        <v>1</v>
      </c>
      <c r="E82" s="109"/>
      <c r="F82" s="109"/>
      <c r="G82" s="109"/>
      <c r="H82" s="111"/>
      <c r="I82" s="38" t="s">
        <v>135</v>
      </c>
      <c r="J82" s="23"/>
      <c r="K82" s="51">
        <f ca="1">H78</f>
        <v>4</v>
      </c>
    </row>
    <row r="83" spans="1:11" ht="15.75" hidden="1" customHeight="1" x14ac:dyDescent="0.3">
      <c r="A83" s="99" t="s">
        <v>175</v>
      </c>
      <c r="B83" s="100"/>
      <c r="C83" s="73">
        <v>0</v>
      </c>
      <c r="D83" s="72">
        <f ca="1">((100/(D78+F78+H78))*C83)/100</f>
        <v>0</v>
      </c>
      <c r="E83" s="109"/>
      <c r="F83" s="109"/>
      <c r="G83" s="109"/>
      <c r="H83" s="111"/>
      <c r="I83" s="38" t="s">
        <v>136</v>
      </c>
      <c r="J83" s="23"/>
      <c r="K83" s="62">
        <f ca="1">(IF(B78=0,H78/4,(H78/(B78+4))))</f>
        <v>1</v>
      </c>
    </row>
    <row r="84" spans="1:11" ht="15.75" hidden="1" customHeight="1" x14ac:dyDescent="0.3">
      <c r="A84" s="99" t="s">
        <v>183</v>
      </c>
      <c r="B84" s="100" t="s">
        <v>176</v>
      </c>
      <c r="C84" s="71">
        <v>0</v>
      </c>
      <c r="D84" s="72">
        <f ca="1">((100/H78)*C84)/100</f>
        <v>0</v>
      </c>
      <c r="E84" s="109"/>
      <c r="F84" s="109"/>
      <c r="G84" s="109"/>
      <c r="H84" s="111"/>
      <c r="I84" s="38" t="s">
        <v>137</v>
      </c>
      <c r="J84" s="23"/>
      <c r="K84" s="62">
        <f ca="1">(IF(B78=0,H78/4+K83,(H78/(B78+4)+K83)))</f>
        <v>2</v>
      </c>
    </row>
    <row r="85" spans="1:11" ht="15.75" hidden="1" customHeight="1" x14ac:dyDescent="0.3">
      <c r="A85" s="99" t="s">
        <v>184</v>
      </c>
      <c r="B85" s="100" t="s">
        <v>176</v>
      </c>
      <c r="C85" s="71">
        <v>0</v>
      </c>
      <c r="D85" s="72">
        <f ca="1">((100/H78)*C85)/100</f>
        <v>0</v>
      </c>
      <c r="E85" s="109"/>
      <c r="F85" s="109"/>
      <c r="G85" s="109"/>
      <c r="H85" s="111"/>
      <c r="I85" s="38" t="s">
        <v>193</v>
      </c>
      <c r="J85" s="67"/>
      <c r="K85" s="62">
        <f>(IF(B78=0,0,(H78/(B78+4)+K84)))</f>
        <v>0</v>
      </c>
    </row>
    <row r="86" spans="1:11" ht="15" hidden="1" customHeight="1" x14ac:dyDescent="0.3">
      <c r="A86" s="99" t="s">
        <v>182</v>
      </c>
      <c r="B86" s="100" t="s">
        <v>178</v>
      </c>
      <c r="C86" s="71">
        <v>0</v>
      </c>
      <c r="D86" s="72">
        <f ca="1">((100/(H78))*C86)/100</f>
        <v>0</v>
      </c>
      <c r="E86" s="109"/>
      <c r="F86" s="109"/>
      <c r="G86" s="109"/>
      <c r="H86" s="111"/>
      <c r="I86" s="38" t="s">
        <v>194</v>
      </c>
      <c r="J86" s="67"/>
      <c r="K86" s="62">
        <f>(IF(B78&gt;1,(H78/(B78+4)+K85),0))</f>
        <v>0</v>
      </c>
    </row>
    <row r="87" spans="1:11" ht="15.75" hidden="1" customHeight="1" x14ac:dyDescent="0.3">
      <c r="A87" s="99" t="s">
        <v>177</v>
      </c>
      <c r="B87" s="100" t="s">
        <v>177</v>
      </c>
      <c r="C87" s="71">
        <v>0</v>
      </c>
      <c r="D87" s="72">
        <f ca="1">((100/H78)*C87)/100</f>
        <v>0</v>
      </c>
      <c r="E87" s="109"/>
      <c r="F87" s="109"/>
      <c r="G87" s="109"/>
      <c r="H87" s="111"/>
      <c r="I87" s="38" t="s">
        <v>195</v>
      </c>
      <c r="J87" s="61"/>
      <c r="K87" s="63">
        <f>(IF(B78&gt;2,(H78/(B78+4)+K86),0))</f>
        <v>0</v>
      </c>
    </row>
    <row r="88" spans="1:11" ht="15.75" hidden="1" customHeight="1" x14ac:dyDescent="0.3">
      <c r="A88" s="99" t="s">
        <v>185</v>
      </c>
      <c r="B88" s="100"/>
      <c r="C88" s="71">
        <v>0</v>
      </c>
      <c r="D88" s="72">
        <f ca="1">((100/H78)*C88)/100</f>
        <v>0</v>
      </c>
      <c r="E88" s="109"/>
      <c r="F88" s="109"/>
      <c r="G88" s="109"/>
      <c r="H88" s="111"/>
      <c r="I88" s="38" t="s">
        <v>197</v>
      </c>
      <c r="J88"/>
      <c r="K88" s="66">
        <f>(IF(B78&gt;3,(H78/(B78+4)+K87),0))</f>
        <v>0</v>
      </c>
    </row>
    <row r="89" spans="1:11" ht="15.75" hidden="1" customHeight="1" x14ac:dyDescent="0.3">
      <c r="A89" s="99" t="s">
        <v>179</v>
      </c>
      <c r="B89" s="100" t="s">
        <v>179</v>
      </c>
      <c r="C89" s="71">
        <v>0</v>
      </c>
      <c r="D89" s="72">
        <f ca="1">((100/(H78))*C89)/100</f>
        <v>0</v>
      </c>
      <c r="E89" s="109"/>
      <c r="F89" s="109"/>
      <c r="G89" s="109"/>
      <c r="H89" s="111"/>
      <c r="I89" s="38" t="s">
        <v>138</v>
      </c>
      <c r="J89" s="23"/>
      <c r="K89" s="62">
        <f ca="1">(IF(B78=0,H78/4+K84,(H78/(B78+4)+K84+MAX(0,K85-K84)+MAX(0,K86-K85)+MAX(0,K87-K86)+MAX(0,K88-K87))))</f>
        <v>3</v>
      </c>
    </row>
    <row r="90" spans="1:11" ht="16.2" hidden="1" thickBot="1" x14ac:dyDescent="0.35">
      <c r="A90" s="107" t="s">
        <v>180</v>
      </c>
      <c r="B90" s="108"/>
      <c r="C90" s="74">
        <v>0</v>
      </c>
      <c r="D90" s="75">
        <f ca="1">((100/(H78))*C90)/100</f>
        <v>0</v>
      </c>
      <c r="E90" s="110"/>
      <c r="F90" s="110"/>
      <c r="G90" s="110"/>
      <c r="H90" s="112"/>
      <c r="I90" s="59" t="s">
        <v>139</v>
      </c>
      <c r="J90" s="60"/>
      <c r="K90" s="64">
        <f ca="1">(IF(B78=0,H78/4+K89,(H78/(B78+4)+K89)))</f>
        <v>4</v>
      </c>
    </row>
    <row r="91" spans="1:11" ht="15.75" customHeight="1" x14ac:dyDescent="0.3">
      <c r="A91" s="113" t="s">
        <v>190</v>
      </c>
      <c r="B91" s="114"/>
      <c r="C91" s="115" t="s">
        <v>270</v>
      </c>
      <c r="D91" s="116"/>
      <c r="E91" s="116"/>
      <c r="F91" s="116"/>
      <c r="G91" s="116"/>
      <c r="H91" s="117"/>
      <c r="I91" s="19" t="str">
        <f ca="1">(IF(C95=0,"Work not yet Started.",IF(D95=25%,"Piling work in process",IF(D95=50%,"Excavation work in process",IF(D95=100%,"Excavation work completed, ","0")))&amp;(IF(C96=0%,"",IF(C96=K97,"Footing work is process",IF(C96=K98,"Footing work Completed",IF(C96=K99,"1st Basement Completed",IF(C96=K100,"1st &amp; 2nd Basement Completed",IF(C96=K101,"1st to 3rd Basement Completed",IF(C96=K102,"1st to 4th Basement Completed",IF(C96=K103,"Plinth work is process",IF(C96=K104,"Plinth work completed","0")))))))))))&amp;(IF(C97&gt;0,", RCC upto "&amp;C97&amp;" Slab completed",""))&amp;(IF(C98&gt;0,", Brickwork upto "&amp;C98&amp;" Floor completed"," "))&amp;(IF(C99&gt;0,", Internal Plaster upto "&amp;C99&amp;" Floor completed"," "))&amp;(IF(C100&gt;0,", External Plaster upto "&amp;C100&amp;" Floor completed"," "))&amp;(IF(C101&gt;0,", Flooring upto "&amp;C101&amp;" Floor completed"," "))&amp;(IF(C102&gt;0,", Painting upto "&amp;C102&amp;" Floor completed"," "))&amp;(IF(C103&gt;0,", Finishing upto "&amp;C103&amp;" Floor completed"," ")))</f>
        <v xml:space="preserve">Excavation work completed, Plinth work completed, RCC upto 5 Slab completed, Brickwork upto 4 Floor completed, Internal Plaster upto 4 Floor completed, External Plaster upto 3 Floor completed   </v>
      </c>
      <c r="J91" s="19"/>
      <c r="K91" s="20"/>
    </row>
    <row r="92" spans="1:11" x14ac:dyDescent="0.3">
      <c r="A92" s="65" t="s">
        <v>192</v>
      </c>
      <c r="B92" s="68">
        <v>0</v>
      </c>
      <c r="C92" s="68" t="s">
        <v>101</v>
      </c>
      <c r="D92" s="68">
        <v>1</v>
      </c>
      <c r="E92" s="68" t="s">
        <v>100</v>
      </c>
      <c r="F92" s="68">
        <v>0</v>
      </c>
      <c r="G92" s="68" t="s">
        <v>114</v>
      </c>
      <c r="H92" s="69">
        <f ca="1">--TRIM(RIGHT(SUBSTITUTE(LEFT(C91,_xlfn.AGGREGATE(16,6,FIND({0,1,2,3,4,5,6,7,8,9},C91,ROW(INDIRECT("1:"&amp;LEN(C91)))),1))," ",REPT(" ",LEN(C91))),LEN(C91)))</f>
        <v>4</v>
      </c>
      <c r="I92" s="18" t="s">
        <v>152</v>
      </c>
      <c r="J92" s="18"/>
      <c r="K92" s="21"/>
    </row>
    <row r="93" spans="1:11" ht="49.5" customHeight="1" x14ac:dyDescent="0.3">
      <c r="A93" s="102" t="s">
        <v>124</v>
      </c>
      <c r="B93" s="103"/>
      <c r="C93" s="104" t="str">
        <f ca="1">I91</f>
        <v xml:space="preserve">Excavation work completed, Plinth work completed, RCC upto 5 Slab completed, Brickwork upto 4 Floor completed, Internal Plaster upto 4 Floor completed, External Plaster upto 3 Floor completed   </v>
      </c>
      <c r="D93" s="104"/>
      <c r="E93" s="104"/>
      <c r="F93" s="104"/>
      <c r="G93" s="104"/>
      <c r="H93" s="105"/>
      <c r="I93" s="18" t="s">
        <v>140</v>
      </c>
      <c r="J93" s="18"/>
      <c r="K93" s="21"/>
    </row>
    <row r="94" spans="1:11" x14ac:dyDescent="0.3">
      <c r="A94" s="99" t="s">
        <v>52</v>
      </c>
      <c r="B94" s="100"/>
      <c r="C94" s="70" t="s">
        <v>189</v>
      </c>
      <c r="D94" s="70" t="s">
        <v>117</v>
      </c>
      <c r="E94" s="100" t="s">
        <v>119</v>
      </c>
      <c r="F94" s="100"/>
      <c r="G94" s="100" t="s">
        <v>118</v>
      </c>
      <c r="H94" s="106"/>
      <c r="I94" s="38" t="s">
        <v>191</v>
      </c>
      <c r="K94" s="22">
        <f ca="1">H92*25%</f>
        <v>1</v>
      </c>
    </row>
    <row r="95" spans="1:11" x14ac:dyDescent="0.3">
      <c r="A95" s="99" t="s">
        <v>174</v>
      </c>
      <c r="B95" s="100"/>
      <c r="C95" s="71">
        <f ca="1">K96</f>
        <v>4</v>
      </c>
      <c r="D95" s="72">
        <f ca="1">((100/H92)*C95)/100</f>
        <v>1</v>
      </c>
      <c r="E95" s="109">
        <f ca="1">(IF(C93=I92,"100%",IF(C93=I93,"100%",(((C96/H92*10)+(40/(D92+F92+H92)*C97)+(7.5/(H92)*C98)+(7.5/(H92)*C99)+(10/H92*C100)+(10/H92*C101)+(5/H92*C102)+(5/H92*C103)+(5/H92*C104))/100))))</f>
        <v>0.72499999999999998</v>
      </c>
      <c r="F95" s="109"/>
      <c r="G95" s="109">
        <f ca="1">((((C95/H92)*20)+((C96/H92)*25)+(30/(H92+F92+D92)*C97)+(5/H92*C98)+(5/H92*C99)+(5/H92*C100)+(5/H92*C101)+(0/H92*C102)+(0/H92*C103)+(5/H92*C104))/100)</f>
        <v>0.88749999999999996</v>
      </c>
      <c r="H95" s="111"/>
      <c r="I95" s="38" t="s">
        <v>134</v>
      </c>
      <c r="J95" s="23"/>
      <c r="K95" s="51">
        <f ca="1">H92*50%</f>
        <v>2</v>
      </c>
    </row>
    <row r="96" spans="1:11" x14ac:dyDescent="0.3">
      <c r="A96" s="99" t="s">
        <v>53</v>
      </c>
      <c r="B96" s="100"/>
      <c r="C96" s="73">
        <v>4</v>
      </c>
      <c r="D96" s="72">
        <f ca="1">((100/H92)*C96)/100</f>
        <v>1</v>
      </c>
      <c r="E96" s="109"/>
      <c r="F96" s="109"/>
      <c r="G96" s="109"/>
      <c r="H96" s="111"/>
      <c r="I96" s="38" t="s">
        <v>135</v>
      </c>
      <c r="J96" s="23"/>
      <c r="K96" s="51">
        <f ca="1">H92</f>
        <v>4</v>
      </c>
    </row>
    <row r="97" spans="1:11" ht="15.75" customHeight="1" x14ac:dyDescent="0.3">
      <c r="A97" s="99" t="s">
        <v>243</v>
      </c>
      <c r="B97" s="100"/>
      <c r="C97" s="73">
        <v>5</v>
      </c>
      <c r="D97" s="72">
        <f ca="1">((100/(D92+F92+H92))*C97)/100</f>
        <v>1</v>
      </c>
      <c r="E97" s="109"/>
      <c r="F97" s="109"/>
      <c r="G97" s="109"/>
      <c r="H97" s="111"/>
      <c r="I97" s="38" t="s">
        <v>136</v>
      </c>
      <c r="J97" s="23"/>
      <c r="K97" s="62">
        <f ca="1">(IF(B92=0,H92/4,(H92/(B92+4))))</f>
        <v>1</v>
      </c>
    </row>
    <row r="98" spans="1:11" ht="15.75" customHeight="1" x14ac:dyDescent="0.3">
      <c r="A98" s="99" t="s">
        <v>183</v>
      </c>
      <c r="B98" s="100" t="s">
        <v>176</v>
      </c>
      <c r="C98" s="71">
        <v>4</v>
      </c>
      <c r="D98" s="72">
        <f ca="1">((100/H92)*C98)/100</f>
        <v>1</v>
      </c>
      <c r="E98" s="109"/>
      <c r="F98" s="109"/>
      <c r="G98" s="109"/>
      <c r="H98" s="111"/>
      <c r="I98" s="38" t="s">
        <v>137</v>
      </c>
      <c r="J98" s="23"/>
      <c r="K98" s="62">
        <f ca="1">(IF(B92=0,H92/4+K97,(H92/(B92+4)+K97)))</f>
        <v>2</v>
      </c>
    </row>
    <row r="99" spans="1:11" ht="15.75" customHeight="1" x14ac:dyDescent="0.3">
      <c r="A99" s="99" t="s">
        <v>184</v>
      </c>
      <c r="B99" s="100" t="s">
        <v>176</v>
      </c>
      <c r="C99" s="71">
        <v>4</v>
      </c>
      <c r="D99" s="72">
        <f ca="1">((100/H92)*C99)/100</f>
        <v>1</v>
      </c>
      <c r="E99" s="109"/>
      <c r="F99" s="109"/>
      <c r="G99" s="109"/>
      <c r="H99" s="111"/>
      <c r="I99" s="38" t="s">
        <v>193</v>
      </c>
      <c r="J99" s="67"/>
      <c r="K99" s="62">
        <f>(IF(B92=0,0,(H92/(B92+4)+K98)))</f>
        <v>0</v>
      </c>
    </row>
    <row r="100" spans="1:11" ht="15" customHeight="1" x14ac:dyDescent="0.3">
      <c r="A100" s="99" t="s">
        <v>182</v>
      </c>
      <c r="B100" s="100" t="s">
        <v>178</v>
      </c>
      <c r="C100" s="71">
        <v>3</v>
      </c>
      <c r="D100" s="72">
        <f ca="1">((100/(H92))*C100)/100</f>
        <v>0.75</v>
      </c>
      <c r="E100" s="109"/>
      <c r="F100" s="109"/>
      <c r="G100" s="109"/>
      <c r="H100" s="111"/>
      <c r="I100" s="38" t="s">
        <v>194</v>
      </c>
      <c r="J100" s="67"/>
      <c r="K100" s="62">
        <f>(IF(B92&gt;1,(H92/(B92+4)+K99),0))</f>
        <v>0</v>
      </c>
    </row>
    <row r="101" spans="1:11" ht="15.75" customHeight="1" x14ac:dyDescent="0.3">
      <c r="A101" s="99" t="s">
        <v>177</v>
      </c>
      <c r="B101" s="100" t="s">
        <v>177</v>
      </c>
      <c r="C101" s="71">
        <v>0</v>
      </c>
      <c r="D101" s="72">
        <f ca="1">((100/H92)*C101)/100</f>
        <v>0</v>
      </c>
      <c r="E101" s="109"/>
      <c r="F101" s="109"/>
      <c r="G101" s="109"/>
      <c r="H101" s="111"/>
      <c r="I101" s="38" t="s">
        <v>195</v>
      </c>
      <c r="J101" s="61"/>
      <c r="K101" s="63">
        <f>(IF(B92&gt;2,(H92/(B92+4)+K100),0))</f>
        <v>0</v>
      </c>
    </row>
    <row r="102" spans="1:11" ht="15.75" customHeight="1" x14ac:dyDescent="0.3">
      <c r="A102" s="99" t="s">
        <v>185</v>
      </c>
      <c r="B102" s="100"/>
      <c r="C102" s="71">
        <v>0</v>
      </c>
      <c r="D102" s="72">
        <f ca="1">((100/H92)*C102)/100</f>
        <v>0</v>
      </c>
      <c r="E102" s="109"/>
      <c r="F102" s="109"/>
      <c r="G102" s="109"/>
      <c r="H102" s="111"/>
      <c r="I102" s="38" t="s">
        <v>197</v>
      </c>
      <c r="J102"/>
      <c r="K102" s="66">
        <f>(IF(B92&gt;3,(H92/(B92+4)+K101),0))</f>
        <v>0</v>
      </c>
    </row>
    <row r="103" spans="1:11" ht="15.75" customHeight="1" x14ac:dyDescent="0.3">
      <c r="A103" s="99" t="s">
        <v>179</v>
      </c>
      <c r="B103" s="100" t="s">
        <v>179</v>
      </c>
      <c r="C103" s="71">
        <v>0</v>
      </c>
      <c r="D103" s="72">
        <f ca="1">((100/(H92))*C103)/100</f>
        <v>0</v>
      </c>
      <c r="E103" s="109"/>
      <c r="F103" s="109"/>
      <c r="G103" s="109"/>
      <c r="H103" s="111"/>
      <c r="I103" s="38" t="s">
        <v>138</v>
      </c>
      <c r="J103" s="23"/>
      <c r="K103" s="62">
        <f ca="1">(IF(B92=0,H92/4+K98,(H92/(B92+4)+K98+MAX(0,K99-K98)+MAX(0,K100-K99)+MAX(0,K101-K100)+MAX(0,K102-K101))))</f>
        <v>3</v>
      </c>
    </row>
    <row r="104" spans="1:11" ht="16.2" thickBot="1" x14ac:dyDescent="0.35">
      <c r="A104" s="107" t="s">
        <v>180</v>
      </c>
      <c r="B104" s="108"/>
      <c r="C104" s="74">
        <v>0</v>
      </c>
      <c r="D104" s="75">
        <f ca="1">((100/(H92))*C104)/100</f>
        <v>0</v>
      </c>
      <c r="E104" s="110"/>
      <c r="F104" s="110"/>
      <c r="G104" s="110"/>
      <c r="H104" s="112"/>
      <c r="I104" s="59" t="s">
        <v>139</v>
      </c>
      <c r="J104" s="60"/>
      <c r="K104" s="64">
        <f ca="1">(IF(B92=0,H92/4+K103,(H92/(B92+4)+K103)))</f>
        <v>4</v>
      </c>
    </row>
    <row r="105" spans="1:11" ht="15.75" customHeight="1" x14ac:dyDescent="0.3">
      <c r="A105" s="113" t="s">
        <v>190</v>
      </c>
      <c r="B105" s="114"/>
      <c r="C105" s="115" t="str">
        <f>D56</f>
        <v xml:space="preserve">Building No. 1 C Wing = Gr/St + 4th Floor </v>
      </c>
      <c r="D105" s="116"/>
      <c r="E105" s="116"/>
      <c r="F105" s="116"/>
      <c r="G105" s="116"/>
      <c r="H105" s="117"/>
      <c r="I105" s="19" t="str">
        <f ca="1">(IF(C109=0,"Work not yet Started.",IF(D109=25%,"Piling work in process",IF(D109=50%,"Excavation work in process",IF(D109=100%,"Excavation work completed, ","0")))&amp;(IF(C110=0%,"",IF(C110=K111,"Footing work is process",IF(C110=K112,"Footing work Completed",IF(C110=K113,"1st Basement Completed",IF(C110=K114,"1st &amp; 2nd Basement Completed",IF(C110=K115,"1st to 3rd Basement Completed",IF(C110=K116,"1st to 4th Basement Completed",IF(C110=K117,"Plinth work is process",IF(C110=K118,"Plinth work completed","0")))))))))))&amp;(IF(C111&gt;0,", RCC upto "&amp;C111&amp;" Slab completed",""))&amp;(IF(C112&gt;0,", Brickwork upto "&amp;C112&amp;" Floor completed"," "))&amp;(IF(C113&gt;0,", Internal Plaster upto "&amp;C113&amp;" Floor completed"," "))&amp;(IF(C114&gt;0,", External Plaster upto "&amp;C114&amp;" Floor completed"," "))&amp;(IF(C115&gt;0,", Flooring upto "&amp;C115&amp;" Floor completed"," "))&amp;(IF(C116&gt;0,", Painting upto "&amp;C116&amp;" Floor completed"," "))&amp;(IF(C117&gt;0,", Finishing upto "&amp;C117&amp;" Floor completed"," ")))</f>
        <v xml:space="preserve">Excavation work completed, Plinth work completed, RCC upto 5 Slab completed, Brickwork upto 4 Floor completed, Internal Plaster upto 3 Floor completed, External Plaster upto 3 Floor completed   </v>
      </c>
      <c r="J105" s="19"/>
      <c r="K105" s="20"/>
    </row>
    <row r="106" spans="1:11" x14ac:dyDescent="0.3">
      <c r="A106" s="65" t="s">
        <v>192</v>
      </c>
      <c r="B106" s="68">
        <v>0</v>
      </c>
      <c r="C106" s="68" t="s">
        <v>101</v>
      </c>
      <c r="D106" s="68">
        <v>1</v>
      </c>
      <c r="E106" s="68" t="s">
        <v>100</v>
      </c>
      <c r="F106" s="68">
        <v>0</v>
      </c>
      <c r="G106" s="68" t="s">
        <v>114</v>
      </c>
      <c r="H106" s="69">
        <f ca="1">--TRIM(RIGHT(SUBSTITUTE(LEFT(C105,_xlfn.AGGREGATE(16,6,FIND({0,1,2,3,4,5,6,7,8,9},C105,ROW(INDIRECT("1:"&amp;LEN(C105)))),1))," ",REPT(" ",LEN(C105))),LEN(C105)))</f>
        <v>4</v>
      </c>
      <c r="I106" s="18" t="s">
        <v>152</v>
      </c>
      <c r="J106" s="18"/>
      <c r="K106" s="21"/>
    </row>
    <row r="107" spans="1:11" ht="49.5" customHeight="1" x14ac:dyDescent="0.3">
      <c r="A107" s="102" t="s">
        <v>124</v>
      </c>
      <c r="B107" s="103"/>
      <c r="C107" s="104" t="str">
        <f ca="1">I105</f>
        <v xml:space="preserve">Excavation work completed, Plinth work completed, RCC upto 5 Slab completed, Brickwork upto 4 Floor completed, Internal Plaster upto 3 Floor completed, External Plaster upto 3 Floor completed   </v>
      </c>
      <c r="D107" s="104"/>
      <c r="E107" s="104"/>
      <c r="F107" s="104"/>
      <c r="G107" s="104"/>
      <c r="H107" s="105"/>
      <c r="I107" s="18" t="s">
        <v>140</v>
      </c>
      <c r="J107" s="18"/>
      <c r="K107" s="21"/>
    </row>
    <row r="108" spans="1:11" x14ac:dyDescent="0.3">
      <c r="A108" s="99" t="s">
        <v>52</v>
      </c>
      <c r="B108" s="100"/>
      <c r="C108" s="70" t="s">
        <v>189</v>
      </c>
      <c r="D108" s="70" t="s">
        <v>117</v>
      </c>
      <c r="E108" s="100" t="s">
        <v>119</v>
      </c>
      <c r="F108" s="100"/>
      <c r="G108" s="100" t="s">
        <v>118</v>
      </c>
      <c r="H108" s="106"/>
      <c r="I108" s="38" t="s">
        <v>191</v>
      </c>
      <c r="K108" s="22">
        <f ca="1">H106*25%</f>
        <v>1</v>
      </c>
    </row>
    <row r="109" spans="1:11" x14ac:dyDescent="0.3">
      <c r="A109" s="99" t="s">
        <v>174</v>
      </c>
      <c r="B109" s="100"/>
      <c r="C109" s="71">
        <f ca="1">K110</f>
        <v>4</v>
      </c>
      <c r="D109" s="72">
        <f ca="1">((100/H106)*C109)/100</f>
        <v>1</v>
      </c>
      <c r="E109" s="109">
        <f ca="1">(IF(C107=I106,"100%",IF(C107=I107,"100%",(((C110/H106*10)+(40/(D106+F106+H106)*C111)+(7.5/(H106)*C112)+(7.5/(H106)*C113)+(10/H106*C114)+(10/H106*C115)+(5/H106*C116)+(5/H106*C117)+(5/H106*C118))/100))))</f>
        <v>0.70625000000000004</v>
      </c>
      <c r="F109" s="109"/>
      <c r="G109" s="109">
        <f ca="1">((((C109/H106)*20)+((C110/H106)*25)+(30/(H106+F106+D106)*C111)+(5/H106*C112)+(5/H106*C113)+(5/H106*C114)+(5/H106*C115)+(0/H106*C116)+(0/H106*C117)+(5/H106*C118))/100)</f>
        <v>0.875</v>
      </c>
      <c r="H109" s="111"/>
      <c r="I109" s="38" t="s">
        <v>134</v>
      </c>
      <c r="J109" s="23"/>
      <c r="K109" s="51">
        <f ca="1">H106*50%</f>
        <v>2</v>
      </c>
    </row>
    <row r="110" spans="1:11" x14ac:dyDescent="0.3">
      <c r="A110" s="99" t="s">
        <v>53</v>
      </c>
      <c r="B110" s="100"/>
      <c r="C110" s="73">
        <v>4</v>
      </c>
      <c r="D110" s="72">
        <f ca="1">((100/H106)*C110)/100</f>
        <v>1</v>
      </c>
      <c r="E110" s="109"/>
      <c r="F110" s="109"/>
      <c r="G110" s="109"/>
      <c r="H110" s="111"/>
      <c r="I110" s="38" t="s">
        <v>135</v>
      </c>
      <c r="J110" s="23"/>
      <c r="K110" s="51">
        <f ca="1">H106</f>
        <v>4</v>
      </c>
    </row>
    <row r="111" spans="1:11" ht="15.75" customHeight="1" x14ac:dyDescent="0.3">
      <c r="A111" s="99" t="s">
        <v>175</v>
      </c>
      <c r="B111" s="100"/>
      <c r="C111" s="73">
        <v>5</v>
      </c>
      <c r="D111" s="72">
        <f ca="1">((100/(D106+F106+H106))*C111)/100</f>
        <v>1</v>
      </c>
      <c r="E111" s="109"/>
      <c r="F111" s="109"/>
      <c r="G111" s="109"/>
      <c r="H111" s="111"/>
      <c r="I111" s="38" t="s">
        <v>136</v>
      </c>
      <c r="J111" s="23"/>
      <c r="K111" s="62">
        <f ca="1">(IF(B106=0,H106/4,(H106/(B106+4))))</f>
        <v>1</v>
      </c>
    </row>
    <row r="112" spans="1:11" ht="15.75" customHeight="1" x14ac:dyDescent="0.3">
      <c r="A112" s="99" t="s">
        <v>183</v>
      </c>
      <c r="B112" s="100" t="s">
        <v>176</v>
      </c>
      <c r="C112" s="71">
        <v>4</v>
      </c>
      <c r="D112" s="72">
        <f ca="1">((100/H106)*C112)/100</f>
        <v>1</v>
      </c>
      <c r="E112" s="109"/>
      <c r="F112" s="109"/>
      <c r="G112" s="109"/>
      <c r="H112" s="111"/>
      <c r="I112" s="38" t="s">
        <v>137</v>
      </c>
      <c r="J112" s="23"/>
      <c r="K112" s="62">
        <f ca="1">(IF(B106=0,H106/4+K111,(H106/(B106+4)+K111)))</f>
        <v>2</v>
      </c>
    </row>
    <row r="113" spans="1:12" ht="15.75" customHeight="1" x14ac:dyDescent="0.3">
      <c r="A113" s="99" t="s">
        <v>184</v>
      </c>
      <c r="B113" s="100" t="s">
        <v>176</v>
      </c>
      <c r="C113" s="71">
        <v>3</v>
      </c>
      <c r="D113" s="72">
        <f ca="1">((100/H106)*C113)/100</f>
        <v>0.75</v>
      </c>
      <c r="E113" s="109"/>
      <c r="F113" s="109"/>
      <c r="G113" s="109"/>
      <c r="H113" s="111"/>
      <c r="I113" s="38" t="s">
        <v>193</v>
      </c>
      <c r="J113" s="67"/>
      <c r="K113" s="62">
        <f>(IF(B106=0,0,(H106/(B106+4)+K112)))</f>
        <v>0</v>
      </c>
    </row>
    <row r="114" spans="1:12" ht="15" customHeight="1" x14ac:dyDescent="0.3">
      <c r="A114" s="99" t="s">
        <v>182</v>
      </c>
      <c r="B114" s="100" t="s">
        <v>178</v>
      </c>
      <c r="C114" s="71">
        <v>3</v>
      </c>
      <c r="D114" s="72">
        <f ca="1">((100/(H106))*C114)/100</f>
        <v>0.75</v>
      </c>
      <c r="E114" s="109"/>
      <c r="F114" s="109"/>
      <c r="G114" s="109"/>
      <c r="H114" s="111"/>
      <c r="I114" s="38" t="s">
        <v>194</v>
      </c>
      <c r="J114" s="67"/>
      <c r="K114" s="62">
        <f>(IF(B106&gt;1,(H106/(B106+4)+K113),0))</f>
        <v>0</v>
      </c>
    </row>
    <row r="115" spans="1:12" ht="15.75" customHeight="1" x14ac:dyDescent="0.3">
      <c r="A115" s="99" t="s">
        <v>177</v>
      </c>
      <c r="B115" s="100" t="s">
        <v>177</v>
      </c>
      <c r="C115" s="71">
        <v>0</v>
      </c>
      <c r="D115" s="72">
        <f ca="1">((100/H106)*C115)/100</f>
        <v>0</v>
      </c>
      <c r="E115" s="109"/>
      <c r="F115" s="109"/>
      <c r="G115" s="109"/>
      <c r="H115" s="111"/>
      <c r="I115" s="38" t="s">
        <v>195</v>
      </c>
      <c r="J115" s="61"/>
      <c r="K115" s="63">
        <f>(IF(B106&gt;2,(H106/(B106+4)+K114),0))</f>
        <v>0</v>
      </c>
    </row>
    <row r="116" spans="1:12" ht="15.75" customHeight="1" x14ac:dyDescent="0.3">
      <c r="A116" s="99" t="s">
        <v>185</v>
      </c>
      <c r="B116" s="100"/>
      <c r="C116" s="71">
        <v>0</v>
      </c>
      <c r="D116" s="72">
        <f ca="1">((100/H106)*C116)/100</f>
        <v>0</v>
      </c>
      <c r="E116" s="109"/>
      <c r="F116" s="109"/>
      <c r="G116" s="109"/>
      <c r="H116" s="111"/>
      <c r="I116" s="38" t="s">
        <v>197</v>
      </c>
      <c r="J116"/>
      <c r="K116" s="66">
        <f>(IF(B106&gt;3,(H106/(B106+4)+K115),0))</f>
        <v>0</v>
      </c>
    </row>
    <row r="117" spans="1:12" ht="15.75" customHeight="1" x14ac:dyDescent="0.3">
      <c r="A117" s="99" t="s">
        <v>179</v>
      </c>
      <c r="B117" s="100" t="s">
        <v>179</v>
      </c>
      <c r="C117" s="71">
        <v>0</v>
      </c>
      <c r="D117" s="72">
        <f ca="1">((100/(H106))*C117)/100</f>
        <v>0</v>
      </c>
      <c r="E117" s="109"/>
      <c r="F117" s="109"/>
      <c r="G117" s="109"/>
      <c r="H117" s="111"/>
      <c r="I117" s="38" t="s">
        <v>138</v>
      </c>
      <c r="J117" s="23"/>
      <c r="K117" s="62">
        <f ca="1">(IF(B106=0,H106/4+K112,(H106/(B106+4)+K112+MAX(0,K113-K112)+MAX(0,K114-K113)+MAX(0,K115-K114)+MAX(0,K116-K115))))</f>
        <v>3</v>
      </c>
    </row>
    <row r="118" spans="1:12" ht="16.2" thickBot="1" x14ac:dyDescent="0.35">
      <c r="A118" s="107" t="s">
        <v>180</v>
      </c>
      <c r="B118" s="108"/>
      <c r="C118" s="74">
        <v>0</v>
      </c>
      <c r="D118" s="75">
        <f ca="1">((100/(H106))*C118)/100</f>
        <v>0</v>
      </c>
      <c r="E118" s="110"/>
      <c r="F118" s="110"/>
      <c r="G118" s="110"/>
      <c r="H118" s="112"/>
      <c r="I118" s="59" t="s">
        <v>139</v>
      </c>
      <c r="J118" s="60"/>
      <c r="K118" s="64">
        <f ca="1">(IF(B106=0,H106/4+K117,(H106/(B106+4)+K117)))</f>
        <v>4</v>
      </c>
    </row>
    <row r="119" spans="1:12" ht="15.75" customHeight="1" x14ac:dyDescent="0.3">
      <c r="A119" s="113" t="s">
        <v>190</v>
      </c>
      <c r="B119" s="114"/>
      <c r="C119" s="115" t="str">
        <f>D57</f>
        <v xml:space="preserve">Building No. 2 D &amp; E Wing = Gr/St + 4th Floor </v>
      </c>
      <c r="D119" s="116"/>
      <c r="E119" s="116"/>
      <c r="F119" s="116"/>
      <c r="G119" s="116"/>
      <c r="H119" s="117"/>
      <c r="I119" s="19" t="str">
        <f ca="1">(IF(C123=0,"Work not yet Started.",IF(D123=25%,"Piling work in process",IF(D123=50%,"Excavation work in process",IF(D123=100%,"Excavation work completed, ","0")))&amp;(IF(C124=0%,"",IF(C124=K125,"Footing work is process",IF(C124=K126,"Footing work Completed",IF(C124=K127,"1st Basement Completed",IF(C124=K128,"1st &amp; 2nd Basement Completed",IF(C124=K129,"1st to 3rd Basement Completed",IF(C124=K130,"1st to 4th Basement Completed",IF(C124=K131,"Plinth work is process",IF(C124=K132,"Plinth work completed","0")))))))))))&amp;(IF(C125&gt;0,", RCC upto "&amp;C125&amp;" Slab completed",""))&amp;(IF(C126&gt;0,", Brickwork upto "&amp;C126&amp;" Floor completed"," "))&amp;(IF(C127&gt;0,", Internal Plaster upto "&amp;C127&amp;" Floor completed"," "))&amp;(IF(C128&gt;0,", External Plaster upto "&amp;C128&amp;" Floor completed"," "))&amp;(IF(C129&gt;0,", Flooring upto "&amp;C129&amp;" Floor completed"," "))&amp;(IF(C130&gt;0,", Painting upto "&amp;C130&amp;" Floor completed"," "))&amp;(IF(C131&gt;0,", Finishing upto "&amp;C131&amp;" Floor completed"," ")))</f>
        <v xml:space="preserve">Excavation work completed, 0      </v>
      </c>
      <c r="J119" s="19"/>
      <c r="K119" s="20"/>
    </row>
    <row r="120" spans="1:12" x14ac:dyDescent="0.3">
      <c r="A120" s="65" t="s">
        <v>192</v>
      </c>
      <c r="B120" s="68">
        <v>0</v>
      </c>
      <c r="C120" s="68" t="s">
        <v>101</v>
      </c>
      <c r="D120" s="68">
        <v>1</v>
      </c>
      <c r="E120" s="68" t="s">
        <v>100</v>
      </c>
      <c r="F120" s="68">
        <v>0</v>
      </c>
      <c r="G120" s="68" t="s">
        <v>114</v>
      </c>
      <c r="H120" s="69">
        <f ca="1">--TRIM(RIGHT(SUBSTITUTE(LEFT(C119,_xlfn.AGGREGATE(16,6,FIND({0,1,2,3,4,5,6,7,8,9},C119,ROW(INDIRECT("1:"&amp;LEN(C119)))),1))," ",REPT(" ",LEN(C119))),LEN(C119)))</f>
        <v>4</v>
      </c>
      <c r="I120" s="18" t="s">
        <v>152</v>
      </c>
      <c r="J120" s="18"/>
      <c r="K120" s="21"/>
      <c r="L120" s="11" t="s">
        <v>276</v>
      </c>
    </row>
    <row r="121" spans="1:12" ht="15.75" customHeight="1" x14ac:dyDescent="0.3">
      <c r="A121" s="102" t="s">
        <v>124</v>
      </c>
      <c r="B121" s="103"/>
      <c r="C121" s="104" t="s">
        <v>275</v>
      </c>
      <c r="D121" s="104"/>
      <c r="E121" s="104"/>
      <c r="F121" s="104"/>
      <c r="G121" s="104"/>
      <c r="H121" s="105"/>
      <c r="I121" s="18" t="s">
        <v>140</v>
      </c>
      <c r="J121" s="18"/>
      <c r="K121" s="21"/>
    </row>
    <row r="122" spans="1:12" x14ac:dyDescent="0.3">
      <c r="A122" s="99" t="s">
        <v>52</v>
      </c>
      <c r="B122" s="100"/>
      <c r="C122" s="70" t="s">
        <v>189</v>
      </c>
      <c r="D122" s="70" t="s">
        <v>117</v>
      </c>
      <c r="E122" s="100" t="s">
        <v>119</v>
      </c>
      <c r="F122" s="100"/>
      <c r="G122" s="100" t="s">
        <v>118</v>
      </c>
      <c r="H122" s="106"/>
      <c r="I122" s="38" t="s">
        <v>191</v>
      </c>
      <c r="K122" s="22">
        <f ca="1">H120*25%</f>
        <v>1</v>
      </c>
    </row>
    <row r="123" spans="1:12" x14ac:dyDescent="0.3">
      <c r="A123" s="99" t="s">
        <v>174</v>
      </c>
      <c r="B123" s="100"/>
      <c r="C123" s="71">
        <f ca="1">K124</f>
        <v>4</v>
      </c>
      <c r="D123" s="72">
        <f ca="1">((100/H120)*C123)/100</f>
        <v>1</v>
      </c>
      <c r="E123" s="109">
        <f ca="1">(IF(C121=I120,"100%",IF(C121=I121,"100%",(((C124/H120*10)+(40/(D120+F120+H120)*C125)+(7.5/(H120)*C126)+(7.5/(H120)*C127)+(10/H120*C128)+(10/H120*C129)+(5/H120*C130)+(5/H120*C131)+(5/H120*C132))/100))))</f>
        <v>8.7499999999999994E-2</v>
      </c>
      <c r="F123" s="109"/>
      <c r="G123" s="109">
        <f ca="1">((((C123/H120)*20)+((C124/H120)*25)+(30/(H120+F120+D120)*C125)+(5/H120*C126)+(5/H120*C127)+(5/H120*C128)+(5/H120*C129)+(0/H120*C130)+(0/H120*C131)+(5/H120*C132))/100)</f>
        <v>0.41875000000000001</v>
      </c>
      <c r="H123" s="111"/>
      <c r="I123" s="38" t="s">
        <v>134</v>
      </c>
      <c r="J123" s="23"/>
      <c r="K123" s="51">
        <f ca="1">H120*50%</f>
        <v>2</v>
      </c>
    </row>
    <row r="124" spans="1:12" x14ac:dyDescent="0.3">
      <c r="A124" s="99" t="s">
        <v>53</v>
      </c>
      <c r="B124" s="100"/>
      <c r="C124" s="73">
        <v>3.5</v>
      </c>
      <c r="D124" s="72">
        <f ca="1">((100/H120)*C124)/100</f>
        <v>0.875</v>
      </c>
      <c r="E124" s="109"/>
      <c r="F124" s="109"/>
      <c r="G124" s="109"/>
      <c r="H124" s="111"/>
      <c r="I124" s="38" t="s">
        <v>135</v>
      </c>
      <c r="J124" s="23"/>
      <c r="K124" s="51">
        <f ca="1">H120</f>
        <v>4</v>
      </c>
    </row>
    <row r="125" spans="1:12" ht="15.75" customHeight="1" x14ac:dyDescent="0.3">
      <c r="A125" s="99" t="s">
        <v>175</v>
      </c>
      <c r="B125" s="100"/>
      <c r="C125" s="73">
        <v>0</v>
      </c>
      <c r="D125" s="72">
        <f ca="1">((100/(D120+F120+H120))*C125)/100</f>
        <v>0</v>
      </c>
      <c r="E125" s="109"/>
      <c r="F125" s="109"/>
      <c r="G125" s="109"/>
      <c r="H125" s="111"/>
      <c r="I125" s="38" t="s">
        <v>136</v>
      </c>
      <c r="J125" s="23"/>
      <c r="K125" s="62">
        <f ca="1">(IF(B120=0,H120/4,(H120/(B120+4))))</f>
        <v>1</v>
      </c>
    </row>
    <row r="126" spans="1:12" ht="15.75" customHeight="1" x14ac:dyDescent="0.3">
      <c r="A126" s="99" t="s">
        <v>183</v>
      </c>
      <c r="B126" s="100" t="s">
        <v>176</v>
      </c>
      <c r="C126" s="71">
        <v>0</v>
      </c>
      <c r="D126" s="72">
        <f ca="1">((100/H120)*C126)/100</f>
        <v>0</v>
      </c>
      <c r="E126" s="109"/>
      <c r="F126" s="109"/>
      <c r="G126" s="109"/>
      <c r="H126" s="111"/>
      <c r="I126" s="38" t="s">
        <v>137</v>
      </c>
      <c r="J126" s="23"/>
      <c r="K126" s="62">
        <f ca="1">(IF(B120=0,H120/4+K125,(H120/(B120+4)+K125)))</f>
        <v>2</v>
      </c>
    </row>
    <row r="127" spans="1:12" ht="15.75" customHeight="1" x14ac:dyDescent="0.3">
      <c r="A127" s="99" t="s">
        <v>184</v>
      </c>
      <c r="B127" s="100" t="s">
        <v>176</v>
      </c>
      <c r="C127" s="71">
        <v>0</v>
      </c>
      <c r="D127" s="72">
        <f ca="1">((100/H120)*C127)/100</f>
        <v>0</v>
      </c>
      <c r="E127" s="109"/>
      <c r="F127" s="109"/>
      <c r="G127" s="109"/>
      <c r="H127" s="111"/>
      <c r="I127" s="38" t="s">
        <v>193</v>
      </c>
      <c r="J127" s="67"/>
      <c r="K127" s="62">
        <f>(IF(B120=0,0,(H120/(B120+4)+K126)))</f>
        <v>0</v>
      </c>
    </row>
    <row r="128" spans="1:12" ht="15" customHeight="1" x14ac:dyDescent="0.3">
      <c r="A128" s="99" t="s">
        <v>182</v>
      </c>
      <c r="B128" s="100" t="s">
        <v>178</v>
      </c>
      <c r="C128" s="71">
        <v>0</v>
      </c>
      <c r="D128" s="72">
        <f ca="1">((100/(H120))*C128)/100</f>
        <v>0</v>
      </c>
      <c r="E128" s="109"/>
      <c r="F128" s="109"/>
      <c r="G128" s="109"/>
      <c r="H128" s="111"/>
      <c r="I128" s="38" t="s">
        <v>194</v>
      </c>
      <c r="J128" s="67"/>
      <c r="K128" s="62">
        <f>(IF(B120&gt;1,(H120/(B120+4)+K127),0))</f>
        <v>0</v>
      </c>
    </row>
    <row r="129" spans="1:11" ht="15.75" customHeight="1" x14ac:dyDescent="0.3">
      <c r="A129" s="99" t="s">
        <v>177</v>
      </c>
      <c r="B129" s="100" t="s">
        <v>177</v>
      </c>
      <c r="C129" s="71">
        <v>0</v>
      </c>
      <c r="D129" s="72">
        <f ca="1">((100/H120)*C129)/100</f>
        <v>0</v>
      </c>
      <c r="E129" s="109"/>
      <c r="F129" s="109"/>
      <c r="G129" s="109"/>
      <c r="H129" s="111"/>
      <c r="I129" s="38" t="s">
        <v>195</v>
      </c>
      <c r="J129" s="61"/>
      <c r="K129" s="63">
        <f>(IF(B120&gt;2,(H120/(B120+4)+K128),0))</f>
        <v>0</v>
      </c>
    </row>
    <row r="130" spans="1:11" ht="15.75" customHeight="1" x14ac:dyDescent="0.3">
      <c r="A130" s="99" t="s">
        <v>185</v>
      </c>
      <c r="B130" s="100"/>
      <c r="C130" s="71">
        <v>0</v>
      </c>
      <c r="D130" s="72">
        <f ca="1">((100/H120)*C130)/100</f>
        <v>0</v>
      </c>
      <c r="E130" s="109"/>
      <c r="F130" s="109"/>
      <c r="G130" s="109"/>
      <c r="H130" s="111"/>
      <c r="I130" s="38" t="s">
        <v>197</v>
      </c>
      <c r="J130"/>
      <c r="K130" s="66">
        <f>(IF(B120&gt;3,(H120/(B120+4)+K129),0))</f>
        <v>0</v>
      </c>
    </row>
    <row r="131" spans="1:11" ht="15.75" customHeight="1" x14ac:dyDescent="0.3">
      <c r="A131" s="99" t="s">
        <v>179</v>
      </c>
      <c r="B131" s="100" t="s">
        <v>179</v>
      </c>
      <c r="C131" s="71">
        <v>0</v>
      </c>
      <c r="D131" s="72">
        <f ca="1">((100/(H120))*C131)/100</f>
        <v>0</v>
      </c>
      <c r="E131" s="109"/>
      <c r="F131" s="109"/>
      <c r="G131" s="109"/>
      <c r="H131" s="111"/>
      <c r="I131" s="38" t="s">
        <v>138</v>
      </c>
      <c r="J131" s="23"/>
      <c r="K131" s="62">
        <f ca="1">(IF(B120=0,H120/4+K126,(H120/(B120+4)+K126+MAX(0,K127-K126)+MAX(0,K128-K127)+MAX(0,K129-K128)+MAX(0,K130-K129))))</f>
        <v>3</v>
      </c>
    </row>
    <row r="132" spans="1:11" ht="16.2" thickBot="1" x14ac:dyDescent="0.35">
      <c r="A132" s="107" t="s">
        <v>180</v>
      </c>
      <c r="B132" s="108"/>
      <c r="C132" s="74">
        <v>0</v>
      </c>
      <c r="D132" s="75">
        <f ca="1">((100/(H120))*C132)/100</f>
        <v>0</v>
      </c>
      <c r="E132" s="110"/>
      <c r="F132" s="110"/>
      <c r="G132" s="110"/>
      <c r="H132" s="112"/>
      <c r="I132" s="59" t="s">
        <v>139</v>
      </c>
      <c r="J132" s="60"/>
      <c r="K132" s="64">
        <f ca="1">(IF(B120=0,H120/4+K131,(H120/(B120+4)+K131)))</f>
        <v>4</v>
      </c>
    </row>
    <row r="133" spans="1:11" ht="15.75" hidden="1" customHeight="1" x14ac:dyDescent="0.3">
      <c r="A133" s="113" t="s">
        <v>190</v>
      </c>
      <c r="B133" s="114"/>
      <c r="C133" s="115" t="str">
        <f>D58</f>
        <v xml:space="preserve">E Wing (EWS) = Gr/St + 4th Floor </v>
      </c>
      <c r="D133" s="116"/>
      <c r="E133" s="116"/>
      <c r="F133" s="116"/>
      <c r="G133" s="116"/>
      <c r="H133" s="117"/>
      <c r="I133" s="19" t="str">
        <f>(IF(C137=0,"Work not yet Started.",IF(D137=25%,"Piling work in process",IF(D137=50%,"Excavation work in process",IF(D137=100%,"Excavation work completed, ","0")))&amp;(IF(C138=0%,"",IF(C138=K139,"Footing work is process",IF(C138=K140,"Footing work Completed",IF(C138=K141,"1st Basement Completed",IF(C138=K142,"1st &amp; 2nd Basement Completed",IF(C138=K143,"1st to 3rd Basement Completed",IF(C138=K144,"1st to 4th Basement Completed",IF(C138=K145,"Plinth work is process",IF(C138=K146,"Plinth work completed","0")))))))))))&amp;(IF(C139&gt;0,", RCC upto "&amp;C139&amp;" Slab completed",""))&amp;(IF(C140&gt;0,", Brickwork upto "&amp;C140&amp;" Floor completed"," "))&amp;(IF(C141&gt;0,", Internal Plaster upto "&amp;C141&amp;" Floor completed"," "))&amp;(IF(C142&gt;0,", External Plaster upto "&amp;C142&amp;" Floor completed"," "))&amp;(IF(C143&gt;0,", Flooring upto "&amp;C143&amp;" Floor completed"," "))&amp;(IF(C144&gt;0,", Painting upto "&amp;C144&amp;" Floor completed"," "))&amp;(IF(C145&gt;0,", Finishing upto "&amp;C145&amp;" Floor completed"," ")))</f>
        <v xml:space="preserve">Work not yet Started.      </v>
      </c>
      <c r="J133" s="19"/>
      <c r="K133" s="20"/>
    </row>
    <row r="134" spans="1:11" hidden="1" x14ac:dyDescent="0.3">
      <c r="A134" s="65" t="s">
        <v>192</v>
      </c>
      <c r="B134" s="68">
        <v>4</v>
      </c>
      <c r="C134" s="68" t="s">
        <v>101</v>
      </c>
      <c r="D134" s="68">
        <v>1</v>
      </c>
      <c r="E134" s="68" t="s">
        <v>100</v>
      </c>
      <c r="F134" s="68">
        <v>0</v>
      </c>
      <c r="G134" s="68" t="s">
        <v>114</v>
      </c>
      <c r="H134" s="69">
        <f ca="1">--TRIM(RIGHT(SUBSTITUTE(LEFT(C133,_xlfn.AGGREGATE(16,6,FIND({0,1,2,3,4,5,6,7,8,9},C133,ROW(INDIRECT("1:"&amp;LEN(C133)))),1))," ",REPT(" ",LEN(C133))),LEN(C133)))</f>
        <v>4</v>
      </c>
      <c r="I134" s="18" t="s">
        <v>152</v>
      </c>
      <c r="J134" s="18"/>
      <c r="K134" s="21"/>
    </row>
    <row r="135" spans="1:11" ht="15.75" hidden="1" customHeight="1" x14ac:dyDescent="0.3">
      <c r="A135" s="102" t="s">
        <v>124</v>
      </c>
      <c r="B135" s="103"/>
      <c r="C135" s="104" t="str">
        <f>I133</f>
        <v xml:space="preserve">Work not yet Started.      </v>
      </c>
      <c r="D135" s="104"/>
      <c r="E135" s="104"/>
      <c r="F135" s="104"/>
      <c r="G135" s="104"/>
      <c r="H135" s="105"/>
      <c r="I135" s="18" t="s">
        <v>140</v>
      </c>
      <c r="J135" s="18"/>
      <c r="K135" s="21"/>
    </row>
    <row r="136" spans="1:11" hidden="1" x14ac:dyDescent="0.3">
      <c r="A136" s="99" t="s">
        <v>52</v>
      </c>
      <c r="B136" s="100"/>
      <c r="C136" s="70" t="s">
        <v>189</v>
      </c>
      <c r="D136" s="70" t="s">
        <v>117</v>
      </c>
      <c r="E136" s="100" t="s">
        <v>119</v>
      </c>
      <c r="F136" s="100"/>
      <c r="G136" s="100" t="s">
        <v>118</v>
      </c>
      <c r="H136" s="106"/>
      <c r="I136" s="38" t="s">
        <v>191</v>
      </c>
      <c r="K136" s="22">
        <f ca="1">H134*25%</f>
        <v>1</v>
      </c>
    </row>
    <row r="137" spans="1:11" hidden="1" x14ac:dyDescent="0.3">
      <c r="A137" s="99" t="s">
        <v>174</v>
      </c>
      <c r="B137" s="100"/>
      <c r="C137" s="71">
        <v>0</v>
      </c>
      <c r="D137" s="72">
        <f ca="1">((100/H134)*C137)/100</f>
        <v>0</v>
      </c>
      <c r="E137" s="109">
        <f ca="1">(IF(C135=I134,"100%",IF(C135=I135,"100%",(((C138/H134*10)+(40/(D134+F134+H134)*C139)+(7.5/(H134)*C140)+(7.5/(H134)*C141)+(10/H134*C142)+(10/H134*C143)+(5/H134*C144)+(5/H134*C145)+(5/H134*C146))/100))))</f>
        <v>0</v>
      </c>
      <c r="F137" s="109"/>
      <c r="G137" s="109">
        <f ca="1">((((C137/H134)*20)+((C138/H134)*25)+(30/(H134+F134+D134)*C139)+(5/H134*C140)+(5/H134*C141)+(5/H134*C142)+(5/H134*C143)+(0/H134*C144)+(0/H134*C145)+(5/H134*C146))/100)</f>
        <v>0</v>
      </c>
      <c r="H137" s="111"/>
      <c r="I137" s="38" t="s">
        <v>134</v>
      </c>
      <c r="J137" s="23"/>
      <c r="K137" s="51">
        <f ca="1">H134*50%</f>
        <v>2</v>
      </c>
    </row>
    <row r="138" spans="1:11" hidden="1" x14ac:dyDescent="0.3">
      <c r="A138" s="99" t="s">
        <v>53</v>
      </c>
      <c r="B138" s="100"/>
      <c r="C138" s="73">
        <v>0</v>
      </c>
      <c r="D138" s="72">
        <f ca="1">((100/H134)*C138)/100</f>
        <v>0</v>
      </c>
      <c r="E138" s="109"/>
      <c r="F138" s="109"/>
      <c r="G138" s="109"/>
      <c r="H138" s="111"/>
      <c r="I138" s="38" t="s">
        <v>135</v>
      </c>
      <c r="J138" s="23"/>
      <c r="K138" s="51">
        <f ca="1">H134</f>
        <v>4</v>
      </c>
    </row>
    <row r="139" spans="1:11" ht="15.75" hidden="1" customHeight="1" x14ac:dyDescent="0.3">
      <c r="A139" s="99" t="s">
        <v>175</v>
      </c>
      <c r="B139" s="100"/>
      <c r="C139" s="73">
        <v>0</v>
      </c>
      <c r="D139" s="72">
        <f ca="1">((100/(D134+F134+H134))*C139)/100</f>
        <v>0</v>
      </c>
      <c r="E139" s="109"/>
      <c r="F139" s="109"/>
      <c r="G139" s="109"/>
      <c r="H139" s="111"/>
      <c r="I139" s="38" t="s">
        <v>136</v>
      </c>
      <c r="J139" s="23"/>
      <c r="K139" s="62">
        <f ca="1">(IF(B134=0,H134/4,(H134/(B134+4))))</f>
        <v>0.5</v>
      </c>
    </row>
    <row r="140" spans="1:11" ht="15.75" hidden="1" customHeight="1" x14ac:dyDescent="0.3">
      <c r="A140" s="99" t="s">
        <v>183</v>
      </c>
      <c r="B140" s="100" t="s">
        <v>176</v>
      </c>
      <c r="C140" s="71">
        <v>0</v>
      </c>
      <c r="D140" s="72">
        <f ca="1">((100/H134)*C140)/100</f>
        <v>0</v>
      </c>
      <c r="E140" s="109"/>
      <c r="F140" s="109"/>
      <c r="G140" s="109"/>
      <c r="H140" s="111"/>
      <c r="I140" s="38" t="s">
        <v>137</v>
      </c>
      <c r="J140" s="23"/>
      <c r="K140" s="62">
        <f ca="1">(IF(B134=0,H134/4+K139,(H134/(B134+4)+K139)))</f>
        <v>1</v>
      </c>
    </row>
    <row r="141" spans="1:11" ht="15.75" hidden="1" customHeight="1" x14ac:dyDescent="0.3">
      <c r="A141" s="99" t="s">
        <v>184</v>
      </c>
      <c r="B141" s="100" t="s">
        <v>176</v>
      </c>
      <c r="C141" s="71">
        <v>0</v>
      </c>
      <c r="D141" s="72">
        <f ca="1">((100/H134)*C141)/100</f>
        <v>0</v>
      </c>
      <c r="E141" s="109"/>
      <c r="F141" s="109"/>
      <c r="G141" s="109"/>
      <c r="H141" s="111"/>
      <c r="I141" s="38" t="s">
        <v>193</v>
      </c>
      <c r="J141" s="67"/>
      <c r="K141" s="62">
        <f ca="1">(IF(B134=0,0,(H134/(B134+4)+K140)))</f>
        <v>1.5</v>
      </c>
    </row>
    <row r="142" spans="1:11" ht="15" hidden="1" customHeight="1" x14ac:dyDescent="0.3">
      <c r="A142" s="99" t="s">
        <v>182</v>
      </c>
      <c r="B142" s="100" t="s">
        <v>178</v>
      </c>
      <c r="C142" s="71">
        <v>0</v>
      </c>
      <c r="D142" s="72">
        <f ca="1">((100/(H134))*C142)/100</f>
        <v>0</v>
      </c>
      <c r="E142" s="109"/>
      <c r="F142" s="109"/>
      <c r="G142" s="109"/>
      <c r="H142" s="111"/>
      <c r="I142" s="38" t="s">
        <v>194</v>
      </c>
      <c r="J142" s="67"/>
      <c r="K142" s="62">
        <f ca="1">(IF(B134&gt;1,(H134/(B134+4)+K141),0))</f>
        <v>2</v>
      </c>
    </row>
    <row r="143" spans="1:11" ht="15.75" hidden="1" customHeight="1" x14ac:dyDescent="0.3">
      <c r="A143" s="99" t="s">
        <v>177</v>
      </c>
      <c r="B143" s="100" t="s">
        <v>177</v>
      </c>
      <c r="C143" s="71">
        <v>0</v>
      </c>
      <c r="D143" s="72">
        <f ca="1">((100/H134)*C143)/100</f>
        <v>0</v>
      </c>
      <c r="E143" s="109"/>
      <c r="F143" s="109"/>
      <c r="G143" s="109"/>
      <c r="H143" s="111"/>
      <c r="I143" s="38" t="s">
        <v>195</v>
      </c>
      <c r="J143" s="61"/>
      <c r="K143" s="63">
        <f ca="1">(IF(B134&gt;2,(H134/(B134+4)+K142),0))</f>
        <v>2.5</v>
      </c>
    </row>
    <row r="144" spans="1:11" ht="15.75" hidden="1" customHeight="1" x14ac:dyDescent="0.3">
      <c r="A144" s="99" t="s">
        <v>185</v>
      </c>
      <c r="B144" s="100"/>
      <c r="C144" s="71">
        <v>0</v>
      </c>
      <c r="D144" s="72">
        <f ca="1">((100/H134)*C144)/100</f>
        <v>0</v>
      </c>
      <c r="E144" s="109"/>
      <c r="F144" s="109"/>
      <c r="G144" s="109"/>
      <c r="H144" s="111"/>
      <c r="I144" s="38" t="s">
        <v>197</v>
      </c>
      <c r="J144"/>
      <c r="K144" s="66">
        <f ca="1">(IF(B134&gt;3,(H134/(B134+4)+K143),0))</f>
        <v>3</v>
      </c>
    </row>
    <row r="145" spans="1:13" ht="15.75" hidden="1" customHeight="1" x14ac:dyDescent="0.3">
      <c r="A145" s="99" t="s">
        <v>179</v>
      </c>
      <c r="B145" s="100" t="s">
        <v>179</v>
      </c>
      <c r="C145" s="71">
        <v>0</v>
      </c>
      <c r="D145" s="72">
        <f ca="1">((100/(H134))*C145)/100</f>
        <v>0</v>
      </c>
      <c r="E145" s="109"/>
      <c r="F145" s="109"/>
      <c r="G145" s="109"/>
      <c r="H145" s="111"/>
      <c r="I145" s="38" t="s">
        <v>138</v>
      </c>
      <c r="J145" s="23"/>
      <c r="K145" s="62">
        <f ca="1">(IF(B134=0,H134/4+K140,(H134/(B134+4)+K140+MAX(0,K141-K140)+MAX(0,K142-K141)+MAX(0,K143-K142)+MAX(0,K144-K143))))</f>
        <v>3.5</v>
      </c>
    </row>
    <row r="146" spans="1:13" ht="16.2" hidden="1" thickBot="1" x14ac:dyDescent="0.35">
      <c r="A146" s="107" t="s">
        <v>180</v>
      </c>
      <c r="B146" s="108"/>
      <c r="C146" s="74">
        <v>0</v>
      </c>
      <c r="D146" s="75">
        <f ca="1">((100/(H134))*C146)/100</f>
        <v>0</v>
      </c>
      <c r="E146" s="110"/>
      <c r="F146" s="110"/>
      <c r="G146" s="110"/>
      <c r="H146" s="112"/>
      <c r="I146" s="59" t="s">
        <v>139</v>
      </c>
      <c r="J146" s="60"/>
      <c r="K146" s="64">
        <f ca="1">(IF(B134=0,H134/4+K145,(H134/(B134+4)+K145)))</f>
        <v>4</v>
      </c>
    </row>
    <row r="147" spans="1:13" x14ac:dyDescent="0.3">
      <c r="A147" s="185" t="s">
        <v>153</v>
      </c>
      <c r="B147" s="186"/>
      <c r="C147" s="186"/>
      <c r="D147" s="186"/>
      <c r="E147" s="187"/>
      <c r="F147" s="185" t="str">
        <f ca="1">(IF(G67="100%","Yes",IF(G67&gt;0%,"Under Construction",IF(G67=0%,"Work not yet Started"))))</f>
        <v>Under Construction</v>
      </c>
      <c r="G147" s="186"/>
      <c r="H147" s="187"/>
    </row>
    <row r="148" spans="1:13" x14ac:dyDescent="0.3">
      <c r="A148" s="121" t="s">
        <v>54</v>
      </c>
      <c r="B148" s="121"/>
      <c r="C148" s="121"/>
      <c r="D148" s="121"/>
      <c r="E148" s="121"/>
      <c r="F148" s="121"/>
      <c r="G148" s="121"/>
      <c r="H148" s="121"/>
    </row>
    <row r="149" spans="1:13" ht="15" customHeight="1" x14ac:dyDescent="0.3">
      <c r="A149" s="103" t="s">
        <v>103</v>
      </c>
      <c r="B149" s="103"/>
      <c r="C149" s="104" t="s">
        <v>104</v>
      </c>
      <c r="D149" s="104"/>
      <c r="E149" s="104"/>
      <c r="F149" s="104"/>
      <c r="G149" s="104"/>
      <c r="H149" s="104"/>
    </row>
    <row r="150" spans="1:13" x14ac:dyDescent="0.3">
      <c r="A150" s="125" t="s">
        <v>55</v>
      </c>
      <c r="B150" s="125"/>
      <c r="C150" s="125"/>
      <c r="D150" s="125"/>
      <c r="E150" s="125"/>
      <c r="F150" s="125"/>
      <c r="G150" s="125"/>
      <c r="H150" s="125"/>
      <c r="J150" s="84" t="s">
        <v>263</v>
      </c>
      <c r="K150" s="85">
        <v>45016</v>
      </c>
      <c r="L150" s="84" t="s">
        <v>264</v>
      </c>
      <c r="M150" s="84" t="s">
        <v>265</v>
      </c>
    </row>
    <row r="151" spans="1:13" x14ac:dyDescent="0.3">
      <c r="A151" s="124" t="s">
        <v>105</v>
      </c>
      <c r="B151" s="124"/>
      <c r="C151" s="124"/>
      <c r="D151" s="124"/>
      <c r="E151" s="124"/>
      <c r="F151" s="123">
        <v>5000</v>
      </c>
      <c r="G151" s="123"/>
      <c r="H151" s="123"/>
      <c r="I151" s="8" t="s">
        <v>267</v>
      </c>
      <c r="J151" s="84"/>
      <c r="K151" s="85"/>
      <c r="L151" s="84"/>
      <c r="M151" s="84"/>
    </row>
    <row r="152" spans="1:13" x14ac:dyDescent="0.3">
      <c r="A152" s="124" t="s">
        <v>112</v>
      </c>
      <c r="B152" s="124"/>
      <c r="C152" s="124"/>
      <c r="D152" s="124"/>
      <c r="E152" s="124"/>
      <c r="F152" s="123">
        <v>7500</v>
      </c>
      <c r="G152" s="123"/>
      <c r="H152" s="123"/>
    </row>
    <row r="153" spans="1:13" hidden="1" x14ac:dyDescent="0.3">
      <c r="A153" s="121" t="s">
        <v>113</v>
      </c>
      <c r="B153" s="121"/>
      <c r="C153" s="121"/>
      <c r="D153" s="121"/>
      <c r="E153" s="121"/>
      <c r="F153" s="123"/>
      <c r="G153" s="123"/>
      <c r="H153" s="123"/>
    </row>
    <row r="154" spans="1:13" s="12" customFormat="1" hidden="1" x14ac:dyDescent="0.25">
      <c r="A154" s="121" t="s">
        <v>129</v>
      </c>
      <c r="B154" s="121"/>
      <c r="C154" s="121"/>
      <c r="D154" s="121"/>
      <c r="E154" s="121"/>
      <c r="F154" s="123" t="s">
        <v>30</v>
      </c>
      <c r="G154" s="123"/>
      <c r="H154" s="123"/>
    </row>
    <row r="155" spans="1:13" s="12" customFormat="1" x14ac:dyDescent="0.25">
      <c r="A155" s="121" t="s">
        <v>130</v>
      </c>
      <c r="B155" s="121"/>
      <c r="C155" s="121"/>
      <c r="D155" s="121"/>
      <c r="E155" s="121"/>
      <c r="F155" s="122">
        <v>150000</v>
      </c>
      <c r="G155" s="123"/>
      <c r="H155" s="123"/>
    </row>
    <row r="156" spans="1:13" s="12" customFormat="1" x14ac:dyDescent="0.25">
      <c r="A156" s="121" t="s">
        <v>253</v>
      </c>
      <c r="B156" s="121"/>
      <c r="C156" s="121"/>
      <c r="D156" s="121"/>
      <c r="E156" s="121"/>
      <c r="F156" s="122">
        <v>25000</v>
      </c>
      <c r="G156" s="123"/>
      <c r="H156" s="123"/>
    </row>
    <row r="157" spans="1:13" s="12" customFormat="1" hidden="1" x14ac:dyDescent="0.25">
      <c r="A157" s="121" t="s">
        <v>246</v>
      </c>
      <c r="B157" s="121"/>
      <c r="C157" s="121"/>
      <c r="D157" s="121"/>
      <c r="E157" s="121"/>
      <c r="F157" s="123" t="s">
        <v>252</v>
      </c>
      <c r="G157" s="123"/>
      <c r="H157" s="123"/>
    </row>
    <row r="158" spans="1:13" s="12" customFormat="1" hidden="1" x14ac:dyDescent="0.25">
      <c r="A158" s="121" t="s">
        <v>131</v>
      </c>
      <c r="B158" s="121"/>
      <c r="C158" s="121"/>
      <c r="D158" s="121"/>
      <c r="E158" s="121"/>
      <c r="F158" s="123" t="s">
        <v>30</v>
      </c>
      <c r="G158" s="123"/>
      <c r="H158" s="123"/>
    </row>
    <row r="159" spans="1:13" s="12" customFormat="1" hidden="1" x14ac:dyDescent="0.25">
      <c r="A159" s="121" t="s">
        <v>132</v>
      </c>
      <c r="B159" s="121"/>
      <c r="C159" s="121"/>
      <c r="D159" s="121"/>
      <c r="E159" s="121"/>
      <c r="F159" s="123" t="s">
        <v>30</v>
      </c>
      <c r="G159" s="123"/>
      <c r="H159" s="123"/>
    </row>
    <row r="160" spans="1:13" s="12" customFormat="1" x14ac:dyDescent="0.25">
      <c r="A160" s="121" t="s">
        <v>247</v>
      </c>
      <c r="B160" s="121"/>
      <c r="C160" s="121"/>
      <c r="D160" s="121"/>
      <c r="E160" s="121"/>
      <c r="F160" s="122">
        <v>50000</v>
      </c>
      <c r="G160" s="123"/>
      <c r="H160" s="123"/>
    </row>
    <row r="161" spans="1:8" s="12" customFormat="1" hidden="1" x14ac:dyDescent="0.25">
      <c r="A161" s="121" t="s">
        <v>133</v>
      </c>
      <c r="B161" s="121"/>
      <c r="C161" s="121"/>
      <c r="D161" s="121"/>
      <c r="E161" s="121"/>
      <c r="F161" s="123" t="s">
        <v>30</v>
      </c>
      <c r="G161" s="123"/>
      <c r="H161" s="123"/>
    </row>
    <row r="162" spans="1:8" x14ac:dyDescent="0.3">
      <c r="A162" s="121" t="s">
        <v>56</v>
      </c>
      <c r="B162" s="121"/>
      <c r="C162" s="121"/>
      <c r="D162" s="121"/>
      <c r="E162" s="121"/>
      <c r="F162" s="133">
        <v>100000</v>
      </c>
      <c r="G162" s="134"/>
      <c r="H162" s="134"/>
    </row>
    <row r="163" spans="1:8" s="9" customFormat="1" x14ac:dyDescent="0.3">
      <c r="A163" s="125" t="s">
        <v>57</v>
      </c>
      <c r="B163" s="125"/>
      <c r="C163" s="125"/>
      <c r="D163" s="125"/>
      <c r="E163" s="125"/>
      <c r="F163" s="123">
        <f>F151*0.8</f>
        <v>4000</v>
      </c>
      <c r="G163" s="123"/>
      <c r="H163" s="123"/>
    </row>
    <row r="164" spans="1:8" s="1" customFormat="1" ht="15.75" customHeight="1" x14ac:dyDescent="0.3">
      <c r="A164" s="132" t="s">
        <v>106</v>
      </c>
      <c r="B164" s="132"/>
      <c r="C164" s="132"/>
      <c r="D164" s="132"/>
      <c r="E164" s="132"/>
      <c r="F164" s="132"/>
      <c r="G164" s="132"/>
      <c r="H164" s="132"/>
    </row>
    <row r="165" spans="1:8" s="1" customFormat="1" ht="15.75" customHeight="1" x14ac:dyDescent="0.3">
      <c r="A165" s="127" t="s">
        <v>58</v>
      </c>
      <c r="B165" s="127"/>
      <c r="C165" s="180" t="s">
        <v>109</v>
      </c>
      <c r="D165" s="180"/>
      <c r="E165" s="181" t="s">
        <v>59</v>
      </c>
      <c r="F165" s="181"/>
      <c r="G165" s="127" t="s">
        <v>60</v>
      </c>
      <c r="H165" s="127"/>
    </row>
    <row r="166" spans="1:8" s="1" customFormat="1" x14ac:dyDescent="0.3">
      <c r="A166" s="135" t="s">
        <v>199</v>
      </c>
      <c r="B166" s="135"/>
      <c r="C166" s="128">
        <f>COUNT(D185:D200)</f>
        <v>16</v>
      </c>
      <c r="D166" s="129"/>
      <c r="E166" s="130">
        <f>SUM(D185:D200)</f>
        <v>1600.6821479999999</v>
      </c>
      <c r="F166" s="131"/>
      <c r="G166" s="182">
        <f>SUM(F185:F200)</f>
        <v>2881.2278663999996</v>
      </c>
      <c r="H166" s="182"/>
    </row>
    <row r="167" spans="1:8" s="1" customFormat="1" x14ac:dyDescent="0.3">
      <c r="A167" s="135" t="s">
        <v>210</v>
      </c>
      <c r="B167" s="135"/>
      <c r="C167" s="128">
        <f>COUNT(D204:D207)</f>
        <v>4</v>
      </c>
      <c r="D167" s="129"/>
      <c r="E167" s="130">
        <f>SUM(D204:D207)</f>
        <v>389.01096000000001</v>
      </c>
      <c r="F167" s="131"/>
      <c r="G167" s="182">
        <f>SUM(F204:F207)</f>
        <v>700.21972800000003</v>
      </c>
      <c r="H167" s="182"/>
    </row>
    <row r="168" spans="1:8" s="1" customFormat="1" x14ac:dyDescent="0.3">
      <c r="A168" s="135" t="s">
        <v>211</v>
      </c>
      <c r="B168" s="135"/>
      <c r="C168" s="128">
        <f>COUNT(D210:D215)</f>
        <v>6</v>
      </c>
      <c r="D168" s="129"/>
      <c r="E168" s="130">
        <f>SUM(D210:D215)</f>
        <v>599.19958799999995</v>
      </c>
      <c r="F168" s="131"/>
      <c r="G168" s="182">
        <f>SUM(F210:F215)</f>
        <v>1078.5592584000001</v>
      </c>
      <c r="H168" s="182"/>
    </row>
    <row r="169" spans="1:8" s="1" customFormat="1" x14ac:dyDescent="0.3">
      <c r="A169" s="132" t="s">
        <v>62</v>
      </c>
      <c r="B169" s="132"/>
      <c r="C169" s="183">
        <f>SUM(C166:D168)</f>
        <v>26</v>
      </c>
      <c r="D169" s="180"/>
      <c r="E169" s="184">
        <f>SUM(E166:F168)</f>
        <v>2588.8926959999999</v>
      </c>
      <c r="F169" s="181"/>
      <c r="G169" s="127">
        <f>SUM(G166:H168)</f>
        <v>4660.0068527999993</v>
      </c>
      <c r="H169" s="127"/>
    </row>
    <row r="170" spans="1:8" s="1" customFormat="1" x14ac:dyDescent="0.3">
      <c r="A170" s="132" t="s">
        <v>99</v>
      </c>
      <c r="B170" s="132"/>
      <c r="C170" s="132"/>
      <c r="D170" s="132"/>
      <c r="E170" s="132"/>
      <c r="F170" s="132"/>
      <c r="G170" s="132"/>
      <c r="H170" s="132"/>
    </row>
    <row r="171" spans="1:8" s="1" customFormat="1" ht="15.75" customHeight="1" x14ac:dyDescent="0.3">
      <c r="A171" s="127" t="s">
        <v>58</v>
      </c>
      <c r="B171" s="127"/>
      <c r="C171" s="180" t="s">
        <v>109</v>
      </c>
      <c r="D171" s="180"/>
      <c r="E171" s="181" t="s">
        <v>59</v>
      </c>
      <c r="F171" s="181"/>
      <c r="G171" s="127" t="s">
        <v>60</v>
      </c>
      <c r="H171" s="127"/>
    </row>
    <row r="172" spans="1:8" s="1" customFormat="1" x14ac:dyDescent="0.3">
      <c r="A172" s="135" t="s">
        <v>199</v>
      </c>
      <c r="B172" s="135"/>
      <c r="C172" s="128">
        <f>COUNT(D221:D227)+COUNT(D229:D235)+COUNT(D237:D243)*2</f>
        <v>28</v>
      </c>
      <c r="D172" s="128"/>
      <c r="E172" s="130">
        <f>SUM(D221:D227)+SUM(D229:D235)+SUM(D237:D243)*2</f>
        <v>9603.8345520000003</v>
      </c>
      <c r="F172" s="130"/>
      <c r="G172" s="182">
        <f>SUM(F221:F227)+SUM(F229:F235)+SUM(F237:F243)*2</f>
        <v>18775</v>
      </c>
      <c r="H172" s="182"/>
    </row>
    <row r="173" spans="1:8" s="1" customFormat="1" x14ac:dyDescent="0.3">
      <c r="A173" s="135" t="s">
        <v>218</v>
      </c>
      <c r="B173" s="135"/>
      <c r="C173" s="128">
        <f>COUNT(D246:D249)+COUNT(D251:D256)*2+COUNT(D258:D263)*2</f>
        <v>28</v>
      </c>
      <c r="D173" s="128"/>
      <c r="E173" s="130">
        <f>SUM(D246:D249)+SUM(D251:D256)*2+SUM(D258:D263)*2</f>
        <v>8836.6950359999992</v>
      </c>
      <c r="F173" s="130"/>
      <c r="G173" s="182">
        <f>SUM(F246:F249)+SUM(F251:F256)*2+SUM(F258:F263)*2</f>
        <v>16635</v>
      </c>
      <c r="H173" s="182"/>
    </row>
    <row r="174" spans="1:8" s="1" customFormat="1" x14ac:dyDescent="0.3">
      <c r="A174" s="135" t="s">
        <v>206</v>
      </c>
      <c r="B174" s="135"/>
      <c r="C174" s="128">
        <f>COUNT(D266:D267)+COUNT(D269:D275)*2+COUNT(D277:D283)*2</f>
        <v>30</v>
      </c>
      <c r="D174" s="128"/>
      <c r="E174" s="130">
        <f>SUM(D266:D267)+SUM(D269:D275)*2+SUM(D277:D283)*2</f>
        <v>9858.0694679999979</v>
      </c>
      <c r="F174" s="130"/>
      <c r="G174" s="182">
        <f>SUM(F266:F267)+SUM(F269:F275)*2+SUM(F277:F283)*2</f>
        <v>18735</v>
      </c>
      <c r="H174" s="182"/>
    </row>
    <row r="175" spans="1:8" s="1" customFormat="1" x14ac:dyDescent="0.3">
      <c r="A175" s="135" t="s">
        <v>210</v>
      </c>
      <c r="B175" s="135"/>
      <c r="C175" s="128">
        <f>COUNT(D287:D288)+COUNT(D290:D294)*2+COUNT(D296:D300)*2</f>
        <v>22</v>
      </c>
      <c r="D175" s="128"/>
      <c r="E175" s="130">
        <f>SUM(D287:D288)+SUM(D290:D294)*2+SUM(D296:D300)*2</f>
        <v>7718.8859279999997</v>
      </c>
      <c r="F175" s="130"/>
      <c r="G175" s="182">
        <f>SUM(F287:F288)+SUM(F290:F294)*2+SUM(F296:F300)*2</f>
        <v>14620</v>
      </c>
      <c r="H175" s="182"/>
    </row>
    <row r="176" spans="1:8" s="1" customFormat="1" x14ac:dyDescent="0.3">
      <c r="A176" s="135" t="s">
        <v>211</v>
      </c>
      <c r="B176" s="135"/>
      <c r="C176" s="128">
        <f>COUNT(D303:D306)*4</f>
        <v>16</v>
      </c>
      <c r="D176" s="128"/>
      <c r="E176" s="130">
        <f>SUM(D303:D306)*4</f>
        <v>6832.3413599999994</v>
      </c>
      <c r="F176" s="130"/>
      <c r="G176" s="182">
        <f>SUM(F303:F306)*4</f>
        <v>12298.214447999999</v>
      </c>
      <c r="H176" s="182"/>
    </row>
    <row r="177" spans="1:14" s="1" customFormat="1" x14ac:dyDescent="0.3">
      <c r="A177" s="132" t="s">
        <v>62</v>
      </c>
      <c r="B177" s="132"/>
      <c r="C177" s="183">
        <f>SUM(C172:D176)</f>
        <v>124</v>
      </c>
      <c r="D177" s="180"/>
      <c r="E177" s="184">
        <f>SUM(E172:F176)</f>
        <v>42849.826343999994</v>
      </c>
      <c r="F177" s="181"/>
      <c r="G177" s="127">
        <f>SUM(G172:H176)</f>
        <v>81063.214447999999</v>
      </c>
      <c r="H177" s="127"/>
    </row>
    <row r="178" spans="1:14" s="9" customFormat="1" x14ac:dyDescent="0.3">
      <c r="A178" s="126" t="s">
        <v>63</v>
      </c>
      <c r="B178" s="126"/>
      <c r="C178" s="126"/>
      <c r="D178" s="126"/>
      <c r="E178" s="126"/>
      <c r="F178" s="126"/>
      <c r="G178" s="126"/>
      <c r="H178" s="126"/>
    </row>
    <row r="179" spans="1:14" x14ac:dyDescent="0.3">
      <c r="A179" s="126" t="s">
        <v>64</v>
      </c>
      <c r="B179" s="126"/>
      <c r="C179" s="126"/>
      <c r="D179" s="126"/>
      <c r="E179" s="126"/>
      <c r="F179" s="126"/>
      <c r="G179" s="126"/>
      <c r="H179" s="126"/>
    </row>
    <row r="180" spans="1:14" ht="47.25" customHeight="1" x14ac:dyDescent="0.3">
      <c r="A180" s="189" t="s">
        <v>155</v>
      </c>
      <c r="B180" s="189" t="s">
        <v>154</v>
      </c>
      <c r="C180" s="189" t="s">
        <v>65</v>
      </c>
      <c r="D180" s="189" t="s">
        <v>66</v>
      </c>
      <c r="E180" s="191" t="s">
        <v>67</v>
      </c>
      <c r="F180" s="34" t="s">
        <v>254</v>
      </c>
      <c r="G180" s="136" t="s">
        <v>68</v>
      </c>
      <c r="H180" s="137"/>
    </row>
    <row r="181" spans="1:14" s="2" customFormat="1" hidden="1" x14ac:dyDescent="0.3">
      <c r="A181" s="190"/>
      <c r="B181" s="190"/>
      <c r="C181" s="190"/>
      <c r="D181" s="190"/>
      <c r="E181" s="192"/>
      <c r="F181" s="35">
        <v>0.8</v>
      </c>
      <c r="G181" s="138"/>
      <c r="H181" s="139"/>
    </row>
    <row r="182" spans="1:14" s="2" customFormat="1" x14ac:dyDescent="0.3">
      <c r="A182" s="89" t="s">
        <v>198</v>
      </c>
      <c r="B182" s="90"/>
      <c r="C182" s="90"/>
      <c r="D182" s="90"/>
      <c r="E182" s="90"/>
      <c r="F182" s="90"/>
      <c r="G182" s="90"/>
      <c r="H182" s="91"/>
    </row>
    <row r="183" spans="1:14" s="2" customFormat="1" x14ac:dyDescent="0.3">
      <c r="A183" s="89" t="s">
        <v>199</v>
      </c>
      <c r="B183" s="90"/>
      <c r="C183" s="90"/>
      <c r="D183" s="90"/>
      <c r="E183" s="90"/>
      <c r="F183" s="90"/>
      <c r="G183" s="90"/>
      <c r="H183" s="91"/>
    </row>
    <row r="184" spans="1:14" s="2" customFormat="1" x14ac:dyDescent="0.3">
      <c r="A184" s="89" t="s">
        <v>203</v>
      </c>
      <c r="B184" s="90"/>
      <c r="C184" s="90"/>
      <c r="D184" s="90"/>
      <c r="E184" s="90"/>
      <c r="F184" s="90"/>
      <c r="G184" s="90"/>
      <c r="H184" s="91"/>
    </row>
    <row r="185" spans="1:14" s="2" customFormat="1" ht="15.75" customHeight="1" x14ac:dyDescent="0.3">
      <c r="A185" s="87">
        <v>1</v>
      </c>
      <c r="B185" s="88"/>
      <c r="C185" s="36" t="s">
        <v>200</v>
      </c>
      <c r="D185" s="36">
        <f>8.1*10.764</f>
        <v>87.188399999999987</v>
      </c>
      <c r="E185" s="36">
        <v>0</v>
      </c>
      <c r="F185" s="36">
        <f>D185*(($F$181)+1)+E185</f>
        <v>156.93911999999997</v>
      </c>
      <c r="G185" s="93" t="str">
        <f>A184</f>
        <v>Ground Floor for Commercial &amp; Parking</v>
      </c>
      <c r="H185" s="94"/>
      <c r="I185" s="37"/>
      <c r="J185" s="83"/>
      <c r="L185" s="92"/>
      <c r="M185" s="92"/>
      <c r="N185" s="37"/>
    </row>
    <row r="186" spans="1:14" s="2" customFormat="1" ht="15.75" customHeight="1" x14ac:dyDescent="0.3">
      <c r="A186" s="87">
        <f>A185+1</f>
        <v>2</v>
      </c>
      <c r="B186" s="88"/>
      <c r="C186" s="36" t="s">
        <v>200</v>
      </c>
      <c r="D186" s="36">
        <f>9.9*10.764</f>
        <v>106.56359999999999</v>
      </c>
      <c r="E186" s="36">
        <v>0</v>
      </c>
      <c r="F186" s="36">
        <f t="shared" ref="F186:F200" si="0">D186*(($F$181)+1)+E186</f>
        <v>191.81448</v>
      </c>
      <c r="G186" s="95"/>
      <c r="H186" s="96"/>
      <c r="I186" s="37"/>
      <c r="J186" s="83"/>
      <c r="L186" s="92"/>
      <c r="M186" s="92"/>
      <c r="N186" s="37"/>
    </row>
    <row r="187" spans="1:14" s="2" customFormat="1" ht="15.75" customHeight="1" x14ac:dyDescent="0.3">
      <c r="A187" s="87">
        <f t="shared" ref="A187:A189" si="1">A186+1</f>
        <v>3</v>
      </c>
      <c r="B187" s="88"/>
      <c r="C187" s="36" t="s">
        <v>200</v>
      </c>
      <c r="D187" s="36">
        <f>9.9*10.764</f>
        <v>106.56359999999999</v>
      </c>
      <c r="E187" s="36">
        <v>0</v>
      </c>
      <c r="F187" s="36">
        <f t="shared" si="0"/>
        <v>191.81448</v>
      </c>
      <c r="G187" s="95"/>
      <c r="H187" s="96"/>
      <c r="I187" s="37"/>
      <c r="J187" s="83"/>
      <c r="L187" s="92"/>
      <c r="M187" s="92"/>
      <c r="N187" s="37"/>
    </row>
    <row r="188" spans="1:14" s="2" customFormat="1" ht="15.75" customHeight="1" x14ac:dyDescent="0.3">
      <c r="A188" s="87">
        <f t="shared" si="1"/>
        <v>4</v>
      </c>
      <c r="B188" s="88"/>
      <c r="C188" s="36" t="s">
        <v>200</v>
      </c>
      <c r="D188" s="36">
        <f>8.1*10.764</f>
        <v>87.188399999999987</v>
      </c>
      <c r="E188" s="36">
        <v>0</v>
      </c>
      <c r="F188" s="36">
        <f t="shared" si="0"/>
        <v>156.93911999999997</v>
      </c>
      <c r="G188" s="95"/>
      <c r="H188" s="96"/>
      <c r="I188" s="37"/>
      <c r="J188" s="83"/>
      <c r="L188" s="92"/>
      <c r="M188" s="92"/>
      <c r="N188" s="37"/>
    </row>
    <row r="189" spans="1:14" s="2" customFormat="1" ht="15.75" customHeight="1" x14ac:dyDescent="0.3">
      <c r="A189" s="87">
        <f t="shared" si="1"/>
        <v>5</v>
      </c>
      <c r="B189" s="88"/>
      <c r="C189" s="36" t="s">
        <v>200</v>
      </c>
      <c r="D189" s="36">
        <f>9.9*10.764</f>
        <v>106.56359999999999</v>
      </c>
      <c r="E189" s="36">
        <v>0</v>
      </c>
      <c r="F189" s="36">
        <f t="shared" si="0"/>
        <v>191.81448</v>
      </c>
      <c r="G189" s="95"/>
      <c r="H189" s="96"/>
      <c r="I189" s="37"/>
      <c r="J189" s="83"/>
      <c r="L189" s="92"/>
      <c r="M189" s="92"/>
      <c r="N189" s="37"/>
    </row>
    <row r="190" spans="1:14" s="2" customFormat="1" ht="15.75" customHeight="1" x14ac:dyDescent="0.3">
      <c r="A190" s="87">
        <f t="shared" ref="A190:A200" si="2">A189+1</f>
        <v>6</v>
      </c>
      <c r="B190" s="88"/>
      <c r="C190" s="36" t="s">
        <v>200</v>
      </c>
      <c r="D190" s="36">
        <f>9.72*10.764</f>
        <v>104.62608</v>
      </c>
      <c r="E190" s="36">
        <v>0</v>
      </c>
      <c r="F190" s="36">
        <f t="shared" si="0"/>
        <v>188.326944</v>
      </c>
      <c r="G190" s="95"/>
      <c r="H190" s="96"/>
      <c r="I190" s="37"/>
      <c r="J190" s="83"/>
      <c r="L190" s="92"/>
      <c r="M190" s="92"/>
      <c r="N190" s="37"/>
    </row>
    <row r="191" spans="1:14" s="2" customFormat="1" ht="15.75" customHeight="1" x14ac:dyDescent="0.3">
      <c r="A191" s="87">
        <f t="shared" si="2"/>
        <v>7</v>
      </c>
      <c r="B191" s="88"/>
      <c r="C191" s="36" t="s">
        <v>200</v>
      </c>
      <c r="D191" s="36">
        <f>9.96*10.764</f>
        <v>107.20944</v>
      </c>
      <c r="E191" s="36">
        <v>0</v>
      </c>
      <c r="F191" s="36">
        <f t="shared" si="0"/>
        <v>192.976992</v>
      </c>
      <c r="G191" s="95"/>
      <c r="H191" s="96"/>
      <c r="I191" s="37"/>
      <c r="J191" s="83"/>
      <c r="L191" s="92"/>
      <c r="M191" s="92"/>
      <c r="N191" s="37"/>
    </row>
    <row r="192" spans="1:14" s="2" customFormat="1" x14ac:dyDescent="0.3">
      <c r="A192" s="87">
        <f t="shared" si="2"/>
        <v>8</v>
      </c>
      <c r="B192" s="88"/>
      <c r="C192" s="36" t="s">
        <v>200</v>
      </c>
      <c r="D192" s="36">
        <f>9.13*10.764</f>
        <v>98.275320000000008</v>
      </c>
      <c r="E192" s="36">
        <v>0</v>
      </c>
      <c r="F192" s="36">
        <f t="shared" si="0"/>
        <v>176.89557600000001</v>
      </c>
      <c r="G192" s="95"/>
      <c r="H192" s="96"/>
      <c r="I192" s="37"/>
      <c r="J192" s="83"/>
      <c r="L192" s="92"/>
      <c r="M192" s="92"/>
      <c r="N192" s="37"/>
    </row>
    <row r="193" spans="1:16" s="2" customFormat="1" x14ac:dyDescent="0.3">
      <c r="A193" s="87">
        <f t="shared" si="2"/>
        <v>9</v>
      </c>
      <c r="B193" s="88"/>
      <c r="C193" s="36" t="s">
        <v>200</v>
      </c>
      <c r="D193" s="36">
        <f>9.9*10.764</f>
        <v>106.56359999999999</v>
      </c>
      <c r="E193" s="36">
        <v>0</v>
      </c>
      <c r="F193" s="36">
        <f t="shared" si="0"/>
        <v>191.81448</v>
      </c>
      <c r="G193" s="95"/>
      <c r="H193" s="96"/>
      <c r="I193" s="37"/>
      <c r="J193" s="83"/>
      <c r="L193" s="92"/>
      <c r="M193" s="92"/>
      <c r="N193" s="37"/>
    </row>
    <row r="194" spans="1:16" s="2" customFormat="1" x14ac:dyDescent="0.3">
      <c r="A194" s="87">
        <f t="shared" si="2"/>
        <v>10</v>
      </c>
      <c r="B194" s="88"/>
      <c r="C194" s="36" t="s">
        <v>200</v>
      </c>
      <c r="D194" s="36">
        <f>7.087*10.764</f>
        <v>76.28446799999999</v>
      </c>
      <c r="E194" s="36">
        <v>0</v>
      </c>
      <c r="F194" s="36">
        <f t="shared" si="0"/>
        <v>137.3120424</v>
      </c>
      <c r="G194" s="95"/>
      <c r="H194" s="96"/>
      <c r="I194" s="37"/>
      <c r="J194" s="83"/>
      <c r="L194" s="92"/>
      <c r="M194" s="92"/>
      <c r="N194" s="37"/>
    </row>
    <row r="195" spans="1:16" s="2" customFormat="1" x14ac:dyDescent="0.3">
      <c r="A195" s="87">
        <f t="shared" si="2"/>
        <v>11</v>
      </c>
      <c r="B195" s="88"/>
      <c r="C195" s="36" t="s">
        <v>200</v>
      </c>
      <c r="D195" s="36">
        <f>8.663*10.764</f>
        <v>93.248531999999997</v>
      </c>
      <c r="E195" s="36">
        <v>0</v>
      </c>
      <c r="F195" s="36">
        <f t="shared" si="0"/>
        <v>167.84735760000001</v>
      </c>
      <c r="G195" s="95"/>
      <c r="H195" s="96"/>
      <c r="I195" s="37"/>
      <c r="J195" s="83"/>
      <c r="L195" s="92"/>
      <c r="M195" s="92"/>
      <c r="N195" s="37"/>
    </row>
    <row r="196" spans="1:16" s="2" customFormat="1" x14ac:dyDescent="0.3">
      <c r="A196" s="87">
        <f t="shared" si="2"/>
        <v>12</v>
      </c>
      <c r="B196" s="88"/>
      <c r="C196" s="36" t="s">
        <v>200</v>
      </c>
      <c r="D196" s="36">
        <f>9.96*10.764</f>
        <v>107.20944</v>
      </c>
      <c r="E196" s="36">
        <v>0</v>
      </c>
      <c r="F196" s="36">
        <f t="shared" si="0"/>
        <v>192.976992</v>
      </c>
      <c r="G196" s="95"/>
      <c r="H196" s="96"/>
      <c r="I196" s="37"/>
      <c r="J196" s="83"/>
      <c r="L196" s="92"/>
      <c r="M196" s="92"/>
      <c r="N196" s="37"/>
    </row>
    <row r="197" spans="1:16" s="2" customFormat="1" x14ac:dyDescent="0.3">
      <c r="A197" s="87">
        <f t="shared" si="2"/>
        <v>13</v>
      </c>
      <c r="B197" s="88"/>
      <c r="C197" s="36" t="s">
        <v>200</v>
      </c>
      <c r="D197" s="36">
        <f>9.337*10.764</f>
        <v>100.503468</v>
      </c>
      <c r="E197" s="36">
        <v>0</v>
      </c>
      <c r="F197" s="36">
        <f t="shared" si="0"/>
        <v>180.9062424</v>
      </c>
      <c r="G197" s="95"/>
      <c r="H197" s="96"/>
      <c r="I197" s="37"/>
      <c r="J197" s="83"/>
      <c r="L197" s="92"/>
      <c r="M197" s="92"/>
      <c r="N197" s="37"/>
    </row>
    <row r="198" spans="1:16" s="2" customFormat="1" x14ac:dyDescent="0.3">
      <c r="A198" s="87">
        <f t="shared" si="2"/>
        <v>14</v>
      </c>
      <c r="B198" s="88"/>
      <c r="C198" s="36" t="s">
        <v>200</v>
      </c>
      <c r="D198" s="36">
        <f>9.625*10.764</f>
        <v>103.6035</v>
      </c>
      <c r="E198" s="36">
        <v>0</v>
      </c>
      <c r="F198" s="36">
        <f t="shared" si="0"/>
        <v>186.4863</v>
      </c>
      <c r="G198" s="95"/>
      <c r="H198" s="96"/>
      <c r="I198" s="37"/>
      <c r="J198" s="83"/>
      <c r="L198" s="92"/>
      <c r="M198" s="92"/>
      <c r="N198" s="37"/>
    </row>
    <row r="199" spans="1:16" s="2" customFormat="1" x14ac:dyDescent="0.3">
      <c r="A199" s="87">
        <f t="shared" si="2"/>
        <v>15</v>
      </c>
      <c r="B199" s="88"/>
      <c r="C199" s="36" t="s">
        <v>200</v>
      </c>
      <c r="D199" s="36">
        <f>9.625*10.764</f>
        <v>103.6035</v>
      </c>
      <c r="E199" s="36">
        <v>0</v>
      </c>
      <c r="F199" s="36">
        <f t="shared" si="0"/>
        <v>186.4863</v>
      </c>
      <c r="G199" s="95"/>
      <c r="H199" s="96"/>
      <c r="I199" s="37"/>
      <c r="J199" s="83"/>
      <c r="L199" s="92"/>
      <c r="M199" s="92"/>
      <c r="N199" s="37"/>
    </row>
    <row r="200" spans="1:16" s="2" customFormat="1" x14ac:dyDescent="0.3">
      <c r="A200" s="87">
        <f t="shared" si="2"/>
        <v>16</v>
      </c>
      <c r="B200" s="88"/>
      <c r="C200" s="36" t="s">
        <v>200</v>
      </c>
      <c r="D200" s="36">
        <f>9.8*10.764</f>
        <v>105.4872</v>
      </c>
      <c r="E200" s="36">
        <v>0</v>
      </c>
      <c r="F200" s="36">
        <f t="shared" si="0"/>
        <v>189.87696</v>
      </c>
      <c r="G200" s="97"/>
      <c r="H200" s="98"/>
      <c r="I200" s="37"/>
      <c r="J200" s="83"/>
      <c r="L200" s="92"/>
      <c r="M200" s="92"/>
      <c r="N200" s="37"/>
    </row>
    <row r="201" spans="1:16" s="2" customFormat="1" x14ac:dyDescent="0.3">
      <c r="A201" s="89" t="s">
        <v>219</v>
      </c>
      <c r="B201" s="90"/>
      <c r="C201" s="90"/>
      <c r="D201" s="90"/>
      <c r="E201" s="90"/>
      <c r="F201" s="90"/>
      <c r="G201" s="90"/>
      <c r="H201" s="91"/>
      <c r="I201" s="37"/>
    </row>
    <row r="202" spans="1:16" s="2" customFormat="1" x14ac:dyDescent="0.3">
      <c r="A202" s="89" t="s">
        <v>210</v>
      </c>
      <c r="B202" s="90"/>
      <c r="C202" s="90"/>
      <c r="D202" s="90"/>
      <c r="E202" s="90"/>
      <c r="F202" s="90"/>
      <c r="G202" s="90"/>
      <c r="H202" s="91"/>
      <c r="I202" s="37"/>
    </row>
    <row r="203" spans="1:16" s="2" customFormat="1" ht="15.75" customHeight="1" x14ac:dyDescent="0.3">
      <c r="A203" s="89" t="s">
        <v>202</v>
      </c>
      <c r="B203" s="90"/>
      <c r="C203" s="90"/>
      <c r="D203" s="90"/>
      <c r="E203" s="90"/>
      <c r="F203" s="90"/>
      <c r="G203" s="90"/>
      <c r="H203" s="91"/>
      <c r="I203" s="37"/>
    </row>
    <row r="204" spans="1:16" s="2" customFormat="1" x14ac:dyDescent="0.3">
      <c r="A204" s="87">
        <v>17</v>
      </c>
      <c r="B204" s="88"/>
      <c r="C204" s="36" t="s">
        <v>200</v>
      </c>
      <c r="D204" s="36">
        <f>(9.9)*10.764</f>
        <v>106.56359999999999</v>
      </c>
      <c r="E204" s="36">
        <v>0</v>
      </c>
      <c r="F204" s="36">
        <f t="shared" ref="F204:F207" si="3">D204*(($F$181)+1)+E204</f>
        <v>191.81448</v>
      </c>
      <c r="G204" s="93" t="str">
        <f>A203</f>
        <v>Ground Floor for Residential &amp; Parking</v>
      </c>
      <c r="H204" s="94"/>
      <c r="I204" s="37"/>
      <c r="N204" s="2" t="str">
        <f t="shared" ref="N204:N207" si="4">O204&amp;""&amp;" &amp; "&amp;""&amp;P204</f>
        <v>1 &amp; 1</v>
      </c>
      <c r="O204" s="2">
        <f t="shared" ref="O204:P204" si="5">O203+1</f>
        <v>1</v>
      </c>
      <c r="P204" s="2">
        <f t="shared" si="5"/>
        <v>1</v>
      </c>
    </row>
    <row r="205" spans="1:16" s="2" customFormat="1" x14ac:dyDescent="0.3">
      <c r="A205" s="87">
        <v>18</v>
      </c>
      <c r="B205" s="88"/>
      <c r="C205" s="36" t="s">
        <v>200</v>
      </c>
      <c r="D205" s="36">
        <f>(6.48)*10.764</f>
        <v>69.750720000000001</v>
      </c>
      <c r="E205" s="36">
        <v>0</v>
      </c>
      <c r="F205" s="36">
        <f t="shared" si="3"/>
        <v>125.55129600000001</v>
      </c>
      <c r="G205" s="95"/>
      <c r="H205" s="96"/>
      <c r="I205" s="37"/>
      <c r="N205" s="2" t="str">
        <f t="shared" si="4"/>
        <v>2 &amp; 2</v>
      </c>
      <c r="O205" s="2">
        <f t="shared" ref="O205:P205" si="6">O204+1</f>
        <v>2</v>
      </c>
      <c r="P205" s="2">
        <f t="shared" si="6"/>
        <v>2</v>
      </c>
    </row>
    <row r="206" spans="1:16" s="2" customFormat="1" x14ac:dyDescent="0.3">
      <c r="A206" s="87">
        <v>19</v>
      </c>
      <c r="B206" s="88"/>
      <c r="C206" s="36" t="s">
        <v>200</v>
      </c>
      <c r="D206" s="36">
        <f>(9.9)*10.764</f>
        <v>106.56359999999999</v>
      </c>
      <c r="E206" s="36">
        <v>0</v>
      </c>
      <c r="F206" s="36">
        <f t="shared" si="3"/>
        <v>191.81448</v>
      </c>
      <c r="G206" s="95"/>
      <c r="H206" s="96"/>
      <c r="I206" s="37"/>
      <c r="N206" s="2" t="str">
        <f t="shared" si="4"/>
        <v>3 &amp; 3</v>
      </c>
      <c r="O206" s="2">
        <f t="shared" ref="O206:P206" si="7">O205+1</f>
        <v>3</v>
      </c>
      <c r="P206" s="2">
        <f t="shared" si="7"/>
        <v>3</v>
      </c>
    </row>
    <row r="207" spans="1:16" s="2" customFormat="1" x14ac:dyDescent="0.3">
      <c r="A207" s="87">
        <v>20</v>
      </c>
      <c r="B207" s="88"/>
      <c r="C207" s="36" t="s">
        <v>200</v>
      </c>
      <c r="D207" s="36">
        <f>(9.86)*10.764</f>
        <v>106.13303999999999</v>
      </c>
      <c r="E207" s="36">
        <v>0</v>
      </c>
      <c r="F207" s="36">
        <f t="shared" si="3"/>
        <v>191.03947199999999</v>
      </c>
      <c r="G207" s="97"/>
      <c r="H207" s="98"/>
      <c r="I207" s="37"/>
      <c r="N207" s="2" t="str">
        <f t="shared" si="4"/>
        <v>4 &amp; 4</v>
      </c>
      <c r="O207" s="2">
        <f t="shared" ref="O207:P207" si="8">O206+1</f>
        <v>4</v>
      </c>
      <c r="P207" s="2">
        <f t="shared" si="8"/>
        <v>4</v>
      </c>
    </row>
    <row r="208" spans="1:16" s="2" customFormat="1" x14ac:dyDescent="0.3">
      <c r="A208" s="89" t="s">
        <v>211</v>
      </c>
      <c r="B208" s="90"/>
      <c r="C208" s="90"/>
      <c r="D208" s="90"/>
      <c r="E208" s="90"/>
      <c r="F208" s="90"/>
      <c r="G208" s="90"/>
      <c r="H208" s="91"/>
      <c r="I208" s="37"/>
    </row>
    <row r="209" spans="1:16" s="2" customFormat="1" ht="15.75" customHeight="1" x14ac:dyDescent="0.3">
      <c r="A209" s="89" t="s">
        <v>202</v>
      </c>
      <c r="B209" s="90"/>
      <c r="C209" s="90"/>
      <c r="D209" s="90"/>
      <c r="E209" s="90"/>
      <c r="F209" s="90"/>
      <c r="G209" s="90"/>
      <c r="H209" s="91"/>
      <c r="I209" s="37"/>
    </row>
    <row r="210" spans="1:16" s="2" customFormat="1" x14ac:dyDescent="0.3">
      <c r="A210" s="87">
        <v>21</v>
      </c>
      <c r="B210" s="88"/>
      <c r="C210" s="36" t="s">
        <v>200</v>
      </c>
      <c r="D210" s="36">
        <f>(9.9)*10.764</f>
        <v>106.56359999999999</v>
      </c>
      <c r="E210" s="36">
        <v>0</v>
      </c>
      <c r="F210" s="36">
        <f t="shared" ref="F210:F215" si="9">D210*(($F$181)+1)+E210</f>
        <v>191.81448</v>
      </c>
      <c r="G210" s="93" t="str">
        <f>A209</f>
        <v>Ground Floor for Residential &amp; Parking</v>
      </c>
      <c r="H210" s="94"/>
      <c r="I210" s="37"/>
      <c r="N210" s="2" t="str">
        <f t="shared" ref="N210:N215" si="10">O210&amp;""&amp;" &amp; "&amp;""&amp;P210</f>
        <v>1 &amp; 1</v>
      </c>
      <c r="O210" s="2">
        <f t="shared" ref="O210:P210" si="11">O209+1</f>
        <v>1</v>
      </c>
      <c r="P210" s="2">
        <f t="shared" si="11"/>
        <v>1</v>
      </c>
    </row>
    <row r="211" spans="1:16" s="2" customFormat="1" x14ac:dyDescent="0.3">
      <c r="A211" s="87">
        <v>22</v>
      </c>
      <c r="B211" s="88"/>
      <c r="C211" s="36" t="s">
        <v>200</v>
      </c>
      <c r="D211" s="36">
        <f>(8.1)*10.764</f>
        <v>87.188399999999987</v>
      </c>
      <c r="E211" s="36">
        <v>0</v>
      </c>
      <c r="F211" s="36">
        <f t="shared" si="9"/>
        <v>156.93911999999997</v>
      </c>
      <c r="G211" s="95"/>
      <c r="H211" s="96"/>
      <c r="I211" s="37"/>
      <c r="N211" s="2" t="str">
        <f t="shared" si="10"/>
        <v>2 &amp; 2</v>
      </c>
      <c r="O211" s="2">
        <f t="shared" ref="O211:P211" si="12">O210+1</f>
        <v>2</v>
      </c>
      <c r="P211" s="2">
        <f t="shared" si="12"/>
        <v>2</v>
      </c>
    </row>
    <row r="212" spans="1:16" s="2" customFormat="1" x14ac:dyDescent="0.3">
      <c r="A212" s="87">
        <v>23</v>
      </c>
      <c r="B212" s="88"/>
      <c r="C212" s="36" t="s">
        <v>200</v>
      </c>
      <c r="D212" s="36">
        <f>(9.9)*10.764</f>
        <v>106.56359999999999</v>
      </c>
      <c r="E212" s="36">
        <v>0</v>
      </c>
      <c r="F212" s="36">
        <f t="shared" si="9"/>
        <v>191.81448</v>
      </c>
      <c r="G212" s="95"/>
      <c r="H212" s="96"/>
      <c r="I212" s="37"/>
      <c r="N212" s="2" t="str">
        <f t="shared" si="10"/>
        <v>3 &amp; 3</v>
      </c>
      <c r="O212" s="2">
        <f t="shared" ref="O212:P212" si="13">O211+1</f>
        <v>3</v>
      </c>
      <c r="P212" s="2">
        <f t="shared" si="13"/>
        <v>3</v>
      </c>
    </row>
    <row r="213" spans="1:16" s="2" customFormat="1" x14ac:dyDescent="0.3">
      <c r="A213" s="87">
        <v>24</v>
      </c>
      <c r="B213" s="88"/>
      <c r="C213" s="36" t="s">
        <v>200</v>
      </c>
      <c r="D213" s="36">
        <f>(9.9)*10.764</f>
        <v>106.56359999999999</v>
      </c>
      <c r="E213" s="36">
        <v>0</v>
      </c>
      <c r="F213" s="36">
        <f t="shared" si="9"/>
        <v>191.81448</v>
      </c>
      <c r="G213" s="95"/>
      <c r="H213" s="96"/>
      <c r="I213" s="37"/>
      <c r="N213" s="2" t="str">
        <f t="shared" si="10"/>
        <v>4 &amp; 4</v>
      </c>
      <c r="O213" s="2">
        <f t="shared" ref="O213:P213" si="14">O212+1</f>
        <v>4</v>
      </c>
      <c r="P213" s="2">
        <f t="shared" si="14"/>
        <v>4</v>
      </c>
    </row>
    <row r="214" spans="1:16" s="2" customFormat="1" ht="15.75" customHeight="1" x14ac:dyDescent="0.3">
      <c r="A214" s="87">
        <v>25</v>
      </c>
      <c r="B214" s="88"/>
      <c r="C214" s="36" t="s">
        <v>200</v>
      </c>
      <c r="D214" s="36">
        <f>(8.1)*10.764</f>
        <v>87.188399999999987</v>
      </c>
      <c r="E214" s="36">
        <v>0</v>
      </c>
      <c r="F214" s="36">
        <f t="shared" si="9"/>
        <v>156.93911999999997</v>
      </c>
      <c r="G214" s="95"/>
      <c r="H214" s="96"/>
      <c r="I214" s="37"/>
      <c r="N214" s="2" t="e">
        <f t="shared" ca="1" si="10"/>
        <v>#REF!</v>
      </c>
      <c r="O214" s="2" t="e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10^ROW(INDIRECT("1:"&amp;LEN((LEFT(A209,SUM(LEN(A209)-LEN(SUBSTITUTE(A209,{"0","1","2"},""))))))))/10))*100+1</f>
        <v>#REF!</v>
      </c>
      <c r="P214" s="2" t="e">
        <f ca="1">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",LEN(A209))),LEN(A209)))))))/10))*100+1</f>
        <v>#NUM!</v>
      </c>
    </row>
    <row r="215" spans="1:16" s="2" customFormat="1" ht="15.75" customHeight="1" x14ac:dyDescent="0.3">
      <c r="A215" s="87">
        <v>26</v>
      </c>
      <c r="B215" s="88"/>
      <c r="C215" s="36" t="s">
        <v>200</v>
      </c>
      <c r="D215" s="36">
        <f>(9.767)*10.764</f>
        <v>105.13198799999999</v>
      </c>
      <c r="E215" s="36">
        <v>0</v>
      </c>
      <c r="F215" s="36">
        <f t="shared" si="9"/>
        <v>189.23757839999999</v>
      </c>
      <c r="G215" s="97"/>
      <c r="H215" s="98"/>
      <c r="I215" s="37"/>
      <c r="N215" s="2" t="e">
        <f t="shared" ca="1" si="10"/>
        <v>#REF!</v>
      </c>
      <c r="O215" s="2" t="e">
        <f t="shared" ref="O215:P215" ca="1" si="15">O214+1</f>
        <v>#REF!</v>
      </c>
      <c r="P215" s="2" t="e">
        <f t="shared" ca="1" si="15"/>
        <v>#NUM!</v>
      </c>
    </row>
    <row r="216" spans="1:16" s="2" customFormat="1" x14ac:dyDescent="0.3">
      <c r="A216" s="87"/>
      <c r="B216" s="101"/>
      <c r="C216" s="101"/>
      <c r="D216" s="101"/>
      <c r="E216" s="101"/>
      <c r="F216" s="101"/>
      <c r="G216" s="101"/>
      <c r="H216" s="88"/>
      <c r="I216" s="37"/>
      <c r="N216" s="37"/>
    </row>
    <row r="217" spans="1:16" ht="47.25" customHeight="1" x14ac:dyDescent="0.3">
      <c r="A217" s="80" t="s">
        <v>156</v>
      </c>
      <c r="B217" s="80" t="s">
        <v>157</v>
      </c>
      <c r="C217" s="34" t="s">
        <v>65</v>
      </c>
      <c r="D217" s="34" t="s">
        <v>66</v>
      </c>
      <c r="E217" s="81" t="s">
        <v>67</v>
      </c>
      <c r="F217" s="34" t="s">
        <v>251</v>
      </c>
      <c r="G217" s="136" t="s">
        <v>68</v>
      </c>
      <c r="H217" s="137"/>
      <c r="I217" s="37"/>
    </row>
    <row r="218" spans="1:16" s="2" customFormat="1" x14ac:dyDescent="0.3">
      <c r="A218" s="89" t="s">
        <v>198</v>
      </c>
      <c r="B218" s="90"/>
      <c r="C218" s="90"/>
      <c r="D218" s="90"/>
      <c r="E218" s="90"/>
      <c r="F218" s="90"/>
      <c r="G218" s="90"/>
      <c r="H218" s="91"/>
    </row>
    <row r="219" spans="1:16" s="2" customFormat="1" x14ac:dyDescent="0.3">
      <c r="A219" s="89" t="s">
        <v>199</v>
      </c>
      <c r="B219" s="90"/>
      <c r="C219" s="90"/>
      <c r="D219" s="90"/>
      <c r="E219" s="90"/>
      <c r="F219" s="90"/>
      <c r="G219" s="90"/>
      <c r="H219" s="91"/>
      <c r="I219" s="37"/>
    </row>
    <row r="220" spans="1:16" s="2" customFormat="1" x14ac:dyDescent="0.3">
      <c r="A220" s="89" t="s">
        <v>220</v>
      </c>
      <c r="B220" s="90"/>
      <c r="C220" s="90"/>
      <c r="D220" s="90"/>
      <c r="E220" s="90"/>
      <c r="F220" s="90"/>
      <c r="G220" s="90"/>
      <c r="H220" s="91"/>
      <c r="I220" s="37"/>
    </row>
    <row r="221" spans="1:16" s="2" customFormat="1" x14ac:dyDescent="0.3">
      <c r="A221" s="87">
        <v>101</v>
      </c>
      <c r="B221" s="88"/>
      <c r="C221" s="36" t="s">
        <v>204</v>
      </c>
      <c r="D221" s="36">
        <f>(26.433+5.758)*10.764</f>
        <v>346.50392399999998</v>
      </c>
      <c r="E221" s="36">
        <f>(5.432)*10.764</f>
        <v>58.470047999999998</v>
      </c>
      <c r="F221" s="36">
        <v>685</v>
      </c>
      <c r="G221" s="93" t="str">
        <f>A220</f>
        <v>1st Floor</v>
      </c>
      <c r="H221" s="94"/>
      <c r="I221" s="82"/>
      <c r="J221" s="83"/>
      <c r="N221" s="2" t="str">
        <f t="shared" ref="N221:N226" ca="1" si="16">O221&amp;""&amp;" &amp; "&amp;""&amp;P221</f>
        <v>101 &amp; 101</v>
      </c>
      <c r="O221" s="2">
        <f ca="1">(SUMPRODUCT(MID(0&amp;(LEFT(A220,SUM(LEN(A220)-LEN(SUBSTITUTE(A220,{"0","1","2"},""))))), LARGE(INDEX(ISNUMBER(--MID((LEFT(A220,SUM(LEN(A220)-LEN(SUBSTITUTE(A220,{"0","1","2"},""))))), ROW(INDIRECT("1:"&amp;LEN((LEFT(A220,SUM(LEN(A220)-LEN(SUBSTITUTE(A220,{"0","1","2"},"")))))))), 1)) * ROW(INDIRECT("1:"&amp;LEN((LEFT(A220,SUM(LEN(A220)-LEN(SUBSTITUTE(A220,{"0","1","2"},"")))))))), 0), ROW(INDIRECT("1:"&amp;LEN((LEFT(A220,SUM(LEN(A220)-LEN(SUBSTITUTE(A220,{"0","1","2"},"")))))))))+1, 1) * 10^ROW(INDIRECT("1:"&amp;LEN((LEFT(A220,SUM(LEN(A220)-LEN(SUBSTITUTE(A220,{"0","1","2"},""))))))))/10))*100+1</f>
        <v>101</v>
      </c>
      <c r="P221" s="2">
        <f ca="1">(SUMPRODUCT(MID(0&amp;(--TRIM(RIGHT(SUBSTITUTE(LEFT(A220,_xlfn.AGGREGATE(16,6,FIND({0,1,2,3,4,5,6,7,8,9},A220,ROW(INDIRECT("1:"&amp;LEN(A220)))),1))," ",REPT(" ",LEN(A220))),LEN(A220)))), LARGE(INDEX(ISNUMBER(--MID((--TRIM(RIGHT(SUBSTITUTE(LEFT(A220,_xlfn.AGGREGATE(16,6,FIND({0,1,2,3,4,5,6,7,8,9},A220,ROW(INDIRECT("1:"&amp;LEN(A220)))),1))," ",REPT(" ",LEN(A220))),LEN(A220)))), ROW(INDIRECT("1:"&amp;LEN((--TRIM(RIGHT(SUBSTITUTE(LEFT(A220,_xlfn.AGGREGATE(16,6,FIND({0,1,2,3,4,5,6,7,8,9},A220,ROW(INDIRECT("1:"&amp;LEN(A220)))),1))," ",REPT(" ",LEN(A220))),LEN(A220))))))), 1)) * ROW(INDIRECT("1:"&amp;LEN((--TRIM(RIGHT(SUBSTITUTE(LEFT(A220,_xlfn.AGGREGATE(16,6,FIND({0,1,2,3,4,5,6,7,8,9},A220,ROW(INDIRECT("1:"&amp;LEN(A220)))),1))," ",REPT(" ",LEN(A220))),LEN(A220))))))), 0), ROW(INDIRECT("1:"&amp;LEN((--TRIM(RIGHT(SUBSTITUTE(LEFT(A220,_xlfn.AGGREGATE(16,6,FIND({0,1,2,3,4,5,6,7,8,9},A220,ROW(INDIRECT("1:"&amp;LEN(A220)))),1))," ",REPT(" ",LEN(A220))),LEN(A220))))))))+1, 1) * 10^ROW(INDIRECT("1:"&amp;LEN((--TRIM(RIGHT(SUBSTITUTE(LEFT(A220,_xlfn.AGGREGATE(16,6,FIND({0,1,2,3,4,5,6,7,8,9},A220,ROW(INDIRECT("1:"&amp;LEN(A220)))),1))," ",REPT(" ",LEN(A220))),LEN(A220)))))))/10))*100+1</f>
        <v>101</v>
      </c>
    </row>
    <row r="222" spans="1:16" s="2" customFormat="1" x14ac:dyDescent="0.3">
      <c r="A222" s="87">
        <v>102</v>
      </c>
      <c r="B222" s="88"/>
      <c r="C222" s="36" t="s">
        <v>204</v>
      </c>
      <c r="D222" s="36">
        <f>(26.723+5.825)*10.764</f>
        <v>350.34667200000001</v>
      </c>
      <c r="E222" s="36">
        <f>(7.851)*10.764</f>
        <v>84.508163999999994</v>
      </c>
      <c r="F222" s="36">
        <v>730</v>
      </c>
      <c r="G222" s="95"/>
      <c r="H222" s="96"/>
      <c r="I222" s="82"/>
      <c r="J222" s="83"/>
      <c r="N222" s="2" t="str">
        <f t="shared" ca="1" si="16"/>
        <v>102 &amp; 102</v>
      </c>
      <c r="O222" s="2">
        <f t="shared" ref="O222:P222" ca="1" si="17">O221+1</f>
        <v>102</v>
      </c>
      <c r="P222" s="2">
        <f t="shared" ca="1" si="17"/>
        <v>102</v>
      </c>
    </row>
    <row r="223" spans="1:16" s="2" customFormat="1" x14ac:dyDescent="0.3">
      <c r="A223" s="87">
        <v>103</v>
      </c>
      <c r="B223" s="88"/>
      <c r="C223" s="36" t="s">
        <v>204</v>
      </c>
      <c r="D223" s="36">
        <f>(27.235+3.06)*10.764</f>
        <v>326.09537999999998</v>
      </c>
      <c r="E223" s="36">
        <f>(5.076)*10.764</f>
        <v>54.638063999999993</v>
      </c>
      <c r="F223" s="36">
        <v>640</v>
      </c>
      <c r="G223" s="95"/>
      <c r="H223" s="96"/>
      <c r="I223" s="82"/>
      <c r="J223" s="83"/>
      <c r="N223" s="2" t="str">
        <f t="shared" ca="1" si="16"/>
        <v>103 &amp; 103</v>
      </c>
      <c r="O223" s="2">
        <f t="shared" ref="O223:P223" ca="1" si="18">O222+1</f>
        <v>103</v>
      </c>
      <c r="P223" s="2">
        <f t="shared" ca="1" si="18"/>
        <v>103</v>
      </c>
    </row>
    <row r="224" spans="1:16" s="2" customFormat="1" x14ac:dyDescent="0.3">
      <c r="A224" s="87">
        <v>104</v>
      </c>
      <c r="B224" s="88"/>
      <c r="C224" s="36" t="s">
        <v>204</v>
      </c>
      <c r="D224" s="36">
        <f>(27.632+6.21)*10.764</f>
        <v>364.27528799999999</v>
      </c>
      <c r="E224" s="36">
        <f>(6.202+4.193)*10.764</f>
        <v>111.89177999999998</v>
      </c>
      <c r="F224" s="36">
        <v>820</v>
      </c>
      <c r="G224" s="95"/>
      <c r="H224" s="96"/>
      <c r="I224" s="82"/>
      <c r="J224" s="83"/>
      <c r="N224" s="2" t="str">
        <f t="shared" ca="1" si="16"/>
        <v>104 &amp; 104</v>
      </c>
      <c r="O224" s="2">
        <f t="shared" ref="O224:P224" ca="1" si="19">O223+1</f>
        <v>104</v>
      </c>
      <c r="P224" s="2">
        <f t="shared" ca="1" si="19"/>
        <v>104</v>
      </c>
    </row>
    <row r="225" spans="1:16" s="2" customFormat="1" x14ac:dyDescent="0.3">
      <c r="A225" s="87">
        <v>105</v>
      </c>
      <c r="B225" s="88"/>
      <c r="C225" s="36" t="s">
        <v>204</v>
      </c>
      <c r="D225" s="36">
        <f>(27.235+3.06)*10.764</f>
        <v>326.09537999999998</v>
      </c>
      <c r="E225" s="36">
        <f>(5.239)*10.764</f>
        <v>56.392595999999998</v>
      </c>
      <c r="F225" s="36">
        <v>645</v>
      </c>
      <c r="G225" s="95"/>
      <c r="H225" s="96"/>
      <c r="I225" s="82"/>
      <c r="J225" s="83"/>
      <c r="N225" s="2" t="str">
        <f t="shared" ca="1" si="16"/>
        <v>105 &amp; 105</v>
      </c>
      <c r="O225" s="2">
        <f t="shared" ref="O225:P225" ca="1" si="20">O224+1</f>
        <v>105</v>
      </c>
      <c r="P225" s="2">
        <f t="shared" ca="1" si="20"/>
        <v>105</v>
      </c>
    </row>
    <row r="226" spans="1:16" s="2" customFormat="1" x14ac:dyDescent="0.3">
      <c r="A226" s="87">
        <v>106</v>
      </c>
      <c r="B226" s="88"/>
      <c r="C226" s="36" t="s">
        <v>204</v>
      </c>
      <c r="D226" s="36">
        <f>(26.688+5.982)*10.764</f>
        <v>351.65987999999999</v>
      </c>
      <c r="E226" s="36">
        <f>(6.622)*10.764</f>
        <v>71.279207999999997</v>
      </c>
      <c r="F226" s="36">
        <v>710</v>
      </c>
      <c r="G226" s="95"/>
      <c r="H226" s="96"/>
      <c r="I226" s="82"/>
      <c r="J226" s="83"/>
      <c r="N226" s="2" t="str">
        <f t="shared" ca="1" si="16"/>
        <v>106 &amp; 106</v>
      </c>
      <c r="O226" s="2">
        <f t="shared" ref="O226:P227" ca="1" si="21">O225+1</f>
        <v>106</v>
      </c>
      <c r="P226" s="2">
        <f t="shared" ca="1" si="21"/>
        <v>106</v>
      </c>
    </row>
    <row r="227" spans="1:16" s="2" customFormat="1" x14ac:dyDescent="0.3">
      <c r="A227" s="87">
        <v>107</v>
      </c>
      <c r="B227" s="88"/>
      <c r="C227" s="36" t="s">
        <v>204</v>
      </c>
      <c r="D227" s="36">
        <f>(26.402+3.565)*10.764</f>
        <v>322.56478800000002</v>
      </c>
      <c r="E227" s="36">
        <f>(3.24)*10.764</f>
        <v>34.875360000000001</v>
      </c>
      <c r="F227" s="36">
        <v>605</v>
      </c>
      <c r="G227" s="97"/>
      <c r="H227" s="98"/>
      <c r="I227" s="82"/>
      <c r="J227" s="83"/>
      <c r="N227" s="2" t="str">
        <f t="shared" ref="N227" ca="1" si="22">O227&amp;""&amp;" &amp; "&amp;""&amp;P227</f>
        <v>107 &amp; 107</v>
      </c>
      <c r="O227" s="2">
        <f t="shared" ca="1" si="21"/>
        <v>107</v>
      </c>
      <c r="P227" s="2">
        <f t="shared" ca="1" si="21"/>
        <v>107</v>
      </c>
    </row>
    <row r="228" spans="1:16" s="2" customFormat="1" x14ac:dyDescent="0.3">
      <c r="A228" s="89" t="s">
        <v>216</v>
      </c>
      <c r="B228" s="90"/>
      <c r="C228" s="90"/>
      <c r="D228" s="90"/>
      <c r="E228" s="90"/>
      <c r="F228" s="90"/>
      <c r="G228" s="90"/>
      <c r="H228" s="91"/>
      <c r="I228" s="37"/>
    </row>
    <row r="229" spans="1:16" s="2" customFormat="1" x14ac:dyDescent="0.3">
      <c r="A229" s="87">
        <v>301</v>
      </c>
      <c r="B229" s="88"/>
      <c r="C229" s="36" t="s">
        <v>204</v>
      </c>
      <c r="D229" s="36">
        <f>(26.433+5.758)*10.764</f>
        <v>346.50392399999998</v>
      </c>
      <c r="E229" s="36">
        <f>(5.432)*10.764</f>
        <v>58.470047999999998</v>
      </c>
      <c r="F229" s="36">
        <v>685</v>
      </c>
      <c r="G229" s="93" t="str">
        <f>A228</f>
        <v>3rd Floor</v>
      </c>
      <c r="H229" s="94"/>
      <c r="I229" s="37"/>
      <c r="J229" s="83"/>
      <c r="N229" s="2" t="e">
        <f t="shared" ref="N229:N235" ca="1" si="23">O229&amp;""&amp;" &amp; "&amp;""&amp;P229</f>
        <v>#REF!</v>
      </c>
      <c r="O229" s="2" t="e">
        <f ca="1">(SUMPRODUCT(MID(0&amp;(LEFT(A228,SUM(LEN(A228)-LEN(SUBSTITUTE(A228,{"0","1","2"},""))))), LARGE(INDEX(ISNUMBER(--MID((LEFT(A228,SUM(LEN(A228)-LEN(SUBSTITUTE(A228,{"0","1","2"},""))))), ROW(INDIRECT("1:"&amp;LEN((LEFT(A228,SUM(LEN(A228)-LEN(SUBSTITUTE(A228,{"0","1","2"},"")))))))), 1)) * ROW(INDIRECT("1:"&amp;LEN((LEFT(A228,SUM(LEN(A228)-LEN(SUBSTITUTE(A228,{"0","1","2"},"")))))))), 0), ROW(INDIRECT("1:"&amp;LEN((LEFT(A228,SUM(LEN(A228)-LEN(SUBSTITUTE(A228,{"0","1","2"},"")))))))))+1, 1) * 10^ROW(INDIRECT("1:"&amp;LEN((LEFT(A228,SUM(LEN(A228)-LEN(SUBSTITUTE(A228,{"0","1","2"},""))))))))/10))*100+1</f>
        <v>#REF!</v>
      </c>
      <c r="P229" s="2">
        <f ca="1">(SUMPRODUCT(MID(0&amp;(--TRIM(RIGHT(SUBSTITUTE(LEFT(A228,_xlfn.AGGREGATE(16,6,FIND({0,1,2,3,4,5,6,7,8,9},A228,ROW(INDIRECT("1:"&amp;LEN(A228)))),1))," ",REPT(" ",LEN(A228))),LEN(A228)))), LARGE(INDEX(ISNUMBER(--MID((--TRIM(RIGHT(SUBSTITUTE(LEFT(A228,_xlfn.AGGREGATE(16,6,FIND({0,1,2,3,4,5,6,7,8,9},A228,ROW(INDIRECT("1:"&amp;LEN(A228)))),1))," ",REPT(" ",LEN(A228))),LEN(A228)))), ROW(INDIRECT("1:"&amp;LEN((--TRIM(RIGHT(SUBSTITUTE(LEFT(A228,_xlfn.AGGREGATE(16,6,FIND({0,1,2,3,4,5,6,7,8,9},A228,ROW(INDIRECT("1:"&amp;LEN(A228)))),1))," ",REPT(" ",LEN(A228))),LEN(A228))))))), 1)) * ROW(INDIRECT("1:"&amp;LEN((--TRIM(RIGHT(SUBSTITUTE(LEFT(A228,_xlfn.AGGREGATE(16,6,FIND({0,1,2,3,4,5,6,7,8,9},A228,ROW(INDIRECT("1:"&amp;LEN(A228)))),1))," ",REPT(" ",LEN(A228))),LEN(A228))))))), 0), ROW(INDIRECT("1:"&amp;LEN((--TRIM(RIGHT(SUBSTITUTE(LEFT(A228,_xlfn.AGGREGATE(16,6,FIND({0,1,2,3,4,5,6,7,8,9},A228,ROW(INDIRECT("1:"&amp;LEN(A228)))),1))," ",REPT(" ",LEN(A228))),LEN(A228))))))))+1, 1) * 10^ROW(INDIRECT("1:"&amp;LEN((--TRIM(RIGHT(SUBSTITUTE(LEFT(A228,_xlfn.AGGREGATE(16,6,FIND({0,1,2,3,4,5,6,7,8,9},A228,ROW(INDIRECT("1:"&amp;LEN(A228)))),1))," ",REPT(" ",LEN(A228))),LEN(A228)))))))/10))*100+1</f>
        <v>301</v>
      </c>
    </row>
    <row r="230" spans="1:16" s="2" customFormat="1" x14ac:dyDescent="0.3">
      <c r="A230" s="87">
        <v>302</v>
      </c>
      <c r="B230" s="88"/>
      <c r="C230" s="36" t="s">
        <v>204</v>
      </c>
      <c r="D230" s="36">
        <f>(26.723+5.825)*10.764</f>
        <v>350.34667200000001</v>
      </c>
      <c r="E230" s="36">
        <f>(7.851)*10.764</f>
        <v>84.508163999999994</v>
      </c>
      <c r="F230" s="36">
        <v>730</v>
      </c>
      <c r="G230" s="95"/>
      <c r="H230" s="96"/>
      <c r="I230" s="37"/>
      <c r="J230" s="83"/>
      <c r="N230" s="2" t="e">
        <f t="shared" ca="1" si="23"/>
        <v>#REF!</v>
      </c>
      <c r="O230" s="2" t="e">
        <f t="shared" ref="O230:P230" ca="1" si="24">O229+1</f>
        <v>#REF!</v>
      </c>
      <c r="P230" s="2">
        <f t="shared" ca="1" si="24"/>
        <v>302</v>
      </c>
    </row>
    <row r="231" spans="1:16" s="2" customFormat="1" x14ac:dyDescent="0.3">
      <c r="A231" s="87">
        <v>303</v>
      </c>
      <c r="B231" s="88"/>
      <c r="C231" s="36" t="s">
        <v>204</v>
      </c>
      <c r="D231" s="36">
        <f>(27.235+3.06)*10.764</f>
        <v>326.09537999999998</v>
      </c>
      <c r="E231" s="36">
        <f>(5.076)*10.764</f>
        <v>54.638063999999993</v>
      </c>
      <c r="F231" s="36">
        <v>640</v>
      </c>
      <c r="G231" s="95"/>
      <c r="H231" s="96"/>
      <c r="I231" s="37"/>
      <c r="J231" s="83"/>
      <c r="N231" s="2" t="e">
        <f t="shared" ca="1" si="23"/>
        <v>#REF!</v>
      </c>
      <c r="O231" s="2" t="e">
        <f t="shared" ref="O231:P231" ca="1" si="25">O230+1</f>
        <v>#REF!</v>
      </c>
      <c r="P231" s="2">
        <f t="shared" ca="1" si="25"/>
        <v>303</v>
      </c>
    </row>
    <row r="232" spans="1:16" s="2" customFormat="1" x14ac:dyDescent="0.3">
      <c r="A232" s="87">
        <v>304</v>
      </c>
      <c r="B232" s="88"/>
      <c r="C232" s="36" t="s">
        <v>204</v>
      </c>
      <c r="D232" s="36">
        <f>(27.632+6.21)*10.764</f>
        <v>364.27528799999999</v>
      </c>
      <c r="E232" s="36">
        <f>(6.202)*10.764</f>
        <v>66.758327999999992</v>
      </c>
      <c r="F232" s="36">
        <v>775</v>
      </c>
      <c r="G232" s="95"/>
      <c r="H232" s="96"/>
      <c r="I232" s="37"/>
      <c r="J232" s="83"/>
      <c r="N232" s="2" t="e">
        <f t="shared" ca="1" si="23"/>
        <v>#REF!</v>
      </c>
      <c r="O232" s="2" t="e">
        <f t="shared" ref="O232:P232" ca="1" si="26">O231+1</f>
        <v>#REF!</v>
      </c>
      <c r="P232" s="2">
        <f t="shared" ca="1" si="26"/>
        <v>304</v>
      </c>
    </row>
    <row r="233" spans="1:16" s="2" customFormat="1" x14ac:dyDescent="0.3">
      <c r="A233" s="87">
        <v>305</v>
      </c>
      <c r="B233" s="88"/>
      <c r="C233" s="36" t="s">
        <v>204</v>
      </c>
      <c r="D233" s="36">
        <f>(27.235+3.06)*10.764</f>
        <v>326.09537999999998</v>
      </c>
      <c r="E233" s="36">
        <f>(5.239)*10.764</f>
        <v>56.392595999999998</v>
      </c>
      <c r="F233" s="36">
        <v>645</v>
      </c>
      <c r="G233" s="95"/>
      <c r="H233" s="96"/>
      <c r="I233" s="37"/>
      <c r="J233" s="83"/>
      <c r="N233" s="2" t="e">
        <f t="shared" ca="1" si="23"/>
        <v>#REF!</v>
      </c>
      <c r="O233" s="2" t="e">
        <f t="shared" ref="O233:P233" ca="1" si="27">O232+1</f>
        <v>#REF!</v>
      </c>
      <c r="P233" s="2">
        <f t="shared" ca="1" si="27"/>
        <v>305</v>
      </c>
    </row>
    <row r="234" spans="1:16" s="2" customFormat="1" x14ac:dyDescent="0.3">
      <c r="A234" s="87">
        <v>306</v>
      </c>
      <c r="B234" s="88"/>
      <c r="C234" s="36" t="s">
        <v>204</v>
      </c>
      <c r="D234" s="36">
        <f>(26.688+5.982)*10.764</f>
        <v>351.65987999999999</v>
      </c>
      <c r="E234" s="36">
        <f>6.622*10.764</f>
        <v>71.279207999999997</v>
      </c>
      <c r="F234" s="36">
        <v>710</v>
      </c>
      <c r="G234" s="95"/>
      <c r="H234" s="96"/>
      <c r="I234" s="37"/>
      <c r="J234" s="83"/>
      <c r="N234" s="2" t="e">
        <f t="shared" ca="1" si="23"/>
        <v>#REF!</v>
      </c>
      <c r="O234" s="2" t="e">
        <f t="shared" ref="O234:P234" ca="1" si="28">O233+1</f>
        <v>#REF!</v>
      </c>
      <c r="P234" s="2">
        <f t="shared" ca="1" si="28"/>
        <v>306</v>
      </c>
    </row>
    <row r="235" spans="1:16" s="2" customFormat="1" x14ac:dyDescent="0.3">
      <c r="A235" s="87">
        <v>307</v>
      </c>
      <c r="B235" s="88"/>
      <c r="C235" s="36" t="s">
        <v>204</v>
      </c>
      <c r="D235" s="36">
        <f>(26.402+3.565)*10.764</f>
        <v>322.56478800000002</v>
      </c>
      <c r="E235" s="36">
        <f>(3.24)*10.764</f>
        <v>34.875360000000001</v>
      </c>
      <c r="F235" s="36">
        <v>605</v>
      </c>
      <c r="G235" s="97"/>
      <c r="H235" s="98"/>
      <c r="I235" s="37"/>
      <c r="J235" s="83"/>
      <c r="N235" s="2" t="e">
        <f t="shared" ca="1" si="23"/>
        <v>#REF!</v>
      </c>
      <c r="O235" s="2" t="e">
        <f t="shared" ref="O235:P235" ca="1" si="29">O234+1</f>
        <v>#REF!</v>
      </c>
      <c r="P235" s="2">
        <f t="shared" ca="1" si="29"/>
        <v>307</v>
      </c>
    </row>
    <row r="236" spans="1:16" s="2" customFormat="1" x14ac:dyDescent="0.3">
      <c r="A236" s="89" t="s">
        <v>209</v>
      </c>
      <c r="B236" s="90"/>
      <c r="C236" s="90"/>
      <c r="D236" s="90"/>
      <c r="E236" s="90"/>
      <c r="F236" s="90"/>
      <c r="G236" s="90"/>
      <c r="H236" s="91"/>
      <c r="I236" s="37"/>
    </row>
    <row r="237" spans="1:16" s="2" customFormat="1" ht="15.75" customHeight="1" x14ac:dyDescent="0.3">
      <c r="A237" s="87" t="str">
        <f t="shared" ref="A237:A243" ca="1" si="30">N237</f>
        <v>201 &amp; 401</v>
      </c>
      <c r="B237" s="88"/>
      <c r="C237" s="36" t="s">
        <v>204</v>
      </c>
      <c r="D237" s="36">
        <f>(26.433+5.63)*10.764</f>
        <v>345.12613199999998</v>
      </c>
      <c r="E237" s="36">
        <f>(4.5)*10.764</f>
        <v>48.437999999999995</v>
      </c>
      <c r="F237" s="36">
        <v>660</v>
      </c>
      <c r="G237" s="93" t="str">
        <f>A236</f>
        <v>2nd &amp; 4th Floor</v>
      </c>
      <c r="H237" s="94"/>
      <c r="I237" s="37"/>
      <c r="J237" s="83">
        <f t="shared" ref="J237:J243" si="31">(F237-E237)/D237</f>
        <v>1.7719956366561083</v>
      </c>
      <c r="N237" s="2" t="str">
        <f t="shared" ref="N237:N243" ca="1" si="32">O237&amp;""&amp;" &amp; "&amp;""&amp;P237</f>
        <v>201 &amp; 401</v>
      </c>
      <c r="O237" s="2">
        <f ca="1">(SUMPRODUCT(MID(0&amp;(LEFT(A236,SUM(LEN(A236)-LEN(SUBSTITUTE(A236,{"0","1","2"},""))))), LARGE(INDEX(ISNUMBER(--MID((LEFT(A236,SUM(LEN(A236)-LEN(SUBSTITUTE(A236,{"0","1","2"},""))))), ROW(INDIRECT("1:"&amp;LEN((LEFT(A236,SUM(LEN(A236)-LEN(SUBSTITUTE(A236,{"0","1","2"},"")))))))), 1)) * ROW(INDIRECT("1:"&amp;LEN((LEFT(A236,SUM(LEN(A236)-LEN(SUBSTITUTE(A236,{"0","1","2"},"")))))))), 0), ROW(INDIRECT("1:"&amp;LEN((LEFT(A236,SUM(LEN(A236)-LEN(SUBSTITUTE(A236,{"0","1","2"},"")))))))))+1, 1) * 10^ROW(INDIRECT("1:"&amp;LEN((LEFT(A236,SUM(LEN(A236)-LEN(SUBSTITUTE(A236,{"0","1","2"},""))))))))/10))*100+1</f>
        <v>201</v>
      </c>
      <c r="P237" s="2">
        <f ca="1">(SUMPRODUCT(MID(0&amp;(--TRIM(RIGHT(SUBSTITUTE(LEFT(A236,_xlfn.AGGREGATE(16,6,FIND({0,1,2,3,4,5,6,7,8,9},A236,ROW(INDIRECT("1:"&amp;LEN(A236)))),1))," ",REPT(" ",LEN(A236))),LEN(A236)))), LARGE(INDEX(ISNUMBER(--MID((--TRIM(RIGHT(SUBSTITUTE(LEFT(A236,_xlfn.AGGREGATE(16,6,FIND({0,1,2,3,4,5,6,7,8,9},A236,ROW(INDIRECT("1:"&amp;LEN(A236)))),1))," ",REPT(" ",LEN(A236))),LEN(A236)))), ROW(INDIRECT("1:"&amp;LEN((--TRIM(RIGHT(SUBSTITUTE(LEFT(A236,_xlfn.AGGREGATE(16,6,FIND({0,1,2,3,4,5,6,7,8,9},A236,ROW(INDIRECT("1:"&amp;LEN(A236)))),1))," ",REPT(" ",LEN(A236))),LEN(A236))))))), 1)) * ROW(INDIRECT("1:"&amp;LEN((--TRIM(RIGHT(SUBSTITUTE(LEFT(A236,_xlfn.AGGREGATE(16,6,FIND({0,1,2,3,4,5,6,7,8,9},A236,ROW(INDIRECT("1:"&amp;LEN(A236)))),1))," ",REPT(" ",LEN(A236))),LEN(A236))))))), 0), ROW(INDIRECT("1:"&amp;LEN((--TRIM(RIGHT(SUBSTITUTE(LEFT(A236,_xlfn.AGGREGATE(16,6,FIND({0,1,2,3,4,5,6,7,8,9},A236,ROW(INDIRECT("1:"&amp;LEN(A236)))),1))," ",REPT(" ",LEN(A236))),LEN(A236))))))))+1, 1) * 10^ROW(INDIRECT("1:"&amp;LEN((--TRIM(RIGHT(SUBSTITUTE(LEFT(A236,_xlfn.AGGREGATE(16,6,FIND({0,1,2,3,4,5,6,7,8,9},A236,ROW(INDIRECT("1:"&amp;LEN(A236)))),1))," ",REPT(" ",LEN(A236))),LEN(A236)))))))/10))*100+1</f>
        <v>401</v>
      </c>
    </row>
    <row r="238" spans="1:16" s="2" customFormat="1" ht="15.75" customHeight="1" x14ac:dyDescent="0.3">
      <c r="A238" s="87" t="str">
        <f t="shared" ca="1" si="30"/>
        <v>202 &amp; 402</v>
      </c>
      <c r="B238" s="88"/>
      <c r="C238" s="36" t="s">
        <v>204</v>
      </c>
      <c r="D238" s="36">
        <f>(26.723+5.805)*10.764</f>
        <v>350.13139199999995</v>
      </c>
      <c r="E238" s="36">
        <v>0</v>
      </c>
      <c r="F238" s="36">
        <v>590</v>
      </c>
      <c r="G238" s="95"/>
      <c r="H238" s="96"/>
      <c r="I238" s="37">
        <f>2360000/F238</f>
        <v>4000</v>
      </c>
      <c r="J238" s="83">
        <f t="shared" si="31"/>
        <v>1.685081696416413</v>
      </c>
      <c r="N238" s="2" t="str">
        <f t="shared" ca="1" si="32"/>
        <v>202 &amp; 402</v>
      </c>
      <c r="O238" s="2">
        <f t="shared" ref="O238:P238" ca="1" si="33">O237+1</f>
        <v>202</v>
      </c>
      <c r="P238" s="2">
        <f t="shared" ca="1" si="33"/>
        <v>402</v>
      </c>
    </row>
    <row r="239" spans="1:16" s="2" customFormat="1" ht="15.75" customHeight="1" x14ac:dyDescent="0.3">
      <c r="A239" s="87" t="str">
        <f t="shared" ca="1" si="30"/>
        <v>203 &amp; 403</v>
      </c>
      <c r="B239" s="88"/>
      <c r="C239" s="36" t="s">
        <v>204</v>
      </c>
      <c r="D239" s="36">
        <f>(27.235+3.06)*10.764</f>
        <v>326.09537999999998</v>
      </c>
      <c r="E239" s="36">
        <f>(4.132)*10.764</f>
        <v>44.476847999999997</v>
      </c>
      <c r="F239" s="36">
        <v>625</v>
      </c>
      <c r="G239" s="95"/>
      <c r="H239" s="96"/>
      <c r="I239" s="37"/>
      <c r="J239" s="83">
        <f t="shared" si="31"/>
        <v>1.7802250126941388</v>
      </c>
      <c r="N239" s="2" t="str">
        <f t="shared" ca="1" si="32"/>
        <v>203 &amp; 403</v>
      </c>
      <c r="O239" s="2">
        <f t="shared" ref="O239:P239" ca="1" si="34">O238+1</f>
        <v>203</v>
      </c>
      <c r="P239" s="2">
        <f t="shared" ca="1" si="34"/>
        <v>403</v>
      </c>
    </row>
    <row r="240" spans="1:16" s="2" customFormat="1" ht="15.75" customHeight="1" x14ac:dyDescent="0.3">
      <c r="A240" s="87" t="str">
        <f t="shared" ca="1" si="30"/>
        <v>204 &amp; 404</v>
      </c>
      <c r="B240" s="88"/>
      <c r="C240" s="36" t="s">
        <v>204</v>
      </c>
      <c r="D240" s="36">
        <f>(27.632+6.21+2.7)*10.764</f>
        <v>393.33808799999997</v>
      </c>
      <c r="E240" s="36">
        <f>(2.875)*10.764</f>
        <v>30.946499999999997</v>
      </c>
      <c r="F240" s="36">
        <v>715</v>
      </c>
      <c r="G240" s="95"/>
      <c r="H240" s="96"/>
      <c r="I240" s="37"/>
      <c r="J240" s="83">
        <f t="shared" si="31"/>
        <v>1.7390980453436282</v>
      </c>
      <c r="N240" s="2" t="str">
        <f t="shared" ca="1" si="32"/>
        <v>204 &amp; 404</v>
      </c>
      <c r="O240" s="2">
        <f t="shared" ref="O240:P240" ca="1" si="35">O239+1</f>
        <v>204</v>
      </c>
      <c r="P240" s="2">
        <f t="shared" ca="1" si="35"/>
        <v>404</v>
      </c>
    </row>
    <row r="241" spans="1:18" s="2" customFormat="1" ht="15.75" customHeight="1" x14ac:dyDescent="0.3">
      <c r="A241" s="87" t="str">
        <f t="shared" ca="1" si="30"/>
        <v>205 &amp; 405</v>
      </c>
      <c r="B241" s="88"/>
      <c r="C241" s="36" t="s">
        <v>204</v>
      </c>
      <c r="D241" s="36">
        <f>(27.235+3.06)*10.764</f>
        <v>326.09537999999998</v>
      </c>
      <c r="E241" s="36">
        <f>(5.032)*10.764</f>
        <v>54.164448</v>
      </c>
      <c r="F241" s="36">
        <v>640</v>
      </c>
      <c r="G241" s="95"/>
      <c r="H241" s="96"/>
      <c r="I241" s="37"/>
      <c r="J241" s="83">
        <f t="shared" si="31"/>
        <v>1.7965159518665983</v>
      </c>
      <c r="N241" s="2" t="str">
        <f t="shared" ca="1" si="32"/>
        <v>205 &amp; 405</v>
      </c>
      <c r="O241" s="2">
        <f t="shared" ref="O241:P241" ca="1" si="36">O240+1</f>
        <v>205</v>
      </c>
      <c r="P241" s="2">
        <f t="shared" ca="1" si="36"/>
        <v>405</v>
      </c>
    </row>
    <row r="242" spans="1:18" s="2" customFormat="1" ht="15.75" customHeight="1" x14ac:dyDescent="0.3">
      <c r="A242" s="87" t="str">
        <f t="shared" ca="1" si="30"/>
        <v>206 &amp; 406</v>
      </c>
      <c r="B242" s="88"/>
      <c r="C242" s="36" t="s">
        <v>204</v>
      </c>
      <c r="D242" s="36">
        <f>(26.688+5.923)*10.764</f>
        <v>351.02480399999996</v>
      </c>
      <c r="E242" s="36">
        <f>(5.966)*10.764</f>
        <v>64.218024</v>
      </c>
      <c r="F242" s="36">
        <v>695</v>
      </c>
      <c r="G242" s="95"/>
      <c r="H242" s="96"/>
      <c r="I242" s="37"/>
      <c r="J242" s="83">
        <f t="shared" si="31"/>
        <v>1.7969726606556273</v>
      </c>
      <c r="N242" s="2" t="str">
        <f t="shared" ca="1" si="32"/>
        <v>206 &amp; 406</v>
      </c>
      <c r="O242" s="2">
        <f t="shared" ref="O242:P242" ca="1" si="37">O241+1</f>
        <v>206</v>
      </c>
      <c r="P242" s="2">
        <f t="shared" ca="1" si="37"/>
        <v>406</v>
      </c>
    </row>
    <row r="243" spans="1:18" s="2" customFormat="1" ht="15.75" customHeight="1" x14ac:dyDescent="0.3">
      <c r="A243" s="87" t="str">
        <f t="shared" ca="1" si="30"/>
        <v>207 &amp; 407</v>
      </c>
      <c r="B243" s="88"/>
      <c r="C243" s="36" t="s">
        <v>204</v>
      </c>
      <c r="D243" s="36">
        <f>(26.402+3.565)*10.764</f>
        <v>322.56478800000002</v>
      </c>
      <c r="E243" s="36">
        <f>(5.966)*10.764</f>
        <v>64.218024</v>
      </c>
      <c r="F243" s="36">
        <v>650</v>
      </c>
      <c r="G243" s="97"/>
      <c r="H243" s="98"/>
      <c r="I243" s="37"/>
      <c r="J243" s="83">
        <f t="shared" si="31"/>
        <v>1.8160133957336966</v>
      </c>
      <c r="N243" s="2" t="str">
        <f t="shared" ca="1" si="32"/>
        <v>207 &amp; 407</v>
      </c>
      <c r="O243" s="2">
        <f t="shared" ref="O243:P243" ca="1" si="38">O242+1</f>
        <v>207</v>
      </c>
      <c r="P243" s="2">
        <f t="shared" ca="1" si="38"/>
        <v>407</v>
      </c>
    </row>
    <row r="244" spans="1:18" s="2" customFormat="1" x14ac:dyDescent="0.3">
      <c r="A244" s="89" t="s">
        <v>201</v>
      </c>
      <c r="B244" s="90"/>
      <c r="C244" s="90"/>
      <c r="D244" s="90"/>
      <c r="E244" s="90"/>
      <c r="F244" s="90"/>
      <c r="G244" s="90"/>
      <c r="H244" s="91"/>
    </row>
    <row r="245" spans="1:18" s="2" customFormat="1" x14ac:dyDescent="0.3">
      <c r="A245" s="89" t="s">
        <v>202</v>
      </c>
      <c r="B245" s="90"/>
      <c r="C245" s="90"/>
      <c r="D245" s="90"/>
      <c r="E245" s="90"/>
      <c r="F245" s="90"/>
      <c r="G245" s="90"/>
      <c r="H245" s="91"/>
    </row>
    <row r="246" spans="1:18" s="2" customFormat="1" ht="15.75" customHeight="1" x14ac:dyDescent="0.3">
      <c r="A246" s="87">
        <v>1</v>
      </c>
      <c r="B246" s="88"/>
      <c r="C246" s="36" t="s">
        <v>204</v>
      </c>
      <c r="D246" s="36">
        <f>(26.368+5.885)*10.764</f>
        <v>347.17129199999999</v>
      </c>
      <c r="E246" s="36">
        <v>0</v>
      </c>
      <c r="F246" s="36">
        <v>585</v>
      </c>
      <c r="G246" s="93" t="str">
        <f>A245</f>
        <v>Ground Floor for Residential &amp; Parking</v>
      </c>
      <c r="H246" s="94"/>
      <c r="I246" s="37"/>
      <c r="J246" s="83">
        <f t="shared" ref="J246:J249" si="39">(F246-E246)/D246</f>
        <v>1.6850471610999449</v>
      </c>
      <c r="K246" s="37">
        <f>(27.873+5.885)*10.764</f>
        <v>363.37111199999998</v>
      </c>
      <c r="L246" s="92">
        <f>F246/D246</f>
        <v>1.6850471610999449</v>
      </c>
      <c r="M246" s="92"/>
      <c r="N246" s="37"/>
    </row>
    <row r="247" spans="1:18" s="2" customFormat="1" ht="15.75" customHeight="1" x14ac:dyDescent="0.3">
      <c r="A247" s="87">
        <f>A246+1</f>
        <v>2</v>
      </c>
      <c r="B247" s="88"/>
      <c r="C247" s="36" t="s">
        <v>204</v>
      </c>
      <c r="D247" s="36">
        <f>(26.273+5.825)*10.764</f>
        <v>345.50287199999997</v>
      </c>
      <c r="E247" s="36">
        <v>0</v>
      </c>
      <c r="F247" s="36">
        <v>580</v>
      </c>
      <c r="G247" s="95"/>
      <c r="H247" s="96"/>
      <c r="I247" s="37"/>
      <c r="J247" s="83">
        <f t="shared" si="39"/>
        <v>1.6787125289077194</v>
      </c>
      <c r="L247" s="92"/>
      <c r="M247" s="92"/>
      <c r="N247" s="37"/>
    </row>
    <row r="248" spans="1:18" s="2" customFormat="1" ht="15.75" customHeight="1" x14ac:dyDescent="0.3">
      <c r="A248" s="87">
        <f t="shared" ref="A248:A249" si="40">A247+1</f>
        <v>3</v>
      </c>
      <c r="B248" s="88"/>
      <c r="C248" s="36" t="s">
        <v>205</v>
      </c>
      <c r="D248" s="36">
        <f>(18.895+3.27)*10.764</f>
        <v>238.58405999999997</v>
      </c>
      <c r="E248" s="36">
        <v>0</v>
      </c>
      <c r="F248" s="36">
        <v>400</v>
      </c>
      <c r="G248" s="95"/>
      <c r="H248" s="96"/>
      <c r="I248" s="37">
        <f>1637000/F248</f>
        <v>4092.5</v>
      </c>
      <c r="J248" s="83">
        <f t="shared" si="39"/>
        <v>1.6765579393694618</v>
      </c>
      <c r="L248" s="92"/>
      <c r="M248" s="92"/>
      <c r="N248" s="37"/>
    </row>
    <row r="249" spans="1:18" s="2" customFormat="1" ht="15.75" customHeight="1" x14ac:dyDescent="0.3">
      <c r="A249" s="87">
        <f t="shared" si="40"/>
        <v>4</v>
      </c>
      <c r="B249" s="88"/>
      <c r="C249" s="36" t="s">
        <v>205</v>
      </c>
      <c r="D249" s="36">
        <f>(17.725+6.708)*10.764</f>
        <v>262.99681199999998</v>
      </c>
      <c r="E249" s="36">
        <v>0</v>
      </c>
      <c r="F249" s="36">
        <v>440</v>
      </c>
      <c r="G249" s="97"/>
      <c r="H249" s="98"/>
      <c r="I249" s="37">
        <f>1637000/F249</f>
        <v>3720.4545454545455</v>
      </c>
      <c r="J249" s="83">
        <f t="shared" si="39"/>
        <v>1.67302408213222</v>
      </c>
      <c r="L249" s="92"/>
      <c r="M249" s="92"/>
      <c r="N249" s="37"/>
    </row>
    <row r="250" spans="1:18" s="2" customFormat="1" x14ac:dyDescent="0.3">
      <c r="A250" s="89" t="s">
        <v>207</v>
      </c>
      <c r="B250" s="90"/>
      <c r="C250" s="90"/>
      <c r="D250" s="90"/>
      <c r="E250" s="90"/>
      <c r="F250" s="90"/>
      <c r="G250" s="90"/>
      <c r="H250" s="91"/>
      <c r="I250" s="37"/>
    </row>
    <row r="251" spans="1:18" s="2" customFormat="1" ht="15.75" customHeight="1" x14ac:dyDescent="0.3">
      <c r="A251" s="87" t="str">
        <f t="shared" ref="A251:A256" ca="1" si="41">N251</f>
        <v>101 &amp; 301</v>
      </c>
      <c r="B251" s="88"/>
      <c r="C251" s="36" t="s">
        <v>204</v>
      </c>
      <c r="D251" s="36">
        <f>(26.368+5.825)*10.764</f>
        <v>346.52545199999997</v>
      </c>
      <c r="E251" s="36">
        <f>(4.283)*10.764</f>
        <v>46.102212000000002</v>
      </c>
      <c r="F251" s="36">
        <v>660</v>
      </c>
      <c r="G251" s="93" t="str">
        <f>A250</f>
        <v>1st &amp; 3rd Floor</v>
      </c>
      <c r="H251" s="94"/>
      <c r="I251" s="86">
        <f>F251/(D251+E251)</f>
        <v>1.6809819086003071</v>
      </c>
      <c r="J251" s="83">
        <f t="shared" ref="J251:J256" si="42">(F251-E251)/D251</f>
        <v>1.7715806572268753</v>
      </c>
      <c r="K251" s="37">
        <f>(27.873+5.825)*10.764</f>
        <v>362.72527199999996</v>
      </c>
      <c r="L251" s="2">
        <f>F251*4700</f>
        <v>3102000</v>
      </c>
      <c r="M251" s="2">
        <f>L251+225000</f>
        <v>3327000</v>
      </c>
      <c r="N251" s="2" t="str">
        <f t="shared" ref="N251:N256" ca="1" si="43">O251&amp;""&amp;" &amp; "&amp;""&amp;P251</f>
        <v>101 &amp; 301</v>
      </c>
      <c r="O251" s="2">
        <f ca="1">(SUMPRODUCT(MID(0&amp;(LEFT(A250,SUM(LEN(A250)-LEN(SUBSTITUTE(A250,{"0","1","2"},""))))), LARGE(INDEX(ISNUMBER(--MID((LEFT(A250,SUM(LEN(A250)-LEN(SUBSTITUTE(A250,{"0","1","2"},""))))), ROW(INDIRECT("1:"&amp;LEN((LEFT(A250,SUM(LEN(A250)-LEN(SUBSTITUTE(A250,{"0","1","2"},"")))))))), 1)) * ROW(INDIRECT("1:"&amp;LEN((LEFT(A250,SUM(LEN(A250)-LEN(SUBSTITUTE(A250,{"0","1","2"},"")))))))), 0), ROW(INDIRECT("1:"&amp;LEN((LEFT(A250,SUM(LEN(A250)-LEN(SUBSTITUTE(A250,{"0","1","2"},"")))))))))+1, 1) * 10^ROW(INDIRECT("1:"&amp;LEN((LEFT(A250,SUM(LEN(A250)-LEN(SUBSTITUTE(A250,{"0","1","2"},""))))))))/10))*100+1</f>
        <v>101</v>
      </c>
      <c r="P251" s="2">
        <f ca="1">(SUMPRODUCT(MID(0&amp;(--TRIM(RIGHT(SUBSTITUTE(LEFT(A250,_xlfn.AGGREGATE(16,6,FIND({0,1,2,3,4,5,6,7,8,9},A250,ROW(INDIRECT("1:"&amp;LEN(A250)))),1))," ",REPT(" ",LEN(A250))),LEN(A250)))), LARGE(INDEX(ISNUMBER(--MID((--TRIM(RIGHT(SUBSTITUTE(LEFT(A250,_xlfn.AGGREGATE(16,6,FIND({0,1,2,3,4,5,6,7,8,9},A250,ROW(INDIRECT("1:"&amp;LEN(A250)))),1))," ",REPT(" ",LEN(A250))),LEN(A250)))), ROW(INDIRECT("1:"&amp;LEN((--TRIM(RIGHT(SUBSTITUTE(LEFT(A250,_xlfn.AGGREGATE(16,6,FIND({0,1,2,3,4,5,6,7,8,9},A250,ROW(INDIRECT("1:"&amp;LEN(A250)))),1))," ",REPT(" ",LEN(A250))),LEN(A250))))))), 1)) * ROW(INDIRECT("1:"&amp;LEN((--TRIM(RIGHT(SUBSTITUTE(LEFT(A250,_xlfn.AGGREGATE(16,6,FIND({0,1,2,3,4,5,6,7,8,9},A250,ROW(INDIRECT("1:"&amp;LEN(A250)))),1))," ",REPT(" ",LEN(A250))),LEN(A250))))))), 0), ROW(INDIRECT("1:"&amp;LEN((--TRIM(RIGHT(SUBSTITUTE(LEFT(A250,_xlfn.AGGREGATE(16,6,FIND({0,1,2,3,4,5,6,7,8,9},A250,ROW(INDIRECT("1:"&amp;LEN(A250)))),1))," ",REPT(" ",LEN(A250))),LEN(A250))))))))+1, 1) * 10^ROW(INDIRECT("1:"&amp;LEN((--TRIM(RIGHT(SUBSTITUTE(LEFT(A250,_xlfn.AGGREGATE(16,6,FIND({0,1,2,3,4,5,6,7,8,9},A250,ROW(INDIRECT("1:"&amp;LEN(A250)))),1))," ",REPT(" ",LEN(A250))),LEN(A250)))))))/10))*100+1</f>
        <v>301</v>
      </c>
      <c r="Q251" s="2">
        <f>3300000/F251</f>
        <v>5000</v>
      </c>
      <c r="R251" s="2">
        <f>3600000*0.9</f>
        <v>3240000</v>
      </c>
    </row>
    <row r="252" spans="1:18" s="2" customFormat="1" ht="15.75" customHeight="1" x14ac:dyDescent="0.3">
      <c r="A252" s="87" t="str">
        <f t="shared" ca="1" si="41"/>
        <v>102 &amp; 302</v>
      </c>
      <c r="B252" s="88"/>
      <c r="C252" s="36" t="s">
        <v>204</v>
      </c>
      <c r="D252" s="36">
        <f>(26.273+5.825)*10.764</f>
        <v>345.50287199999997</v>
      </c>
      <c r="E252" s="36">
        <f>(6.788)*10.764</f>
        <v>73.066031999999993</v>
      </c>
      <c r="F252" s="36">
        <v>700</v>
      </c>
      <c r="G252" s="95"/>
      <c r="H252" s="96"/>
      <c r="I252" s="37"/>
      <c r="J252" s="83">
        <f t="shared" si="42"/>
        <v>1.8145550118610885</v>
      </c>
      <c r="L252" s="2">
        <f>660*5000+225000</f>
        <v>3525000</v>
      </c>
      <c r="M252" s="2">
        <f>3300000/F251</f>
        <v>5000</v>
      </c>
      <c r="N252" s="2" t="str">
        <f t="shared" ca="1" si="43"/>
        <v>102 &amp; 302</v>
      </c>
      <c r="O252" s="2">
        <f t="shared" ref="O252:P252" ca="1" si="44">O251+1</f>
        <v>102</v>
      </c>
      <c r="P252" s="2">
        <f t="shared" ca="1" si="44"/>
        <v>302</v>
      </c>
      <c r="R252" s="2">
        <f>3200000/0.8</f>
        <v>4000000</v>
      </c>
    </row>
    <row r="253" spans="1:18" s="2" customFormat="1" ht="15.75" customHeight="1" x14ac:dyDescent="0.3">
      <c r="A253" s="87" t="str">
        <f t="shared" ca="1" si="41"/>
        <v>103 &amp; 303</v>
      </c>
      <c r="B253" s="88"/>
      <c r="C253" s="36" t="s">
        <v>205</v>
      </c>
      <c r="D253" s="36">
        <f>(18.896+3.27)*10.764</f>
        <v>238.59482399999999</v>
      </c>
      <c r="E253" s="36">
        <f>(6.48)*10.764</f>
        <v>69.750720000000001</v>
      </c>
      <c r="F253" s="36">
        <v>515</v>
      </c>
      <c r="G253" s="95"/>
      <c r="H253" s="96"/>
      <c r="I253" s="37"/>
      <c r="J253" s="83">
        <f t="shared" si="42"/>
        <v>1.8661313457495625</v>
      </c>
      <c r="N253" s="2" t="str">
        <f t="shared" ca="1" si="43"/>
        <v>103 &amp; 303</v>
      </c>
      <c r="O253" s="2">
        <f t="shared" ref="O253:P253" ca="1" si="45">O252+1</f>
        <v>103</v>
      </c>
      <c r="P253" s="2">
        <f t="shared" ca="1" si="45"/>
        <v>303</v>
      </c>
    </row>
    <row r="254" spans="1:18" s="2" customFormat="1" ht="15.75" customHeight="1" x14ac:dyDescent="0.3">
      <c r="A254" s="87" t="str">
        <f t="shared" ca="1" si="41"/>
        <v>104 &amp; 304</v>
      </c>
      <c r="B254" s="88"/>
      <c r="C254" s="36" t="s">
        <v>205</v>
      </c>
      <c r="D254" s="36">
        <f>(17.725+6.708)*10.764</f>
        <v>262.99681199999998</v>
      </c>
      <c r="E254" s="36">
        <v>0</v>
      </c>
      <c r="F254" s="36">
        <v>440</v>
      </c>
      <c r="G254" s="95"/>
      <c r="H254" s="96"/>
      <c r="I254" s="37"/>
      <c r="J254" s="83">
        <f t="shared" si="42"/>
        <v>1.67302408213222</v>
      </c>
      <c r="N254" s="2" t="str">
        <f t="shared" ca="1" si="43"/>
        <v>104 &amp; 304</v>
      </c>
      <c r="O254" s="2">
        <f t="shared" ref="O254:P254" ca="1" si="46">O253+1</f>
        <v>104</v>
      </c>
      <c r="P254" s="2">
        <f t="shared" ca="1" si="46"/>
        <v>304</v>
      </c>
    </row>
    <row r="255" spans="1:18" s="2" customFormat="1" ht="15.75" customHeight="1" x14ac:dyDescent="0.3">
      <c r="A255" s="87" t="str">
        <f t="shared" ca="1" si="41"/>
        <v>105 &amp; 305</v>
      </c>
      <c r="B255" s="88"/>
      <c r="C255" s="36" t="s">
        <v>204</v>
      </c>
      <c r="D255" s="36">
        <f>(28.23+5.805)*10.764</f>
        <v>366.35273999999993</v>
      </c>
      <c r="E255" s="36">
        <f>(6.673)*10.764</f>
        <v>71.828171999999995</v>
      </c>
      <c r="F255" s="36">
        <v>720</v>
      </c>
      <c r="G255" s="95"/>
      <c r="H255" s="96"/>
      <c r="I255" s="37"/>
      <c r="J255" s="83">
        <f t="shared" si="42"/>
        <v>1.7692561218458476</v>
      </c>
      <c r="N255" s="2" t="str">
        <f t="shared" ca="1" si="43"/>
        <v>105 &amp; 305</v>
      </c>
      <c r="O255" s="2">
        <f t="shared" ref="O255:P255" ca="1" si="47">O254+1</f>
        <v>105</v>
      </c>
      <c r="P255" s="2">
        <f t="shared" ca="1" si="47"/>
        <v>305</v>
      </c>
    </row>
    <row r="256" spans="1:18" s="2" customFormat="1" ht="15.75" customHeight="1" x14ac:dyDescent="0.3">
      <c r="A256" s="87" t="str">
        <f t="shared" ca="1" si="41"/>
        <v>106 &amp; 306</v>
      </c>
      <c r="B256" s="88"/>
      <c r="C256" s="36" t="s">
        <v>204</v>
      </c>
      <c r="D256" s="36">
        <f>(28.173+2.4+2.85)*10.764</f>
        <v>359.76517199999989</v>
      </c>
      <c r="E256" s="36">
        <f>(3.87)*10.764</f>
        <v>41.656680000000001</v>
      </c>
      <c r="F256" s="36">
        <v>680</v>
      </c>
      <c r="G256" s="97"/>
      <c r="H256" s="98"/>
      <c r="I256" s="37"/>
      <c r="J256" s="83">
        <f t="shared" si="42"/>
        <v>1.7743332864916679</v>
      </c>
      <c r="N256" s="2" t="str">
        <f t="shared" ca="1" si="43"/>
        <v>106 &amp; 306</v>
      </c>
      <c r="O256" s="2">
        <f t="shared" ref="O256:P256" ca="1" si="48">O255+1</f>
        <v>106</v>
      </c>
      <c r="P256" s="2">
        <f t="shared" ca="1" si="48"/>
        <v>306</v>
      </c>
    </row>
    <row r="257" spans="1:16" s="2" customFormat="1" x14ac:dyDescent="0.3">
      <c r="A257" s="89" t="s">
        <v>209</v>
      </c>
      <c r="B257" s="90"/>
      <c r="C257" s="90"/>
      <c r="D257" s="90"/>
      <c r="E257" s="90"/>
      <c r="F257" s="90"/>
      <c r="G257" s="90"/>
      <c r="H257" s="91"/>
      <c r="I257" s="37"/>
    </row>
    <row r="258" spans="1:16" s="2" customFormat="1" ht="15.75" customHeight="1" x14ac:dyDescent="0.3">
      <c r="A258" s="87" t="str">
        <f t="shared" ref="A258:A263" ca="1" si="49">N258</f>
        <v>201 &amp; 401</v>
      </c>
      <c r="B258" s="88"/>
      <c r="C258" s="36" t="s">
        <v>204</v>
      </c>
      <c r="D258" s="36">
        <f>(26.368+5.705)*10.764</f>
        <v>345.23377199999999</v>
      </c>
      <c r="E258" s="36">
        <f>(6.023)*10.764</f>
        <v>64.831571999999994</v>
      </c>
      <c r="F258" s="36">
        <v>690</v>
      </c>
      <c r="G258" s="93" t="str">
        <f>A257</f>
        <v>2nd &amp; 4th Floor</v>
      </c>
      <c r="H258" s="94"/>
      <c r="I258" s="37"/>
      <c r="J258" s="83">
        <f t="shared" ref="J258:J263" si="50">(F258-E258)/D258</f>
        <v>1.8108553644050791</v>
      </c>
      <c r="N258" s="2" t="str">
        <f t="shared" ref="N258:N263" ca="1" si="51">O258&amp;""&amp;" &amp; "&amp;""&amp;P258</f>
        <v>201 &amp; 401</v>
      </c>
      <c r="O258" s="2">
        <f ca="1">(SUMPRODUCT(MID(0&amp;(LEFT(A257,SUM(LEN(A257)-LEN(SUBSTITUTE(A257,{"0","1","2"},""))))), LARGE(INDEX(ISNUMBER(--MID((LEFT(A257,SUM(LEN(A257)-LEN(SUBSTITUTE(A257,{"0","1","2"},""))))), ROW(INDIRECT("1:"&amp;LEN((LEFT(A257,SUM(LEN(A257)-LEN(SUBSTITUTE(A257,{"0","1","2"},"")))))))), 1)) * ROW(INDIRECT("1:"&amp;LEN((LEFT(A257,SUM(LEN(A257)-LEN(SUBSTITUTE(A257,{"0","1","2"},"")))))))), 0), ROW(INDIRECT("1:"&amp;LEN((LEFT(A257,SUM(LEN(A257)-LEN(SUBSTITUTE(A257,{"0","1","2"},"")))))))))+1, 1) * 10^ROW(INDIRECT("1:"&amp;LEN((LEFT(A257,SUM(LEN(A257)-LEN(SUBSTITUTE(A257,{"0","1","2"},""))))))))/10))*100+1</f>
        <v>201</v>
      </c>
      <c r="P258" s="2">
        <f ca="1">(SUMPRODUCT(MID(0&amp;(--TRIM(RIGHT(SUBSTITUTE(LEFT(A257,_xlfn.AGGREGATE(16,6,FIND({0,1,2,3,4,5,6,7,8,9},A257,ROW(INDIRECT("1:"&amp;LEN(A257)))),1))," ",REPT(" ",LEN(A257))),LEN(A257)))), LARGE(INDEX(ISNUMBER(--MID((--TRIM(RIGHT(SUBSTITUTE(LEFT(A257,_xlfn.AGGREGATE(16,6,FIND({0,1,2,3,4,5,6,7,8,9},A257,ROW(INDIRECT("1:"&amp;LEN(A257)))),1))," ",REPT(" ",LEN(A257))),LEN(A257)))), ROW(INDIRECT("1:"&amp;LEN((--TRIM(RIGHT(SUBSTITUTE(LEFT(A257,_xlfn.AGGREGATE(16,6,FIND({0,1,2,3,4,5,6,7,8,9},A257,ROW(INDIRECT("1:"&amp;LEN(A257)))),1))," ",REPT(" ",LEN(A257))),LEN(A257))))))), 1)) * ROW(INDIRECT("1:"&amp;LEN((--TRIM(RIGHT(SUBSTITUTE(LEFT(A257,_xlfn.AGGREGATE(16,6,FIND({0,1,2,3,4,5,6,7,8,9},A257,ROW(INDIRECT("1:"&amp;LEN(A257)))),1))," ",REPT(" ",LEN(A257))),LEN(A257))))))), 0), ROW(INDIRECT("1:"&amp;LEN((--TRIM(RIGHT(SUBSTITUTE(LEFT(A257,_xlfn.AGGREGATE(16,6,FIND({0,1,2,3,4,5,6,7,8,9},A257,ROW(INDIRECT("1:"&amp;LEN(A257)))),1))," ",REPT(" ",LEN(A257))),LEN(A257))))))))+1, 1) * 10^ROW(INDIRECT("1:"&amp;LEN((--TRIM(RIGHT(SUBSTITUTE(LEFT(A257,_xlfn.AGGREGATE(16,6,FIND({0,1,2,3,4,5,6,7,8,9},A257,ROW(INDIRECT("1:"&amp;LEN(A257)))),1))," ",REPT(" ",LEN(A257))),LEN(A257)))))))/10))*100+1</f>
        <v>401</v>
      </c>
    </row>
    <row r="259" spans="1:16" s="2" customFormat="1" ht="15.75" customHeight="1" x14ac:dyDescent="0.3">
      <c r="A259" s="87" t="str">
        <f t="shared" ca="1" si="49"/>
        <v>202 &amp; 402</v>
      </c>
      <c r="B259" s="88"/>
      <c r="C259" s="36" t="s">
        <v>204</v>
      </c>
      <c r="D259" s="36">
        <f>(26.253+5.825)*10.764</f>
        <v>345.28759200000002</v>
      </c>
      <c r="E259" s="36">
        <f>(5.198)*10.764</f>
        <v>55.951272000000003</v>
      </c>
      <c r="F259" s="36">
        <v>675</v>
      </c>
      <c r="G259" s="95"/>
      <c r="H259" s="96"/>
      <c r="I259" s="37"/>
      <c r="J259" s="83">
        <f t="shared" si="50"/>
        <v>1.7928496196874633</v>
      </c>
      <c r="N259" s="2" t="str">
        <f t="shared" ca="1" si="51"/>
        <v>202 &amp; 402</v>
      </c>
      <c r="O259" s="2">
        <f t="shared" ref="O259:P259" ca="1" si="52">O258+1</f>
        <v>202</v>
      </c>
      <c r="P259" s="2">
        <f t="shared" ca="1" si="52"/>
        <v>402</v>
      </c>
    </row>
    <row r="260" spans="1:16" s="2" customFormat="1" ht="15.75" customHeight="1" x14ac:dyDescent="0.3">
      <c r="A260" s="87" t="str">
        <f t="shared" ca="1" si="49"/>
        <v>203 &amp; 403</v>
      </c>
      <c r="B260" s="88"/>
      <c r="C260" s="36" t="s">
        <v>205</v>
      </c>
      <c r="D260" s="36">
        <f>(18.895+3.27)*10.764</f>
        <v>238.58405999999997</v>
      </c>
      <c r="E260" s="36">
        <v>0</v>
      </c>
      <c r="F260" s="36">
        <v>400</v>
      </c>
      <c r="G260" s="95"/>
      <c r="H260" s="96"/>
      <c r="I260" s="37"/>
      <c r="J260" s="83">
        <f t="shared" si="50"/>
        <v>1.6765579393694618</v>
      </c>
      <c r="N260" s="2" t="str">
        <f t="shared" ca="1" si="51"/>
        <v>203 &amp; 403</v>
      </c>
      <c r="O260" s="2">
        <f t="shared" ref="O260:P260" ca="1" si="53">O259+1</f>
        <v>203</v>
      </c>
      <c r="P260" s="2">
        <f t="shared" ca="1" si="53"/>
        <v>403</v>
      </c>
    </row>
    <row r="261" spans="1:16" s="2" customFormat="1" ht="15.75" customHeight="1" x14ac:dyDescent="0.3">
      <c r="A261" s="87" t="str">
        <f t="shared" ca="1" si="49"/>
        <v>204 &amp; 404</v>
      </c>
      <c r="B261" s="88"/>
      <c r="C261" s="36" t="s">
        <v>205</v>
      </c>
      <c r="D261" s="36">
        <f>(17.725+6.708)*10.764</f>
        <v>262.99681199999998</v>
      </c>
      <c r="E261" s="36">
        <v>0</v>
      </c>
      <c r="F261" s="36">
        <v>440</v>
      </c>
      <c r="G261" s="95"/>
      <c r="H261" s="96"/>
      <c r="I261" s="37"/>
      <c r="J261" s="83">
        <f t="shared" si="50"/>
        <v>1.67302408213222</v>
      </c>
      <c r="N261" s="2" t="str">
        <f t="shared" ca="1" si="51"/>
        <v>204 &amp; 404</v>
      </c>
      <c r="O261" s="2">
        <f t="shared" ref="O261:P261" ca="1" si="54">O260+1</f>
        <v>204</v>
      </c>
      <c r="P261" s="2">
        <f t="shared" ca="1" si="54"/>
        <v>404</v>
      </c>
    </row>
    <row r="262" spans="1:16" s="2" customFormat="1" ht="15.75" customHeight="1" x14ac:dyDescent="0.3">
      <c r="A262" s="87" t="str">
        <f t="shared" ca="1" si="49"/>
        <v>205 &amp; 405</v>
      </c>
      <c r="B262" s="88"/>
      <c r="C262" s="36" t="s">
        <v>204</v>
      </c>
      <c r="D262" s="36">
        <f>(27.23+5.25)*10.764</f>
        <v>349.61472000000003</v>
      </c>
      <c r="E262" s="36">
        <f>(4.193)*10.764</f>
        <v>45.133451999999991</v>
      </c>
      <c r="F262" s="36">
        <v>690</v>
      </c>
      <c r="G262" s="95"/>
      <c r="H262" s="96"/>
      <c r="I262" s="37"/>
      <c r="J262" s="83">
        <f t="shared" si="50"/>
        <v>1.8445062839459387</v>
      </c>
      <c r="N262" s="2" t="str">
        <f t="shared" ca="1" si="51"/>
        <v>205 &amp; 405</v>
      </c>
      <c r="O262" s="2">
        <f t="shared" ref="O262:P262" ca="1" si="55">O261+1</f>
        <v>205</v>
      </c>
      <c r="P262" s="2">
        <f t="shared" ca="1" si="55"/>
        <v>405</v>
      </c>
    </row>
    <row r="263" spans="1:16" s="2" customFormat="1" ht="15.75" customHeight="1" x14ac:dyDescent="0.3">
      <c r="A263" s="87" t="str">
        <f t="shared" ca="1" si="49"/>
        <v>206 &amp; 406</v>
      </c>
      <c r="B263" s="88"/>
      <c r="C263" s="36" t="s">
        <v>204</v>
      </c>
      <c r="D263" s="36">
        <f>(28.173+2.4+2.85)*10.764</f>
        <v>359.76517199999989</v>
      </c>
      <c r="E263" s="36">
        <f>(5.415)*10.764</f>
        <v>58.287059999999997</v>
      </c>
      <c r="F263" s="36">
        <v>705</v>
      </c>
      <c r="G263" s="97"/>
      <c r="H263" s="98"/>
      <c r="I263" s="37"/>
      <c r="J263" s="83">
        <f t="shared" si="50"/>
        <v>1.7975974061213469</v>
      </c>
      <c r="N263" s="2" t="str">
        <f t="shared" ca="1" si="51"/>
        <v>206 &amp; 406</v>
      </c>
      <c r="O263" s="2">
        <f t="shared" ref="O263:P263" ca="1" si="56">O262+1</f>
        <v>206</v>
      </c>
      <c r="P263" s="2">
        <f t="shared" ca="1" si="56"/>
        <v>406</v>
      </c>
    </row>
    <row r="264" spans="1:16" s="2" customFormat="1" x14ac:dyDescent="0.3">
      <c r="A264" s="89" t="s">
        <v>206</v>
      </c>
      <c r="B264" s="90"/>
      <c r="C264" s="90"/>
      <c r="D264" s="90"/>
      <c r="E264" s="90"/>
      <c r="F264" s="90"/>
      <c r="G264" s="90"/>
      <c r="H264" s="91"/>
      <c r="I264" s="37"/>
    </row>
    <row r="265" spans="1:16" s="2" customFormat="1" x14ac:dyDescent="0.3">
      <c r="A265" s="89" t="s">
        <v>202</v>
      </c>
      <c r="B265" s="90"/>
      <c r="C265" s="90"/>
      <c r="D265" s="90"/>
      <c r="E265" s="90"/>
      <c r="F265" s="90"/>
      <c r="G265" s="90"/>
      <c r="H265" s="91"/>
    </row>
    <row r="266" spans="1:16" s="2" customFormat="1" ht="15.75" customHeight="1" x14ac:dyDescent="0.3">
      <c r="A266" s="87">
        <v>1</v>
      </c>
      <c r="B266" s="88"/>
      <c r="C266" s="36" t="s">
        <v>204</v>
      </c>
      <c r="D266" s="36">
        <f>(26.237+6.185)*10.764</f>
        <v>348.99040799999995</v>
      </c>
      <c r="E266" s="36">
        <v>0</v>
      </c>
      <c r="F266" s="36">
        <v>585</v>
      </c>
      <c r="G266" s="93" t="str">
        <f>A265</f>
        <v>Ground Floor for Residential &amp; Parking</v>
      </c>
      <c r="H266" s="94"/>
      <c r="I266" s="37"/>
      <c r="J266" s="83">
        <f t="shared" ref="J266:J267" si="57">(F266-E266)/D266</f>
        <v>1.6762638358817017</v>
      </c>
      <c r="L266" s="92"/>
      <c r="M266" s="92"/>
      <c r="N266" s="37"/>
    </row>
    <row r="267" spans="1:16" s="2" customFormat="1" ht="15.75" customHeight="1" x14ac:dyDescent="0.3">
      <c r="A267" s="87">
        <f>A266+1</f>
        <v>2</v>
      </c>
      <c r="B267" s="88"/>
      <c r="C267" s="36" t="s">
        <v>204</v>
      </c>
      <c r="D267" s="36">
        <f>(26.26+5.885)*10.764</f>
        <v>346.00878</v>
      </c>
      <c r="E267" s="36">
        <v>0</v>
      </c>
      <c r="F267" s="36">
        <v>580</v>
      </c>
      <c r="G267" s="97"/>
      <c r="H267" s="98"/>
      <c r="I267" s="37"/>
      <c r="J267" s="83">
        <f t="shared" si="57"/>
        <v>1.6762580417757029</v>
      </c>
      <c r="L267" s="92"/>
      <c r="M267" s="92"/>
      <c r="N267" s="37"/>
    </row>
    <row r="268" spans="1:16" s="2" customFormat="1" ht="15.75" customHeight="1" x14ac:dyDescent="0.3">
      <c r="A268" s="89" t="s">
        <v>207</v>
      </c>
      <c r="B268" s="90"/>
      <c r="C268" s="90"/>
      <c r="D268" s="90"/>
      <c r="E268" s="90"/>
      <c r="F268" s="90"/>
      <c r="G268" s="90"/>
      <c r="H268" s="91"/>
      <c r="I268" s="37"/>
    </row>
    <row r="269" spans="1:16" s="2" customFormat="1" ht="15.75" customHeight="1" x14ac:dyDescent="0.3">
      <c r="A269" s="87" t="str">
        <f t="shared" ref="A269:A274" ca="1" si="58">N269</f>
        <v>101 &amp; 301</v>
      </c>
      <c r="B269" s="88"/>
      <c r="C269" s="36" t="s">
        <v>208</v>
      </c>
      <c r="D269" s="36">
        <f>(37.43+8.91)*10.764</f>
        <v>498.80376000000001</v>
      </c>
      <c r="E269" s="36">
        <f>(6.553)*10.764</f>
        <v>70.536491999999996</v>
      </c>
      <c r="F269" s="36">
        <v>950</v>
      </c>
      <c r="G269" s="93" t="str">
        <f>A268</f>
        <v>1st &amp; 3rd Floor</v>
      </c>
      <c r="H269" s="94"/>
      <c r="I269" s="37"/>
      <c r="J269" s="83">
        <f t="shared" ref="J269:J275" si="59">(F269-E269)/D269</f>
        <v>1.7631453058814153</v>
      </c>
      <c r="N269" s="2" t="str">
        <f t="shared" ref="N269:N274" ca="1" si="60">O269&amp;""&amp;" &amp; "&amp;""&amp;P269</f>
        <v>101 &amp; 301</v>
      </c>
      <c r="O269" s="2">
        <f ca="1">(SUMPRODUCT(MID(0&amp;(LEFT(A268,SUM(LEN(A268)-LEN(SUBSTITUTE(A268,{"0","1","2"},""))))), LARGE(INDEX(ISNUMBER(--MID((LEFT(A268,SUM(LEN(A268)-LEN(SUBSTITUTE(A268,{"0","1","2"},""))))), ROW(INDIRECT("1:"&amp;LEN((LEFT(A268,SUM(LEN(A268)-LEN(SUBSTITUTE(A268,{"0","1","2"},"")))))))), 1)) * ROW(INDIRECT("1:"&amp;LEN((LEFT(A268,SUM(LEN(A268)-LEN(SUBSTITUTE(A268,{"0","1","2"},"")))))))), 0), ROW(INDIRECT("1:"&amp;LEN((LEFT(A268,SUM(LEN(A268)-LEN(SUBSTITUTE(A268,{"0","1","2"},"")))))))))+1, 1) * 10^ROW(INDIRECT("1:"&amp;LEN((LEFT(A268,SUM(LEN(A268)-LEN(SUBSTITUTE(A268,{"0","1","2"},""))))))))/10))*100+1</f>
        <v>101</v>
      </c>
      <c r="P269" s="2">
        <f ca="1">(SUMPRODUCT(MID(0&amp;(--TRIM(RIGHT(SUBSTITUTE(LEFT(A268,_xlfn.AGGREGATE(16,6,FIND({0,1,2,3,4,5,6,7,8,9},A268,ROW(INDIRECT("1:"&amp;LEN(A268)))),1))," ",REPT(" ",LEN(A268))),LEN(A268)))), LARGE(INDEX(ISNUMBER(--MID((--TRIM(RIGHT(SUBSTITUTE(LEFT(A268,_xlfn.AGGREGATE(16,6,FIND({0,1,2,3,4,5,6,7,8,9},A268,ROW(INDIRECT("1:"&amp;LEN(A268)))),1))," ",REPT(" ",LEN(A268))),LEN(A268)))), ROW(INDIRECT("1:"&amp;LEN((--TRIM(RIGHT(SUBSTITUTE(LEFT(A268,_xlfn.AGGREGATE(16,6,FIND({0,1,2,3,4,5,6,7,8,9},A268,ROW(INDIRECT("1:"&amp;LEN(A268)))),1))," ",REPT(" ",LEN(A268))),LEN(A268))))))), 1)) * ROW(INDIRECT("1:"&amp;LEN((--TRIM(RIGHT(SUBSTITUTE(LEFT(A268,_xlfn.AGGREGATE(16,6,FIND({0,1,2,3,4,5,6,7,8,9},A268,ROW(INDIRECT("1:"&amp;LEN(A268)))),1))," ",REPT(" ",LEN(A268))),LEN(A268))))))), 0), ROW(INDIRECT("1:"&amp;LEN((--TRIM(RIGHT(SUBSTITUTE(LEFT(A268,_xlfn.AGGREGATE(16,6,FIND({0,1,2,3,4,5,6,7,8,9},A268,ROW(INDIRECT("1:"&amp;LEN(A268)))),1))," ",REPT(" ",LEN(A268))),LEN(A268))))))))+1, 1) * 10^ROW(INDIRECT("1:"&amp;LEN((--TRIM(RIGHT(SUBSTITUTE(LEFT(A268,_xlfn.AGGREGATE(16,6,FIND({0,1,2,3,4,5,6,7,8,9},A268,ROW(INDIRECT("1:"&amp;LEN(A268)))),1))," ",REPT(" ",LEN(A268))),LEN(A268)))))))/10))*100+1</f>
        <v>301</v>
      </c>
    </row>
    <row r="270" spans="1:16" s="2" customFormat="1" ht="15.75" customHeight="1" x14ac:dyDescent="0.3">
      <c r="A270" s="87" t="str">
        <f t="shared" ca="1" si="58"/>
        <v>102 &amp; 302</v>
      </c>
      <c r="B270" s="88"/>
      <c r="C270" s="36" t="s">
        <v>204</v>
      </c>
      <c r="D270" s="36">
        <f>(28.623+3.035)*10.764</f>
        <v>340.76671199999998</v>
      </c>
      <c r="E270" s="36">
        <f>(8.37)*10.764</f>
        <v>90.094679999999983</v>
      </c>
      <c r="F270" s="36">
        <v>730</v>
      </c>
      <c r="G270" s="95"/>
      <c r="H270" s="96"/>
      <c r="I270" s="37"/>
      <c r="J270" s="83">
        <f t="shared" si="59"/>
        <v>1.8778398753925241</v>
      </c>
      <c r="N270" s="2" t="str">
        <f t="shared" ca="1" si="60"/>
        <v>102 &amp; 302</v>
      </c>
      <c r="O270" s="2">
        <f t="shared" ref="O270:P270" ca="1" si="61">O269+1</f>
        <v>102</v>
      </c>
      <c r="P270" s="2">
        <f t="shared" ca="1" si="61"/>
        <v>302</v>
      </c>
    </row>
    <row r="271" spans="1:16" s="2" customFormat="1" ht="15.75" customHeight="1" x14ac:dyDescent="0.3">
      <c r="A271" s="87" t="str">
        <f t="shared" ca="1" si="58"/>
        <v>103 &amp; 303</v>
      </c>
      <c r="B271" s="88"/>
      <c r="C271" s="36" t="s">
        <v>205</v>
      </c>
      <c r="D271" s="36">
        <f>(20.138+2.8)*10.764</f>
        <v>246.90463200000002</v>
      </c>
      <c r="E271" s="36">
        <f>(5.91)*10.764</f>
        <v>63.61524</v>
      </c>
      <c r="F271" s="36">
        <v>520</v>
      </c>
      <c r="G271" s="95"/>
      <c r="H271" s="96"/>
      <c r="I271" s="37"/>
      <c r="J271" s="83">
        <f t="shared" si="59"/>
        <v>1.8484252656709981</v>
      </c>
      <c r="N271" s="2" t="str">
        <f t="shared" ca="1" si="60"/>
        <v>103 &amp; 303</v>
      </c>
      <c r="O271" s="2">
        <f t="shared" ref="O271:P271" ca="1" si="62">O270+1</f>
        <v>103</v>
      </c>
      <c r="P271" s="2">
        <f t="shared" ca="1" si="62"/>
        <v>303</v>
      </c>
    </row>
    <row r="272" spans="1:16" s="2" customFormat="1" ht="15.75" customHeight="1" x14ac:dyDescent="0.3">
      <c r="A272" s="87" t="str">
        <f t="shared" ca="1" si="58"/>
        <v>104 &amp; 304</v>
      </c>
      <c r="B272" s="88"/>
      <c r="C272" s="36" t="s">
        <v>205</v>
      </c>
      <c r="D272" s="36">
        <f>(20.371+2.52)*10.764</f>
        <v>246.39872399999996</v>
      </c>
      <c r="E272" s="36">
        <f>(5.609)*10.764</f>
        <v>60.375275999999999</v>
      </c>
      <c r="F272" s="36">
        <v>515</v>
      </c>
      <c r="G272" s="95"/>
      <c r="H272" s="96"/>
      <c r="I272" s="37"/>
      <c r="J272" s="83">
        <f t="shared" si="59"/>
        <v>1.8450774282418771</v>
      </c>
      <c r="N272" s="2" t="str">
        <f t="shared" ca="1" si="60"/>
        <v>104 &amp; 304</v>
      </c>
      <c r="O272" s="2">
        <f t="shared" ref="O272:P272" ca="1" si="63">O271+1</f>
        <v>104</v>
      </c>
      <c r="P272" s="2">
        <f t="shared" ca="1" si="63"/>
        <v>304</v>
      </c>
    </row>
    <row r="273" spans="1:16" s="2" customFormat="1" ht="15.75" customHeight="1" x14ac:dyDescent="0.3">
      <c r="A273" s="87" t="str">
        <f t="shared" ca="1" si="58"/>
        <v>105 &amp; 305</v>
      </c>
      <c r="B273" s="88"/>
      <c r="C273" s="36" t="s">
        <v>205</v>
      </c>
      <c r="D273" s="36">
        <f>(17.783+6.91)*10.764</f>
        <v>265.79545200000001</v>
      </c>
      <c r="E273" s="36">
        <v>0</v>
      </c>
      <c r="F273" s="36">
        <v>445</v>
      </c>
      <c r="G273" s="95"/>
      <c r="H273" s="96"/>
      <c r="I273" s="37"/>
      <c r="J273" s="83">
        <f t="shared" si="59"/>
        <v>1.6742197680643534</v>
      </c>
      <c r="N273" s="2" t="str">
        <f t="shared" ca="1" si="60"/>
        <v>105 &amp; 305</v>
      </c>
      <c r="O273" s="2">
        <f t="shared" ref="O273:P273" ca="1" si="64">O272+1</f>
        <v>105</v>
      </c>
      <c r="P273" s="2">
        <f t="shared" ca="1" si="64"/>
        <v>305</v>
      </c>
    </row>
    <row r="274" spans="1:16" s="2" customFormat="1" ht="15.75" customHeight="1" x14ac:dyDescent="0.3">
      <c r="A274" s="87" t="str">
        <f t="shared" ca="1" si="58"/>
        <v>106 &amp; 306</v>
      </c>
      <c r="B274" s="88"/>
      <c r="C274" s="36" t="s">
        <v>204</v>
      </c>
      <c r="D274" s="36">
        <f>(26.237+5.825)*10.764</f>
        <v>345.11536799999993</v>
      </c>
      <c r="E274" s="36">
        <f>(6.847)*10.764</f>
        <v>73.701108000000005</v>
      </c>
      <c r="F274" s="36">
        <v>710</v>
      </c>
      <c r="G274" s="95"/>
      <c r="H274" s="96"/>
      <c r="I274" s="37"/>
      <c r="J274" s="83">
        <f t="shared" si="59"/>
        <v>1.8437280718255356</v>
      </c>
      <c r="N274" s="2" t="str">
        <f t="shared" ca="1" si="60"/>
        <v>106 &amp; 306</v>
      </c>
      <c r="O274" s="2">
        <f t="shared" ref="O274:P275" ca="1" si="65">O273+1</f>
        <v>106</v>
      </c>
      <c r="P274" s="2">
        <f t="shared" ca="1" si="65"/>
        <v>306</v>
      </c>
    </row>
    <row r="275" spans="1:16" s="2" customFormat="1" ht="15.75" customHeight="1" x14ac:dyDescent="0.3">
      <c r="A275" s="87" t="str">
        <f t="shared" ref="A275" ca="1" si="66">N275</f>
        <v>107 &amp; 307</v>
      </c>
      <c r="B275" s="88"/>
      <c r="C275" s="36" t="s">
        <v>204</v>
      </c>
      <c r="D275" s="36">
        <f>(26.273+5.825)*10.764</f>
        <v>345.50287199999997</v>
      </c>
      <c r="E275" s="36">
        <f>(4.215)*10.764</f>
        <v>45.370259999999995</v>
      </c>
      <c r="F275" s="36">
        <v>660</v>
      </c>
      <c r="G275" s="97"/>
      <c r="H275" s="98"/>
      <c r="I275" s="37"/>
      <c r="J275" s="83">
        <f t="shared" si="59"/>
        <v>1.7789424916849896</v>
      </c>
      <c r="N275" s="2" t="str">
        <f t="shared" ref="N275" ca="1" si="67">O275&amp;""&amp;" &amp; "&amp;""&amp;P275</f>
        <v>107 &amp; 307</v>
      </c>
      <c r="O275" s="2">
        <f t="shared" ca="1" si="65"/>
        <v>107</v>
      </c>
      <c r="P275" s="2">
        <f t="shared" ca="1" si="65"/>
        <v>307</v>
      </c>
    </row>
    <row r="276" spans="1:16" s="2" customFormat="1" x14ac:dyDescent="0.3">
      <c r="A276" s="89" t="s">
        <v>209</v>
      </c>
      <c r="B276" s="90"/>
      <c r="C276" s="90"/>
      <c r="D276" s="90"/>
      <c r="E276" s="90"/>
      <c r="F276" s="90"/>
      <c r="G276" s="90"/>
      <c r="H276" s="91"/>
      <c r="I276" s="37"/>
    </row>
    <row r="277" spans="1:16" s="2" customFormat="1" ht="15.75" customHeight="1" x14ac:dyDescent="0.3">
      <c r="A277" s="87" t="str">
        <f t="shared" ref="A277:A283" ca="1" si="68">N277</f>
        <v>201 &amp; 401</v>
      </c>
      <c r="B277" s="88"/>
      <c r="C277" s="36" t="s">
        <v>208</v>
      </c>
      <c r="D277" s="36">
        <f>(37.43+8.91)*10.764</f>
        <v>498.80376000000001</v>
      </c>
      <c r="E277" s="36">
        <f>(4.64)*10.764</f>
        <v>49.944959999999995</v>
      </c>
      <c r="F277" s="36">
        <v>920</v>
      </c>
      <c r="G277" s="93" t="str">
        <f>A276</f>
        <v>2nd &amp; 4th Floor</v>
      </c>
      <c r="H277" s="94"/>
      <c r="I277" s="37"/>
      <c r="J277" s="83">
        <f t="shared" ref="J277:J283" si="69">(F277-E277)/D277</f>
        <v>1.7442832427726687</v>
      </c>
      <c r="N277" s="2" t="str">
        <f t="shared" ref="N277:N283" ca="1" si="70">O277&amp;""&amp;" &amp; "&amp;""&amp;P277</f>
        <v>201 &amp; 401</v>
      </c>
      <c r="O277" s="2">
        <f ca="1">(SUMPRODUCT(MID(0&amp;(LEFT(A276,SUM(LEN(A276)-LEN(SUBSTITUTE(A276,{"0","1","2"},""))))), LARGE(INDEX(ISNUMBER(--MID((LEFT(A276,SUM(LEN(A276)-LEN(SUBSTITUTE(A276,{"0","1","2"},""))))), ROW(INDIRECT("1:"&amp;LEN((LEFT(A276,SUM(LEN(A276)-LEN(SUBSTITUTE(A276,{"0","1","2"},"")))))))), 1)) * ROW(INDIRECT("1:"&amp;LEN((LEFT(A276,SUM(LEN(A276)-LEN(SUBSTITUTE(A276,{"0","1","2"},"")))))))), 0), ROW(INDIRECT("1:"&amp;LEN((LEFT(A276,SUM(LEN(A276)-LEN(SUBSTITUTE(A276,{"0","1","2"},"")))))))))+1, 1) * 10^ROW(INDIRECT("1:"&amp;LEN((LEFT(A276,SUM(LEN(A276)-LEN(SUBSTITUTE(A276,{"0","1","2"},""))))))))/10))*100+1</f>
        <v>201</v>
      </c>
      <c r="P277" s="2">
        <f ca="1">(SUMPRODUCT(MID(0&amp;(--TRIM(RIGHT(SUBSTITUTE(LEFT(A276,_xlfn.AGGREGATE(16,6,FIND({0,1,2,3,4,5,6,7,8,9},A276,ROW(INDIRECT("1:"&amp;LEN(A276)))),1))," ",REPT(" ",LEN(A276))),LEN(A276)))), LARGE(INDEX(ISNUMBER(--MID((--TRIM(RIGHT(SUBSTITUTE(LEFT(A276,_xlfn.AGGREGATE(16,6,FIND({0,1,2,3,4,5,6,7,8,9},A276,ROW(INDIRECT("1:"&amp;LEN(A276)))),1))," ",REPT(" ",LEN(A276))),LEN(A276)))), ROW(INDIRECT("1:"&amp;LEN((--TRIM(RIGHT(SUBSTITUTE(LEFT(A276,_xlfn.AGGREGATE(16,6,FIND({0,1,2,3,4,5,6,7,8,9},A276,ROW(INDIRECT("1:"&amp;LEN(A276)))),1))," ",REPT(" ",LEN(A276))),LEN(A276))))))), 1)) * ROW(INDIRECT("1:"&amp;LEN((--TRIM(RIGHT(SUBSTITUTE(LEFT(A276,_xlfn.AGGREGATE(16,6,FIND({0,1,2,3,4,5,6,7,8,9},A276,ROW(INDIRECT("1:"&amp;LEN(A276)))),1))," ",REPT(" ",LEN(A276))),LEN(A276))))))), 0), ROW(INDIRECT("1:"&amp;LEN((--TRIM(RIGHT(SUBSTITUTE(LEFT(A276,_xlfn.AGGREGATE(16,6,FIND({0,1,2,3,4,5,6,7,8,9},A276,ROW(INDIRECT("1:"&amp;LEN(A276)))),1))," ",REPT(" ",LEN(A276))),LEN(A276))))))))+1, 1) * 10^ROW(INDIRECT("1:"&amp;LEN((--TRIM(RIGHT(SUBSTITUTE(LEFT(A276,_xlfn.AGGREGATE(16,6,FIND({0,1,2,3,4,5,6,7,8,9},A276,ROW(INDIRECT("1:"&amp;LEN(A276)))),1))," ",REPT(" ",LEN(A276))),LEN(A276)))))))/10))*100+1</f>
        <v>401</v>
      </c>
    </row>
    <row r="278" spans="1:16" s="2" customFormat="1" ht="15.75" customHeight="1" x14ac:dyDescent="0.3">
      <c r="A278" s="87" t="str">
        <f t="shared" ca="1" si="68"/>
        <v>202 &amp; 402</v>
      </c>
      <c r="B278" s="88"/>
      <c r="C278" s="36" t="s">
        <v>204</v>
      </c>
      <c r="D278" s="36">
        <f>(28.623+3.05)*10.764</f>
        <v>340.92817200000002</v>
      </c>
      <c r="E278" s="36">
        <f>(2.35)*10.764</f>
        <v>25.295400000000001</v>
      </c>
      <c r="F278" s="36">
        <v>615</v>
      </c>
      <c r="G278" s="95"/>
      <c r="H278" s="96"/>
      <c r="I278" s="37"/>
      <c r="J278" s="83">
        <f t="shared" si="69"/>
        <v>1.7297033464280565</v>
      </c>
      <c r="N278" s="2" t="str">
        <f t="shared" ca="1" si="70"/>
        <v>202 &amp; 402</v>
      </c>
      <c r="O278" s="2">
        <f t="shared" ref="O278:P278" ca="1" si="71">O277+1</f>
        <v>202</v>
      </c>
      <c r="P278" s="2">
        <f t="shared" ca="1" si="71"/>
        <v>402</v>
      </c>
    </row>
    <row r="279" spans="1:16" s="2" customFormat="1" ht="15.75" customHeight="1" x14ac:dyDescent="0.3">
      <c r="A279" s="87" t="str">
        <f t="shared" ca="1" si="68"/>
        <v>203 &amp; 403</v>
      </c>
      <c r="B279" s="88"/>
      <c r="C279" s="36" t="s">
        <v>205</v>
      </c>
      <c r="D279" s="36">
        <f>(20.128+2.8)*10.764</f>
        <v>246.79699199999999</v>
      </c>
      <c r="E279" s="36">
        <v>0</v>
      </c>
      <c r="F279" s="36">
        <v>415</v>
      </c>
      <c r="G279" s="95"/>
      <c r="H279" s="96"/>
      <c r="I279" s="37"/>
      <c r="J279" s="83">
        <f t="shared" si="69"/>
        <v>1.6815439954794911</v>
      </c>
      <c r="N279" s="2" t="str">
        <f t="shared" ca="1" si="70"/>
        <v>203 &amp; 403</v>
      </c>
      <c r="O279" s="2">
        <f t="shared" ref="O279:P279" ca="1" si="72">O278+1</f>
        <v>203</v>
      </c>
      <c r="P279" s="2">
        <f t="shared" ca="1" si="72"/>
        <v>403</v>
      </c>
    </row>
    <row r="280" spans="1:16" s="2" customFormat="1" ht="15.75" customHeight="1" x14ac:dyDescent="0.3">
      <c r="A280" s="87" t="str">
        <f t="shared" ca="1" si="68"/>
        <v>204 &amp; 404</v>
      </c>
      <c r="B280" s="88"/>
      <c r="C280" s="36" t="s">
        <v>205</v>
      </c>
      <c r="D280" s="36">
        <f>(20.371+2.52)*10.764</f>
        <v>246.39872399999996</v>
      </c>
      <c r="E280" s="36">
        <f>(3.22)*10.764</f>
        <v>34.660080000000001</v>
      </c>
      <c r="F280" s="36">
        <v>475</v>
      </c>
      <c r="G280" s="95"/>
      <c r="H280" s="96"/>
      <c r="I280" s="37"/>
      <c r="J280" s="83">
        <f t="shared" si="69"/>
        <v>1.7871030858098116</v>
      </c>
      <c r="N280" s="2" t="str">
        <f t="shared" ca="1" si="70"/>
        <v>204 &amp; 404</v>
      </c>
      <c r="O280" s="2">
        <f t="shared" ref="O280:P280" ca="1" si="73">O279+1</f>
        <v>204</v>
      </c>
      <c r="P280" s="2">
        <f t="shared" ca="1" si="73"/>
        <v>404</v>
      </c>
    </row>
    <row r="281" spans="1:16" s="2" customFormat="1" ht="15.75" customHeight="1" x14ac:dyDescent="0.3">
      <c r="A281" s="87" t="str">
        <f t="shared" ca="1" si="68"/>
        <v>205 &amp; 405</v>
      </c>
      <c r="B281" s="88"/>
      <c r="C281" s="36" t="s">
        <v>205</v>
      </c>
      <c r="D281" s="36">
        <f>(17.783+6.91)*10.764</f>
        <v>265.79545200000001</v>
      </c>
      <c r="E281" s="36">
        <v>0</v>
      </c>
      <c r="F281" s="36">
        <v>445</v>
      </c>
      <c r="G281" s="95"/>
      <c r="H281" s="96"/>
      <c r="I281" s="37"/>
      <c r="J281" s="83">
        <f t="shared" si="69"/>
        <v>1.6742197680643534</v>
      </c>
      <c r="N281" s="2" t="str">
        <f t="shared" ca="1" si="70"/>
        <v>205 &amp; 405</v>
      </c>
      <c r="O281" s="2">
        <f t="shared" ref="O281:P281" ca="1" si="74">O280+1</f>
        <v>205</v>
      </c>
      <c r="P281" s="2">
        <f t="shared" ca="1" si="74"/>
        <v>405</v>
      </c>
    </row>
    <row r="282" spans="1:16" s="2" customFormat="1" ht="15.75" customHeight="1" x14ac:dyDescent="0.3">
      <c r="A282" s="87" t="str">
        <f t="shared" ca="1" si="68"/>
        <v>206 &amp; 406</v>
      </c>
      <c r="B282" s="88"/>
      <c r="C282" s="36" t="s">
        <v>204</v>
      </c>
      <c r="D282" s="36">
        <f>(26.237+6.095)*10.764</f>
        <v>348.02164799999997</v>
      </c>
      <c r="E282" s="36">
        <f>(6.248)*10.764</f>
        <v>67.253472000000002</v>
      </c>
      <c r="F282" s="36">
        <v>695</v>
      </c>
      <c r="G282" s="95"/>
      <c r="H282" s="96"/>
      <c r="I282" s="37"/>
      <c r="J282" s="83">
        <f t="shared" si="69"/>
        <v>1.8037571272003174</v>
      </c>
      <c r="N282" s="2" t="str">
        <f t="shared" ca="1" si="70"/>
        <v>206 &amp; 406</v>
      </c>
      <c r="O282" s="2">
        <f t="shared" ref="O282:P282" ca="1" si="75">O281+1</f>
        <v>206</v>
      </c>
      <c r="P282" s="2">
        <f t="shared" ca="1" si="75"/>
        <v>406</v>
      </c>
    </row>
    <row r="283" spans="1:16" s="2" customFormat="1" ht="15.75" customHeight="1" x14ac:dyDescent="0.3">
      <c r="A283" s="87" t="str">
        <f t="shared" ca="1" si="68"/>
        <v>207 &amp; 407</v>
      </c>
      <c r="B283" s="88"/>
      <c r="C283" s="36" t="s">
        <v>204</v>
      </c>
      <c r="D283" s="36">
        <f>(26.273+5.825)*10.764</f>
        <v>345.50287199999997</v>
      </c>
      <c r="E283" s="36">
        <f>(6.023)*10.764</f>
        <v>64.831571999999994</v>
      </c>
      <c r="F283" s="36">
        <v>690</v>
      </c>
      <c r="G283" s="97"/>
      <c r="H283" s="98"/>
      <c r="I283" s="37"/>
      <c r="J283" s="83">
        <f t="shared" si="69"/>
        <v>1.809444953036454</v>
      </c>
      <c r="N283" s="2" t="str">
        <f t="shared" ca="1" si="70"/>
        <v>207 &amp; 407</v>
      </c>
      <c r="O283" s="2">
        <f t="shared" ref="O283:P283" ca="1" si="76">O282+1</f>
        <v>207</v>
      </c>
      <c r="P283" s="2">
        <f t="shared" ca="1" si="76"/>
        <v>407</v>
      </c>
    </row>
    <row r="284" spans="1:16" s="2" customFormat="1" x14ac:dyDescent="0.3">
      <c r="A284" s="89" t="s">
        <v>219</v>
      </c>
      <c r="B284" s="90"/>
      <c r="C284" s="90"/>
      <c r="D284" s="90"/>
      <c r="E284" s="90"/>
      <c r="F284" s="90"/>
      <c r="G284" s="90"/>
      <c r="H284" s="91"/>
      <c r="I284" s="37"/>
    </row>
    <row r="285" spans="1:16" s="2" customFormat="1" x14ac:dyDescent="0.3">
      <c r="A285" s="89" t="s">
        <v>210</v>
      </c>
      <c r="B285" s="90"/>
      <c r="C285" s="90"/>
      <c r="D285" s="90"/>
      <c r="E285" s="90"/>
      <c r="F285" s="90"/>
      <c r="G285" s="90"/>
      <c r="H285" s="91"/>
      <c r="I285" s="37"/>
    </row>
    <row r="286" spans="1:16" s="2" customFormat="1" ht="15.75" customHeight="1" x14ac:dyDescent="0.3">
      <c r="A286" s="89" t="s">
        <v>202</v>
      </c>
      <c r="B286" s="90"/>
      <c r="C286" s="90"/>
      <c r="D286" s="90"/>
      <c r="E286" s="90"/>
      <c r="F286" s="90"/>
      <c r="G286" s="90"/>
      <c r="H286" s="91"/>
      <c r="I286" s="37"/>
    </row>
    <row r="287" spans="1:16" s="2" customFormat="1" ht="15.75" customHeight="1" x14ac:dyDescent="0.3">
      <c r="A287" s="87">
        <v>1</v>
      </c>
      <c r="B287" s="88"/>
      <c r="C287" s="36" t="s">
        <v>204</v>
      </c>
      <c r="D287" s="36">
        <f>(27.745+5.96)*10.764</f>
        <v>362.80061999999998</v>
      </c>
      <c r="E287" s="36">
        <v>0</v>
      </c>
      <c r="F287" s="36">
        <v>610</v>
      </c>
      <c r="G287" s="93" t="str">
        <f>A286</f>
        <v>Ground Floor for Residential &amp; Parking</v>
      </c>
      <c r="H287" s="94"/>
      <c r="I287" s="37"/>
      <c r="J287" s="83">
        <f t="shared" ref="J287:J288" si="77">(F287-E287)/D287</f>
        <v>1.6813642710974419</v>
      </c>
      <c r="N287" s="2" t="e">
        <f t="shared" ref="N287:N288" ca="1" si="78">O287&amp;""&amp;" &amp; "&amp;""&amp;P287</f>
        <v>#REF!</v>
      </c>
      <c r="O287" s="2" t="e">
        <f ca="1">(SUMPRODUCT(MID(0&amp;(LEFT(A286,SUM(LEN(A286)-LEN(SUBSTITUTE(A286,{"0","1","2"},""))))), LARGE(INDEX(ISNUMBER(--MID((LEFT(A286,SUM(LEN(A286)-LEN(SUBSTITUTE(A286,{"0","1","2"},""))))), ROW(INDIRECT("1:"&amp;LEN((LEFT(A286,SUM(LEN(A286)-LEN(SUBSTITUTE(A286,{"0","1","2"},"")))))))), 1)) * ROW(INDIRECT("1:"&amp;LEN((LEFT(A286,SUM(LEN(A286)-LEN(SUBSTITUTE(A286,{"0","1","2"},"")))))))), 0), ROW(INDIRECT("1:"&amp;LEN((LEFT(A286,SUM(LEN(A286)-LEN(SUBSTITUTE(A286,{"0","1","2"},"")))))))))+1, 1) * 10^ROW(INDIRECT("1:"&amp;LEN((LEFT(A286,SUM(LEN(A286)-LEN(SUBSTITUTE(A286,{"0","1","2"},""))))))))/10))*100+1</f>
        <v>#REF!</v>
      </c>
      <c r="P287" s="2" t="e">
        <f ca="1">(SUMPRODUCT(MID(0&amp;(--TRIM(RIGHT(SUBSTITUTE(LEFT(A286,_xlfn.AGGREGATE(16,6,FIND({0,1,2,3,4,5,6,7,8,9},A286,ROW(INDIRECT("1:"&amp;LEN(A286)))),1))," ",REPT(" ",LEN(A286))),LEN(A286)))), LARGE(INDEX(ISNUMBER(--MID((--TRIM(RIGHT(SUBSTITUTE(LEFT(A286,_xlfn.AGGREGATE(16,6,FIND({0,1,2,3,4,5,6,7,8,9},A286,ROW(INDIRECT("1:"&amp;LEN(A286)))),1))," ",REPT(" ",LEN(A286))),LEN(A286)))), ROW(INDIRECT("1:"&amp;LEN((--TRIM(RIGHT(SUBSTITUTE(LEFT(A286,_xlfn.AGGREGATE(16,6,FIND({0,1,2,3,4,5,6,7,8,9},A286,ROW(INDIRECT("1:"&amp;LEN(A286)))),1))," ",REPT(" ",LEN(A286))),LEN(A286))))))), 1)) * ROW(INDIRECT("1:"&amp;LEN((--TRIM(RIGHT(SUBSTITUTE(LEFT(A286,_xlfn.AGGREGATE(16,6,FIND({0,1,2,3,4,5,6,7,8,9},A286,ROW(INDIRECT("1:"&amp;LEN(A286)))),1))," ",REPT(" ",LEN(A286))),LEN(A286))))))), 0), ROW(INDIRECT("1:"&amp;LEN((--TRIM(RIGHT(SUBSTITUTE(LEFT(A286,_xlfn.AGGREGATE(16,6,FIND({0,1,2,3,4,5,6,7,8,9},A286,ROW(INDIRECT("1:"&amp;LEN(A286)))),1))," ",REPT(" ",LEN(A286))),LEN(A286))))))))+1, 1) * 10^ROW(INDIRECT("1:"&amp;LEN((--TRIM(RIGHT(SUBSTITUTE(LEFT(A286,_xlfn.AGGREGATE(16,6,FIND({0,1,2,3,4,5,6,7,8,9},A286,ROW(INDIRECT("1:"&amp;LEN(A286)))),1))," ",REPT(" ",LEN(A286))),LEN(A286)))))))/10))*100+1</f>
        <v>#NUM!</v>
      </c>
    </row>
    <row r="288" spans="1:16" s="2" customFormat="1" ht="15.75" customHeight="1" x14ac:dyDescent="0.3">
      <c r="A288" s="87">
        <v>2</v>
      </c>
      <c r="B288" s="88"/>
      <c r="C288" s="36" t="s">
        <v>204</v>
      </c>
      <c r="D288" s="36">
        <f>(27.745+3.06)*10.764</f>
        <v>331.58501999999999</v>
      </c>
      <c r="E288" s="36">
        <v>0</v>
      </c>
      <c r="F288" s="36">
        <v>550</v>
      </c>
      <c r="G288" s="97"/>
      <c r="H288" s="98"/>
      <c r="I288" s="37"/>
      <c r="J288" s="83">
        <f t="shared" si="77"/>
        <v>1.6586997808284585</v>
      </c>
      <c r="N288" s="2" t="e">
        <f t="shared" ca="1" si="78"/>
        <v>#REF!</v>
      </c>
      <c r="O288" s="2" t="e">
        <f t="shared" ref="O288:P288" ca="1" si="79">O287+1</f>
        <v>#REF!</v>
      </c>
      <c r="P288" s="2" t="e">
        <f t="shared" ca="1" si="79"/>
        <v>#NUM!</v>
      </c>
    </row>
    <row r="289" spans="1:16" s="2" customFormat="1" ht="15.75" customHeight="1" x14ac:dyDescent="0.3">
      <c r="A289" s="89" t="s">
        <v>207</v>
      </c>
      <c r="B289" s="90"/>
      <c r="C289" s="90"/>
      <c r="D289" s="90"/>
      <c r="E289" s="90"/>
      <c r="F289" s="90"/>
      <c r="G289" s="90"/>
      <c r="H289" s="91"/>
      <c r="I289" s="37"/>
    </row>
    <row r="290" spans="1:16" s="2" customFormat="1" ht="15.75" customHeight="1" x14ac:dyDescent="0.3">
      <c r="A290" s="87" t="str">
        <f t="shared" ref="A290:A294" ca="1" si="80">N290</f>
        <v>101 &amp; 301</v>
      </c>
      <c r="B290" s="88"/>
      <c r="C290" s="36" t="s">
        <v>204</v>
      </c>
      <c r="D290" s="36">
        <f>(26.235+5.9)*10.764</f>
        <v>345.90113999999994</v>
      </c>
      <c r="E290" s="36">
        <f>(5.678)*10.764</f>
        <v>61.117991999999994</v>
      </c>
      <c r="F290" s="36">
        <v>685</v>
      </c>
      <c r="G290" s="93" t="str">
        <f>A289</f>
        <v>1st &amp; 3rd Floor</v>
      </c>
      <c r="H290" s="94"/>
      <c r="I290" s="37"/>
      <c r="J290" s="83">
        <f t="shared" ref="J290:J294" si="81">(F290-E290)/D290</f>
        <v>1.8036425320830112</v>
      </c>
      <c r="N290" s="2" t="str">
        <f t="shared" ref="N290:N294" ca="1" si="82">O290&amp;""&amp;" &amp; "&amp;""&amp;P290</f>
        <v>101 &amp; 301</v>
      </c>
      <c r="O290" s="2">
        <f ca="1">(SUMPRODUCT(MID(0&amp;(LEFT(A289,SUM(LEN(A289)-LEN(SUBSTITUTE(A289,{"0","1","2"},""))))), LARGE(INDEX(ISNUMBER(--MID((LEFT(A289,SUM(LEN(A289)-LEN(SUBSTITUTE(A289,{"0","1","2"},""))))), ROW(INDIRECT("1:"&amp;LEN((LEFT(A289,SUM(LEN(A289)-LEN(SUBSTITUTE(A289,{"0","1","2"},"")))))))), 1)) * ROW(INDIRECT("1:"&amp;LEN((LEFT(A289,SUM(LEN(A289)-LEN(SUBSTITUTE(A289,{"0","1","2"},"")))))))), 0), ROW(INDIRECT("1:"&amp;LEN((LEFT(A289,SUM(LEN(A289)-LEN(SUBSTITUTE(A289,{"0","1","2"},"")))))))))+1, 1) * 10^ROW(INDIRECT("1:"&amp;LEN((LEFT(A289,SUM(LEN(A289)-LEN(SUBSTITUTE(A289,{"0","1","2"},""))))))))/10))*100+1</f>
        <v>101</v>
      </c>
      <c r="P290" s="2">
        <f ca="1">(SUMPRODUCT(MID(0&amp;(--TRIM(RIGHT(SUBSTITUTE(LEFT(A289,_xlfn.AGGREGATE(16,6,FIND({0,1,2,3,4,5,6,7,8,9},A289,ROW(INDIRECT("1:"&amp;LEN(A289)))),1))," ",REPT(" ",LEN(A289))),LEN(A289)))), LARGE(INDEX(ISNUMBER(--MID((--TRIM(RIGHT(SUBSTITUTE(LEFT(A289,_xlfn.AGGREGATE(16,6,FIND({0,1,2,3,4,5,6,7,8,9},A289,ROW(INDIRECT("1:"&amp;LEN(A289)))),1))," ",REPT(" ",LEN(A289))),LEN(A289)))), ROW(INDIRECT("1:"&amp;LEN((--TRIM(RIGHT(SUBSTITUTE(LEFT(A289,_xlfn.AGGREGATE(16,6,FIND({0,1,2,3,4,5,6,7,8,9},A289,ROW(INDIRECT("1:"&amp;LEN(A289)))),1))," ",REPT(" ",LEN(A289))),LEN(A289))))))), 1)) * ROW(INDIRECT("1:"&amp;LEN((--TRIM(RIGHT(SUBSTITUTE(LEFT(A289,_xlfn.AGGREGATE(16,6,FIND({0,1,2,3,4,5,6,7,8,9},A289,ROW(INDIRECT("1:"&amp;LEN(A289)))),1))," ",REPT(" ",LEN(A289))),LEN(A289))))))), 0), ROW(INDIRECT("1:"&amp;LEN((--TRIM(RIGHT(SUBSTITUTE(LEFT(A289,_xlfn.AGGREGATE(16,6,FIND({0,1,2,3,4,5,6,7,8,9},A289,ROW(INDIRECT("1:"&amp;LEN(A289)))),1))," ",REPT(" ",LEN(A289))),LEN(A289))))))))+1, 1) * 10^ROW(INDIRECT("1:"&amp;LEN((--TRIM(RIGHT(SUBSTITUTE(LEFT(A289,_xlfn.AGGREGATE(16,6,FIND({0,1,2,3,4,5,6,7,8,9},A289,ROW(INDIRECT("1:"&amp;LEN(A289)))),1))," ",REPT(" ",LEN(A289))),LEN(A289)))))))/10))*100+1</f>
        <v>301</v>
      </c>
    </row>
    <row r="291" spans="1:16" s="2" customFormat="1" ht="15.75" customHeight="1" x14ac:dyDescent="0.3">
      <c r="A291" s="87" t="str">
        <f t="shared" ca="1" si="80"/>
        <v>102 &amp; 302</v>
      </c>
      <c r="B291" s="88"/>
      <c r="C291" s="36" t="s">
        <v>204</v>
      </c>
      <c r="D291" s="36">
        <f>(27.745+5.96)*10.764</f>
        <v>362.80061999999998</v>
      </c>
      <c r="E291" s="36">
        <f>(5.076)*10.764</f>
        <v>54.638063999999993</v>
      </c>
      <c r="F291" s="36">
        <v>700</v>
      </c>
      <c r="G291" s="95"/>
      <c r="H291" s="96"/>
      <c r="I291" s="37"/>
      <c r="J291" s="83">
        <f t="shared" si="81"/>
        <v>1.7788336083879903</v>
      </c>
      <c r="N291" s="2" t="str">
        <f t="shared" ca="1" si="82"/>
        <v>102 &amp; 302</v>
      </c>
      <c r="O291" s="2">
        <f t="shared" ref="O291:P291" ca="1" si="83">O290+1</f>
        <v>102</v>
      </c>
      <c r="P291" s="2">
        <f t="shared" ca="1" si="83"/>
        <v>302</v>
      </c>
    </row>
    <row r="292" spans="1:16" s="2" customFormat="1" ht="15.75" customHeight="1" x14ac:dyDescent="0.3">
      <c r="A292" s="87" t="str">
        <f t="shared" ca="1" si="80"/>
        <v>103 &amp; 303</v>
      </c>
      <c r="B292" s="88"/>
      <c r="C292" s="36" t="s">
        <v>204</v>
      </c>
      <c r="D292" s="36">
        <f>(27.245+3.06)*10.764</f>
        <v>326.20301999999998</v>
      </c>
      <c r="E292" s="36">
        <f>(5.076)*10.764</f>
        <v>54.638063999999993</v>
      </c>
      <c r="F292" s="36">
        <v>635</v>
      </c>
      <c r="G292" s="95"/>
      <c r="H292" s="96"/>
      <c r="I292" s="37"/>
      <c r="J292" s="83">
        <f t="shared" si="81"/>
        <v>1.7791433567966355</v>
      </c>
      <c r="N292" s="2" t="str">
        <f t="shared" ca="1" si="82"/>
        <v>103 &amp; 303</v>
      </c>
      <c r="O292" s="2">
        <f t="shared" ref="O292:P292" ca="1" si="84">O291+1</f>
        <v>103</v>
      </c>
      <c r="P292" s="2">
        <f t="shared" ca="1" si="84"/>
        <v>303</v>
      </c>
    </row>
    <row r="293" spans="1:16" s="2" customFormat="1" ht="15.75" customHeight="1" x14ac:dyDescent="0.3">
      <c r="A293" s="87" t="str">
        <f t="shared" ca="1" si="80"/>
        <v>104 &amp; 304</v>
      </c>
      <c r="B293" s="88"/>
      <c r="C293" s="36" t="s">
        <v>204</v>
      </c>
      <c r="D293" s="36">
        <f>(26.8+6.1)*10.764</f>
        <v>354.13559999999995</v>
      </c>
      <c r="E293" s="36">
        <f>(6.158+3.15)*10.764</f>
        <v>100.191312</v>
      </c>
      <c r="F293" s="36">
        <v>735</v>
      </c>
      <c r="G293" s="95"/>
      <c r="H293" s="96"/>
      <c r="I293" s="37"/>
      <c r="J293" s="83">
        <f t="shared" si="81"/>
        <v>1.7925582404028289</v>
      </c>
      <c r="N293" s="2" t="str">
        <f t="shared" ca="1" si="82"/>
        <v>104 &amp; 304</v>
      </c>
      <c r="O293" s="2">
        <f t="shared" ref="O293:P293" ca="1" si="85">O292+1</f>
        <v>104</v>
      </c>
      <c r="P293" s="2">
        <f t="shared" ca="1" si="85"/>
        <v>304</v>
      </c>
    </row>
    <row r="294" spans="1:16" s="2" customFormat="1" ht="15.75" customHeight="1" x14ac:dyDescent="0.3">
      <c r="A294" s="87" t="str">
        <f t="shared" ca="1" si="80"/>
        <v>105 &amp; 305</v>
      </c>
      <c r="B294" s="88"/>
      <c r="C294" s="36" t="s">
        <v>204</v>
      </c>
      <c r="D294" s="36">
        <f>(27.968+3.68+2.45)*10.764</f>
        <v>367.03087199999999</v>
      </c>
      <c r="E294" s="36">
        <f>(5.843)*10.764</f>
        <v>62.894051999999995</v>
      </c>
      <c r="F294" s="36">
        <v>725</v>
      </c>
      <c r="G294" s="97"/>
      <c r="H294" s="98"/>
      <c r="I294" s="37"/>
      <c r="J294" s="83">
        <f t="shared" si="81"/>
        <v>1.8039516523285812</v>
      </c>
      <c r="N294" s="2" t="str">
        <f t="shared" ca="1" si="82"/>
        <v>105 &amp; 305</v>
      </c>
      <c r="O294" s="2">
        <f t="shared" ref="O294:P294" ca="1" si="86">O293+1</f>
        <v>105</v>
      </c>
      <c r="P294" s="2">
        <f t="shared" ca="1" si="86"/>
        <v>305</v>
      </c>
    </row>
    <row r="295" spans="1:16" s="2" customFormat="1" x14ac:dyDescent="0.3">
      <c r="A295" s="89" t="s">
        <v>209</v>
      </c>
      <c r="B295" s="90"/>
      <c r="C295" s="90"/>
      <c r="D295" s="90"/>
      <c r="E295" s="90"/>
      <c r="F295" s="90"/>
      <c r="G295" s="90"/>
      <c r="H295" s="91"/>
      <c r="I295" s="37"/>
    </row>
    <row r="296" spans="1:16" s="2" customFormat="1" ht="15.75" customHeight="1" x14ac:dyDescent="0.3">
      <c r="A296" s="87" t="str">
        <f t="shared" ref="A296:A300" ca="1" si="87">N296</f>
        <v>201 &amp; 401</v>
      </c>
      <c r="B296" s="88"/>
      <c r="C296" s="36" t="s">
        <v>204</v>
      </c>
      <c r="D296" s="36">
        <f>(26.235+5.9)*10.764</f>
        <v>345.90113999999994</v>
      </c>
      <c r="E296" s="36">
        <f>(4.38)*10.764</f>
        <v>47.146319999999996</v>
      </c>
      <c r="F296" s="36">
        <v>660</v>
      </c>
      <c r="G296" s="93" t="str">
        <f>A295</f>
        <v>2nd &amp; 4th Floor</v>
      </c>
      <c r="H296" s="94"/>
      <c r="I296" s="37"/>
      <c r="J296" s="83">
        <f t="shared" ref="J296:J300" si="88">(F296-E296)/D296</f>
        <v>1.7717596420757682</v>
      </c>
      <c r="N296" s="2" t="str">
        <f t="shared" ref="N296:N300" ca="1" si="89">O296&amp;""&amp;" &amp; "&amp;""&amp;P296</f>
        <v>201 &amp; 401</v>
      </c>
      <c r="O296" s="2">
        <f ca="1">(SUMPRODUCT(MID(0&amp;(LEFT(A295,SUM(LEN(A295)-LEN(SUBSTITUTE(A295,{"0","1","2"},""))))), LARGE(INDEX(ISNUMBER(--MID((LEFT(A295,SUM(LEN(A295)-LEN(SUBSTITUTE(A295,{"0","1","2"},""))))), ROW(INDIRECT("1:"&amp;LEN((LEFT(A295,SUM(LEN(A295)-LEN(SUBSTITUTE(A295,{"0","1","2"},"")))))))), 1)) * ROW(INDIRECT("1:"&amp;LEN((LEFT(A295,SUM(LEN(A295)-LEN(SUBSTITUTE(A295,{"0","1","2"},"")))))))), 0), ROW(INDIRECT("1:"&amp;LEN((LEFT(A295,SUM(LEN(A295)-LEN(SUBSTITUTE(A295,{"0","1","2"},"")))))))))+1, 1) * 10^ROW(INDIRECT("1:"&amp;LEN((LEFT(A295,SUM(LEN(A295)-LEN(SUBSTITUTE(A295,{"0","1","2"},""))))))))/10))*100+1</f>
        <v>201</v>
      </c>
      <c r="P296" s="2">
        <f ca="1">(SUMPRODUCT(MID(0&amp;(--TRIM(RIGHT(SUBSTITUTE(LEFT(A295,_xlfn.AGGREGATE(16,6,FIND({0,1,2,3,4,5,6,7,8,9},A295,ROW(INDIRECT("1:"&amp;LEN(A295)))),1))," ",REPT(" ",LEN(A295))),LEN(A295)))), LARGE(INDEX(ISNUMBER(--MID((--TRIM(RIGHT(SUBSTITUTE(LEFT(A295,_xlfn.AGGREGATE(16,6,FIND({0,1,2,3,4,5,6,7,8,9},A295,ROW(INDIRECT("1:"&amp;LEN(A295)))),1))," ",REPT(" ",LEN(A295))),LEN(A295)))), ROW(INDIRECT("1:"&amp;LEN((--TRIM(RIGHT(SUBSTITUTE(LEFT(A295,_xlfn.AGGREGATE(16,6,FIND({0,1,2,3,4,5,6,7,8,9},A295,ROW(INDIRECT("1:"&amp;LEN(A295)))),1))," ",REPT(" ",LEN(A295))),LEN(A295))))))), 1)) * ROW(INDIRECT("1:"&amp;LEN((--TRIM(RIGHT(SUBSTITUTE(LEFT(A295,_xlfn.AGGREGATE(16,6,FIND({0,1,2,3,4,5,6,7,8,9},A295,ROW(INDIRECT("1:"&amp;LEN(A295)))),1))," ",REPT(" ",LEN(A295))),LEN(A295))))))), 0), ROW(INDIRECT("1:"&amp;LEN((--TRIM(RIGHT(SUBSTITUTE(LEFT(A295,_xlfn.AGGREGATE(16,6,FIND({0,1,2,3,4,5,6,7,8,9},A295,ROW(INDIRECT("1:"&amp;LEN(A295)))),1))," ",REPT(" ",LEN(A295))),LEN(A295))))))))+1, 1) * 10^ROW(INDIRECT("1:"&amp;LEN((--TRIM(RIGHT(SUBSTITUTE(LEFT(A295,_xlfn.AGGREGATE(16,6,FIND({0,1,2,3,4,5,6,7,8,9},A295,ROW(INDIRECT("1:"&amp;LEN(A295)))),1))," ",REPT(" ",LEN(A295))),LEN(A295)))))))/10))*100+1</f>
        <v>401</v>
      </c>
    </row>
    <row r="297" spans="1:16" s="2" customFormat="1" ht="15.75" customHeight="1" x14ac:dyDescent="0.3">
      <c r="A297" s="87" t="str">
        <f t="shared" ca="1" si="87"/>
        <v>202 &amp; 402</v>
      </c>
      <c r="B297" s="88"/>
      <c r="C297" s="36" t="s">
        <v>204</v>
      </c>
      <c r="D297" s="36">
        <f>(27.745+5.96)*10.764</f>
        <v>362.80061999999998</v>
      </c>
      <c r="E297" s="36">
        <f>(4.132)*10.764</f>
        <v>44.476847999999997</v>
      </c>
      <c r="F297" s="36">
        <v>685</v>
      </c>
      <c r="G297" s="95"/>
      <c r="H297" s="96"/>
      <c r="I297" s="37"/>
      <c r="J297" s="83">
        <f t="shared" si="88"/>
        <v>1.7654962993172394</v>
      </c>
      <c r="N297" s="2" t="str">
        <f t="shared" ca="1" si="89"/>
        <v>202 &amp; 402</v>
      </c>
      <c r="O297" s="2">
        <f t="shared" ref="O297:P297" ca="1" si="90">O296+1</f>
        <v>202</v>
      </c>
      <c r="P297" s="2">
        <f t="shared" ca="1" si="90"/>
        <v>402</v>
      </c>
    </row>
    <row r="298" spans="1:16" s="2" customFormat="1" ht="15.75" customHeight="1" x14ac:dyDescent="0.3">
      <c r="A298" s="87" t="str">
        <f t="shared" ca="1" si="87"/>
        <v>203 &amp; 403</v>
      </c>
      <c r="B298" s="88"/>
      <c r="C298" s="36" t="s">
        <v>204</v>
      </c>
      <c r="D298" s="36">
        <f>(27.245+3.06)*10.764</f>
        <v>326.20301999999998</v>
      </c>
      <c r="E298" s="36">
        <f>(4.132)*10.764</f>
        <v>44.476847999999997</v>
      </c>
      <c r="F298" s="36">
        <v>625</v>
      </c>
      <c r="G298" s="95"/>
      <c r="H298" s="96"/>
      <c r="I298" s="37"/>
      <c r="J298" s="83">
        <f t="shared" si="88"/>
        <v>1.7796375766232944</v>
      </c>
      <c r="N298" s="2" t="str">
        <f t="shared" ca="1" si="89"/>
        <v>203 &amp; 403</v>
      </c>
      <c r="O298" s="2">
        <f t="shared" ref="O298:P298" ca="1" si="91">O297+1</f>
        <v>203</v>
      </c>
      <c r="P298" s="2">
        <f t="shared" ca="1" si="91"/>
        <v>403</v>
      </c>
    </row>
    <row r="299" spans="1:16" s="2" customFormat="1" ht="15.75" customHeight="1" x14ac:dyDescent="0.3">
      <c r="A299" s="87" t="str">
        <f t="shared" ca="1" si="87"/>
        <v>204 &amp; 404</v>
      </c>
      <c r="B299" s="88"/>
      <c r="C299" s="36" t="s">
        <v>204</v>
      </c>
      <c r="D299" s="36">
        <f>(26.8+6.11)*10.764</f>
        <v>354.24324000000001</v>
      </c>
      <c r="E299" s="36">
        <f>(3.69)*10.764</f>
        <v>39.719159999999995</v>
      </c>
      <c r="F299" s="36">
        <v>660</v>
      </c>
      <c r="G299" s="95"/>
      <c r="H299" s="96"/>
      <c r="I299" s="37">
        <f>2295000/F298</f>
        <v>3672</v>
      </c>
      <c r="J299" s="83">
        <f t="shared" si="88"/>
        <v>1.7510026161684835</v>
      </c>
      <c r="N299" s="2" t="str">
        <f t="shared" ca="1" si="89"/>
        <v>204 &amp; 404</v>
      </c>
      <c r="O299" s="2">
        <f t="shared" ref="O299:P299" ca="1" si="92">O298+1</f>
        <v>204</v>
      </c>
      <c r="P299" s="2">
        <f t="shared" ca="1" si="92"/>
        <v>404</v>
      </c>
    </row>
    <row r="300" spans="1:16" s="2" customFormat="1" ht="15.75" customHeight="1" x14ac:dyDescent="0.3">
      <c r="A300" s="87" t="str">
        <f t="shared" ca="1" si="87"/>
        <v>205 &amp; 405</v>
      </c>
      <c r="B300" s="88"/>
      <c r="C300" s="36" t="s">
        <v>204</v>
      </c>
      <c r="D300" s="36">
        <f>(27.968+3.68+2.45)*10.764</f>
        <v>367.03087199999999</v>
      </c>
      <c r="E300" s="36">
        <v>0</v>
      </c>
      <c r="F300" s="36">
        <v>620</v>
      </c>
      <c r="G300" s="97"/>
      <c r="H300" s="98"/>
      <c r="I300" s="37"/>
      <c r="J300" s="83">
        <f t="shared" si="88"/>
        <v>1.6892311990583724</v>
      </c>
      <c r="N300" s="2" t="str">
        <f t="shared" ca="1" si="89"/>
        <v>205 &amp; 405</v>
      </c>
      <c r="O300" s="2">
        <f t="shared" ref="O300:P300" ca="1" si="93">O299+1</f>
        <v>205</v>
      </c>
      <c r="P300" s="2">
        <f t="shared" ca="1" si="93"/>
        <v>405</v>
      </c>
    </row>
    <row r="301" spans="1:16" s="2" customFormat="1" x14ac:dyDescent="0.3">
      <c r="A301" s="89" t="s">
        <v>257</v>
      </c>
      <c r="B301" s="90"/>
      <c r="C301" s="90"/>
      <c r="D301" s="90"/>
      <c r="E301" s="90"/>
      <c r="F301" s="90"/>
      <c r="G301" s="90"/>
      <c r="H301" s="91"/>
      <c r="I301" s="37"/>
    </row>
    <row r="302" spans="1:16" s="2" customFormat="1" ht="15.75" customHeight="1" x14ac:dyDescent="0.3">
      <c r="A302" s="89" t="s">
        <v>217</v>
      </c>
      <c r="B302" s="90"/>
      <c r="C302" s="90"/>
      <c r="D302" s="90"/>
      <c r="E302" s="90"/>
      <c r="F302" s="90"/>
      <c r="G302" s="90"/>
      <c r="H302" s="91"/>
      <c r="I302" s="37"/>
    </row>
    <row r="303" spans="1:16" s="2" customFormat="1" ht="15.75" customHeight="1" x14ac:dyDescent="0.3">
      <c r="A303" s="87" t="s">
        <v>212</v>
      </c>
      <c r="B303" s="88"/>
      <c r="C303" s="36" t="s">
        <v>204</v>
      </c>
      <c r="D303" s="36">
        <f>(37.988)*10.764</f>
        <v>408.90283199999999</v>
      </c>
      <c r="E303" s="36">
        <v>0</v>
      </c>
      <c r="F303" s="36">
        <f>D303*1.8</f>
        <v>736.02509759999998</v>
      </c>
      <c r="G303" s="93" t="str">
        <f>A302</f>
        <v>1st to 4th Floor</v>
      </c>
      <c r="H303" s="94"/>
      <c r="I303" s="37"/>
      <c r="N303" s="2" t="str">
        <f t="shared" ref="N303:N306" ca="1" si="94">O303&amp;""&amp;" &amp; "&amp;""&amp;P303</f>
        <v>101 &amp; 401</v>
      </c>
      <c r="O303" s="2">
        <f ca="1">(SUMPRODUCT(MID(0&amp;(LEFT(A302,SUM(LEN(A302)-LEN(SUBSTITUTE(A302,{"0","1","2"},""))))), LARGE(INDEX(ISNUMBER(--MID((LEFT(A302,SUM(LEN(A302)-LEN(SUBSTITUTE(A302,{"0","1","2"},""))))), ROW(INDIRECT("1:"&amp;LEN((LEFT(A302,SUM(LEN(A302)-LEN(SUBSTITUTE(A302,{"0","1","2"},"")))))))), 1)) * ROW(INDIRECT("1:"&amp;LEN((LEFT(A302,SUM(LEN(A302)-LEN(SUBSTITUTE(A302,{"0","1","2"},"")))))))), 0), ROW(INDIRECT("1:"&amp;LEN((LEFT(A302,SUM(LEN(A302)-LEN(SUBSTITUTE(A302,{"0","1","2"},"")))))))))+1, 1) * 10^ROW(INDIRECT("1:"&amp;LEN((LEFT(A302,SUM(LEN(A302)-LEN(SUBSTITUTE(A302,{"0","1","2"},""))))))))/10))*100+1</f>
        <v>101</v>
      </c>
      <c r="P303" s="2">
        <f ca="1">(SUMPRODUCT(MID(0&amp;(--TRIM(RIGHT(SUBSTITUTE(LEFT(A302,_xlfn.AGGREGATE(16,6,FIND({0,1,2,3,4,5,6,7,8,9},A302,ROW(INDIRECT("1:"&amp;LEN(A302)))),1))," ",REPT(" ",LEN(A302))),LEN(A302)))), LARGE(INDEX(ISNUMBER(--MID((--TRIM(RIGHT(SUBSTITUTE(LEFT(A302,_xlfn.AGGREGATE(16,6,FIND({0,1,2,3,4,5,6,7,8,9},A302,ROW(INDIRECT("1:"&amp;LEN(A302)))),1))," ",REPT(" ",LEN(A302))),LEN(A302)))), ROW(INDIRECT("1:"&amp;LEN((--TRIM(RIGHT(SUBSTITUTE(LEFT(A302,_xlfn.AGGREGATE(16,6,FIND({0,1,2,3,4,5,6,7,8,9},A302,ROW(INDIRECT("1:"&amp;LEN(A302)))),1))," ",REPT(" ",LEN(A302))),LEN(A302))))))), 1)) * ROW(INDIRECT("1:"&amp;LEN((--TRIM(RIGHT(SUBSTITUTE(LEFT(A302,_xlfn.AGGREGATE(16,6,FIND({0,1,2,3,4,5,6,7,8,9},A302,ROW(INDIRECT("1:"&amp;LEN(A302)))),1))," ",REPT(" ",LEN(A302))),LEN(A302))))))), 0), ROW(INDIRECT("1:"&amp;LEN((--TRIM(RIGHT(SUBSTITUTE(LEFT(A302,_xlfn.AGGREGATE(16,6,FIND({0,1,2,3,4,5,6,7,8,9},A302,ROW(INDIRECT("1:"&amp;LEN(A302)))),1))," ",REPT(" ",LEN(A302))),LEN(A302))))))))+1, 1) * 10^ROW(INDIRECT("1:"&amp;LEN((--TRIM(RIGHT(SUBSTITUTE(LEFT(A302,_xlfn.AGGREGATE(16,6,FIND({0,1,2,3,4,5,6,7,8,9},A302,ROW(INDIRECT("1:"&amp;LEN(A302)))),1))," ",REPT(" ",LEN(A302))),LEN(A302)))))))/10))*100+1</f>
        <v>401</v>
      </c>
    </row>
    <row r="304" spans="1:16" s="2" customFormat="1" ht="15.75" customHeight="1" x14ac:dyDescent="0.3">
      <c r="A304" s="87" t="s">
        <v>215</v>
      </c>
      <c r="B304" s="88"/>
      <c r="C304" s="36" t="s">
        <v>204</v>
      </c>
      <c r="D304" s="36">
        <f>(38.155)*10.764</f>
        <v>410.70042000000001</v>
      </c>
      <c r="E304" s="36">
        <v>0</v>
      </c>
      <c r="F304" s="36">
        <f t="shared" ref="F304:F306" si="95">D304*1.8</f>
        <v>739.26075600000001</v>
      </c>
      <c r="G304" s="95"/>
      <c r="H304" s="96"/>
      <c r="I304" s="37"/>
      <c r="N304" s="2" t="str">
        <f t="shared" ca="1" si="94"/>
        <v>102 &amp; 402</v>
      </c>
      <c r="O304" s="2">
        <f t="shared" ref="O304:P304" ca="1" si="96">O303+1</f>
        <v>102</v>
      </c>
      <c r="P304" s="2">
        <f t="shared" ca="1" si="96"/>
        <v>402</v>
      </c>
    </row>
    <row r="305" spans="1:16" s="2" customFormat="1" ht="15.75" customHeight="1" x14ac:dyDescent="0.3">
      <c r="A305" s="87" t="s">
        <v>213</v>
      </c>
      <c r="B305" s="88"/>
      <c r="C305" s="36" t="s">
        <v>204</v>
      </c>
      <c r="D305" s="36">
        <f>(40.462)*10.764</f>
        <v>435.53296799999998</v>
      </c>
      <c r="E305" s="36">
        <v>0</v>
      </c>
      <c r="F305" s="36">
        <f t="shared" si="95"/>
        <v>783.95934239999997</v>
      </c>
      <c r="G305" s="95"/>
      <c r="H305" s="96"/>
      <c r="I305" s="37"/>
      <c r="N305" s="2" t="str">
        <f t="shared" ca="1" si="94"/>
        <v>103 &amp; 403</v>
      </c>
      <c r="O305" s="2">
        <f t="shared" ref="O305:P305" ca="1" si="97">O304+1</f>
        <v>103</v>
      </c>
      <c r="P305" s="2">
        <f t="shared" ca="1" si="97"/>
        <v>403</v>
      </c>
    </row>
    <row r="306" spans="1:16" s="2" customFormat="1" ht="15.75" customHeight="1" x14ac:dyDescent="0.3">
      <c r="A306" s="87" t="s">
        <v>214</v>
      </c>
      <c r="B306" s="88"/>
      <c r="C306" s="36" t="s">
        <v>204</v>
      </c>
      <c r="D306" s="36">
        <f>(42.08)*10.764</f>
        <v>452.94911999999994</v>
      </c>
      <c r="E306" s="36">
        <v>0</v>
      </c>
      <c r="F306" s="36">
        <f t="shared" si="95"/>
        <v>815.30841599999985</v>
      </c>
      <c r="G306" s="97"/>
      <c r="H306" s="98"/>
      <c r="I306" s="37"/>
      <c r="N306" s="2" t="str">
        <f t="shared" ca="1" si="94"/>
        <v>104 &amp; 404</v>
      </c>
      <c r="O306" s="2">
        <f t="shared" ref="O306:P306" ca="1" si="98">O305+1</f>
        <v>104</v>
      </c>
      <c r="P306" s="2">
        <f t="shared" ca="1" si="98"/>
        <v>404</v>
      </c>
    </row>
    <row r="307" spans="1:16" s="1" customFormat="1" x14ac:dyDescent="0.3">
      <c r="A307" s="179" t="s">
        <v>76</v>
      </c>
      <c r="B307" s="179"/>
      <c r="C307" s="179"/>
      <c r="D307" s="179"/>
      <c r="E307" s="179"/>
      <c r="F307" s="179"/>
      <c r="G307" s="179"/>
      <c r="H307" s="179"/>
    </row>
    <row r="308" spans="1:16" s="1" customFormat="1" ht="66" customHeight="1" x14ac:dyDescent="0.3">
      <c r="A308" s="41">
        <v>1</v>
      </c>
      <c r="B308" s="118" t="s">
        <v>278</v>
      </c>
      <c r="C308" s="119"/>
      <c r="D308" s="119"/>
      <c r="E308" s="119"/>
      <c r="F308" s="119"/>
      <c r="G308" s="119"/>
      <c r="H308" s="120"/>
    </row>
    <row r="309" spans="1:16" s="1" customFormat="1" x14ac:dyDescent="0.3">
      <c r="A309" s="41">
        <f>A308+1</f>
        <v>2</v>
      </c>
      <c r="B309" s="118" t="s">
        <v>258</v>
      </c>
      <c r="C309" s="119"/>
      <c r="D309" s="119"/>
      <c r="E309" s="119"/>
      <c r="F309" s="119"/>
      <c r="G309" s="119"/>
      <c r="H309" s="120"/>
    </row>
    <row r="310" spans="1:16" s="1" customFormat="1" x14ac:dyDescent="0.3">
      <c r="A310" s="41">
        <f t="shared" ref="A310:A315" si="99">A309+1</f>
        <v>3</v>
      </c>
      <c r="B310" s="118" t="s">
        <v>160</v>
      </c>
      <c r="C310" s="119"/>
      <c r="D310" s="119"/>
      <c r="E310" s="119"/>
      <c r="F310" s="119"/>
      <c r="G310" s="119"/>
      <c r="H310" s="120"/>
    </row>
    <row r="311" spans="1:16" s="1" customFormat="1" x14ac:dyDescent="0.3">
      <c r="A311" s="41">
        <f t="shared" si="99"/>
        <v>4</v>
      </c>
      <c r="B311" s="118" t="s">
        <v>248</v>
      </c>
      <c r="C311" s="119"/>
      <c r="D311" s="119"/>
      <c r="E311" s="119"/>
      <c r="F311" s="119"/>
      <c r="G311" s="119"/>
      <c r="H311" s="120"/>
    </row>
    <row r="312" spans="1:16" s="1" customFormat="1" x14ac:dyDescent="0.3">
      <c r="A312" s="41">
        <f t="shared" si="99"/>
        <v>5</v>
      </c>
      <c r="B312" s="118" t="s">
        <v>161</v>
      </c>
      <c r="C312" s="119"/>
      <c r="D312" s="119"/>
      <c r="E312" s="119"/>
      <c r="F312" s="119"/>
      <c r="G312" s="119"/>
      <c r="H312" s="120"/>
    </row>
    <row r="313" spans="1:16" s="1" customFormat="1" x14ac:dyDescent="0.3">
      <c r="A313" s="41">
        <f t="shared" si="99"/>
        <v>6</v>
      </c>
      <c r="B313" s="118" t="s">
        <v>162</v>
      </c>
      <c r="C313" s="119"/>
      <c r="D313" s="119"/>
      <c r="E313" s="119"/>
      <c r="F313" s="119"/>
      <c r="G313" s="119"/>
      <c r="H313" s="120"/>
    </row>
    <row r="314" spans="1:16" s="1" customFormat="1" x14ac:dyDescent="0.3">
      <c r="A314" s="41">
        <f t="shared" si="99"/>
        <v>7</v>
      </c>
      <c r="B314" s="118" t="s">
        <v>268</v>
      </c>
      <c r="C314" s="119"/>
      <c r="D314" s="119"/>
      <c r="E314" s="119"/>
      <c r="F314" s="119"/>
      <c r="G314" s="119"/>
      <c r="H314" s="120"/>
    </row>
    <row r="315" spans="1:16" s="1" customFormat="1" ht="31.5" customHeight="1" x14ac:dyDescent="0.3">
      <c r="A315" s="41">
        <f t="shared" si="99"/>
        <v>8</v>
      </c>
      <c r="B315" s="118" t="s">
        <v>277</v>
      </c>
      <c r="C315" s="119"/>
      <c r="D315" s="119"/>
      <c r="E315" s="119"/>
      <c r="F315" s="119"/>
      <c r="G315" s="119"/>
      <c r="H315" s="120"/>
    </row>
    <row r="316" spans="1:16" x14ac:dyDescent="0.3">
      <c r="A316" s="173" t="s">
        <v>69</v>
      </c>
      <c r="B316" s="173"/>
      <c r="C316" s="173"/>
      <c r="D316" s="173"/>
      <c r="E316" s="173"/>
      <c r="F316" s="173"/>
      <c r="G316" s="173"/>
      <c r="H316" s="173"/>
    </row>
    <row r="317" spans="1:16" x14ac:dyDescent="0.3">
      <c r="A317" s="121" t="s">
        <v>70</v>
      </c>
      <c r="B317" s="121"/>
      <c r="C317" s="121"/>
      <c r="D317" s="121"/>
      <c r="E317" s="121"/>
      <c r="F317" s="121"/>
      <c r="G317" s="121"/>
      <c r="H317" s="121"/>
    </row>
    <row r="318" spans="1:16" ht="15.75" customHeight="1" x14ac:dyDescent="0.3">
      <c r="A318" s="188" t="s">
        <v>71</v>
      </c>
      <c r="B318" s="188"/>
      <c r="C318" s="188"/>
      <c r="D318" s="188"/>
      <c r="E318" s="188"/>
      <c r="F318" s="188"/>
      <c r="G318" s="188"/>
      <c r="H318" s="188"/>
    </row>
    <row r="319" spans="1:16" x14ac:dyDescent="0.3">
      <c r="A319" s="121" t="s">
        <v>72</v>
      </c>
      <c r="B319" s="121"/>
      <c r="C319" s="121"/>
      <c r="D319" s="121"/>
      <c r="E319" s="121"/>
      <c r="F319" s="121"/>
      <c r="G319" s="121"/>
      <c r="H319" s="121"/>
    </row>
    <row r="320" spans="1:16" x14ac:dyDescent="0.3">
      <c r="A320" s="121" t="s">
        <v>73</v>
      </c>
      <c r="B320" s="121"/>
      <c r="C320" s="121"/>
      <c r="D320" s="121"/>
      <c r="E320" s="121"/>
      <c r="F320" s="121"/>
      <c r="G320" s="121"/>
      <c r="H320" s="121"/>
    </row>
    <row r="321" spans="1:8" hidden="1" x14ac:dyDescent="0.3">
      <c r="A321" s="121" t="s">
        <v>163</v>
      </c>
      <c r="B321" s="121"/>
      <c r="C321" s="121"/>
      <c r="D321" s="121"/>
      <c r="E321" s="121"/>
      <c r="F321" s="121"/>
      <c r="G321" s="121"/>
      <c r="H321" s="121"/>
    </row>
    <row r="322" spans="1:8" ht="35.25" hidden="1" customHeight="1" x14ac:dyDescent="0.3">
      <c r="A322" s="156" t="s">
        <v>164</v>
      </c>
      <c r="B322" s="156"/>
      <c r="C322" s="156"/>
      <c r="D322" s="156"/>
      <c r="E322" s="156"/>
      <c r="F322" s="156"/>
      <c r="G322" s="156"/>
      <c r="H322" s="156"/>
    </row>
    <row r="323" spans="1:8" x14ac:dyDescent="0.3">
      <c r="A323" s="178" t="s">
        <v>108</v>
      </c>
      <c r="B323" s="178"/>
      <c r="C323" s="178" t="s">
        <v>262</v>
      </c>
      <c r="D323" s="178"/>
      <c r="E323" s="178" t="s">
        <v>142</v>
      </c>
      <c r="F323" s="178"/>
      <c r="G323" s="178" t="s">
        <v>279</v>
      </c>
      <c r="H323" s="178"/>
    </row>
    <row r="324" spans="1:8" x14ac:dyDescent="0.3">
      <c r="A324" s="177" t="s">
        <v>110</v>
      </c>
      <c r="B324" s="177"/>
      <c r="C324" s="177"/>
      <c r="D324" s="177"/>
      <c r="E324" s="177"/>
      <c r="F324" s="177"/>
      <c r="G324" s="177"/>
      <c r="H324" s="177"/>
    </row>
    <row r="325" spans="1:8" x14ac:dyDescent="0.3">
      <c r="A325" s="177"/>
      <c r="B325" s="177"/>
      <c r="C325" s="177"/>
      <c r="D325" s="177"/>
      <c r="E325" s="177"/>
      <c r="F325" s="177"/>
      <c r="G325" s="177"/>
      <c r="H325" s="177"/>
    </row>
    <row r="326" spans="1:8" x14ac:dyDescent="0.3">
      <c r="A326" s="177"/>
      <c r="B326" s="177"/>
      <c r="C326" s="177"/>
      <c r="D326" s="177"/>
      <c r="E326" s="177"/>
      <c r="F326" s="177"/>
      <c r="G326" s="177"/>
      <c r="H326" s="177"/>
    </row>
    <row r="327" spans="1:8" x14ac:dyDescent="0.3">
      <c r="A327" s="14" t="s">
        <v>74</v>
      </c>
      <c r="B327" s="15"/>
      <c r="C327" s="15"/>
      <c r="D327" s="14" t="str">
        <f>E8</f>
        <v>K K Residency</v>
      </c>
      <c r="F327" s="15"/>
      <c r="G327" s="15"/>
      <c r="H327" s="15"/>
    </row>
    <row r="328" spans="1:8" x14ac:dyDescent="0.3">
      <c r="A328" s="15"/>
      <c r="B328" s="15"/>
      <c r="C328" s="15"/>
      <c r="D328" s="15"/>
      <c r="E328" s="15"/>
      <c r="F328" s="15"/>
      <c r="G328" s="15"/>
      <c r="H328" s="15"/>
    </row>
    <row r="329" spans="1:8" x14ac:dyDescent="0.3">
      <c r="A329" s="15"/>
      <c r="B329" s="15"/>
      <c r="C329" s="15"/>
      <c r="D329" s="15"/>
      <c r="E329" s="15"/>
      <c r="F329" s="15"/>
      <c r="G329" s="15"/>
      <c r="H329" s="15"/>
    </row>
    <row r="330" spans="1:8" ht="15" customHeight="1" x14ac:dyDescent="0.3"/>
    <row r="332" spans="1:8" x14ac:dyDescent="0.3">
      <c r="G332"/>
    </row>
    <row r="370" spans="1:1" x14ac:dyDescent="0.3">
      <c r="A370" s="17" t="s">
        <v>75</v>
      </c>
    </row>
  </sheetData>
  <mergeCells count="516">
    <mergeCell ref="B315:H315"/>
    <mergeCell ref="C91:H91"/>
    <mergeCell ref="A93:B93"/>
    <mergeCell ref="C93:H93"/>
    <mergeCell ref="A94:B94"/>
    <mergeCell ref="E94:F94"/>
    <mergeCell ref="G94:H94"/>
    <mergeCell ref="A95:B95"/>
    <mergeCell ref="E95:F104"/>
    <mergeCell ref="G95:H104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C119:H119"/>
    <mergeCell ref="A121:B121"/>
    <mergeCell ref="C121:H121"/>
    <mergeCell ref="A122:B122"/>
    <mergeCell ref="E122:F122"/>
    <mergeCell ref="A59:C59"/>
    <mergeCell ref="A60:C60"/>
    <mergeCell ref="A109:B109"/>
    <mergeCell ref="E109:F118"/>
    <mergeCell ref="G109:H118"/>
    <mergeCell ref="A74:B74"/>
    <mergeCell ref="D57:H57"/>
    <mergeCell ref="D58:H58"/>
    <mergeCell ref="A110:B110"/>
    <mergeCell ref="A111:B111"/>
    <mergeCell ref="A113:B113"/>
    <mergeCell ref="A62:C62"/>
    <mergeCell ref="D62:H62"/>
    <mergeCell ref="A67:B67"/>
    <mergeCell ref="G66:H66"/>
    <mergeCell ref="A65:B65"/>
    <mergeCell ref="A63:B63"/>
    <mergeCell ref="C63:H63"/>
    <mergeCell ref="A71:B71"/>
    <mergeCell ref="A61:C61"/>
    <mergeCell ref="D61:H61"/>
    <mergeCell ref="C65:H65"/>
    <mergeCell ref="A114:B114"/>
    <mergeCell ref="A116:B116"/>
    <mergeCell ref="A185:B185"/>
    <mergeCell ref="A186:B186"/>
    <mergeCell ref="A167:B167"/>
    <mergeCell ref="C167:D167"/>
    <mergeCell ref="E167:F167"/>
    <mergeCell ref="G167:H167"/>
    <mergeCell ref="A168:B168"/>
    <mergeCell ref="C168:D168"/>
    <mergeCell ref="E168:F168"/>
    <mergeCell ref="G168:H168"/>
    <mergeCell ref="A169:B169"/>
    <mergeCell ref="C169:D169"/>
    <mergeCell ref="E169:F169"/>
    <mergeCell ref="G169:H169"/>
    <mergeCell ref="C172:D172"/>
    <mergeCell ref="E172:F172"/>
    <mergeCell ref="G172:H172"/>
    <mergeCell ref="C180:C181"/>
    <mergeCell ref="B180:B181"/>
    <mergeCell ref="A180:A181"/>
    <mergeCell ref="A183:H183"/>
    <mergeCell ref="D180:D181"/>
    <mergeCell ref="A184:H184"/>
    <mergeCell ref="E180:E181"/>
    <mergeCell ref="A204:B204"/>
    <mergeCell ref="A205:B205"/>
    <mergeCell ref="A206:B206"/>
    <mergeCell ref="A207:B207"/>
    <mergeCell ref="A208:H208"/>
    <mergeCell ref="A209:H209"/>
    <mergeCell ref="A210:B210"/>
    <mergeCell ref="A211:B211"/>
    <mergeCell ref="G210:H215"/>
    <mergeCell ref="E39:H39"/>
    <mergeCell ref="A39:D39"/>
    <mergeCell ref="A321:H321"/>
    <mergeCell ref="A318:H318"/>
    <mergeCell ref="A171:B171"/>
    <mergeCell ref="G217:H217"/>
    <mergeCell ref="A85:B85"/>
    <mergeCell ref="A86:B86"/>
    <mergeCell ref="A87:B87"/>
    <mergeCell ref="A77:B77"/>
    <mergeCell ref="C77:H77"/>
    <mergeCell ref="A115:B115"/>
    <mergeCell ref="A72:B72"/>
    <mergeCell ref="F151:H151"/>
    <mergeCell ref="A148:H148"/>
    <mergeCell ref="A149:B149"/>
    <mergeCell ref="A173:B173"/>
    <mergeCell ref="C173:D173"/>
    <mergeCell ref="E173:F173"/>
    <mergeCell ref="G173:H173"/>
    <mergeCell ref="A174:B174"/>
    <mergeCell ref="C174:D174"/>
    <mergeCell ref="E176:F176"/>
    <mergeCell ref="G176:H176"/>
    <mergeCell ref="G166:H166"/>
    <mergeCell ref="A118:B118"/>
    <mergeCell ref="C165:D165"/>
    <mergeCell ref="E165:F165"/>
    <mergeCell ref="A147:E147"/>
    <mergeCell ref="F147:H147"/>
    <mergeCell ref="A165:B165"/>
    <mergeCell ref="A123:B123"/>
    <mergeCell ref="E123:F132"/>
    <mergeCell ref="G123:H132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C133:H133"/>
    <mergeCell ref="E136:F136"/>
    <mergeCell ref="G136:H136"/>
    <mergeCell ref="A119:B119"/>
    <mergeCell ref="A319:H319"/>
    <mergeCell ref="A170:H170"/>
    <mergeCell ref="A307:H307"/>
    <mergeCell ref="A316:H316"/>
    <mergeCell ref="A317:H317"/>
    <mergeCell ref="C171:D171"/>
    <mergeCell ref="E171:F171"/>
    <mergeCell ref="G171:H171"/>
    <mergeCell ref="A178:H178"/>
    <mergeCell ref="E174:F174"/>
    <mergeCell ref="G174:H174"/>
    <mergeCell ref="A175:B175"/>
    <mergeCell ref="C175:D175"/>
    <mergeCell ref="E175:F175"/>
    <mergeCell ref="G175:H175"/>
    <mergeCell ref="A176:B176"/>
    <mergeCell ref="C176:D176"/>
    <mergeCell ref="A177:B177"/>
    <mergeCell ref="C177:D177"/>
    <mergeCell ref="E177:F177"/>
    <mergeCell ref="G177:H177"/>
    <mergeCell ref="A284:H284"/>
    <mergeCell ref="A201:H201"/>
    <mergeCell ref="A202:H202"/>
    <mergeCell ref="A324:H326"/>
    <mergeCell ref="A323:B323"/>
    <mergeCell ref="E323:F323"/>
    <mergeCell ref="C323:D323"/>
    <mergeCell ref="G323:H323"/>
    <mergeCell ref="A322:H322"/>
    <mergeCell ref="A320:H320"/>
    <mergeCell ref="A212:B212"/>
    <mergeCell ref="A213:B213"/>
    <mergeCell ref="A214:B214"/>
    <mergeCell ref="A215:B215"/>
    <mergeCell ref="B313:H313"/>
    <mergeCell ref="B314:H314"/>
    <mergeCell ref="A225:B225"/>
    <mergeCell ref="A268:H268"/>
    <mergeCell ref="A269:B269"/>
    <mergeCell ref="A285:H285"/>
    <mergeCell ref="A289:H289"/>
    <mergeCell ref="A290:B290"/>
    <mergeCell ref="A276:H276"/>
    <mergeCell ref="A277:B277"/>
    <mergeCell ref="A278:B278"/>
    <mergeCell ref="A279:B279"/>
    <mergeCell ref="A280:B280"/>
    <mergeCell ref="A45:B45"/>
    <mergeCell ref="C45:E45"/>
    <mergeCell ref="G45:H45"/>
    <mergeCell ref="G47:H47"/>
    <mergeCell ref="D51:H51"/>
    <mergeCell ref="C47:E47"/>
    <mergeCell ref="D54:H54"/>
    <mergeCell ref="D55:H55"/>
    <mergeCell ref="C48:H48"/>
    <mergeCell ref="C46:E46"/>
    <mergeCell ref="A49:B49"/>
    <mergeCell ref="C49:E49"/>
    <mergeCell ref="A46:B46"/>
    <mergeCell ref="A50:H50"/>
    <mergeCell ref="A51:C51"/>
    <mergeCell ref="A52:C52"/>
    <mergeCell ref="D52:H52"/>
    <mergeCell ref="G49:H49"/>
    <mergeCell ref="A54:C58"/>
    <mergeCell ref="D56:H5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37:H37"/>
    <mergeCell ref="C33:E33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C35:H35"/>
    <mergeCell ref="A36:B36"/>
    <mergeCell ref="C36:H36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G180:H181"/>
    <mergeCell ref="A38:D38"/>
    <mergeCell ref="E38:H38"/>
    <mergeCell ref="D59:H59"/>
    <mergeCell ref="E67:F76"/>
    <mergeCell ref="G67:H76"/>
    <mergeCell ref="A75:B75"/>
    <mergeCell ref="A76:B76"/>
    <mergeCell ref="D60:H60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3:H53"/>
    <mergeCell ref="A53:C53"/>
    <mergeCell ref="G46:H46"/>
    <mergeCell ref="A47:B48"/>
    <mergeCell ref="F161:H161"/>
    <mergeCell ref="F159:H159"/>
    <mergeCell ref="F157:H157"/>
    <mergeCell ref="A151:E151"/>
    <mergeCell ref="A179:H179"/>
    <mergeCell ref="G165:H165"/>
    <mergeCell ref="A160:E160"/>
    <mergeCell ref="C166:D166"/>
    <mergeCell ref="E166:F166"/>
    <mergeCell ref="A164:H164"/>
    <mergeCell ref="A162:E162"/>
    <mergeCell ref="F162:H162"/>
    <mergeCell ref="A163:E163"/>
    <mergeCell ref="F163:H163"/>
    <mergeCell ref="A172:B172"/>
    <mergeCell ref="A166:B166"/>
    <mergeCell ref="A161:E161"/>
    <mergeCell ref="A153:E153"/>
    <mergeCell ref="F160:H160"/>
    <mergeCell ref="A156:E156"/>
    <mergeCell ref="F156:H156"/>
    <mergeCell ref="A157:E157"/>
    <mergeCell ref="A159:E159"/>
    <mergeCell ref="F153:H153"/>
    <mergeCell ref="A158:E158"/>
    <mergeCell ref="F158:H158"/>
    <mergeCell ref="A117:B117"/>
    <mergeCell ref="A82:B82"/>
    <mergeCell ref="A83:B83"/>
    <mergeCell ref="A84:B84"/>
    <mergeCell ref="A91:B91"/>
    <mergeCell ref="A154:E154"/>
    <mergeCell ref="F154:H154"/>
    <mergeCell ref="E108:F108"/>
    <mergeCell ref="G108:H108"/>
    <mergeCell ref="A108:B108"/>
    <mergeCell ref="G122:H122"/>
    <mergeCell ref="A155:E155"/>
    <mergeCell ref="F155:H155"/>
    <mergeCell ref="C149:H149"/>
    <mergeCell ref="F152:H152"/>
    <mergeCell ref="A152:E152"/>
    <mergeCell ref="A150:H150"/>
    <mergeCell ref="A135:B135"/>
    <mergeCell ref="C135:H135"/>
    <mergeCell ref="A136:B136"/>
    <mergeCell ref="A137:B137"/>
    <mergeCell ref="E137:F146"/>
    <mergeCell ref="G137:H146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B308:H308"/>
    <mergeCell ref="B309:H309"/>
    <mergeCell ref="B310:H310"/>
    <mergeCell ref="A245:H245"/>
    <mergeCell ref="A246:B246"/>
    <mergeCell ref="A256:B256"/>
    <mergeCell ref="A264:H264"/>
    <mergeCell ref="A236:H236"/>
    <mergeCell ref="A237:B237"/>
    <mergeCell ref="A248:B248"/>
    <mergeCell ref="A249:B249"/>
    <mergeCell ref="G237:H243"/>
    <mergeCell ref="G246:H249"/>
    <mergeCell ref="A294:B294"/>
    <mergeCell ref="A305:B305"/>
    <mergeCell ref="A306:B306"/>
    <mergeCell ref="A302:H302"/>
    <mergeCell ref="A303:B303"/>
    <mergeCell ref="A304:B304"/>
    <mergeCell ref="A301:H301"/>
    <mergeCell ref="G290:H294"/>
    <mergeCell ref="G296:H300"/>
    <mergeCell ref="G303:H306"/>
    <mergeCell ref="A299:B299"/>
    <mergeCell ref="A187:B187"/>
    <mergeCell ref="A182:H182"/>
    <mergeCell ref="A223:B223"/>
    <mergeCell ref="A220:H220"/>
    <mergeCell ref="A221:B221"/>
    <mergeCell ref="A222:B222"/>
    <mergeCell ref="A229:B229"/>
    <mergeCell ref="A219:H219"/>
    <mergeCell ref="A227:B227"/>
    <mergeCell ref="A218:H218"/>
    <mergeCell ref="A196:B196"/>
    <mergeCell ref="G204:H207"/>
    <mergeCell ref="A226:B226"/>
    <mergeCell ref="A224:B224"/>
    <mergeCell ref="G221:H227"/>
    <mergeCell ref="G229:H235"/>
    <mergeCell ref="A228:H228"/>
    <mergeCell ref="A231:B231"/>
    <mergeCell ref="A232:B232"/>
    <mergeCell ref="A233:B233"/>
    <mergeCell ref="A234:B234"/>
    <mergeCell ref="A230:B230"/>
    <mergeCell ref="A235:B235"/>
    <mergeCell ref="A203:H203"/>
    <mergeCell ref="B311:H311"/>
    <mergeCell ref="B312:H312"/>
    <mergeCell ref="A250:H250"/>
    <mergeCell ref="A251:B251"/>
    <mergeCell ref="A252:B252"/>
    <mergeCell ref="A253:B253"/>
    <mergeCell ref="A254:B254"/>
    <mergeCell ref="A255:B255"/>
    <mergeCell ref="A286:H286"/>
    <mergeCell ref="A287:B287"/>
    <mergeCell ref="A288:B288"/>
    <mergeCell ref="A295:H295"/>
    <mergeCell ref="G287:H288"/>
    <mergeCell ref="G269:H275"/>
    <mergeCell ref="G277:H283"/>
    <mergeCell ref="A296:B296"/>
    <mergeCell ref="A297:B297"/>
    <mergeCell ref="A298:B298"/>
    <mergeCell ref="A291:B291"/>
    <mergeCell ref="A292:B292"/>
    <mergeCell ref="A293:B293"/>
    <mergeCell ref="A261:B261"/>
    <mergeCell ref="A262:B262"/>
    <mergeCell ref="A263:B263"/>
    <mergeCell ref="A66:B66"/>
    <mergeCell ref="A69:B69"/>
    <mergeCell ref="A68:B68"/>
    <mergeCell ref="A70:B70"/>
    <mergeCell ref="E66:F66"/>
    <mergeCell ref="A200:B200"/>
    <mergeCell ref="A216:H216"/>
    <mergeCell ref="A79:B79"/>
    <mergeCell ref="C79:H79"/>
    <mergeCell ref="A80:B80"/>
    <mergeCell ref="E80:F80"/>
    <mergeCell ref="G80:H80"/>
    <mergeCell ref="A73:B73"/>
    <mergeCell ref="A112:B112"/>
    <mergeCell ref="A88:B88"/>
    <mergeCell ref="A89:B89"/>
    <mergeCell ref="A90:B90"/>
    <mergeCell ref="A107:B107"/>
    <mergeCell ref="C107:H107"/>
    <mergeCell ref="A81:B81"/>
    <mergeCell ref="E81:F90"/>
    <mergeCell ref="G81:H90"/>
    <mergeCell ref="A105:B105"/>
    <mergeCell ref="C105:H105"/>
    <mergeCell ref="L198:M198"/>
    <mergeCell ref="A199:B199"/>
    <mergeCell ref="L199:M199"/>
    <mergeCell ref="G185:H200"/>
    <mergeCell ref="L192:M192"/>
    <mergeCell ref="A193:B193"/>
    <mergeCell ref="L193:M193"/>
    <mergeCell ref="A194:B194"/>
    <mergeCell ref="L194:M194"/>
    <mergeCell ref="A195:B195"/>
    <mergeCell ref="L195:M195"/>
    <mergeCell ref="L191:M191"/>
    <mergeCell ref="L190:M190"/>
    <mergeCell ref="L189:M189"/>
    <mergeCell ref="L188:M188"/>
    <mergeCell ref="L187:M187"/>
    <mergeCell ref="L186:M186"/>
    <mergeCell ref="L185:M185"/>
    <mergeCell ref="L200:M200"/>
    <mergeCell ref="A192:B192"/>
    <mergeCell ref="A188:B188"/>
    <mergeCell ref="A189:B189"/>
    <mergeCell ref="A190:B190"/>
    <mergeCell ref="A191:B191"/>
    <mergeCell ref="L196:M196"/>
    <mergeCell ref="A197:B197"/>
    <mergeCell ref="L197:M197"/>
    <mergeCell ref="A198:B198"/>
    <mergeCell ref="G251:H256"/>
    <mergeCell ref="G258:H263"/>
    <mergeCell ref="G266:H267"/>
    <mergeCell ref="L246:M246"/>
    <mergeCell ref="A247:B247"/>
    <mergeCell ref="L247:M247"/>
    <mergeCell ref="A238:B238"/>
    <mergeCell ref="A239:B239"/>
    <mergeCell ref="L249:M249"/>
    <mergeCell ref="A265:H265"/>
    <mergeCell ref="A266:B266"/>
    <mergeCell ref="L266:M266"/>
    <mergeCell ref="A267:B267"/>
    <mergeCell ref="L267:M267"/>
    <mergeCell ref="A240:B240"/>
    <mergeCell ref="A241:B241"/>
    <mergeCell ref="A242:B242"/>
    <mergeCell ref="A243:B243"/>
    <mergeCell ref="A244:H244"/>
    <mergeCell ref="L248:M248"/>
    <mergeCell ref="A300:B300"/>
    <mergeCell ref="A281:B281"/>
    <mergeCell ref="A282:B282"/>
    <mergeCell ref="A283:B283"/>
    <mergeCell ref="A270:B270"/>
    <mergeCell ref="A257:H257"/>
    <mergeCell ref="A258:B258"/>
    <mergeCell ref="A259:B259"/>
    <mergeCell ref="A260:B260"/>
    <mergeCell ref="A271:B271"/>
    <mergeCell ref="A272:B272"/>
    <mergeCell ref="A273:B273"/>
    <mergeCell ref="A274:B274"/>
    <mergeCell ref="A275:B275"/>
  </mergeCells>
  <hyperlinks>
    <hyperlink ref="C36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9" scale="97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&amp;P</oddFooter>
  </headerFooter>
  <rowBreaks count="4" manualBreakCount="4">
    <brk id="62" max="16383" man="1"/>
    <brk id="104" max="16383" man="1"/>
    <brk id="326" max="16383" man="1"/>
    <brk id="36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zoomScale="85" zoomScaleNormal="85" workbookViewId="0">
      <selection activeCell="A13" sqref="A13"/>
    </sheetView>
  </sheetViews>
  <sheetFormatPr defaultRowHeight="14.4" x14ac:dyDescent="0.3"/>
  <cols>
    <col min="1" max="1" width="23.6640625" bestFit="1" customWidth="1"/>
    <col min="2" max="2" width="13.5546875" customWidth="1"/>
    <col min="3" max="3" width="14.33203125" bestFit="1" customWidth="1"/>
    <col min="4" max="4" width="16.6640625" customWidth="1"/>
    <col min="5" max="5" width="20.109375" customWidth="1"/>
    <col min="6" max="6" width="22" bestFit="1" customWidth="1"/>
    <col min="7" max="7" width="23.88671875" customWidth="1"/>
    <col min="8" max="8" width="15.109375" customWidth="1"/>
    <col min="9" max="9" width="20" customWidth="1"/>
  </cols>
  <sheetData>
    <row r="1" spans="1:9" ht="19.8" x14ac:dyDescent="0.4">
      <c r="A1" s="198" t="s">
        <v>187</v>
      </c>
      <c r="B1" s="198"/>
      <c r="C1" s="198"/>
      <c r="D1" s="198"/>
      <c r="E1" s="198"/>
      <c r="F1" s="198"/>
      <c r="G1" s="198"/>
      <c r="H1" s="198"/>
      <c r="I1" s="198"/>
    </row>
    <row r="2" spans="1:9" ht="15" customHeight="1" x14ac:dyDescent="0.3">
      <c r="A2" s="196" t="s">
        <v>165</v>
      </c>
      <c r="B2" s="196"/>
      <c r="C2" s="196"/>
      <c r="D2" s="196"/>
      <c r="E2" s="196"/>
      <c r="F2" s="196"/>
      <c r="G2" s="196"/>
      <c r="H2" s="196"/>
      <c r="I2" s="196"/>
    </row>
    <row r="3" spans="1:9" x14ac:dyDescent="0.3">
      <c r="A3" s="53"/>
      <c r="B3" s="54" t="s">
        <v>166</v>
      </c>
      <c r="C3" s="54" t="s">
        <v>167</v>
      </c>
      <c r="D3" s="54" t="s">
        <v>168</v>
      </c>
      <c r="E3" s="54" t="s">
        <v>169</v>
      </c>
      <c r="F3" s="55" t="s">
        <v>170</v>
      </c>
      <c r="G3" s="55" t="s">
        <v>171</v>
      </c>
      <c r="H3" s="54" t="s">
        <v>172</v>
      </c>
      <c r="I3" s="56" t="s">
        <v>173</v>
      </c>
    </row>
    <row r="4" spans="1:9" x14ac:dyDescent="0.3">
      <c r="A4" s="42" t="s">
        <v>174</v>
      </c>
      <c r="B4" s="43">
        <v>0</v>
      </c>
      <c r="C4" s="43">
        <v>0</v>
      </c>
      <c r="D4" s="43">
        <v>20</v>
      </c>
      <c r="E4" s="43">
        <v>20</v>
      </c>
      <c r="F4" s="46">
        <v>20</v>
      </c>
      <c r="G4" s="47">
        <v>20</v>
      </c>
      <c r="H4" s="45">
        <v>0</v>
      </c>
      <c r="I4" s="45">
        <f t="shared" ref="I4:I11" si="0">G4/F4*E4</f>
        <v>20</v>
      </c>
    </row>
    <row r="5" spans="1:9" x14ac:dyDescent="0.3">
      <c r="A5" s="42" t="s">
        <v>53</v>
      </c>
      <c r="B5" s="43">
        <v>10</v>
      </c>
      <c r="C5" s="43">
        <v>10</v>
      </c>
      <c r="D5" s="43">
        <v>45</v>
      </c>
      <c r="E5" s="43">
        <v>25</v>
      </c>
      <c r="F5" s="46">
        <f>F4</f>
        <v>20</v>
      </c>
      <c r="G5" s="47">
        <v>20</v>
      </c>
      <c r="H5" s="45">
        <f t="shared" ref="H5:H11" si="1">G5/F5*C5</f>
        <v>10</v>
      </c>
      <c r="I5" s="45">
        <f t="shared" si="0"/>
        <v>25</v>
      </c>
    </row>
    <row r="6" spans="1:9" x14ac:dyDescent="0.3">
      <c r="A6" s="42" t="s">
        <v>175</v>
      </c>
      <c r="B6" s="43">
        <v>50</v>
      </c>
      <c r="C6" s="43">
        <v>40</v>
      </c>
      <c r="D6" s="43">
        <v>75</v>
      </c>
      <c r="E6" s="43">
        <v>30</v>
      </c>
      <c r="F6" s="46">
        <v>25</v>
      </c>
      <c r="G6" s="47">
        <v>25</v>
      </c>
      <c r="H6" s="45">
        <f t="shared" si="1"/>
        <v>40</v>
      </c>
      <c r="I6" s="45">
        <f t="shared" si="0"/>
        <v>30</v>
      </c>
    </row>
    <row r="7" spans="1:9" ht="26.4" x14ac:dyDescent="0.3">
      <c r="A7" s="57" t="s">
        <v>176</v>
      </c>
      <c r="B7" s="43">
        <v>65</v>
      </c>
      <c r="C7" s="43">
        <v>15</v>
      </c>
      <c r="D7" s="43">
        <v>85</v>
      </c>
      <c r="E7" s="43">
        <v>10</v>
      </c>
      <c r="F7" s="46">
        <f>F4</f>
        <v>20</v>
      </c>
      <c r="G7" s="47">
        <v>20</v>
      </c>
      <c r="H7" s="45">
        <f t="shared" si="1"/>
        <v>15</v>
      </c>
      <c r="I7" s="45">
        <f t="shared" si="0"/>
        <v>10</v>
      </c>
    </row>
    <row r="8" spans="1:9" x14ac:dyDescent="0.3">
      <c r="A8" s="42" t="s">
        <v>177</v>
      </c>
      <c r="B8" s="43">
        <v>75</v>
      </c>
      <c r="C8" s="43">
        <v>10</v>
      </c>
      <c r="D8" s="43">
        <v>90</v>
      </c>
      <c r="E8" s="43">
        <v>5</v>
      </c>
      <c r="F8" s="46">
        <f>F4</f>
        <v>20</v>
      </c>
      <c r="G8" s="47">
        <v>20</v>
      </c>
      <c r="H8" s="45">
        <f t="shared" si="1"/>
        <v>10</v>
      </c>
      <c r="I8" s="45">
        <f t="shared" si="0"/>
        <v>5</v>
      </c>
    </row>
    <row r="9" spans="1:9" ht="26.4" x14ac:dyDescent="0.3">
      <c r="A9" s="42" t="s">
        <v>178</v>
      </c>
      <c r="B9" s="43">
        <v>85</v>
      </c>
      <c r="C9" s="43">
        <v>10</v>
      </c>
      <c r="D9" s="43">
        <v>95</v>
      </c>
      <c r="E9" s="43">
        <v>5</v>
      </c>
      <c r="F9" s="46">
        <f>F5</f>
        <v>20</v>
      </c>
      <c r="G9" s="47">
        <v>20</v>
      </c>
      <c r="H9" s="45">
        <f t="shared" si="1"/>
        <v>10</v>
      </c>
      <c r="I9" s="45">
        <f t="shared" si="0"/>
        <v>5</v>
      </c>
    </row>
    <row r="10" spans="1:9" ht="26.4" x14ac:dyDescent="0.3">
      <c r="A10" s="57" t="s">
        <v>196</v>
      </c>
      <c r="B10" s="43">
        <v>95</v>
      </c>
      <c r="C10" s="43">
        <v>10</v>
      </c>
      <c r="D10" s="43">
        <v>95</v>
      </c>
      <c r="E10" s="43">
        <v>0</v>
      </c>
      <c r="F10" s="46">
        <f>F4</f>
        <v>20</v>
      </c>
      <c r="G10" s="47">
        <v>0</v>
      </c>
      <c r="H10" s="45">
        <f t="shared" si="1"/>
        <v>0</v>
      </c>
      <c r="I10" s="45">
        <f t="shared" si="0"/>
        <v>0</v>
      </c>
    </row>
    <row r="11" spans="1:9" x14ac:dyDescent="0.3">
      <c r="A11" s="42" t="s">
        <v>180</v>
      </c>
      <c r="B11" s="43">
        <v>100</v>
      </c>
      <c r="C11" s="43">
        <v>5</v>
      </c>
      <c r="D11" s="43">
        <v>100</v>
      </c>
      <c r="E11" s="43">
        <v>5</v>
      </c>
      <c r="F11" s="46">
        <f>F4</f>
        <v>20</v>
      </c>
      <c r="G11" s="47">
        <v>0</v>
      </c>
      <c r="H11" s="45">
        <f t="shared" si="1"/>
        <v>0</v>
      </c>
      <c r="I11" s="45">
        <f t="shared" si="0"/>
        <v>0</v>
      </c>
    </row>
    <row r="12" spans="1:9" x14ac:dyDescent="0.3">
      <c r="A12" s="48"/>
      <c r="B12" s="48"/>
      <c r="C12" s="48">
        <f>SUM(C4:C11)</f>
        <v>100</v>
      </c>
      <c r="D12" s="48"/>
      <c r="E12" s="48">
        <f>SUM(E4:E11)</f>
        <v>100</v>
      </c>
      <c r="F12" s="48"/>
      <c r="G12" s="49" t="s">
        <v>181</v>
      </c>
      <c r="H12" s="50">
        <f>SUM(H4:H11)</f>
        <v>85</v>
      </c>
      <c r="I12" s="50">
        <f>SUM(I4:I11)</f>
        <v>95</v>
      </c>
    </row>
    <row r="14" spans="1:9" ht="19.8" x14ac:dyDescent="0.4">
      <c r="A14" s="199" t="s">
        <v>188</v>
      </c>
      <c r="B14" s="200"/>
      <c r="C14" s="200"/>
      <c r="D14" s="200"/>
      <c r="E14" s="200"/>
      <c r="F14" s="200"/>
      <c r="G14" s="200"/>
      <c r="H14" s="200"/>
      <c r="I14" s="201"/>
    </row>
    <row r="15" spans="1:9" x14ac:dyDescent="0.3">
      <c r="A15" s="197" t="s">
        <v>165</v>
      </c>
      <c r="B15" s="197"/>
      <c r="C15" s="197"/>
      <c r="D15" s="197"/>
      <c r="E15" s="197"/>
      <c r="F15" s="197"/>
      <c r="G15" s="197"/>
      <c r="H15" s="197"/>
      <c r="I15" s="197"/>
    </row>
    <row r="16" spans="1:9" x14ac:dyDescent="0.3">
      <c r="A16" s="42"/>
      <c r="B16" s="43" t="s">
        <v>166</v>
      </c>
      <c r="C16" s="43" t="s">
        <v>167</v>
      </c>
      <c r="D16" s="43" t="s">
        <v>168</v>
      </c>
      <c r="E16" s="43" t="s">
        <v>169</v>
      </c>
      <c r="F16" s="44" t="s">
        <v>170</v>
      </c>
      <c r="G16" s="44" t="s">
        <v>171</v>
      </c>
      <c r="H16" s="43" t="s">
        <v>172</v>
      </c>
      <c r="I16" s="45" t="s">
        <v>173</v>
      </c>
    </row>
    <row r="17" spans="1:9" x14ac:dyDescent="0.3">
      <c r="A17" s="42" t="s">
        <v>174</v>
      </c>
      <c r="B17" s="43">
        <v>0</v>
      </c>
      <c r="C17" s="43">
        <v>0</v>
      </c>
      <c r="D17" s="43">
        <v>20</v>
      </c>
      <c r="E17" s="43">
        <v>20</v>
      </c>
      <c r="F17" s="46">
        <v>30</v>
      </c>
      <c r="G17" s="47">
        <v>30</v>
      </c>
      <c r="H17" s="45">
        <v>0</v>
      </c>
      <c r="I17" s="45">
        <f t="shared" ref="I17:I26" si="2">G17/F17*E17</f>
        <v>20</v>
      </c>
    </row>
    <row r="18" spans="1:9" x14ac:dyDescent="0.3">
      <c r="A18" s="42" t="s">
        <v>53</v>
      </c>
      <c r="B18" s="43">
        <v>10</v>
      </c>
      <c r="C18" s="43">
        <v>10</v>
      </c>
      <c r="D18" s="52">
        <f>D17+I18</f>
        <v>45</v>
      </c>
      <c r="E18" s="43">
        <v>25</v>
      </c>
      <c r="F18" s="46">
        <f>F17</f>
        <v>30</v>
      </c>
      <c r="G18" s="47">
        <v>30</v>
      </c>
      <c r="H18" s="45">
        <f>G18/F18*C18</f>
        <v>10</v>
      </c>
      <c r="I18" s="45">
        <f t="shared" si="2"/>
        <v>25</v>
      </c>
    </row>
    <row r="19" spans="1:9" x14ac:dyDescent="0.3">
      <c r="A19" s="42" t="s">
        <v>175</v>
      </c>
      <c r="B19" s="52">
        <f>B18+H19</f>
        <v>50</v>
      </c>
      <c r="C19" s="43">
        <v>40</v>
      </c>
      <c r="D19" s="52">
        <f>D18+I19</f>
        <v>75</v>
      </c>
      <c r="E19" s="43">
        <v>30</v>
      </c>
      <c r="F19" s="46">
        <v>35</v>
      </c>
      <c r="G19" s="47">
        <v>35</v>
      </c>
      <c r="H19" s="45">
        <f>G19/F19*C19</f>
        <v>40</v>
      </c>
      <c r="I19" s="45">
        <f t="shared" si="2"/>
        <v>30</v>
      </c>
    </row>
    <row r="20" spans="1:9" x14ac:dyDescent="0.3">
      <c r="A20" s="57" t="s">
        <v>183</v>
      </c>
      <c r="B20" s="52">
        <f t="shared" ref="B20:B25" si="3">B19+H20</f>
        <v>57.5</v>
      </c>
      <c r="C20" s="43">
        <v>7.5</v>
      </c>
      <c r="D20" s="52">
        <f t="shared" ref="D20:D25" si="4">D19+I20</f>
        <v>80</v>
      </c>
      <c r="E20" s="43">
        <v>5</v>
      </c>
      <c r="F20" s="46">
        <f>F17</f>
        <v>30</v>
      </c>
      <c r="G20" s="47">
        <v>30</v>
      </c>
      <c r="H20" s="45">
        <f>G20/F20*7.5</f>
        <v>7.5</v>
      </c>
      <c r="I20" s="45">
        <f t="shared" si="2"/>
        <v>5</v>
      </c>
    </row>
    <row r="21" spans="1:9" x14ac:dyDescent="0.3">
      <c r="A21" s="57" t="s">
        <v>184</v>
      </c>
      <c r="B21" s="52">
        <f t="shared" si="3"/>
        <v>65</v>
      </c>
      <c r="C21" s="43">
        <v>7.5</v>
      </c>
      <c r="D21" s="52">
        <f t="shared" si="4"/>
        <v>85</v>
      </c>
      <c r="E21" s="43">
        <v>5</v>
      </c>
      <c r="F21" s="46">
        <f>F18</f>
        <v>30</v>
      </c>
      <c r="G21" s="47">
        <v>30</v>
      </c>
      <c r="H21" s="45">
        <f>G21/F21*C21</f>
        <v>7.5</v>
      </c>
      <c r="I21" s="45">
        <f>G21/F21*E21</f>
        <v>5</v>
      </c>
    </row>
    <row r="22" spans="1:9" ht="26.4" x14ac:dyDescent="0.3">
      <c r="A22" s="42" t="s">
        <v>178</v>
      </c>
      <c r="B22" s="52">
        <f t="shared" si="3"/>
        <v>75</v>
      </c>
      <c r="C22" s="43">
        <v>10</v>
      </c>
      <c r="D22" s="52">
        <f t="shared" si="4"/>
        <v>90</v>
      </c>
      <c r="E22" s="43">
        <v>5</v>
      </c>
      <c r="F22" s="46">
        <f>F17</f>
        <v>30</v>
      </c>
      <c r="G22" s="47">
        <v>30</v>
      </c>
      <c r="H22" s="45">
        <f>G22/F22*C22</f>
        <v>10</v>
      </c>
      <c r="I22" s="45">
        <f>G22/F22*E22</f>
        <v>5</v>
      </c>
    </row>
    <row r="23" spans="1:9" x14ac:dyDescent="0.3">
      <c r="A23" s="42" t="s">
        <v>177</v>
      </c>
      <c r="B23" s="52">
        <f t="shared" si="3"/>
        <v>85</v>
      </c>
      <c r="C23" s="43">
        <v>10</v>
      </c>
      <c r="D23" s="52">
        <f t="shared" si="4"/>
        <v>95</v>
      </c>
      <c r="E23" s="43">
        <v>5</v>
      </c>
      <c r="F23" s="46">
        <f>F17</f>
        <v>30</v>
      </c>
      <c r="G23" s="47">
        <v>30</v>
      </c>
      <c r="H23" s="45">
        <f>G23/F23*C23</f>
        <v>10</v>
      </c>
      <c r="I23" s="45">
        <f>G23/F23*E23</f>
        <v>5</v>
      </c>
    </row>
    <row r="24" spans="1:9" x14ac:dyDescent="0.3">
      <c r="A24" s="57" t="s">
        <v>185</v>
      </c>
      <c r="B24" s="52">
        <f t="shared" si="3"/>
        <v>90</v>
      </c>
      <c r="C24" s="43">
        <v>5</v>
      </c>
      <c r="D24" s="52">
        <f t="shared" si="4"/>
        <v>95</v>
      </c>
      <c r="E24" s="43">
        <v>0</v>
      </c>
      <c r="F24" s="46">
        <f>F18</f>
        <v>30</v>
      </c>
      <c r="G24" s="47">
        <v>30</v>
      </c>
      <c r="H24" s="45">
        <f t="shared" ref="H24:H26" si="5">G24/F24*C24</f>
        <v>5</v>
      </c>
      <c r="I24" s="45">
        <f t="shared" si="2"/>
        <v>0</v>
      </c>
    </row>
    <row r="25" spans="1:9" ht="26.4" x14ac:dyDescent="0.3">
      <c r="A25" s="57" t="s">
        <v>179</v>
      </c>
      <c r="B25" s="52">
        <f t="shared" si="3"/>
        <v>95</v>
      </c>
      <c r="C25" s="43">
        <v>5</v>
      </c>
      <c r="D25" s="52">
        <f t="shared" si="4"/>
        <v>95</v>
      </c>
      <c r="E25" s="43">
        <v>0</v>
      </c>
      <c r="F25" s="46">
        <f>F17</f>
        <v>30</v>
      </c>
      <c r="G25" s="47">
        <v>30</v>
      </c>
      <c r="H25" s="45">
        <f t="shared" si="5"/>
        <v>5</v>
      </c>
      <c r="I25" s="45">
        <f t="shared" si="2"/>
        <v>0</v>
      </c>
    </row>
    <row r="26" spans="1:9" x14ac:dyDescent="0.3">
      <c r="A26" s="42" t="s">
        <v>180</v>
      </c>
      <c r="B26" s="43">
        <v>100</v>
      </c>
      <c r="C26" s="43">
        <v>5</v>
      </c>
      <c r="D26" s="43">
        <v>100</v>
      </c>
      <c r="E26" s="43">
        <v>5</v>
      </c>
      <c r="F26" s="46">
        <f>F17</f>
        <v>30</v>
      </c>
      <c r="G26" s="47">
        <v>30</v>
      </c>
      <c r="H26" s="45">
        <f t="shared" si="5"/>
        <v>5</v>
      </c>
      <c r="I26" s="45">
        <f t="shared" si="2"/>
        <v>5</v>
      </c>
    </row>
    <row r="27" spans="1:9" x14ac:dyDescent="0.3">
      <c r="A27" s="48"/>
      <c r="B27" s="48"/>
      <c r="C27" s="48">
        <f>SUM(C17:C26)</f>
        <v>100</v>
      </c>
      <c r="D27" s="48"/>
      <c r="E27" s="48">
        <f>SUM(E17:E26)</f>
        <v>100</v>
      </c>
      <c r="F27" s="48"/>
      <c r="G27" s="49" t="s">
        <v>181</v>
      </c>
      <c r="H27" s="50">
        <f>SUM(H17:H26)</f>
        <v>100</v>
      </c>
      <c r="I27" s="50">
        <f>SUM(I17:I26)</f>
        <v>100</v>
      </c>
    </row>
    <row r="30" spans="1:9" hidden="1" x14ac:dyDescent="0.3">
      <c r="C30" s="58" t="s">
        <v>186</v>
      </c>
      <c r="D30" s="58"/>
    </row>
    <row r="31" spans="1:9" hidden="1" x14ac:dyDescent="0.3"/>
    <row r="32" spans="1:9" hidden="1" x14ac:dyDescent="0.3">
      <c r="A32" s="196" t="s">
        <v>165</v>
      </c>
      <c r="B32" s="196"/>
      <c r="C32" s="196"/>
      <c r="D32" s="196"/>
      <c r="E32" s="196"/>
      <c r="F32" s="196"/>
      <c r="G32" s="196"/>
      <c r="H32" s="196"/>
      <c r="I32" s="196"/>
    </row>
    <row r="33" spans="1:9" hidden="1" x14ac:dyDescent="0.3">
      <c r="A33" s="42"/>
      <c r="B33" s="43" t="s">
        <v>166</v>
      </c>
      <c r="C33" s="43" t="s">
        <v>167</v>
      </c>
      <c r="D33" s="43" t="s">
        <v>168</v>
      </c>
      <c r="E33" s="43" t="s">
        <v>169</v>
      </c>
      <c r="F33" s="44" t="s">
        <v>170</v>
      </c>
      <c r="G33" s="44" t="s">
        <v>171</v>
      </c>
      <c r="H33" s="43" t="s">
        <v>172</v>
      </c>
      <c r="I33" s="45" t="s">
        <v>173</v>
      </c>
    </row>
    <row r="34" spans="1:9" hidden="1" x14ac:dyDescent="0.3">
      <c r="A34" s="42" t="s">
        <v>174</v>
      </c>
      <c r="B34" s="43">
        <v>0</v>
      </c>
      <c r="C34" s="43">
        <v>0</v>
      </c>
      <c r="D34" s="43">
        <v>20</v>
      </c>
      <c r="E34" s="43">
        <v>20</v>
      </c>
      <c r="F34" s="46">
        <v>30</v>
      </c>
      <c r="G34" s="47">
        <v>30</v>
      </c>
      <c r="H34" s="45">
        <v>0</v>
      </c>
      <c r="I34" s="45">
        <f t="shared" ref="I34:I37" si="6">G34/F34*E34</f>
        <v>20</v>
      </c>
    </row>
    <row r="35" spans="1:9" hidden="1" x14ac:dyDescent="0.3">
      <c r="A35" s="42" t="s">
        <v>53</v>
      </c>
      <c r="B35" s="43">
        <v>10</v>
      </c>
      <c r="C35" s="43">
        <v>10</v>
      </c>
      <c r="D35" s="52">
        <f>D34+I35</f>
        <v>45</v>
      </c>
      <c r="E35" s="43">
        <v>25</v>
      </c>
      <c r="F35" s="46">
        <f>F34</f>
        <v>30</v>
      </c>
      <c r="G35" s="47">
        <v>30</v>
      </c>
      <c r="H35" s="45">
        <f>G35/F35*C35</f>
        <v>10</v>
      </c>
      <c r="I35" s="45">
        <f t="shared" si="6"/>
        <v>25</v>
      </c>
    </row>
    <row r="36" spans="1:9" hidden="1" x14ac:dyDescent="0.3">
      <c r="A36" s="42" t="s">
        <v>175</v>
      </c>
      <c r="B36" s="52">
        <f>B35+H36</f>
        <v>50</v>
      </c>
      <c r="C36" s="43">
        <v>40</v>
      </c>
      <c r="D36" s="52">
        <f>D35+I36</f>
        <v>75</v>
      </c>
      <c r="E36" s="43">
        <v>30</v>
      </c>
      <c r="F36" s="46">
        <v>35</v>
      </c>
      <c r="G36" s="47">
        <v>35</v>
      </c>
      <c r="H36" s="45">
        <f>G36/F36*C36</f>
        <v>40</v>
      </c>
      <c r="I36" s="45">
        <f t="shared" si="6"/>
        <v>30</v>
      </c>
    </row>
    <row r="37" spans="1:9" hidden="1" x14ac:dyDescent="0.3">
      <c r="A37" s="42" t="s">
        <v>183</v>
      </c>
      <c r="B37" s="52">
        <f t="shared" ref="B37:B42" si="7">B36+H37</f>
        <v>57.5</v>
      </c>
      <c r="C37" s="43">
        <v>10</v>
      </c>
      <c r="D37" s="52">
        <f t="shared" ref="D37:D42" si="8">D36+I37</f>
        <v>82.5</v>
      </c>
      <c r="E37" s="43">
        <v>7.5</v>
      </c>
      <c r="F37" s="46">
        <f>F34</f>
        <v>30</v>
      </c>
      <c r="G37" s="47">
        <v>30</v>
      </c>
      <c r="H37" s="45">
        <f>G37/F37*7.5</f>
        <v>7.5</v>
      </c>
      <c r="I37" s="45">
        <f t="shared" si="6"/>
        <v>7.5</v>
      </c>
    </row>
    <row r="38" spans="1:9" ht="26.4" hidden="1" x14ac:dyDescent="0.3">
      <c r="A38" s="42" t="s">
        <v>178</v>
      </c>
      <c r="B38" s="52">
        <f t="shared" si="7"/>
        <v>62.5</v>
      </c>
      <c r="C38" s="43">
        <v>5</v>
      </c>
      <c r="D38" s="52">
        <f t="shared" si="8"/>
        <v>85</v>
      </c>
      <c r="E38" s="43">
        <v>2.5</v>
      </c>
      <c r="F38" s="46">
        <f>F34</f>
        <v>30</v>
      </c>
      <c r="G38" s="47">
        <v>30</v>
      </c>
      <c r="H38" s="45">
        <f>G38/F38*C38</f>
        <v>5</v>
      </c>
      <c r="I38" s="45">
        <f>G38/F38*E38</f>
        <v>2.5</v>
      </c>
    </row>
    <row r="39" spans="1:9" hidden="1" x14ac:dyDescent="0.3">
      <c r="A39" s="42" t="s">
        <v>184</v>
      </c>
      <c r="B39" s="52">
        <f t="shared" si="7"/>
        <v>67.5</v>
      </c>
      <c r="C39" s="43">
        <v>5</v>
      </c>
      <c r="D39" s="52">
        <f t="shared" si="8"/>
        <v>87.5</v>
      </c>
      <c r="E39" s="43">
        <v>2.5</v>
      </c>
      <c r="F39" s="46">
        <f>F35</f>
        <v>30</v>
      </c>
      <c r="G39" s="47">
        <v>30</v>
      </c>
      <c r="H39" s="45">
        <f t="shared" ref="H39" si="9">G39/F39*C39</f>
        <v>5</v>
      </c>
      <c r="I39" s="45">
        <f t="shared" ref="I39" si="10">G39/F39*E39</f>
        <v>2.5</v>
      </c>
    </row>
    <row r="40" spans="1:9" hidden="1" x14ac:dyDescent="0.3">
      <c r="A40" s="42" t="s">
        <v>177</v>
      </c>
      <c r="B40" s="52">
        <f t="shared" si="7"/>
        <v>77.5</v>
      </c>
      <c r="C40" s="43">
        <v>10</v>
      </c>
      <c r="D40" s="52">
        <f t="shared" si="8"/>
        <v>90</v>
      </c>
      <c r="E40" s="43">
        <v>2.5</v>
      </c>
      <c r="F40" s="46">
        <f>F34</f>
        <v>30</v>
      </c>
      <c r="G40" s="47">
        <v>30</v>
      </c>
      <c r="H40" s="45">
        <f>G40/F40*C40</f>
        <v>10</v>
      </c>
      <c r="I40" s="45">
        <f>G40/F40*E40</f>
        <v>2.5</v>
      </c>
    </row>
    <row r="41" spans="1:9" hidden="1" x14ac:dyDescent="0.3">
      <c r="A41" s="42" t="s">
        <v>185</v>
      </c>
      <c r="B41" s="52">
        <f t="shared" si="7"/>
        <v>87.5</v>
      </c>
      <c r="C41" s="43">
        <v>10</v>
      </c>
      <c r="D41" s="52">
        <f t="shared" si="8"/>
        <v>95</v>
      </c>
      <c r="E41" s="43">
        <v>5</v>
      </c>
      <c r="F41" s="46">
        <f>F35</f>
        <v>30</v>
      </c>
      <c r="G41" s="47">
        <v>30</v>
      </c>
      <c r="H41" s="45">
        <f t="shared" ref="H41:H43" si="11">G41/F41*C41</f>
        <v>10</v>
      </c>
      <c r="I41" s="45">
        <f t="shared" ref="I41:I43" si="12">G41/F41*E41</f>
        <v>5</v>
      </c>
    </row>
    <row r="42" spans="1:9" ht="26.4" hidden="1" x14ac:dyDescent="0.3">
      <c r="A42" s="42" t="s">
        <v>179</v>
      </c>
      <c r="B42" s="52">
        <f t="shared" si="7"/>
        <v>92.5</v>
      </c>
      <c r="C42" s="43">
        <v>5</v>
      </c>
      <c r="D42" s="52">
        <f t="shared" si="8"/>
        <v>97.5</v>
      </c>
      <c r="E42" s="43">
        <v>2.5</v>
      </c>
      <c r="F42" s="46">
        <f>F34</f>
        <v>30</v>
      </c>
      <c r="G42" s="47">
        <v>30</v>
      </c>
      <c r="H42" s="45">
        <f t="shared" si="11"/>
        <v>5</v>
      </c>
      <c r="I42" s="45">
        <f t="shared" si="12"/>
        <v>2.5</v>
      </c>
    </row>
    <row r="43" spans="1:9" hidden="1" x14ac:dyDescent="0.3">
      <c r="A43" s="42" t="s">
        <v>180</v>
      </c>
      <c r="B43" s="43">
        <v>100</v>
      </c>
      <c r="C43" s="43">
        <v>5</v>
      </c>
      <c r="D43" s="43">
        <v>100</v>
      </c>
      <c r="E43" s="43">
        <v>2.5</v>
      </c>
      <c r="F43" s="46">
        <f>F34</f>
        <v>30</v>
      </c>
      <c r="G43" s="47">
        <v>30</v>
      </c>
      <c r="H43" s="45">
        <f t="shared" si="11"/>
        <v>5</v>
      </c>
      <c r="I43" s="45">
        <f t="shared" si="12"/>
        <v>2.5</v>
      </c>
    </row>
    <row r="44" spans="1:9" hidden="1" x14ac:dyDescent="0.3">
      <c r="A44" s="48"/>
      <c r="B44" s="48"/>
      <c r="C44" s="48">
        <f>SUM(C34:C43)</f>
        <v>100</v>
      </c>
      <c r="D44" s="48"/>
      <c r="E44" s="48">
        <f>SUM(E34:E43)</f>
        <v>100</v>
      </c>
      <c r="F44" s="48"/>
      <c r="G44" s="49" t="s">
        <v>181</v>
      </c>
      <c r="H44" s="50">
        <f>SUM(H34:H43)</f>
        <v>97.5</v>
      </c>
      <c r="I44" s="50">
        <f>SUM(I34:I43)</f>
        <v>100</v>
      </c>
    </row>
  </sheetData>
  <mergeCells count="5">
    <mergeCell ref="A2:I2"/>
    <mergeCell ref="A15:I15"/>
    <mergeCell ref="A32:I32"/>
    <mergeCell ref="A1:I1"/>
    <mergeCell ref="A14:I14"/>
  </mergeCells>
  <pageMargins left="0.7" right="0.7" top="0.75" bottom="0.75" header="0.3" footer="0.3"/>
  <pageSetup paperSize="9" orientation="portrait" horizontalDpi="300" verticalDpi="0" copies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L36"/>
  <sheetViews>
    <sheetView topLeftCell="A22" workbookViewId="0">
      <selection activeCell="D28" sqref="D28"/>
    </sheetView>
  </sheetViews>
  <sheetFormatPr defaultRowHeight="14.4" x14ac:dyDescent="0.3"/>
  <cols>
    <col min="2" max="2" width="12.33203125" customWidth="1"/>
  </cols>
  <sheetData>
    <row r="2" spans="1:12" x14ac:dyDescent="0.3">
      <c r="B2" s="3" t="s">
        <v>77</v>
      </c>
      <c r="C2" s="202"/>
      <c r="D2" s="202"/>
    </row>
    <row r="3" spans="1:12" x14ac:dyDescent="0.3">
      <c r="D3" s="4"/>
      <c r="E3" s="4"/>
      <c r="F3" s="4"/>
      <c r="G3" s="4"/>
      <c r="H3" s="4"/>
      <c r="I3" s="4"/>
    </row>
    <row r="4" spans="1:12" x14ac:dyDescent="0.3">
      <c r="A4" s="3" t="s">
        <v>78</v>
      </c>
      <c r="B4" s="5" t="s">
        <v>79</v>
      </c>
      <c r="C4" s="203" t="s">
        <v>80</v>
      </c>
      <c r="D4" s="203"/>
      <c r="E4" s="203"/>
      <c r="F4" s="6"/>
      <c r="G4" s="203" t="s">
        <v>81</v>
      </c>
      <c r="H4" s="203"/>
      <c r="I4" s="203"/>
      <c r="J4" s="203" t="s">
        <v>82</v>
      </c>
      <c r="K4" s="203"/>
      <c r="L4" s="203"/>
    </row>
    <row r="5" spans="1:12" x14ac:dyDescent="0.3">
      <c r="A5" s="3">
        <v>202</v>
      </c>
      <c r="B5" s="5"/>
      <c r="C5" s="5" t="s">
        <v>83</v>
      </c>
      <c r="D5" s="5" t="s">
        <v>84</v>
      </c>
      <c r="E5" s="5" t="s">
        <v>61</v>
      </c>
      <c r="F5" s="5"/>
      <c r="G5" s="5" t="s">
        <v>83</v>
      </c>
      <c r="H5" s="5" t="s">
        <v>84</v>
      </c>
      <c r="I5" s="5" t="s">
        <v>61</v>
      </c>
      <c r="J5" s="5" t="s">
        <v>83</v>
      </c>
      <c r="K5" s="5" t="s">
        <v>84</v>
      </c>
      <c r="L5" s="5" t="s">
        <v>61</v>
      </c>
    </row>
    <row r="6" spans="1:12" x14ac:dyDescent="0.3">
      <c r="B6" s="7" t="s">
        <v>85</v>
      </c>
      <c r="C6" s="7">
        <v>2.75</v>
      </c>
      <c r="D6" s="7">
        <v>3.95</v>
      </c>
      <c r="E6" s="7">
        <f>C6*D6</f>
        <v>10.862500000000001</v>
      </c>
      <c r="F6" s="7" t="s">
        <v>86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">
      <c r="B7" s="7"/>
      <c r="C7" s="7"/>
      <c r="D7" s="7"/>
      <c r="E7" s="7">
        <f t="shared" ref="E7:E33" si="0">C7*D7</f>
        <v>0</v>
      </c>
      <c r="F7" s="7" t="s">
        <v>87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">
      <c r="B9" s="7" t="s">
        <v>88</v>
      </c>
      <c r="C9" s="7">
        <v>2.25</v>
      </c>
      <c r="D9" s="7">
        <v>2.0499999999999998</v>
      </c>
      <c r="E9" s="7">
        <f t="shared" si="0"/>
        <v>4.6124999999999998</v>
      </c>
      <c r="F9" s="7" t="s">
        <v>86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">
      <c r="B10" s="7"/>
      <c r="C10" s="7"/>
      <c r="D10" s="7"/>
      <c r="E10" s="7">
        <f t="shared" si="0"/>
        <v>0</v>
      </c>
      <c r="F10" s="7" t="s">
        <v>87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">
      <c r="B13" s="7" t="s">
        <v>89</v>
      </c>
      <c r="C13" s="7">
        <v>2.75</v>
      </c>
      <c r="D13" s="7">
        <v>2.4</v>
      </c>
      <c r="E13" s="7">
        <f t="shared" si="0"/>
        <v>6.6</v>
      </c>
      <c r="F13" s="7" t="s">
        <v>86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">
      <c r="B14" s="7"/>
      <c r="C14" s="7"/>
      <c r="D14" s="7"/>
      <c r="E14" s="7">
        <f t="shared" si="0"/>
        <v>0</v>
      </c>
      <c r="F14" s="7" t="s">
        <v>87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">
      <c r="B17" s="7" t="s">
        <v>90</v>
      </c>
      <c r="C17" s="7"/>
      <c r="D17" s="7"/>
      <c r="E17" s="7">
        <f t="shared" si="0"/>
        <v>0</v>
      </c>
      <c r="F17" s="7" t="s">
        <v>86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">
      <c r="B18" s="7"/>
      <c r="C18" s="7"/>
      <c r="D18" s="7"/>
      <c r="E18" s="7">
        <f t="shared" si="0"/>
        <v>0</v>
      </c>
      <c r="F18" s="7" t="s">
        <v>87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">
      <c r="B20" s="7" t="s">
        <v>90</v>
      </c>
      <c r="C20" s="7"/>
      <c r="D20" s="7"/>
      <c r="E20" s="7">
        <f t="shared" si="0"/>
        <v>0</v>
      </c>
      <c r="F20" s="7" t="s">
        <v>86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">
      <c r="B21" s="7"/>
      <c r="C21" s="7"/>
      <c r="D21" s="7"/>
      <c r="E21" s="7">
        <f t="shared" si="0"/>
        <v>0</v>
      </c>
      <c r="F21" s="7" t="s">
        <v>87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">
      <c r="B23" s="7" t="s">
        <v>91</v>
      </c>
      <c r="C23" s="7">
        <v>1.2</v>
      </c>
      <c r="D23" s="7">
        <v>0.9</v>
      </c>
      <c r="E23" s="7">
        <f t="shared" si="0"/>
        <v>1.08</v>
      </c>
      <c r="F23" s="7" t="s">
        <v>92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">
      <c r="B24" s="7" t="s">
        <v>93</v>
      </c>
      <c r="C24" s="7">
        <v>1.5</v>
      </c>
      <c r="D24" s="7">
        <v>1.2</v>
      </c>
      <c r="E24" s="7">
        <f t="shared" si="0"/>
        <v>1.7999999999999998</v>
      </c>
      <c r="F24" s="7" t="s">
        <v>92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">
      <c r="B25" s="7" t="s">
        <v>94</v>
      </c>
      <c r="C25" s="7"/>
      <c r="D25" s="7"/>
      <c r="E25" s="7">
        <f t="shared" si="0"/>
        <v>0</v>
      </c>
      <c r="F25" s="7" t="s">
        <v>92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">
      <c r="B27" s="7" t="s">
        <v>95</v>
      </c>
      <c r="C27" s="7">
        <v>1.05</v>
      </c>
      <c r="D27" s="7">
        <v>0.95</v>
      </c>
      <c r="E27" s="7">
        <f t="shared" si="0"/>
        <v>0.99749999999999994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">
      <c r="B28" s="7" t="s">
        <v>96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">
      <c r="B29" s="7" t="s">
        <v>97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">
      <c r="B30" s="7" t="s">
        <v>98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">
      <c r="B34" s="7" t="s">
        <v>62</v>
      </c>
      <c r="C34" s="7"/>
      <c r="D34" s="7">
        <f>E34*10.764</f>
        <v>279.35271</v>
      </c>
      <c r="E34" s="7">
        <f>SUM(E6:E33)</f>
        <v>25.952500000000001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">
      <c r="D36">
        <f>D34+H34</f>
        <v>279.35271</v>
      </c>
      <c r="E36">
        <f>E34+I34</f>
        <v>25.952500000000001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14"/>
  <sheetViews>
    <sheetView topLeftCell="D1" zoomScale="115" zoomScaleNormal="115" workbookViewId="0">
      <selection activeCell="H8" sqref="H8"/>
    </sheetView>
  </sheetViews>
  <sheetFormatPr defaultColWidth="8.6640625" defaultRowHeight="14.4" x14ac:dyDescent="0.3"/>
  <cols>
    <col min="1" max="1" width="8.6640625" style="24"/>
    <col min="2" max="2" width="22.109375" style="24" customWidth="1"/>
    <col min="3" max="3" width="37" style="24" customWidth="1"/>
    <col min="4" max="5" width="11.44140625" style="24" customWidth="1"/>
    <col min="6" max="6" width="14" style="24" customWidth="1"/>
    <col min="7" max="7" width="20" style="24" customWidth="1"/>
    <col min="8" max="8" width="16.44140625" style="24" customWidth="1"/>
    <col min="9" max="16384" width="8.6640625" style="24"/>
  </cols>
  <sheetData>
    <row r="1" spans="1:9" ht="15" customHeight="1" x14ac:dyDescent="0.3"/>
    <row r="2" spans="1:9" ht="15" customHeight="1" x14ac:dyDescent="0.3">
      <c r="A2" s="25"/>
      <c r="B2" s="25"/>
      <c r="C2" s="25"/>
      <c r="D2" s="25"/>
      <c r="E2" s="25"/>
      <c r="F2" s="25"/>
      <c r="G2" s="25"/>
      <c r="H2" s="25"/>
    </row>
    <row r="3" spans="1:9" ht="15.75" customHeight="1" x14ac:dyDescent="0.3">
      <c r="A3" s="25"/>
      <c r="B3" s="204" t="s">
        <v>143</v>
      </c>
      <c r="C3" s="204"/>
      <c r="D3" s="204"/>
      <c r="E3" s="204"/>
      <c r="F3" s="204"/>
      <c r="G3" s="204"/>
      <c r="H3" s="204"/>
    </row>
    <row r="4" spans="1:9" x14ac:dyDescent="0.3">
      <c r="A4" s="25"/>
      <c r="B4" s="26" t="s">
        <v>144</v>
      </c>
      <c r="C4" s="26" t="s">
        <v>145</v>
      </c>
      <c r="D4" s="26" t="s">
        <v>78</v>
      </c>
      <c r="E4" s="26" t="s">
        <v>146</v>
      </c>
      <c r="F4" s="26" t="s">
        <v>150</v>
      </c>
      <c r="G4" s="26" t="s">
        <v>151</v>
      </c>
      <c r="H4" s="26" t="s">
        <v>147</v>
      </c>
    </row>
    <row r="5" spans="1:9" ht="15" customHeight="1" x14ac:dyDescent="0.3">
      <c r="A5" s="25"/>
      <c r="B5" s="79" t="s">
        <v>245</v>
      </c>
      <c r="C5" s="78" t="s">
        <v>224</v>
      </c>
      <c r="D5" s="79" t="s">
        <v>205</v>
      </c>
      <c r="E5" s="28">
        <v>206</v>
      </c>
      <c r="F5" s="29">
        <f>E5*1.45</f>
        <v>298.7</v>
      </c>
      <c r="G5" s="29">
        <f>H5/F5</f>
        <v>4921.3257448945433</v>
      </c>
      <c r="H5" s="30">
        <v>1470000</v>
      </c>
    </row>
    <row r="6" spans="1:9" x14ac:dyDescent="0.3">
      <c r="A6" s="25"/>
      <c r="B6" s="79" t="s">
        <v>245</v>
      </c>
      <c r="C6" s="78" t="s">
        <v>224</v>
      </c>
      <c r="D6" s="79" t="s">
        <v>205</v>
      </c>
      <c r="E6" s="28">
        <v>229</v>
      </c>
      <c r="F6" s="29">
        <f t="shared" ref="F6:F9" si="0">E6*1.45</f>
        <v>332.05</v>
      </c>
      <c r="G6" s="29">
        <f t="shared" ref="G6:G9" si="1">H6/F6</f>
        <v>4929.980424634844</v>
      </c>
      <c r="H6" s="30">
        <v>1637000</v>
      </c>
    </row>
    <row r="7" spans="1:9" ht="15" customHeight="1" x14ac:dyDescent="0.3">
      <c r="A7" s="25"/>
      <c r="B7" s="79" t="s">
        <v>245</v>
      </c>
      <c r="C7" s="78" t="s">
        <v>224</v>
      </c>
      <c r="D7" s="79" t="s">
        <v>204</v>
      </c>
      <c r="E7" s="28">
        <v>295</v>
      </c>
      <c r="F7" s="29">
        <f t="shared" si="0"/>
        <v>427.75</v>
      </c>
      <c r="G7" s="29">
        <f t="shared" si="1"/>
        <v>4932.7878433664528</v>
      </c>
      <c r="H7" s="30">
        <v>2110000</v>
      </c>
    </row>
    <row r="8" spans="1:9" x14ac:dyDescent="0.3">
      <c r="A8" s="25"/>
      <c r="B8" s="79" t="s">
        <v>245</v>
      </c>
      <c r="C8" s="78" t="s">
        <v>224</v>
      </c>
      <c r="D8" s="79" t="s">
        <v>204</v>
      </c>
      <c r="E8" s="28">
        <v>321</v>
      </c>
      <c r="F8" s="29">
        <f t="shared" si="0"/>
        <v>465.45</v>
      </c>
      <c r="G8" s="29">
        <f t="shared" si="1"/>
        <v>4930.712213986465</v>
      </c>
      <c r="H8" s="30">
        <v>2295000</v>
      </c>
    </row>
    <row r="9" spans="1:9" ht="15" customHeight="1" x14ac:dyDescent="0.3">
      <c r="A9" s="25"/>
      <c r="B9" s="79" t="s">
        <v>245</v>
      </c>
      <c r="C9" s="78" t="s">
        <v>224</v>
      </c>
      <c r="D9" s="79" t="s">
        <v>208</v>
      </c>
      <c r="E9" s="28">
        <v>428</v>
      </c>
      <c r="F9" s="29">
        <f t="shared" si="0"/>
        <v>620.6</v>
      </c>
      <c r="G9" s="29">
        <f t="shared" si="1"/>
        <v>4922.6554946825654</v>
      </c>
      <c r="H9" s="30">
        <v>3055000</v>
      </c>
    </row>
    <row r="10" spans="1:9" ht="15" customHeight="1" x14ac:dyDescent="0.3">
      <c r="A10" s="25"/>
      <c r="B10" s="31" t="s">
        <v>148</v>
      </c>
      <c r="C10" s="28"/>
      <c r="D10" s="28"/>
      <c r="E10" s="28"/>
      <c r="F10" s="28"/>
      <c r="G10" s="32">
        <f>AVERAGE(G5:G9)</f>
        <v>4927.4923443129737</v>
      </c>
      <c r="H10" s="28"/>
    </row>
    <row r="11" spans="1:9" ht="15" customHeight="1" x14ac:dyDescent="0.3">
      <c r="B11" s="31" t="s">
        <v>149</v>
      </c>
      <c r="C11" s="28"/>
      <c r="D11" s="28"/>
      <c r="E11" s="28"/>
      <c r="F11" s="33"/>
      <c r="G11" s="31">
        <v>5000</v>
      </c>
      <c r="H11" s="31"/>
      <c r="I11" s="27"/>
    </row>
    <row r="12" spans="1:9" ht="15" customHeight="1" x14ac:dyDescent="0.3"/>
    <row r="13" spans="1:9" ht="15" customHeight="1" x14ac:dyDescent="0.3"/>
    <row r="14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"/>
  <sheetViews>
    <sheetView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Report</vt:lpstr>
      <vt:lpstr>AXIS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2025-09-15T05:34:25Z</cp:lastPrinted>
  <dcterms:created xsi:type="dcterms:W3CDTF">2019-07-16T09:29:46Z</dcterms:created>
  <dcterms:modified xsi:type="dcterms:W3CDTF">2025-09-15T05:35:13Z</dcterms:modified>
</cp:coreProperties>
</file>