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E00D632A-BC51-4CC4-8E2C-4DA1DA927DD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0" i="1" l="1"/>
  <c r="J60" i="1"/>
  <c r="J61" i="1" s="1"/>
  <c r="J59" i="1"/>
  <c r="E7" i="1" l="1"/>
  <c r="K138" i="1" l="1"/>
  <c r="K137" i="1"/>
  <c r="J138" i="1"/>
  <c r="J137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12" i="1"/>
  <c r="J108" i="1"/>
  <c r="J107" i="1"/>
  <c r="J104" i="1" l="1"/>
  <c r="I107" i="1"/>
  <c r="L126" i="1"/>
  <c r="D178" i="1" l="1"/>
  <c r="D177" i="1"/>
  <c r="D176" i="1"/>
  <c r="D175" i="1"/>
  <c r="D173" i="1"/>
  <c r="D172" i="1"/>
  <c r="D171" i="1"/>
  <c r="D170" i="1"/>
  <c r="E167" i="1"/>
  <c r="D168" i="1"/>
  <c r="D167" i="1"/>
  <c r="D166" i="1"/>
  <c r="D165" i="1"/>
  <c r="D163" i="1"/>
  <c r="D160" i="1"/>
  <c r="D159" i="1"/>
  <c r="D158" i="1"/>
  <c r="D157" i="1"/>
  <c r="D156" i="1"/>
  <c r="D155" i="1"/>
  <c r="D153" i="1"/>
  <c r="D152" i="1"/>
  <c r="D151" i="1"/>
  <c r="D150" i="1"/>
  <c r="D149" i="1"/>
  <c r="D148" i="1"/>
  <c r="E142" i="1"/>
  <c r="D146" i="1"/>
  <c r="D145" i="1"/>
  <c r="D144" i="1"/>
  <c r="D143" i="1"/>
  <c r="D142" i="1"/>
  <c r="D141" i="1"/>
  <c r="D139" i="1"/>
  <c r="D138" i="1"/>
  <c r="D137" i="1"/>
  <c r="D134" i="1"/>
  <c r="D133" i="1"/>
  <c r="D132" i="1"/>
  <c r="D131" i="1"/>
  <c r="D130" i="1"/>
  <c r="D129" i="1"/>
  <c r="E126" i="1"/>
  <c r="D127" i="1"/>
  <c r="D126" i="1"/>
  <c r="D125" i="1"/>
  <c r="D124" i="1"/>
  <c r="D123" i="1"/>
  <c r="D122" i="1"/>
  <c r="D120" i="1"/>
  <c r="D119" i="1"/>
  <c r="D118" i="1"/>
  <c r="L118" i="1" s="1"/>
  <c r="D117" i="1"/>
  <c r="L117" i="1" s="1"/>
  <c r="D116" i="1"/>
  <c r="L116" i="1" s="1"/>
  <c r="E114" i="1"/>
  <c r="D114" i="1"/>
  <c r="L114" i="1" s="1"/>
  <c r="D113" i="1"/>
  <c r="L113" i="1" s="1"/>
  <c r="D112" i="1"/>
  <c r="L112" i="1" s="1"/>
  <c r="I123" i="1"/>
  <c r="A130" i="1"/>
  <c r="A131" i="1" s="1"/>
  <c r="A132" i="1" s="1"/>
  <c r="A133" i="1" s="1"/>
  <c r="A134" i="1" s="1"/>
  <c r="G129" i="1"/>
  <c r="A123" i="1"/>
  <c r="A124" i="1" s="1"/>
  <c r="A125" i="1" s="1"/>
  <c r="A126" i="1" s="1"/>
  <c r="A127" i="1" s="1"/>
  <c r="G122" i="1"/>
  <c r="A156" i="1"/>
  <c r="A157" i="1" s="1"/>
  <c r="A158" i="1" s="1"/>
  <c r="A159" i="1" s="1"/>
  <c r="A160" i="1" s="1"/>
  <c r="G155" i="1"/>
  <c r="A149" i="1"/>
  <c r="A150" i="1" s="1"/>
  <c r="A151" i="1" s="1"/>
  <c r="A152" i="1" s="1"/>
  <c r="A153" i="1" s="1"/>
  <c r="G148" i="1"/>
  <c r="A176" i="1"/>
  <c r="A177" i="1" s="1"/>
  <c r="A178" i="1" s="1"/>
  <c r="A171" i="1"/>
  <c r="A172" i="1" s="1"/>
  <c r="A173" i="1" s="1"/>
  <c r="G175" i="1"/>
  <c r="I146" i="1"/>
  <c r="A166" i="1"/>
  <c r="A167" i="1" s="1"/>
  <c r="A168" i="1" s="1"/>
  <c r="I165" i="1"/>
  <c r="G165" i="1"/>
  <c r="I145" i="1"/>
  <c r="A142" i="1"/>
  <c r="A143" i="1" s="1"/>
  <c r="A144" i="1" s="1"/>
  <c r="A145" i="1" s="1"/>
  <c r="A146" i="1" s="1"/>
  <c r="I141" i="1"/>
  <c r="G141" i="1"/>
  <c r="I120" i="1"/>
  <c r="I116" i="1"/>
  <c r="G163" i="1"/>
  <c r="A138" i="1"/>
  <c r="A139" i="1" s="1"/>
  <c r="I114" i="1"/>
  <c r="I113" i="1"/>
  <c r="L120" i="1" l="1"/>
  <c r="J129" i="1"/>
  <c r="J131" i="1"/>
  <c r="J133" i="1"/>
  <c r="L119" i="1"/>
  <c r="J130" i="1"/>
  <c r="J132" i="1"/>
  <c r="J134" i="1"/>
  <c r="C104" i="1"/>
  <c r="E103" i="1"/>
  <c r="E104" i="1"/>
  <c r="E105" i="1"/>
  <c r="C105" i="1"/>
  <c r="C103" i="1"/>
  <c r="D60" i="1"/>
  <c r="E29" i="1"/>
  <c r="B181" i="1"/>
  <c r="B67" i="1"/>
  <c r="E24" i="1"/>
  <c r="E106" i="1" l="1"/>
  <c r="C106" i="1"/>
  <c r="E26" i="1"/>
  <c r="C14" i="1"/>
  <c r="E42" i="1" l="1"/>
  <c r="E43" i="1" s="1"/>
  <c r="A113" i="1" l="1"/>
  <c r="A114" i="1" s="1"/>
  <c r="G112" i="1"/>
  <c r="F100" i="1" l="1"/>
  <c r="G105" i="1" l="1"/>
  <c r="G103" i="1" l="1"/>
  <c r="G104" i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1" i="1"/>
  <c r="G170" i="1"/>
  <c r="G137" i="1"/>
  <c r="G116" i="1"/>
  <c r="A117" i="1"/>
  <c r="A118" i="1" s="1"/>
  <c r="A119" i="1" s="1"/>
  <c r="A120" i="1" s="1"/>
  <c r="D54" i="1"/>
  <c r="G49" i="1"/>
  <c r="G50" i="1" s="1"/>
  <c r="C49" i="1"/>
  <c r="C50" i="1" s="1"/>
  <c r="E3" i="1"/>
  <c r="H67" i="1"/>
  <c r="G106" i="1" l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74" i="1" l="1"/>
  <c r="J75" i="1" s="1"/>
  <c r="J76" i="1" s="1"/>
  <c r="J77" i="1" s="1"/>
  <c r="D72" i="1"/>
  <c r="J68" i="1"/>
  <c r="D70" i="1"/>
  <c r="B81" i="1" l="1"/>
  <c r="J79" i="1"/>
  <c r="C71" i="1" s="1"/>
  <c r="G70" i="1" s="1"/>
  <c r="H81" i="1"/>
  <c r="J83" i="1" l="1"/>
  <c r="D93" i="1"/>
  <c r="D87" i="1"/>
  <c r="D92" i="1"/>
  <c r="D86" i="1"/>
  <c r="J85" i="1"/>
  <c r="C84" i="1" s="1"/>
  <c r="D91" i="1"/>
  <c r="D90" i="1"/>
  <c r="J84" i="1"/>
  <c r="J80" i="1"/>
  <c r="J82" i="1" s="1"/>
  <c r="D89" i="1"/>
  <c r="D88" i="1"/>
  <c r="J86" i="1"/>
  <c r="J87" i="1" s="1"/>
  <c r="J92" i="1" s="1"/>
  <c r="J93" i="1" s="1"/>
  <c r="C85" i="1" s="1"/>
  <c r="J91" i="1"/>
  <c r="J89" i="1"/>
  <c r="J88" i="1"/>
  <c r="J90" i="1"/>
  <c r="D64" i="1"/>
  <c r="D65" i="1" s="1"/>
  <c r="J67" i="1"/>
  <c r="D71" i="1"/>
  <c r="I67" i="1" s="1"/>
  <c r="E70" i="1"/>
  <c r="E84" i="1" l="1"/>
  <c r="D85" i="1"/>
  <c r="G84" i="1"/>
  <c r="D84" i="1"/>
  <c r="J81" i="1" s="1"/>
  <c r="F65" i="1"/>
  <c r="I68" i="1"/>
  <c r="I66" i="1" s="1"/>
  <c r="C68" i="1" s="1"/>
  <c r="I81" i="1" l="1"/>
  <c r="I82" i="1" l="1"/>
  <c r="I80" i="1" s="1"/>
  <c r="C82" i="1" s="1"/>
</calcChain>
</file>

<file path=xl/sharedStrings.xml><?xml version="1.0" encoding="utf-8"?>
<sst xmlns="http://schemas.openxmlformats.org/spreadsheetml/2006/main" count="354" uniqueCount="222">
  <si>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</si>
  <si>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</si>
  <si>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</si>
  <si>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</si>
  <si>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</si>
  <si>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</si>
  <si>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</si>
  <si>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</si>
  <si>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</si>
  <si>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</si>
  <si>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</si>
  <si>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</si>
  <si>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</si>
  <si>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</si>
  <si>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</si>
  <si>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</si>
  <si>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</si>
  <si>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</si>
  <si>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</si>
  <si>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</si>
  <si>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</si>
  <si>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</si>
  <si>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</si>
  <si>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</si>
  <si>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</si>
  <si>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</si>
  <si>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</si>
  <si>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</si>
  <si>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</si>
  <si>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</si>
  <si>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</si>
  <si>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</si>
  <si>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</si>
  <si>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</si>
  <si>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</si>
  <si>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</si>
  <si>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</si>
  <si>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</si>
  <si>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</si>
  <si>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</si>
  <si>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</si>
  <si>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</si>
  <si>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</si>
  <si>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</si>
  <si>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</si>
  <si>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</si>
  <si>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</si>
  <si>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</si>
  <si>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</si>
  <si>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</si>
  <si>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</si>
  <si>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</si>
  <si>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</si>
  <si>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</si>
  <si>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</si>
  <si>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</si>
  <si>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</si>
  <si>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</si>
  <si>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</si>
  <si>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</si>
  <si>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</si>
  <si>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</si>
  <si>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</si>
  <si>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</si>
  <si>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</si>
  <si>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</si>
  <si>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</si>
  <si>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</si>
  <si>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</si>
  <si>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</si>
  <si>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</si>
  <si>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</si>
  <si>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</si>
  <si>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</si>
  <si>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</si>
  <si>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</si>
  <si>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</si>
  <si>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</si>
  <si>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</si>
  <si>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</si>
  <si>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</si>
  <si>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</si>
  <si>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</si>
  <si>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</si>
  <si>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</si>
  <si>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</si>
  <si>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</si>
  <si>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</si>
  <si>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</si>
  <si>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</si>
  <si>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</si>
  <si>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</si>
  <si>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</si>
  <si>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</si>
  <si>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</si>
  <si>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</si>
  <si>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</si>
  <si>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</si>
  <si>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</si>
  <si>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</si>
  <si>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</si>
  <si>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</si>
  <si>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</si>
  <si>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</si>
  <si>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</si>
  <si>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</si>
  <si>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</si>
  <si>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</si>
  <si>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</si>
  <si>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</si>
  <si>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</si>
  <si>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</si>
  <si>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</si>
  <si>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</si>
  <si>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</si>
  <si>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</si>
  <si>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</si>
  <si>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</si>
  <si>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</si>
  <si>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</si>
  <si>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</si>
  <si>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</si>
  <si>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</si>
  <si>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</si>
  <si>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</si>
  <si>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</si>
  <si>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</si>
  <si>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</si>
  <si>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</si>
  <si>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</si>
  <si>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</si>
  <si>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</si>
  <si>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</si>
  <si>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</si>
  <si>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</si>
  <si>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</si>
  <si>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</si>
  <si>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</si>
  <si>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</si>
  <si>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</si>
  <si>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</si>
  <si>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</si>
  <si>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</si>
  <si>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</si>
  <si>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</si>
  <si>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</si>
  <si>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</si>
  <si>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</si>
  <si>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</si>
  <si>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</si>
  <si>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</si>
  <si>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</si>
  <si>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</si>
  <si>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</si>
  <si>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Recommended rate of the Flat Per Sq. Ft.</t>
  </si>
  <si>
    <t>On Saleable Area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</si>
  <si>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</si>
  <si>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</si>
  <si>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</si>
  <si>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</si>
  <si>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</si>
  <si>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</si>
  <si>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>Axis Sanpada</t>
  </si>
  <si>
    <t>Kedardham</t>
  </si>
  <si>
    <t>Mr.Atul Naik - 8355956977</t>
  </si>
  <si>
    <t>P52000050341</t>
  </si>
  <si>
    <t>Raigad</t>
  </si>
  <si>
    <t>Panvel</t>
  </si>
  <si>
    <t>Nevali</t>
  </si>
  <si>
    <t>Survey No</t>
  </si>
  <si>
    <t>As per RERA - 31/12/2025</t>
  </si>
  <si>
    <t>Wing A, B &amp; C</t>
  </si>
  <si>
    <t>1RK</t>
  </si>
  <si>
    <t>2BHK Duplex With 1st Floor</t>
  </si>
  <si>
    <t>Wing A</t>
  </si>
  <si>
    <t>Ground Floor For Entrance Lobby, Drivers Room, Electric Room, Residential &amp; Parking</t>
  </si>
  <si>
    <t>Wing B</t>
  </si>
  <si>
    <t>Ground Floor For Entrance Lobby, Electric Room, Residential &amp; Parking</t>
  </si>
  <si>
    <t>Wing C</t>
  </si>
  <si>
    <t>1st Floor</t>
  </si>
  <si>
    <t>Ground Floor For Entrance Lobby, Electric Room, Society Office, Residential &amp; Parking</t>
  </si>
  <si>
    <t>1BHK</t>
  </si>
  <si>
    <t>3rd &amp; 4th Floor</t>
  </si>
  <si>
    <t>We considered Gross carpet area = Net carpet + Enclose balcony.</t>
  </si>
  <si>
    <t>A to C Wing = G + 1st to 4th Floor</t>
  </si>
  <si>
    <t>https://goo.gl/maps/11wmU1iN6LHtZ2no9?coh=178572&amp;entry=tt</t>
  </si>
  <si>
    <t>5.7 KM from Panvel Railway Station</t>
  </si>
  <si>
    <t>Flats - 70</t>
  </si>
  <si>
    <t>03 Wings</t>
  </si>
  <si>
    <t>Sai Asha Niwas</t>
  </si>
  <si>
    <t>Panvel Waterfall Road</t>
  </si>
  <si>
    <t>Vasan Nagar</t>
  </si>
  <si>
    <t>Hill View Residency Road</t>
  </si>
  <si>
    <t>Row House</t>
  </si>
  <si>
    <t>2/3/5/A &amp; 50/12</t>
  </si>
  <si>
    <t>CIDCO/NAINA/Panvel/Nevali/BP00541/CC/2022/0170</t>
  </si>
  <si>
    <t>Approved Plans, CC, Builder Saleable Area, Cost Sheet</t>
  </si>
  <si>
    <t>Builder Saleable area</t>
  </si>
  <si>
    <t>External Garden, Interior Semi Furnish Flat, Kids' Play Areas/Sand Pits, Power Backup, Treated Water Supply, Normal Park/Central Green, Indoor Games etc.</t>
  </si>
  <si>
    <t>Navi Mumbai Airport Influence Notified Area (NAINA)</t>
  </si>
  <si>
    <t>Water, MSEB, Development Charges</t>
  </si>
  <si>
    <t>Cost sheet</t>
  </si>
  <si>
    <t>23,33,38</t>
  </si>
  <si>
    <t>Inspection Sheet</t>
  </si>
  <si>
    <t xml:space="preserve">https://housing.com/in/buy/projects/page/296579-sandeep-kedardham-by-sandeep-sawant-group-in-new-panvel-east   </t>
  </si>
  <si>
    <t>5000 to 5200 by Smith on 26/09/2023.</t>
  </si>
  <si>
    <t>Documents Provided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</si>
  <si>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</si>
  <si>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19.022781,73.125381</t>
  </si>
  <si>
    <t>A &amp; B Wing = G + 1st to 4th Floor</t>
  </si>
  <si>
    <t>C Wing = G + 1st to 4th Floor</t>
  </si>
  <si>
    <t>Sandeep Sawant Group</t>
  </si>
  <si>
    <t>5200 to 5300 by Smith on 30/01/2024</t>
  </si>
  <si>
    <t xml:space="preserve">Recommended Rates / Other charges of the Property have been revised on 26/09/2023 &amp; 30/01/2024
</t>
  </si>
  <si>
    <t>B &amp; C Wing = G + 1st to 4th Floor</t>
  </si>
  <si>
    <t>5300 to 5500 by Smith on 26/09/2024</t>
  </si>
  <si>
    <t>Index2 of Flat 402 C Wing</t>
  </si>
  <si>
    <t xml:space="preserve">Recommended Rate of the Property have been revised on 26/09/2024 with reference to index2 of Flat 402 C Wing provided by bank official on mail. Document is attached below.
</t>
  </si>
  <si>
    <t>A, B &amp; C Wing = G + 1st to 4th Floor</t>
  </si>
  <si>
    <t>Ravindra Vishwakarma</t>
  </si>
  <si>
    <t>Wing A, B &amp; C = Finishing work is in process. (Speed is slow)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</si>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</sst>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2" fontId="7" fillId="0" borderId="0" xfId="1" applyNumberFormat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vertical="center"/>
    </xf>
    <xf numFmtId="0" fontId="6" fillId="0" borderId="0" xfId="2" applyFont="1" applyAlignment="1">
      <alignment horizontal="left"/>
    </xf>
    <xf numFmtId="0" fontId="10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8" fillId="0" borderId="0" xfId="2" applyNumberFormat="1" applyFont="1"/>
    <xf numFmtId="1" fontId="10" fillId="0" borderId="0" xfId="1" applyNumberFormat="1" applyFont="1"/>
    <xf numFmtId="1" fontId="26" fillId="0" borderId="0" xfId="10" applyNumberFormat="1" applyAlignment="1">
      <alignment horizontal="center" vertical="center"/>
    </xf>
    <xf numFmtId="0" fontId="7" fillId="2" borderId="0" xfId="1" applyFont="1" applyFill="1"/>
    <xf numFmtId="0" fontId="7" fillId="4" borderId="0" xfId="1" applyFont="1" applyFill="1"/>
    <xf numFmtId="1" fontId="7" fillId="0" borderId="0" xfId="1" applyNumberFormat="1" applyFont="1" applyProtection="1">
      <protection hidden="1"/>
    </xf>
    <xf numFmtId="1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7" fillId="0" borderId="7" xfId="0" applyNumberFormat="1" applyFont="1" applyBorder="1" applyAlignment="1" applyProtection="1">
      <alignment horizontal="center" vertical="center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10" fillId="0" borderId="7" xfId="0" applyNumberFormat="1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8" fillId="3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8" fillId="5" borderId="7" xfId="0" applyNumberFormat="1" applyFont="1" applyFill="1" applyBorder="1" applyAlignment="1" applyProtection="1">
      <alignment vertical="top" wrapText="1"/>
      <protection locked="0"/>
    </xf>
    <xf numFmtId="1" fontId="8" fillId="5" borderId="20" xfId="0" applyNumberFormat="1" applyFont="1" applyFill="1" applyBorder="1" applyAlignment="1" applyProtection="1">
      <alignment vertical="top" wrapText="1"/>
      <protection locked="0"/>
    </xf>
    <xf numFmtId="1" fontId="8" fillId="5" borderId="8" xfId="0" applyNumberFormat="1" applyFont="1" applyFill="1" applyBorder="1" applyAlignment="1" applyProtection="1">
      <alignment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31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196737</xdr:colOff>
      <xdr:row>259</xdr:row>
      <xdr:rowOff>49180</xdr:rowOff>
    </xdr:from>
    <xdr:to>
      <xdr:col>6</xdr:col>
      <xdr:colOff>186708</xdr:colOff>
      <xdr:row>273</xdr:row>
      <xdr:rowOff>140950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5373" y="57034657"/>
          <a:ext cx="3341040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34636</xdr:colOff>
      <xdr:row>244</xdr:row>
      <xdr:rowOff>17319</xdr:rowOff>
    </xdr:from>
    <xdr:to>
      <xdr:col>6</xdr:col>
      <xdr:colOff>764216</xdr:colOff>
      <xdr:row>258</xdr:row>
      <xdr:rowOff>109090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82"/>
        <a:stretch/>
      </xdr:blipFill>
      <xdr:spPr>
        <a:xfrm>
          <a:off x="796636" y="54015410"/>
          <a:ext cx="487728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149087</xdr:colOff>
      <xdr:row>345</xdr:row>
      <xdr:rowOff>45039</xdr:rowOff>
    </xdr:from>
    <xdr:to>
      <xdr:col>6</xdr:col>
      <xdr:colOff>687158</xdr:colOff>
      <xdr:row>361</xdr:row>
      <xdr:rowOff>104516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1087" y="69552691"/>
          <a:ext cx="4687658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149087</xdr:colOff>
      <xdr:row>328</xdr:row>
      <xdr:rowOff>8282</xdr:rowOff>
    </xdr:from>
    <xdr:to>
      <xdr:col>6</xdr:col>
      <xdr:colOff>665653</xdr:colOff>
      <xdr:row>344</xdr:row>
      <xdr:rowOff>67760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1087" y="66136630"/>
          <a:ext cx="4666153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9</xdr:col>
      <xdr:colOff>231911</xdr:colOff>
      <xdr:row>198</xdr:row>
      <xdr:rowOff>140804</xdr:rowOff>
    </xdr:from>
    <xdr:to>
      <xdr:col>9</xdr:col>
      <xdr:colOff>853107</xdr:colOff>
      <xdr:row>200</xdr:row>
      <xdr:rowOff>24848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909889" y="42746543"/>
          <a:ext cx="621196" cy="281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Wing A</a:t>
          </a:r>
        </a:p>
      </xdr:txBody>
    </xdr:sp>
    <xdr:clientData/>
  </xdr:twoCellAnchor>
  <xdr:twoCellAnchor>
    <xdr:from>
      <xdr:col>3</xdr:col>
      <xdr:colOff>802856</xdr:colOff>
      <xdr:row>352</xdr:row>
      <xdr:rowOff>83552</xdr:rowOff>
    </xdr:from>
    <xdr:to>
      <xdr:col>4</xdr:col>
      <xdr:colOff>157923</xdr:colOff>
      <xdr:row>355</xdr:row>
      <xdr:rowOff>94609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20710157">
          <a:off x="3213095" y="64754161"/>
          <a:ext cx="299285" cy="607405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8</xdr:col>
      <xdr:colOff>99391</xdr:colOff>
      <xdr:row>12</xdr:row>
      <xdr:rowOff>74543</xdr:rowOff>
    </xdr:from>
    <xdr:to>
      <xdr:col>12</xdr:col>
      <xdr:colOff>38100</xdr:colOff>
      <xdr:row>15</xdr:row>
      <xdr:rowOff>135835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17804" y="3064565"/>
          <a:ext cx="3657600" cy="914400"/>
        </a:xfrm>
        <a:prstGeom prst="rect">
          <a:avLst/>
        </a:prstGeom>
      </xdr:spPr>
    </xdr:pic>
    <xdr:clientData/>
  </xdr:twoCellAnchor>
  <xdr:twoCellAnchor>
    <xdr:from>
      <xdr:col>9</xdr:col>
      <xdr:colOff>723899</xdr:colOff>
      <xdr:row>198</xdr:row>
      <xdr:rowOff>144117</xdr:rowOff>
    </xdr:from>
    <xdr:to>
      <xdr:col>10</xdr:col>
      <xdr:colOff>193812</xdr:colOff>
      <xdr:row>200</xdr:row>
      <xdr:rowOff>28161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401877" y="39768117"/>
          <a:ext cx="621196" cy="281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Wing B</a:t>
          </a:r>
        </a:p>
      </xdr:txBody>
    </xdr:sp>
    <xdr:clientData/>
  </xdr:twoCellAnchor>
  <xdr:twoCellAnchor>
    <xdr:from>
      <xdr:col>9</xdr:col>
      <xdr:colOff>163995</xdr:colOff>
      <xdr:row>201</xdr:row>
      <xdr:rowOff>31473</xdr:rowOff>
    </xdr:from>
    <xdr:to>
      <xdr:col>9</xdr:col>
      <xdr:colOff>785191</xdr:colOff>
      <xdr:row>202</xdr:row>
      <xdr:rowOff>114300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7841973" y="40251821"/>
          <a:ext cx="621196" cy="281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Wing C</a:t>
          </a:r>
        </a:p>
      </xdr:txBody>
    </xdr:sp>
    <xdr:clientData/>
  </xdr:twoCellAnchor>
  <xdr:twoCellAnchor>
    <xdr:from>
      <xdr:col>9</xdr:col>
      <xdr:colOff>99391</xdr:colOff>
      <xdr:row>205</xdr:row>
      <xdr:rowOff>49695</xdr:rowOff>
    </xdr:from>
    <xdr:to>
      <xdr:col>9</xdr:col>
      <xdr:colOff>720587</xdr:colOff>
      <xdr:row>206</xdr:row>
      <xdr:rowOff>132522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7777369" y="44038630"/>
          <a:ext cx="621196" cy="281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Wing A</a:t>
          </a:r>
        </a:p>
      </xdr:txBody>
    </xdr:sp>
    <xdr:clientData/>
  </xdr:twoCellAnchor>
  <xdr:twoCellAnchor>
    <xdr:from>
      <xdr:col>9</xdr:col>
      <xdr:colOff>207064</xdr:colOff>
      <xdr:row>181</xdr:row>
      <xdr:rowOff>33130</xdr:rowOff>
    </xdr:from>
    <xdr:to>
      <xdr:col>9</xdr:col>
      <xdr:colOff>828260</xdr:colOff>
      <xdr:row>182</xdr:row>
      <xdr:rowOff>115956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7885042" y="39416934"/>
          <a:ext cx="621196" cy="2816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IN" sz="1100" b="1"/>
            <a:t>Wing A</a:t>
          </a:r>
        </a:p>
      </xdr:txBody>
    </xdr:sp>
    <xdr:clientData/>
  </xdr:twoCellAnchor>
  <xdr:twoCellAnchor editAs="oneCell">
    <xdr:from>
      <xdr:col>1</xdr:col>
      <xdr:colOff>231913</xdr:colOff>
      <xdr:row>287</xdr:row>
      <xdr:rowOff>33131</xdr:rowOff>
    </xdr:from>
    <xdr:to>
      <xdr:col>6</xdr:col>
      <xdr:colOff>343826</xdr:colOff>
      <xdr:row>323</xdr:row>
      <xdr:rowOff>76957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13" y="62152696"/>
          <a:ext cx="4261500" cy="72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297180</xdr:colOff>
      <xdr:row>201</xdr:row>
      <xdr:rowOff>180975</xdr:rowOff>
    </xdr:from>
    <xdr:to>
      <xdr:col>17</xdr:col>
      <xdr:colOff>287655</xdr:colOff>
      <xdr:row>234</xdr:row>
      <xdr:rowOff>144780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8191500" y="40925115"/>
          <a:ext cx="6406515" cy="6494145"/>
          <a:chOff x="389841" y="2069049"/>
          <a:chExt cx="6085830" cy="6069718"/>
        </a:xfrm>
      </xdr:grpSpPr>
      <xdr:pic>
        <xdr:nvPicPr>
          <xdr:cNvPr id="28" name="Picture 27" descr="https://vsjcllp.vsjadon.com/upload/insp-236714-1525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8502" y="6664569"/>
            <a:ext cx="1963777" cy="147419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6714-845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05702" y="4778594"/>
            <a:ext cx="1320785" cy="176288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6714-844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47191" y="4778594"/>
            <a:ext cx="1320785" cy="176288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6714-847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8680" y="4778594"/>
            <a:ext cx="1320785" cy="176288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https://vsjcllp.vsjadon.com/upload/insp-236714-877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47815" y="2069049"/>
            <a:ext cx="1937819" cy="258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https://vsjcllp.vsjadon.com/upload/insp-236714-1022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9841" y="2069049"/>
            <a:ext cx="1937819" cy="258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https://vsjcllp.vsjadon.com/upload/insp-236714-916.jpg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61545" y="6664569"/>
            <a:ext cx="1104497" cy="147419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 descr="https://vsjcllp.vsjadon.com/upload/insp-236714-928.jpg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37852" y="2069049"/>
            <a:ext cx="1937819" cy="258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419100</xdr:colOff>
      <xdr:row>203</xdr:row>
      <xdr:rowOff>22860</xdr:rowOff>
    </xdr:from>
    <xdr:to>
      <xdr:col>7</xdr:col>
      <xdr:colOff>531936</xdr:colOff>
      <xdr:row>239</xdr:row>
      <xdr:rowOff>118846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66F79BC-A8A6-5A40-25D1-DF1DF117ABCA}"/>
            </a:ext>
          </a:extLst>
        </xdr:cNvPr>
        <xdr:cNvGrpSpPr/>
      </xdr:nvGrpSpPr>
      <xdr:grpSpPr>
        <a:xfrm>
          <a:off x="419100" y="41163240"/>
          <a:ext cx="5957376" cy="7220686"/>
          <a:chOff x="233668" y="172995"/>
          <a:chExt cx="5957376" cy="7220686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6BF177AA-AE27-9A8B-D644-32B6F2AE862F}"/>
              </a:ext>
            </a:extLst>
          </xdr:cNvPr>
          <xdr:cNvGrpSpPr/>
        </xdr:nvGrpSpPr>
        <xdr:grpSpPr>
          <a:xfrm>
            <a:off x="233669" y="2873620"/>
            <a:ext cx="5957375" cy="2538250"/>
            <a:chOff x="233669" y="2873620"/>
            <a:chExt cx="5957375" cy="2538250"/>
          </a:xfrm>
        </xdr:grpSpPr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B7D617B0-B1D9-5B6F-8962-2D8A5DFB63B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3669" y="289187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4963FE4D-0259-6914-13FF-C9F1B09DEA5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8340" y="287362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FE6A4D13-9422-EF45-13B9-962716E09B9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03013" y="289187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A894CB7F-C686-2EC6-CAE0-C7E80E5B5A45}"/>
              </a:ext>
            </a:extLst>
          </xdr:cNvPr>
          <xdr:cNvGrpSpPr/>
        </xdr:nvGrpSpPr>
        <xdr:grpSpPr>
          <a:xfrm>
            <a:off x="233668" y="5587800"/>
            <a:ext cx="5957376" cy="1805881"/>
            <a:chOff x="233668" y="5587800"/>
            <a:chExt cx="5957376" cy="1805881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E85830A4-862E-E5A3-567D-CCBCE45A3F1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793266" y="5587800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BAADC830-3D48-0232-9F84-D8178B7FD6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1514" r="9745"/>
            <a:stretch/>
          </xdr:blipFill>
          <xdr:spPr>
            <a:xfrm>
              <a:off x="233668" y="5587800"/>
              <a:ext cx="1888031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321C4E15-CC5D-4A00-27CE-7B59A75F213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8340" y="5593681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D00A2482-38C4-4C3C-DB8E-895CA0A0CAFD}"/>
              </a:ext>
            </a:extLst>
          </xdr:cNvPr>
          <xdr:cNvGrpSpPr/>
        </xdr:nvGrpSpPr>
        <xdr:grpSpPr>
          <a:xfrm>
            <a:off x="233669" y="172995"/>
            <a:ext cx="5957375" cy="2537064"/>
            <a:chOff x="233669" y="172995"/>
            <a:chExt cx="5957375" cy="2537064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37D8856A-9E55-378C-8A28-D4E1D027D8B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8341" y="18613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85BC2728-240C-8060-3AB3-3E3A9215B25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03013" y="17299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D432BAB7-6555-13AA-0D1C-84FAB87E628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3669" y="19005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14" name="TextBox 27">
              <a:extLst>
                <a:ext uri="{FF2B5EF4-FFF2-40B4-BE49-F238E27FC236}">
                  <a16:creationId xmlns:a16="http://schemas.microsoft.com/office/drawing/2014/main" id="{07D87FE5-5290-5943-8D00-EFA3F46BE49C}"/>
                </a:ext>
              </a:extLst>
            </xdr:cNvPr>
            <xdr:cNvSpPr txBox="1"/>
          </xdr:nvSpPr>
          <xdr:spPr>
            <a:xfrm>
              <a:off x="5421271" y="2398352"/>
              <a:ext cx="708848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solidFill>
                    <a:srgbClr val="FFFF00"/>
                  </a:solidFill>
                </a:rPr>
                <a:t>Wing C</a:t>
              </a:r>
              <a:endParaRPr lang="en-IN" sz="1400" b="1">
                <a:solidFill>
                  <a:srgbClr val="FFFF00"/>
                </a:solidFill>
              </a:endParaRPr>
            </a:p>
          </xdr:txBody>
        </xdr:sp>
        <xdr:sp macro="" textlink="">
          <xdr:nvSpPr>
            <xdr:cNvPr id="15" name="TextBox 28">
              <a:extLst>
                <a:ext uri="{FF2B5EF4-FFF2-40B4-BE49-F238E27FC236}">
                  <a16:creationId xmlns:a16="http://schemas.microsoft.com/office/drawing/2014/main" id="{E646D784-944C-54AF-1D8D-3DF89DC102FA}"/>
                </a:ext>
              </a:extLst>
            </xdr:cNvPr>
            <xdr:cNvSpPr txBox="1"/>
          </xdr:nvSpPr>
          <xdr:spPr>
            <a:xfrm>
              <a:off x="2516683" y="2398353"/>
              <a:ext cx="723275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solidFill>
                    <a:srgbClr val="FFFF00"/>
                  </a:solidFill>
                </a:rPr>
                <a:t>Wing B</a:t>
              </a:r>
              <a:endParaRPr lang="en-IN" sz="1400" b="1">
                <a:solidFill>
                  <a:srgbClr val="FFFF00"/>
                </a:solidFill>
              </a:endParaRPr>
            </a:p>
          </xdr:txBody>
        </xdr:sp>
        <xdr:sp macro="" textlink="">
          <xdr:nvSpPr>
            <xdr:cNvPr id="16" name="TextBox 29">
              <a:extLst>
                <a:ext uri="{FF2B5EF4-FFF2-40B4-BE49-F238E27FC236}">
                  <a16:creationId xmlns:a16="http://schemas.microsoft.com/office/drawing/2014/main" id="{9D03C178-10F1-0035-FAAA-2A9E0AB62F2D}"/>
                </a:ext>
              </a:extLst>
            </xdr:cNvPr>
            <xdr:cNvSpPr txBox="1"/>
          </xdr:nvSpPr>
          <xdr:spPr>
            <a:xfrm>
              <a:off x="426808" y="186519"/>
              <a:ext cx="723275" cy="3077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/>
                <a:t>Wing A</a:t>
              </a:r>
              <a:endParaRPr lang="en-IN" sz="1400" b="1"/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122465</xdr:colOff>
      <xdr:row>1</xdr:row>
      <xdr:rowOff>122464</xdr:rowOff>
    </xdr:from>
    <xdr:to>
      <xdr:col>8</xdr:col>
      <xdr:colOff>599970</xdr:colOff>
      <xdr:row>14</xdr:row>
      <xdr:rowOff>161446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786" y="312964"/>
          <a:ext cx="4763755" cy="251548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15</xdr:row>
      <xdr:rowOff>40821</xdr:rowOff>
    </xdr:from>
    <xdr:to>
      <xdr:col>11</xdr:col>
      <xdr:colOff>585606</xdr:colOff>
      <xdr:row>30</xdr:row>
      <xdr:rowOff>97607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428" y="2898321"/>
          <a:ext cx="6885714" cy="29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299358</xdr:colOff>
      <xdr:row>2</xdr:row>
      <xdr:rowOff>81643</xdr:rowOff>
    </xdr:from>
    <xdr:to>
      <xdr:col>21</xdr:col>
      <xdr:colOff>497155</xdr:colOff>
      <xdr:row>10</xdr:row>
      <xdr:rowOff>14786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2572" y="462643"/>
          <a:ext cx="6933333" cy="14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ousing.com/in/buy/projects/page/296579-sandeep-kedardham-by-sandeep-sawant-group-in-new-panvel-east" TargetMode="External"/><Relationship Id="rId1" Type="http://schemas.openxmlformats.org/officeDocument/2006/relationships/hyperlink" Target="https://goo.gl/maps/11wmU1iN6LHtZ2no9?coh=178572&amp;entry=tt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27"/>
  <sheetViews>
    <sheetView tabSelected="1" view="pageBreakPreview" zoomScaleNormal="100" zoomScaleSheetLayoutView="100" workbookViewId="0">
      <selection activeCell="L10" sqref="L10"/>
    </sheetView>
  </sheetViews>
  <sheetFormatPr defaultColWidth="9.109375" defaultRowHeight="15.6" x14ac:dyDescent="0.3"/>
  <cols>
    <col min="1" max="1" width="11.44140625" style="38" customWidth="1"/>
    <col min="2" max="2" width="12" style="38" customWidth="1"/>
    <col min="3" max="3" width="12.6640625" style="38" customWidth="1"/>
    <col min="4" max="4" width="14.109375" style="38" customWidth="1"/>
    <col min="5" max="7" width="11.6640625" style="38" customWidth="1"/>
    <col min="8" max="8" width="12.44140625" style="38" customWidth="1"/>
    <col min="9" max="9" width="17.44140625" style="20" customWidth="1"/>
    <col min="10" max="10" width="17.33203125" style="20" customWidth="1"/>
    <col min="11" max="11" width="10.5546875" style="20" bestFit="1" customWidth="1"/>
    <col min="12" max="12" width="10.5546875" style="20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8" ht="46.5" customHeight="1" x14ac:dyDescent="0.3">
      <c r="A1" s="125" t="s">
        <v>207</v>
      </c>
      <c r="B1" s="125"/>
      <c r="C1" s="125"/>
      <c r="D1" s="125"/>
      <c r="E1" s="125"/>
      <c r="F1" s="125"/>
      <c r="G1" s="125"/>
      <c r="H1" s="125"/>
    </row>
    <row r="2" spans="1:8" ht="16.5" customHeight="1" x14ac:dyDescent="0.3">
      <c r="A2" s="126" t="s">
        <v>0</v>
      </c>
      <c r="B2" s="126"/>
      <c r="C2" s="126"/>
      <c r="D2" s="126"/>
      <c r="E2" s="126"/>
      <c r="F2" s="126"/>
      <c r="G2" s="126"/>
      <c r="H2" s="126"/>
    </row>
    <row r="3" spans="1:8" x14ac:dyDescent="0.3">
      <c r="A3" s="82" t="s">
        <v>1</v>
      </c>
      <c r="B3" s="82"/>
      <c r="C3" s="82"/>
      <c r="D3" s="82"/>
      <c r="E3" s="82" t="str">
        <f ca="1">TEXT(TODAY(),"DD/MM/YYYY")</f>
        <v>15/09/2025</v>
      </c>
      <c r="F3" s="82"/>
      <c r="G3" s="82"/>
      <c r="H3" s="82"/>
    </row>
    <row r="4" spans="1:8" x14ac:dyDescent="0.3">
      <c r="A4" s="82" t="s">
        <v>2</v>
      </c>
      <c r="B4" s="82"/>
      <c r="C4" s="82"/>
      <c r="D4" s="82"/>
      <c r="E4" s="82" t="s">
        <v>162</v>
      </c>
      <c r="F4" s="82"/>
      <c r="G4" s="82"/>
      <c r="H4" s="82"/>
    </row>
    <row r="5" spans="1:8" x14ac:dyDescent="0.3">
      <c r="A5" s="82" t="s">
        <v>3</v>
      </c>
      <c r="B5" s="82"/>
      <c r="C5" s="82"/>
      <c r="D5" s="82"/>
      <c r="E5" s="127">
        <v>45911</v>
      </c>
      <c r="F5" s="82"/>
      <c r="G5" s="82"/>
      <c r="H5" s="82"/>
    </row>
    <row r="6" spans="1:8" ht="16.5" customHeight="1" x14ac:dyDescent="0.3">
      <c r="A6" s="82" t="s">
        <v>4</v>
      </c>
      <c r="B6" s="82"/>
      <c r="C6" s="82"/>
      <c r="D6" s="82"/>
      <c r="E6" s="82" t="s">
        <v>211</v>
      </c>
      <c r="F6" s="82"/>
      <c r="G6" s="82"/>
      <c r="H6" s="82"/>
    </row>
    <row r="7" spans="1:8" ht="15" customHeight="1" x14ac:dyDescent="0.3">
      <c r="A7" s="82" t="s">
        <v>5</v>
      </c>
      <c r="B7" s="82"/>
      <c r="C7" s="82"/>
      <c r="D7" s="82"/>
      <c r="E7" s="82" t="str">
        <f>E6</f>
        <v>Sandeep Sawant Group</v>
      </c>
      <c r="F7" s="82"/>
      <c r="G7" s="82"/>
      <c r="H7" s="82"/>
    </row>
    <row r="8" spans="1:8" x14ac:dyDescent="0.3">
      <c r="A8" s="82" t="s">
        <v>6</v>
      </c>
      <c r="B8" s="82"/>
      <c r="C8" s="82"/>
      <c r="D8" s="82"/>
      <c r="E8" s="87" t="s">
        <v>163</v>
      </c>
      <c r="F8" s="88"/>
      <c r="G8" s="88"/>
      <c r="H8" s="89"/>
    </row>
    <row r="9" spans="1:8" x14ac:dyDescent="0.3">
      <c r="A9" s="82" t="s">
        <v>160</v>
      </c>
      <c r="B9" s="82"/>
      <c r="C9" s="82"/>
      <c r="D9" s="82"/>
      <c r="E9" s="82" t="s">
        <v>164</v>
      </c>
      <c r="F9" s="82"/>
      <c r="G9" s="82"/>
      <c r="H9" s="82"/>
    </row>
    <row r="10" spans="1:8" x14ac:dyDescent="0.3">
      <c r="A10" s="82" t="s">
        <v>161</v>
      </c>
      <c r="B10" s="82"/>
      <c r="C10" s="82"/>
      <c r="D10" s="82"/>
      <c r="E10" s="82" t="s">
        <v>29</v>
      </c>
      <c r="F10" s="82"/>
      <c r="G10" s="82"/>
      <c r="H10" s="82"/>
    </row>
    <row r="11" spans="1:8" x14ac:dyDescent="0.3">
      <c r="A11" s="82" t="s">
        <v>7</v>
      </c>
      <c r="B11" s="82"/>
      <c r="C11" s="82"/>
      <c r="D11" s="82"/>
      <c r="E11" s="82" t="s">
        <v>171</v>
      </c>
      <c r="F11" s="82"/>
      <c r="G11" s="82"/>
      <c r="H11" s="82"/>
    </row>
    <row r="12" spans="1:8" ht="32.25" customHeight="1" x14ac:dyDescent="0.3">
      <c r="A12" s="77" t="s">
        <v>206</v>
      </c>
      <c r="B12" s="77"/>
      <c r="C12" s="77"/>
      <c r="D12" s="77"/>
      <c r="E12" s="102" t="s">
        <v>196</v>
      </c>
      <c r="F12" s="102"/>
      <c r="G12" s="102"/>
      <c r="H12" s="102"/>
    </row>
    <row r="13" spans="1:8" x14ac:dyDescent="0.3">
      <c r="A13" s="77" t="s">
        <v>8</v>
      </c>
      <c r="B13" s="77"/>
      <c r="C13" s="77"/>
      <c r="D13" s="77"/>
      <c r="E13" s="102" t="s">
        <v>165</v>
      </c>
      <c r="F13" s="82"/>
      <c r="G13" s="82"/>
      <c r="H13" s="82"/>
    </row>
    <row r="14" spans="1:8" ht="36" customHeight="1" x14ac:dyDescent="0.3">
      <c r="A14" s="101" t="s">
        <v>9</v>
      </c>
      <c r="B14" s="101"/>
      <c r="C14" s="10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Kedardham, Survey No.2/3/5/A &amp; 50/12, near Sai Asha Niwas, Panvel Waterfall Road, Vasan Nagar, Nevali, Panvel, Panvel, Raigad - 410206.</v>
      </c>
      <c r="D14" s="101"/>
      <c r="E14" s="101"/>
      <c r="F14" s="101"/>
      <c r="G14" s="101"/>
      <c r="H14" s="101"/>
    </row>
    <row r="15" spans="1:8" x14ac:dyDescent="0.3">
      <c r="A15" s="102" t="s">
        <v>169</v>
      </c>
      <c r="B15" s="102"/>
      <c r="C15" s="102" t="s">
        <v>194</v>
      </c>
      <c r="D15" s="102"/>
      <c r="E15" s="102"/>
      <c r="F15" s="102"/>
      <c r="G15" s="102"/>
      <c r="H15" s="102"/>
    </row>
    <row r="16" spans="1:8" ht="15.75" customHeight="1" x14ac:dyDescent="0.3">
      <c r="A16" s="102" t="s">
        <v>157</v>
      </c>
      <c r="B16" s="102"/>
      <c r="C16" s="102" t="s">
        <v>191</v>
      </c>
      <c r="D16" s="102"/>
      <c r="E16" s="102"/>
      <c r="F16" s="102"/>
      <c r="G16" s="102"/>
      <c r="H16" s="102"/>
    </row>
    <row r="17" spans="1:8" ht="15.75" customHeight="1" x14ac:dyDescent="0.3">
      <c r="A17" s="101" t="s">
        <v>10</v>
      </c>
      <c r="B17" s="101"/>
      <c r="C17" s="82" t="s">
        <v>190</v>
      </c>
      <c r="D17" s="82"/>
      <c r="E17" s="101" t="s">
        <v>74</v>
      </c>
      <c r="F17" s="101"/>
      <c r="G17" s="102" t="s">
        <v>168</v>
      </c>
      <c r="H17" s="102"/>
    </row>
    <row r="18" spans="1:8" x14ac:dyDescent="0.3">
      <c r="A18" s="77" t="s">
        <v>12</v>
      </c>
      <c r="B18" s="77"/>
      <c r="C18" s="102" t="s">
        <v>167</v>
      </c>
      <c r="D18" s="102"/>
      <c r="E18" s="101" t="s">
        <v>11</v>
      </c>
      <c r="F18" s="101"/>
      <c r="G18" s="124" t="s">
        <v>166</v>
      </c>
      <c r="H18" s="124"/>
    </row>
    <row r="19" spans="1:8" x14ac:dyDescent="0.3">
      <c r="A19" s="77" t="s">
        <v>75</v>
      </c>
      <c r="B19" s="77"/>
      <c r="C19" s="102" t="s">
        <v>167</v>
      </c>
      <c r="D19" s="102"/>
      <c r="E19" s="101" t="s">
        <v>13</v>
      </c>
      <c r="F19" s="101"/>
      <c r="G19" s="102">
        <v>410206</v>
      </c>
      <c r="H19" s="102"/>
    </row>
    <row r="20" spans="1:8" ht="32.25" customHeight="1" x14ac:dyDescent="0.3">
      <c r="A20" s="77" t="s">
        <v>120</v>
      </c>
      <c r="B20" s="77"/>
      <c r="C20" s="102" t="s">
        <v>189</v>
      </c>
      <c r="D20" s="102"/>
      <c r="E20" s="101" t="s">
        <v>14</v>
      </c>
      <c r="F20" s="101"/>
      <c r="G20" s="102" t="s">
        <v>186</v>
      </c>
      <c r="H20" s="102"/>
    </row>
    <row r="21" spans="1:8" ht="15" customHeight="1" x14ac:dyDescent="0.3">
      <c r="A21" s="101" t="s">
        <v>77</v>
      </c>
      <c r="B21" s="101"/>
      <c r="C21" s="101"/>
      <c r="D21" s="101"/>
      <c r="E21" s="82" t="s">
        <v>15</v>
      </c>
      <c r="F21" s="82"/>
      <c r="G21" s="82"/>
      <c r="H21" s="82"/>
    </row>
    <row r="22" spans="1:8" ht="18.75" customHeight="1" x14ac:dyDescent="0.3">
      <c r="A22" s="101"/>
      <c r="B22" s="101"/>
      <c r="C22" s="101"/>
      <c r="D22" s="101"/>
      <c r="E22" s="82"/>
      <c r="F22" s="82"/>
      <c r="G22" s="82"/>
      <c r="H22" s="82"/>
    </row>
    <row r="23" spans="1:8" ht="15" customHeight="1" x14ac:dyDescent="0.3">
      <c r="A23" s="101" t="s">
        <v>16</v>
      </c>
      <c r="B23" s="101"/>
      <c r="C23" s="101"/>
      <c r="D23" s="101"/>
      <c r="E23" s="102" t="s">
        <v>17</v>
      </c>
      <c r="F23" s="102"/>
      <c r="G23" s="102"/>
      <c r="H23" s="102"/>
    </row>
    <row r="24" spans="1:8" ht="15" customHeight="1" x14ac:dyDescent="0.3">
      <c r="A24" s="77" t="s">
        <v>18</v>
      </c>
      <c r="B24" s="77"/>
      <c r="C24" s="77"/>
      <c r="D24" s="77"/>
      <c r="E24" s="102" t="str">
        <f>IF(AND(G18="Mumbai"),"Upper Class","Middle Class")</f>
        <v>Middle Class</v>
      </c>
      <c r="F24" s="102"/>
      <c r="G24" s="102"/>
      <c r="H24" s="102"/>
    </row>
    <row r="25" spans="1:8" x14ac:dyDescent="0.3">
      <c r="A25" s="77" t="s">
        <v>19</v>
      </c>
      <c r="B25" s="77"/>
      <c r="C25" s="77"/>
      <c r="D25" s="77"/>
      <c r="E25" s="102" t="s">
        <v>20</v>
      </c>
      <c r="F25" s="102"/>
      <c r="G25" s="102"/>
      <c r="H25" s="102"/>
    </row>
    <row r="26" spans="1:8" ht="15.75" customHeight="1" x14ac:dyDescent="0.3">
      <c r="A26" s="77" t="s">
        <v>21</v>
      </c>
      <c r="B26" s="77"/>
      <c r="C26" s="77"/>
      <c r="D26" s="77"/>
      <c r="E26" s="102" t="str">
        <f>IF(AND(G18="Mumbai"),"Developed","Developing")</f>
        <v>Developing</v>
      </c>
      <c r="F26" s="102"/>
      <c r="G26" s="102"/>
      <c r="H26" s="102"/>
    </row>
    <row r="27" spans="1:8" x14ac:dyDescent="0.3">
      <c r="A27" s="77" t="s">
        <v>22</v>
      </c>
      <c r="B27" s="77"/>
      <c r="C27" s="77"/>
      <c r="D27" s="77"/>
      <c r="E27" s="102" t="s">
        <v>23</v>
      </c>
      <c r="F27" s="102"/>
      <c r="G27" s="102"/>
      <c r="H27" s="102"/>
    </row>
    <row r="28" spans="1:8" ht="15.75" customHeight="1" x14ac:dyDescent="0.3">
      <c r="A28" s="77" t="s">
        <v>82</v>
      </c>
      <c r="B28" s="77"/>
      <c r="C28" s="77"/>
      <c r="D28" s="77"/>
      <c r="E28" s="102" t="s">
        <v>83</v>
      </c>
      <c r="F28" s="102"/>
      <c r="G28" s="102"/>
      <c r="H28" s="102"/>
    </row>
    <row r="29" spans="1:8" ht="15" customHeight="1" x14ac:dyDescent="0.3">
      <c r="A29" s="77" t="s">
        <v>32</v>
      </c>
      <c r="B29" s="77"/>
      <c r="C29" s="77"/>
      <c r="D29" s="77"/>
      <c r="E29" s="102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02"/>
      <c r="G29" s="102"/>
      <c r="H29" s="102"/>
    </row>
    <row r="30" spans="1:8" ht="15.75" customHeight="1" x14ac:dyDescent="0.3">
      <c r="A30" s="77" t="s">
        <v>94</v>
      </c>
      <c r="B30" s="77"/>
      <c r="C30" s="77"/>
      <c r="D30" s="77"/>
      <c r="E30" s="102" t="s">
        <v>33</v>
      </c>
      <c r="F30" s="102"/>
      <c r="G30" s="102"/>
      <c r="H30" s="102"/>
    </row>
    <row r="31" spans="1:8" s="21" customFormat="1" x14ac:dyDescent="0.3">
      <c r="A31" s="123" t="s">
        <v>95</v>
      </c>
      <c r="B31" s="123"/>
      <c r="C31" s="122" t="s">
        <v>28</v>
      </c>
      <c r="D31" s="122"/>
      <c r="E31" s="122"/>
      <c r="F31" s="122" t="s">
        <v>30</v>
      </c>
      <c r="G31" s="122"/>
      <c r="H31" s="122"/>
    </row>
    <row r="32" spans="1:8" s="21" customFormat="1" x14ac:dyDescent="0.3">
      <c r="A32" s="105" t="s">
        <v>24</v>
      </c>
      <c r="B32" s="105" t="s">
        <v>29</v>
      </c>
      <c r="C32" s="106" t="s">
        <v>29</v>
      </c>
      <c r="D32" s="106"/>
      <c r="E32" s="106"/>
      <c r="F32" s="106" t="s">
        <v>192</v>
      </c>
      <c r="G32" s="106"/>
      <c r="H32" s="106"/>
    </row>
    <row r="33" spans="1:8" x14ac:dyDescent="0.3">
      <c r="A33" s="105" t="s">
        <v>25</v>
      </c>
      <c r="B33" s="105" t="s">
        <v>29</v>
      </c>
      <c r="C33" s="106" t="s">
        <v>29</v>
      </c>
      <c r="D33" s="106"/>
      <c r="E33" s="106"/>
      <c r="F33" s="106" t="s">
        <v>193</v>
      </c>
      <c r="G33" s="106"/>
      <c r="H33" s="106"/>
    </row>
    <row r="34" spans="1:8" s="21" customFormat="1" x14ac:dyDescent="0.3">
      <c r="A34" s="105" t="s">
        <v>27</v>
      </c>
      <c r="B34" s="105" t="s">
        <v>29</v>
      </c>
      <c r="C34" s="106" t="s">
        <v>29</v>
      </c>
      <c r="D34" s="106"/>
      <c r="E34" s="106"/>
      <c r="F34" s="106" t="s">
        <v>189</v>
      </c>
      <c r="G34" s="106"/>
      <c r="H34" s="106"/>
    </row>
    <row r="35" spans="1:8" x14ac:dyDescent="0.3">
      <c r="A35" s="105" t="s">
        <v>26</v>
      </c>
      <c r="B35" s="105" t="s">
        <v>29</v>
      </c>
      <c r="C35" s="106" t="s">
        <v>29</v>
      </c>
      <c r="D35" s="106"/>
      <c r="E35" s="106"/>
      <c r="F35" s="106" t="s">
        <v>193</v>
      </c>
      <c r="G35" s="106"/>
      <c r="H35" s="106"/>
    </row>
    <row r="36" spans="1:8" x14ac:dyDescent="0.3">
      <c r="A36" s="77" t="s">
        <v>31</v>
      </c>
      <c r="B36" s="77"/>
      <c r="C36" s="77"/>
      <c r="D36" s="77"/>
      <c r="E36" s="77"/>
      <c r="F36" s="77"/>
      <c r="G36" s="77"/>
      <c r="H36" s="77"/>
    </row>
    <row r="37" spans="1:8" ht="15.75" customHeight="1" x14ac:dyDescent="0.3">
      <c r="A37" s="108" t="s">
        <v>159</v>
      </c>
      <c r="B37" s="108"/>
      <c r="C37" s="77" t="s">
        <v>208</v>
      </c>
      <c r="D37" s="77"/>
      <c r="E37" s="77"/>
      <c r="F37" s="77"/>
      <c r="G37" s="77"/>
      <c r="H37" s="77"/>
    </row>
    <row r="38" spans="1:8" x14ac:dyDescent="0.3">
      <c r="A38" s="108" t="s">
        <v>156</v>
      </c>
      <c r="B38" s="108"/>
      <c r="C38" s="109" t="s">
        <v>185</v>
      </c>
      <c r="D38" s="102"/>
      <c r="E38" s="102"/>
      <c r="F38" s="102"/>
      <c r="G38" s="102"/>
      <c r="H38" s="102"/>
    </row>
    <row r="39" spans="1:8" x14ac:dyDescent="0.3">
      <c r="A39" s="108" t="s">
        <v>34</v>
      </c>
      <c r="B39" s="108"/>
      <c r="C39" s="108"/>
      <c r="D39" s="108"/>
      <c r="E39" s="108"/>
      <c r="F39" s="108"/>
      <c r="G39" s="108"/>
      <c r="H39" s="108"/>
    </row>
    <row r="40" spans="1:8" x14ac:dyDescent="0.3">
      <c r="A40" s="77" t="s">
        <v>35</v>
      </c>
      <c r="B40" s="77"/>
      <c r="C40" s="77"/>
      <c r="D40" s="77"/>
      <c r="E40" s="107">
        <v>2119.84</v>
      </c>
      <c r="F40" s="107"/>
      <c r="G40" s="107"/>
      <c r="H40" s="107"/>
    </row>
    <row r="41" spans="1:8" x14ac:dyDescent="0.3">
      <c r="A41" s="77" t="s">
        <v>36</v>
      </c>
      <c r="B41" s="77"/>
      <c r="C41" s="77"/>
      <c r="D41" s="77"/>
      <c r="E41" s="80">
        <v>1</v>
      </c>
      <c r="F41" s="80"/>
      <c r="G41" s="80"/>
      <c r="H41" s="80"/>
    </row>
    <row r="42" spans="1:8" x14ac:dyDescent="0.3">
      <c r="A42" s="77" t="s">
        <v>37</v>
      </c>
      <c r="B42" s="77"/>
      <c r="C42" s="77"/>
      <c r="D42" s="77"/>
      <c r="E42" s="80">
        <f>E44/E40-E41</f>
        <v>0</v>
      </c>
      <c r="F42" s="80"/>
      <c r="G42" s="80"/>
      <c r="H42" s="80"/>
    </row>
    <row r="43" spans="1:8" x14ac:dyDescent="0.3">
      <c r="A43" s="77" t="s">
        <v>38</v>
      </c>
      <c r="B43" s="77"/>
      <c r="C43" s="77"/>
      <c r="D43" s="77"/>
      <c r="E43" s="80">
        <f>E41+E42</f>
        <v>1</v>
      </c>
      <c r="F43" s="80"/>
      <c r="G43" s="80"/>
      <c r="H43" s="80"/>
    </row>
    <row r="44" spans="1:8" x14ac:dyDescent="0.3">
      <c r="A44" s="77" t="s">
        <v>93</v>
      </c>
      <c r="B44" s="77"/>
      <c r="C44" s="77"/>
      <c r="D44" s="77"/>
      <c r="E44" s="81">
        <v>2119.84</v>
      </c>
      <c r="F44" s="81"/>
      <c r="G44" s="81"/>
      <c r="H44" s="81"/>
    </row>
    <row r="45" spans="1:8" x14ac:dyDescent="0.3">
      <c r="A45" s="82" t="s">
        <v>39</v>
      </c>
      <c r="B45" s="82"/>
      <c r="C45" s="82"/>
      <c r="D45" s="82"/>
      <c r="E45" s="82" t="s">
        <v>188</v>
      </c>
      <c r="F45" s="82"/>
      <c r="G45" s="82"/>
      <c r="H45" s="82"/>
    </row>
    <row r="46" spans="1:8" x14ac:dyDescent="0.3">
      <c r="A46" s="108" t="s">
        <v>40</v>
      </c>
      <c r="B46" s="108"/>
      <c r="C46" s="108"/>
      <c r="D46" s="108"/>
      <c r="E46" s="108"/>
      <c r="F46" s="108"/>
      <c r="G46" s="108"/>
      <c r="H46" s="108"/>
    </row>
    <row r="47" spans="1:8" ht="33.75" customHeight="1" x14ac:dyDescent="0.3">
      <c r="A47" s="85" t="s">
        <v>148</v>
      </c>
      <c r="B47" s="86"/>
      <c r="C47" s="87" t="s">
        <v>199</v>
      </c>
      <c r="D47" s="88"/>
      <c r="E47" s="88"/>
      <c r="F47" s="88"/>
      <c r="G47" s="88"/>
      <c r="H47" s="89"/>
    </row>
    <row r="48" spans="1:8" ht="32.25" customHeight="1" x14ac:dyDescent="0.3">
      <c r="A48" s="85" t="s">
        <v>41</v>
      </c>
      <c r="B48" s="86"/>
      <c r="C48" s="85" t="s">
        <v>195</v>
      </c>
      <c r="D48" s="121"/>
      <c r="E48" s="86"/>
      <c r="F48" s="17" t="s">
        <v>42</v>
      </c>
      <c r="G48" s="115">
        <v>44636</v>
      </c>
      <c r="H48" s="86"/>
    </row>
    <row r="49" spans="1:14" ht="31.5" customHeight="1" x14ac:dyDescent="0.3">
      <c r="A49" s="85" t="s">
        <v>43</v>
      </c>
      <c r="B49" s="86"/>
      <c r="C49" s="85" t="str">
        <f>C48</f>
        <v>CIDCO/NAINA/Panvel/Nevali/BP00541/CC/2022/0170</v>
      </c>
      <c r="D49" s="121"/>
      <c r="E49" s="86"/>
      <c r="F49" s="17" t="s">
        <v>42</v>
      </c>
      <c r="G49" s="115">
        <f>G48</f>
        <v>44636</v>
      </c>
      <c r="H49" s="116"/>
    </row>
    <row r="50" spans="1:14" s="22" customFormat="1" ht="33" customHeight="1" x14ac:dyDescent="0.3">
      <c r="A50" s="117" t="s">
        <v>152</v>
      </c>
      <c r="B50" s="118"/>
      <c r="C50" s="85" t="str">
        <f>C49</f>
        <v>CIDCO/NAINA/Panvel/Nevali/BP00541/CC/2022/0170</v>
      </c>
      <c r="D50" s="121"/>
      <c r="E50" s="86"/>
      <c r="F50" s="17" t="s">
        <v>42</v>
      </c>
      <c r="G50" s="115">
        <f>G49</f>
        <v>44636</v>
      </c>
      <c r="H50" s="116"/>
    </row>
    <row r="51" spans="1:14" s="22" customFormat="1" x14ac:dyDescent="0.3">
      <c r="A51" s="119"/>
      <c r="B51" s="120"/>
      <c r="C51" s="85" t="s">
        <v>184</v>
      </c>
      <c r="D51" s="121"/>
      <c r="E51" s="121"/>
      <c r="F51" s="121"/>
      <c r="G51" s="121"/>
      <c r="H51" s="86"/>
    </row>
    <row r="52" spans="1:14" x14ac:dyDescent="0.3">
      <c r="A52" s="97" t="s">
        <v>44</v>
      </c>
      <c r="B52" s="98"/>
      <c r="C52" s="97" t="s">
        <v>103</v>
      </c>
      <c r="D52" s="99"/>
      <c r="E52" s="98"/>
      <c r="F52" s="44" t="s">
        <v>42</v>
      </c>
      <c r="G52" s="103" t="s">
        <v>29</v>
      </c>
      <c r="H52" s="104"/>
    </row>
    <row r="53" spans="1:14" x14ac:dyDescent="0.3">
      <c r="A53" s="100" t="s">
        <v>46</v>
      </c>
      <c r="B53" s="100"/>
      <c r="C53" s="100"/>
      <c r="D53" s="100"/>
      <c r="E53" s="100"/>
      <c r="F53" s="100"/>
      <c r="G53" s="100"/>
      <c r="H53" s="100"/>
    </row>
    <row r="54" spans="1:14" x14ac:dyDescent="0.3">
      <c r="A54" s="101" t="s">
        <v>92</v>
      </c>
      <c r="B54" s="101"/>
      <c r="C54" s="101"/>
      <c r="D54" s="77">
        <f>E44</f>
        <v>2119.84</v>
      </c>
      <c r="E54" s="77"/>
      <c r="F54" s="77"/>
      <c r="G54" s="77"/>
      <c r="H54" s="77"/>
    </row>
    <row r="55" spans="1:14" x14ac:dyDescent="0.3">
      <c r="A55" s="102" t="s">
        <v>47</v>
      </c>
      <c r="B55" s="82"/>
      <c r="C55" s="82"/>
      <c r="D55" s="82" t="s">
        <v>187</v>
      </c>
      <c r="E55" s="82"/>
      <c r="F55" s="82"/>
      <c r="G55" s="82"/>
      <c r="H55" s="82"/>
      <c r="I55" s="23"/>
    </row>
    <row r="56" spans="1:14" x14ac:dyDescent="0.3">
      <c r="A56" s="112" t="s">
        <v>48</v>
      </c>
      <c r="B56" s="113"/>
      <c r="C56" s="114"/>
      <c r="D56" s="110" t="s">
        <v>184</v>
      </c>
      <c r="E56" s="111"/>
      <c r="F56" s="111"/>
      <c r="G56" s="111"/>
      <c r="H56" s="111"/>
    </row>
    <row r="57" spans="1:14" ht="15.75" customHeight="1" x14ac:dyDescent="0.3">
      <c r="A57" s="112" t="s">
        <v>90</v>
      </c>
      <c r="B57" s="113"/>
      <c r="C57" s="114"/>
      <c r="D57" s="82" t="s">
        <v>209</v>
      </c>
      <c r="E57" s="82"/>
      <c r="F57" s="82"/>
      <c r="G57" s="82"/>
      <c r="H57" s="82"/>
    </row>
    <row r="58" spans="1:14" ht="15.75" customHeight="1" x14ac:dyDescent="0.3">
      <c r="A58" s="170"/>
      <c r="B58" s="171"/>
      <c r="C58" s="172"/>
      <c r="D58" s="82" t="s">
        <v>210</v>
      </c>
      <c r="E58" s="82"/>
      <c r="F58" s="82"/>
      <c r="G58" s="82"/>
      <c r="H58" s="82"/>
    </row>
    <row r="59" spans="1:14" ht="15.75" customHeight="1" x14ac:dyDescent="0.3">
      <c r="A59" s="77" t="s">
        <v>45</v>
      </c>
      <c r="B59" s="77"/>
      <c r="C59" s="77"/>
      <c r="D59" s="173" t="s">
        <v>170</v>
      </c>
      <c r="E59" s="173"/>
      <c r="F59" s="173"/>
      <c r="G59" s="173"/>
      <c r="H59" s="173"/>
      <c r="J59" s="20">
        <f>500</f>
        <v>500</v>
      </c>
      <c r="K59" s="23">
        <v>200</v>
      </c>
      <c r="N59" s="23"/>
    </row>
    <row r="60" spans="1:14" ht="15.75" customHeight="1" x14ac:dyDescent="0.3">
      <c r="A60" s="77" t="s">
        <v>88</v>
      </c>
      <c r="B60" s="77"/>
      <c r="C60" s="77"/>
      <c r="D60" s="183" t="str">
        <f>(IF(G52="NA","60 Years After Completion",IF(G52&lt;&gt;"NA",""&amp;60-ROUNDDOWN((E3-G52)/360,0)&amp;" Years"," ")))</f>
        <v>60 Years After Completion</v>
      </c>
      <c r="E60" s="183"/>
      <c r="F60" s="183"/>
      <c r="G60" s="183"/>
      <c r="H60" s="183"/>
      <c r="J60" s="20">
        <f>1.5*500</f>
        <v>750</v>
      </c>
      <c r="L60" s="20">
        <f>I56881-100</f>
        <v>-100</v>
      </c>
      <c r="N60" s="23"/>
    </row>
    <row r="61" spans="1:14" ht="15.75" customHeight="1" x14ac:dyDescent="0.3">
      <c r="A61" s="77" t="s">
        <v>89</v>
      </c>
      <c r="B61" s="77"/>
      <c r="C61" s="77"/>
      <c r="D61" s="101" t="s">
        <v>23</v>
      </c>
      <c r="E61" s="101"/>
      <c r="F61" s="101"/>
      <c r="G61" s="101"/>
      <c r="H61" s="101"/>
      <c r="J61" s="66">
        <f>J60+K59/2</f>
        <v>850</v>
      </c>
      <c r="K61" s="24"/>
    </row>
    <row r="62" spans="1:14" ht="48" customHeight="1" x14ac:dyDescent="0.3">
      <c r="A62" s="77" t="s">
        <v>76</v>
      </c>
      <c r="B62" s="77"/>
      <c r="C62" s="77"/>
      <c r="D62" s="102" t="s">
        <v>198</v>
      </c>
      <c r="E62" s="101"/>
      <c r="F62" s="101"/>
      <c r="G62" s="101"/>
      <c r="H62" s="101"/>
    </row>
    <row r="63" spans="1:14" x14ac:dyDescent="0.3">
      <c r="A63" s="101" t="s">
        <v>146</v>
      </c>
      <c r="B63" s="101"/>
      <c r="C63" s="101"/>
      <c r="D63" s="101" t="s">
        <v>29</v>
      </c>
      <c r="E63" s="101"/>
      <c r="F63" s="101"/>
      <c r="G63" s="101"/>
      <c r="H63" s="101"/>
      <c r="I63" s="25"/>
      <c r="J63" s="25"/>
      <c r="K63" s="25"/>
      <c r="L63" s="25"/>
      <c r="M63" s="25"/>
      <c r="N63" s="25"/>
    </row>
    <row r="64" spans="1:14" ht="15.75" customHeight="1" x14ac:dyDescent="0.3">
      <c r="A64" s="154" t="s">
        <v>87</v>
      </c>
      <c r="B64" s="154"/>
      <c r="C64" s="154"/>
      <c r="D64" s="110" t="str">
        <f ca="1">(IF(G70&gt;95%,"Nothing",IF(G70&gt;0%,"Cement, Aggregate, Steel, etc",IF(G70=0%,"Work not yet Started"))))</f>
        <v>Cement, Aggregate, Steel, etc</v>
      </c>
      <c r="E64" s="110"/>
      <c r="F64" s="110"/>
      <c r="G64" s="110"/>
      <c r="H64" s="110"/>
      <c r="J64" s="24"/>
    </row>
    <row r="65" spans="1:10" ht="33.75" customHeight="1" thickBot="1" x14ac:dyDescent="0.35">
      <c r="A65" s="153" t="s">
        <v>116</v>
      </c>
      <c r="B65" s="153"/>
      <c r="C65" s="153"/>
      <c r="D65" s="110" t="str">
        <f ca="1">(IF(D64="Nothing","Yes",IF(D64="Cement, Aggregate, Steel, etc","Under Construction",IF(D64="Work not yet Started","Work not yet Started"))))</f>
        <v>Under Construction</v>
      </c>
      <c r="E65" s="110"/>
      <c r="F65" s="110" t="str">
        <f ca="1">(IF(D64="Nothing","Yes",IF(D64="Cement, Aggregate, Steel, etc","Under Construction",IF(D64="Work not yet Started","Work not yet Started"))))</f>
        <v>Under Construction</v>
      </c>
      <c r="G65" s="110"/>
      <c r="H65" s="110"/>
    </row>
    <row r="66" spans="1:10" ht="15.75" customHeight="1" x14ac:dyDescent="0.3">
      <c r="A66" s="92" t="s">
        <v>138</v>
      </c>
      <c r="B66" s="93"/>
      <c r="C66" s="94" t="s">
        <v>218</v>
      </c>
      <c r="D66" s="95"/>
      <c r="E66" s="95"/>
      <c r="F66" s="95"/>
      <c r="G66" s="95"/>
      <c r="H66" s="96"/>
      <c r="I66" s="48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Plaster, Flooring Completed, Painting upto 3 Floor, Finishing upto 3 Floor Completed</v>
      </c>
      <c r="J66" s="49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Painting upto 3 Floor, Finishing upto 3 Floor</v>
      </c>
    </row>
    <row r="67" spans="1:10" x14ac:dyDescent="0.3">
      <c r="A67" s="15" t="s">
        <v>140</v>
      </c>
      <c r="B67" s="46">
        <f>IF(AND(ISNUMBER(SEARCH("1B",C66))),1,IF(AND(ISNUMBER(SEARCH("2B",C66))),2,IF(AND(ISNUMBER(SEARCH("3B",C66))),3,IF(AND(ISNUMBER(SEARCH("4B",C66))),4,IF(ISNUMBER(SEARCH("5B",C66)),5,0)))))</f>
        <v>0</v>
      </c>
      <c r="C67" s="46" t="s">
        <v>73</v>
      </c>
      <c r="D67" s="46">
        <v>1</v>
      </c>
      <c r="E67" s="46" t="s">
        <v>72</v>
      </c>
      <c r="F67" s="46">
        <v>0</v>
      </c>
      <c r="G67" s="47" t="s">
        <v>81</v>
      </c>
      <c r="H67" s="16">
        <f ca="1">--TRIM(RIGHT(SUBSTITUTE(LEFT(C66,_xlfn.AGGREGATE(16,6,FIND({0,1,2,3,4,5,6,7,8,9},C66,ROW(INDIRECT("1:"&amp;LEN(C66)))),1))," ",REPT(" ",LEN(C66))),LEN(C66)))</f>
        <v>4</v>
      </c>
      <c r="I67" s="50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</v>
      </c>
      <c r="J67" s="5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3" customHeight="1" x14ac:dyDescent="0.3">
      <c r="A68" s="90" t="s">
        <v>91</v>
      </c>
      <c r="B68" s="91"/>
      <c r="C68" s="151" t="str">
        <f ca="1">I66</f>
        <v>Excavation, Plinth, RCC Slab, Brickwork, Internal Plaster, External Plaster, Flooring Completed, Painting upto 3 Floor, Finishing upto 3 Floor Completed</v>
      </c>
      <c r="D68" s="151"/>
      <c r="E68" s="151"/>
      <c r="F68" s="151"/>
      <c r="G68" s="151"/>
      <c r="H68" s="152"/>
      <c r="I68" s="50" t="str">
        <f ca="1">IF(I67&lt;&gt;""," Completed","")</f>
        <v xml:space="preserve"> Completed</v>
      </c>
      <c r="J68" s="51" t="str">
        <f ca="1">IF(J66&lt;&gt;"","Completed","")</f>
        <v>Completed</v>
      </c>
    </row>
    <row r="69" spans="1:10" ht="15.75" customHeight="1" x14ac:dyDescent="0.3">
      <c r="A69" s="83" t="s">
        <v>49</v>
      </c>
      <c r="B69" s="84"/>
      <c r="C69" s="42" t="s">
        <v>137</v>
      </c>
      <c r="D69" s="42" t="s">
        <v>84</v>
      </c>
      <c r="E69" s="84" t="s">
        <v>86</v>
      </c>
      <c r="F69" s="84"/>
      <c r="G69" s="84" t="s">
        <v>85</v>
      </c>
      <c r="H69" s="155"/>
      <c r="I69" s="13" t="s">
        <v>139</v>
      </c>
      <c r="J69" s="26">
        <f ca="1">H67*25%</f>
        <v>1</v>
      </c>
    </row>
    <row r="70" spans="1:10" x14ac:dyDescent="0.3">
      <c r="A70" s="83" t="s">
        <v>126</v>
      </c>
      <c r="B70" s="84"/>
      <c r="C70" s="42">
        <f ca="1">J71</f>
        <v>4</v>
      </c>
      <c r="D70" s="18">
        <f ca="1">((100/H67)*C70)/100</f>
        <v>1</v>
      </c>
      <c r="E70" s="174">
        <f ca="1">(((C71/H67*10)+(40/(D67+F67+H67)*C72)+(7.5/(H67)*C73)+(7.5/(H67)*C74)+(10/H67*C75)+(10/H67*C76)+(5/H67*C77)+(5/H67*C78)+(5/H67*C79))/100)</f>
        <v>0.92500000000000004</v>
      </c>
      <c r="F70" s="175"/>
      <c r="G70" s="174">
        <f ca="1">((((C70/H67)*20)+((C71/H67)*25)+(30/(H67+F67+D67)*C72)+(5/H67*C73)+(5/H67*C74)+(5/H67*C75)+(5/H67*C76)+(0/H67*C77)+(0/H67*C78)+(5/H67*C79))/100)</f>
        <v>0.95</v>
      </c>
      <c r="H70" s="180"/>
      <c r="I70" s="13" t="s">
        <v>98</v>
      </c>
      <c r="J70" s="27">
        <f ca="1">H67*50%</f>
        <v>2</v>
      </c>
    </row>
    <row r="71" spans="1:10" x14ac:dyDescent="0.3">
      <c r="A71" s="83" t="s">
        <v>50</v>
      </c>
      <c r="B71" s="84"/>
      <c r="C71" s="42">
        <f ca="1">J79</f>
        <v>4</v>
      </c>
      <c r="D71" s="18">
        <f ca="1">((100/H67)*C71)/100</f>
        <v>1</v>
      </c>
      <c r="E71" s="176"/>
      <c r="F71" s="177"/>
      <c r="G71" s="176"/>
      <c r="H71" s="181"/>
      <c r="I71" s="13" t="s">
        <v>99</v>
      </c>
      <c r="J71" s="27">
        <f ca="1">H67</f>
        <v>4</v>
      </c>
    </row>
    <row r="72" spans="1:10" ht="15.75" customHeight="1" x14ac:dyDescent="0.3">
      <c r="A72" s="83" t="s">
        <v>127</v>
      </c>
      <c r="B72" s="84"/>
      <c r="C72" s="42">
        <v>5</v>
      </c>
      <c r="D72" s="18">
        <f ca="1">((100/(D67+F67+H67))*C72)/100</f>
        <v>1</v>
      </c>
      <c r="E72" s="176"/>
      <c r="F72" s="177"/>
      <c r="G72" s="176"/>
      <c r="H72" s="181"/>
      <c r="I72" s="13" t="s">
        <v>100</v>
      </c>
      <c r="J72" s="28">
        <f ca="1">(IF(B67&gt;1,(H67/(B67+2)),H67/4))</f>
        <v>1</v>
      </c>
    </row>
    <row r="73" spans="1:10" ht="15.75" customHeight="1" x14ac:dyDescent="0.3">
      <c r="A73" s="83" t="s">
        <v>134</v>
      </c>
      <c r="B73" s="84" t="s">
        <v>128</v>
      </c>
      <c r="C73" s="42">
        <v>4</v>
      </c>
      <c r="D73" s="18">
        <f ca="1">((100/H67)*C73)/100</f>
        <v>1</v>
      </c>
      <c r="E73" s="176"/>
      <c r="F73" s="177"/>
      <c r="G73" s="176"/>
      <c r="H73" s="181"/>
      <c r="I73" s="13" t="s">
        <v>101</v>
      </c>
      <c r="J73" s="28">
        <f ca="1">(IF(B67&gt;1,(H67/(B67+2)+J72),H67/4+J72))</f>
        <v>2</v>
      </c>
    </row>
    <row r="74" spans="1:10" ht="15.75" customHeight="1" x14ac:dyDescent="0.3">
      <c r="A74" s="83" t="s">
        <v>135</v>
      </c>
      <c r="B74" s="84" t="s">
        <v>128</v>
      </c>
      <c r="C74" s="42">
        <v>4</v>
      </c>
      <c r="D74" s="18">
        <f ca="1">((100/H67)*C74)/100</f>
        <v>1</v>
      </c>
      <c r="E74" s="176"/>
      <c r="F74" s="177"/>
      <c r="G74" s="176"/>
      <c r="H74" s="181"/>
      <c r="I74" s="13" t="s">
        <v>144</v>
      </c>
      <c r="J74" s="28">
        <f>(IF(B67&gt;1,(H67/(B67+2)+J73),0))</f>
        <v>0</v>
      </c>
    </row>
    <row r="75" spans="1:10" ht="15" customHeight="1" x14ac:dyDescent="0.3">
      <c r="A75" s="83" t="s">
        <v>133</v>
      </c>
      <c r="B75" s="84" t="s">
        <v>130</v>
      </c>
      <c r="C75" s="42">
        <v>4</v>
      </c>
      <c r="D75" s="18">
        <f ca="1">((100/(H67))*C75)/100</f>
        <v>1</v>
      </c>
      <c r="E75" s="176"/>
      <c r="F75" s="177"/>
      <c r="G75" s="176"/>
      <c r="H75" s="181"/>
      <c r="I75" s="13" t="s">
        <v>141</v>
      </c>
      <c r="J75" s="28">
        <f>(IF(B67&gt;2,(H67/(B67+2)+J74),0))</f>
        <v>0</v>
      </c>
    </row>
    <row r="76" spans="1:10" ht="15.75" customHeight="1" x14ac:dyDescent="0.3">
      <c r="A76" s="83" t="s">
        <v>129</v>
      </c>
      <c r="B76" s="84" t="s">
        <v>129</v>
      </c>
      <c r="C76" s="42">
        <v>4</v>
      </c>
      <c r="D76" s="18">
        <f ca="1">((100/H67)*C76)/100</f>
        <v>1</v>
      </c>
      <c r="E76" s="176"/>
      <c r="F76" s="177"/>
      <c r="G76" s="176"/>
      <c r="H76" s="181"/>
      <c r="I76" s="13" t="s">
        <v>142</v>
      </c>
      <c r="J76" s="29">
        <f>(IF(B67&gt;3,(H67/(B67+2)+J75),0))</f>
        <v>0</v>
      </c>
    </row>
    <row r="77" spans="1:10" ht="15.75" customHeight="1" x14ac:dyDescent="0.3">
      <c r="A77" s="83" t="s">
        <v>136</v>
      </c>
      <c r="B77" s="84"/>
      <c r="C77" s="42">
        <v>3</v>
      </c>
      <c r="D77" s="18">
        <f ca="1">((100/H67)*C77)/100</f>
        <v>0.75</v>
      </c>
      <c r="E77" s="176"/>
      <c r="F77" s="177"/>
      <c r="G77" s="176"/>
      <c r="H77" s="181"/>
      <c r="I77" s="13" t="s">
        <v>143</v>
      </c>
      <c r="J77" s="28">
        <f>(IF(B67&gt;4,(H67/(B67+2)+J76),0))</f>
        <v>0</v>
      </c>
    </row>
    <row r="78" spans="1:10" ht="15.75" customHeight="1" x14ac:dyDescent="0.3">
      <c r="A78" s="83" t="s">
        <v>131</v>
      </c>
      <c r="B78" s="84" t="s">
        <v>131</v>
      </c>
      <c r="C78" s="42">
        <v>3</v>
      </c>
      <c r="D78" s="18">
        <f ca="1">((100/(H67))*C78)/100</f>
        <v>0.75</v>
      </c>
      <c r="E78" s="176"/>
      <c r="F78" s="177"/>
      <c r="G78" s="176"/>
      <c r="H78" s="181"/>
      <c r="I78" s="13" t="s">
        <v>145</v>
      </c>
      <c r="J78" s="28">
        <f ca="1">(IF(B67=1,(H67/(B67+3)+J73),IF(B67=0,(H67/4+J73),IF(B67&gt;1,0))))</f>
        <v>3</v>
      </c>
    </row>
    <row r="79" spans="1:10" ht="16.2" thickBot="1" x14ac:dyDescent="0.35">
      <c r="A79" s="165" t="s">
        <v>132</v>
      </c>
      <c r="B79" s="166"/>
      <c r="C79" s="43">
        <v>0</v>
      </c>
      <c r="D79" s="19">
        <f ca="1">((100/(H67))*C79)/100</f>
        <v>0</v>
      </c>
      <c r="E79" s="178"/>
      <c r="F79" s="179"/>
      <c r="G79" s="178"/>
      <c r="H79" s="182"/>
      <c r="I79" s="14" t="s">
        <v>102</v>
      </c>
      <c r="J79" s="30">
        <f ca="1">(IF(B67&gt;1.5,(H67/(B67+2)+J73+MAX(0,J74-J73)+MAX(0,J75-J74)+MAX(0,J76-J75)+MAX(0,J77-J76)+MAX(0,J78-J77)),IF(B67=1,(H67/(B67+3)+J78),IF(B67=0,H67/4+J78))))</f>
        <v>4</v>
      </c>
    </row>
    <row r="80" spans="1:10" ht="15.75" hidden="1" customHeight="1" x14ac:dyDescent="0.3">
      <c r="A80" s="92" t="s">
        <v>138</v>
      </c>
      <c r="B80" s="93"/>
      <c r="C80" s="94" t="s">
        <v>214</v>
      </c>
      <c r="D80" s="95"/>
      <c r="E80" s="95"/>
      <c r="F80" s="95"/>
      <c r="G80" s="95"/>
      <c r="H80" s="96"/>
      <c r="I80" s="48" t="str">
        <f ca="1">IF(D93=100%,"All work Completed. Possession granted to the Building.",IF(D92=100%,"All work Completed, Waiting for OC",I81&amp;""&amp;I82&amp;""&amp;J81&amp;""&amp;J80&amp;" "&amp;J82))</f>
        <v xml:space="preserve">Excavation, Plinth, RCC Slab, Brickwork Completed </v>
      </c>
      <c r="J80" s="49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/>
      </c>
    </row>
    <row r="81" spans="1:10" hidden="1" x14ac:dyDescent="0.3">
      <c r="A81" s="15" t="s">
        <v>140</v>
      </c>
      <c r="B81" s="46">
        <f>IF(AND(ISNUMBER(SEARCH("1B",C80))),1,IF(AND(ISNUMBER(SEARCH("2B",C80))),2,IF(AND(ISNUMBER(SEARCH("3B",C80))),3,IF(AND(ISNUMBER(SEARCH("4B",C80))),4,IF(ISNUMBER(SEARCH("5B",C80)),5,0)))))</f>
        <v>0</v>
      </c>
      <c r="C81" s="46" t="s">
        <v>73</v>
      </c>
      <c r="D81" s="46">
        <v>1</v>
      </c>
      <c r="E81" s="46" t="s">
        <v>72</v>
      </c>
      <c r="F81" s="46">
        <v>0</v>
      </c>
      <c r="G81" s="47" t="s">
        <v>81</v>
      </c>
      <c r="H81" s="16">
        <f ca="1">--TRIM(RIGHT(SUBSTITUTE(LEFT(C80,_xlfn.AGGREGATE(16,6,FIND({0,1,2,3,4,5,6,7,8,9},C80,ROW(INDIRECT("1:"&amp;LEN(C80)))),1))," ",REPT(" ",LEN(C80))),LEN(C80)))</f>
        <v>4</v>
      </c>
      <c r="I81" s="50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Slab, Brickwork</v>
      </c>
      <c r="J81" s="51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18.75" hidden="1" customHeight="1" x14ac:dyDescent="0.3">
      <c r="A82" s="90" t="s">
        <v>91</v>
      </c>
      <c r="B82" s="91"/>
      <c r="C82" s="151" t="str">
        <f ca="1">I80</f>
        <v xml:space="preserve">Excavation, Plinth, RCC Slab, Brickwork Completed </v>
      </c>
      <c r="D82" s="151"/>
      <c r="E82" s="151"/>
      <c r="F82" s="151"/>
      <c r="G82" s="151"/>
      <c r="H82" s="152"/>
      <c r="I82" s="50" t="str">
        <f ca="1">IF(I81&lt;&gt;""," Completed","")</f>
        <v xml:space="preserve"> Completed</v>
      </c>
      <c r="J82" s="51" t="str">
        <f ca="1">IF(J80&lt;&gt;"","Completed","")</f>
        <v/>
      </c>
    </row>
    <row r="83" spans="1:10" ht="15.75" hidden="1" customHeight="1" x14ac:dyDescent="0.3">
      <c r="A83" s="83" t="s">
        <v>49</v>
      </c>
      <c r="B83" s="84"/>
      <c r="C83" s="42" t="s">
        <v>137</v>
      </c>
      <c r="D83" s="42" t="s">
        <v>84</v>
      </c>
      <c r="E83" s="84" t="s">
        <v>86</v>
      </c>
      <c r="F83" s="84"/>
      <c r="G83" s="84" t="s">
        <v>85</v>
      </c>
      <c r="H83" s="155"/>
      <c r="I83" s="13" t="s">
        <v>139</v>
      </c>
      <c r="J83" s="26">
        <f ca="1">H81*25%</f>
        <v>1</v>
      </c>
    </row>
    <row r="84" spans="1:10" hidden="1" x14ac:dyDescent="0.3">
      <c r="A84" s="83" t="s">
        <v>126</v>
      </c>
      <c r="B84" s="84"/>
      <c r="C84" s="42">
        <f ca="1">J85</f>
        <v>4</v>
      </c>
      <c r="D84" s="18">
        <f ca="1">((100/H81)*C84)/100</f>
        <v>1</v>
      </c>
      <c r="E84" s="174">
        <f ca="1">(((C85/H81*10)+(40/(D81+F81+H81)*C86)+(7.5/(H81)*C87)+(7.5/(H81)*C88)+(10/H81*C89)+(10/H81*C90)+(5/H81*C91)+(5/H81*C92)+(5/H81*C93))/100)</f>
        <v>0.57499999999999996</v>
      </c>
      <c r="F84" s="175"/>
      <c r="G84" s="174">
        <f ca="1">((((C84/H81)*20)+((C85/H81)*25)+(30/(H81+F81+D81)*C86)+(5/H81*C87)+(5/H81*C88)+(5/H81*C89)+(5/H81*C90)+(0/H81*C91)+(0/H81*C92)+(5/H81*C93))/100)</f>
        <v>0.8</v>
      </c>
      <c r="H84" s="180"/>
      <c r="I84" s="13" t="s">
        <v>98</v>
      </c>
      <c r="J84" s="27">
        <f ca="1">H81*50%</f>
        <v>2</v>
      </c>
    </row>
    <row r="85" spans="1:10" hidden="1" x14ac:dyDescent="0.3">
      <c r="A85" s="83" t="s">
        <v>50</v>
      </c>
      <c r="B85" s="84"/>
      <c r="C85" s="42">
        <f ca="1">J93</f>
        <v>4</v>
      </c>
      <c r="D85" s="18">
        <f ca="1">((100/H81)*C85)/100</f>
        <v>1</v>
      </c>
      <c r="E85" s="176"/>
      <c r="F85" s="177"/>
      <c r="G85" s="176"/>
      <c r="H85" s="181"/>
      <c r="I85" s="13" t="s">
        <v>99</v>
      </c>
      <c r="J85" s="27">
        <f ca="1">H81</f>
        <v>4</v>
      </c>
    </row>
    <row r="86" spans="1:10" ht="15.75" hidden="1" customHeight="1" x14ac:dyDescent="0.3">
      <c r="A86" s="83" t="s">
        <v>127</v>
      </c>
      <c r="B86" s="84"/>
      <c r="C86" s="42">
        <v>5</v>
      </c>
      <c r="D86" s="18">
        <f ca="1">((100/(D81+F81+H81))*C86)/100</f>
        <v>1</v>
      </c>
      <c r="E86" s="176"/>
      <c r="F86" s="177"/>
      <c r="G86" s="176"/>
      <c r="H86" s="181"/>
      <c r="I86" s="13" t="s">
        <v>100</v>
      </c>
      <c r="J86" s="28">
        <f ca="1">(IF(B81&gt;1,(H81/(B81+2)),H81/4))</f>
        <v>1</v>
      </c>
    </row>
    <row r="87" spans="1:10" ht="15.75" hidden="1" customHeight="1" x14ac:dyDescent="0.3">
      <c r="A87" s="83" t="s">
        <v>134</v>
      </c>
      <c r="B87" s="84" t="s">
        <v>128</v>
      </c>
      <c r="C87" s="42">
        <v>4</v>
      </c>
      <c r="D87" s="18">
        <f ca="1">((100/H81)*C87)/100</f>
        <v>1</v>
      </c>
      <c r="E87" s="176"/>
      <c r="F87" s="177"/>
      <c r="G87" s="176"/>
      <c r="H87" s="181"/>
      <c r="I87" s="13" t="s">
        <v>101</v>
      </c>
      <c r="J87" s="28">
        <f ca="1">(IF(B81&gt;1,(H81/(B81+2)+J86),H81/4+J86))</f>
        <v>2</v>
      </c>
    </row>
    <row r="88" spans="1:10" ht="15.75" hidden="1" customHeight="1" x14ac:dyDescent="0.3">
      <c r="A88" s="83" t="s">
        <v>135</v>
      </c>
      <c r="B88" s="84" t="s">
        <v>128</v>
      </c>
      <c r="C88" s="42">
        <v>0</v>
      </c>
      <c r="D88" s="18">
        <f ca="1">((100/H81)*C88)/100</f>
        <v>0</v>
      </c>
      <c r="E88" s="176"/>
      <c r="F88" s="177"/>
      <c r="G88" s="176"/>
      <c r="H88" s="181"/>
      <c r="I88" s="13" t="s">
        <v>144</v>
      </c>
      <c r="J88" s="28">
        <f>(IF(B81&gt;1,(H81/(B81+2)+J87),0))</f>
        <v>0</v>
      </c>
    </row>
    <row r="89" spans="1:10" ht="15" hidden="1" customHeight="1" x14ac:dyDescent="0.3">
      <c r="A89" s="83" t="s">
        <v>133</v>
      </c>
      <c r="B89" s="84" t="s">
        <v>130</v>
      </c>
      <c r="C89" s="42">
        <v>0</v>
      </c>
      <c r="D89" s="18">
        <f ca="1">((100/(H81))*C89)/100</f>
        <v>0</v>
      </c>
      <c r="E89" s="176"/>
      <c r="F89" s="177"/>
      <c r="G89" s="176"/>
      <c r="H89" s="181"/>
      <c r="I89" s="13" t="s">
        <v>141</v>
      </c>
      <c r="J89" s="28">
        <f>(IF(B81&gt;2,(H81/(B81+2)+J88),0))</f>
        <v>0</v>
      </c>
    </row>
    <row r="90" spans="1:10" ht="15.75" hidden="1" customHeight="1" x14ac:dyDescent="0.3">
      <c r="A90" s="83" t="s">
        <v>129</v>
      </c>
      <c r="B90" s="84" t="s">
        <v>129</v>
      </c>
      <c r="C90" s="42">
        <v>0</v>
      </c>
      <c r="D90" s="18">
        <f ca="1">((100/H81)*C90)/100</f>
        <v>0</v>
      </c>
      <c r="E90" s="176"/>
      <c r="F90" s="177"/>
      <c r="G90" s="176"/>
      <c r="H90" s="181"/>
      <c r="I90" s="13" t="s">
        <v>142</v>
      </c>
      <c r="J90" s="29">
        <f>(IF(B81&gt;3,(H81/(B81+2)+J89),0))</f>
        <v>0</v>
      </c>
    </row>
    <row r="91" spans="1:10" ht="15.75" hidden="1" customHeight="1" x14ac:dyDescent="0.3">
      <c r="A91" s="83" t="s">
        <v>136</v>
      </c>
      <c r="B91" s="84"/>
      <c r="C91" s="42">
        <v>0</v>
      </c>
      <c r="D91" s="18">
        <f ca="1">((100/H81)*C91)/100</f>
        <v>0</v>
      </c>
      <c r="E91" s="176"/>
      <c r="F91" s="177"/>
      <c r="G91" s="176"/>
      <c r="H91" s="181"/>
      <c r="I91" s="13" t="s">
        <v>143</v>
      </c>
      <c r="J91" s="28">
        <f>(IF(B81&gt;4,(H81/(B81+2)+J90),0))</f>
        <v>0</v>
      </c>
    </row>
    <row r="92" spans="1:10" ht="15.75" hidden="1" customHeight="1" x14ac:dyDescent="0.3">
      <c r="A92" s="83" t="s">
        <v>131</v>
      </c>
      <c r="B92" s="84" t="s">
        <v>131</v>
      </c>
      <c r="C92" s="42">
        <v>0</v>
      </c>
      <c r="D92" s="18">
        <f ca="1">((100/(H81))*C92)/100</f>
        <v>0</v>
      </c>
      <c r="E92" s="176"/>
      <c r="F92" s="177"/>
      <c r="G92" s="176"/>
      <c r="H92" s="181"/>
      <c r="I92" s="13" t="s">
        <v>145</v>
      </c>
      <c r="J92" s="28">
        <f ca="1">(IF(B81=1,(H81/(B81+3)+J87),IF(B81=0,(H81/4+J87),IF(B81&gt;1,0))))</f>
        <v>3</v>
      </c>
    </row>
    <row r="93" spans="1:10" ht="16.2" hidden="1" thickBot="1" x14ac:dyDescent="0.35">
      <c r="A93" s="165" t="s">
        <v>132</v>
      </c>
      <c r="B93" s="166"/>
      <c r="C93" s="43">
        <v>0</v>
      </c>
      <c r="D93" s="19">
        <f ca="1">((100/(H81))*C93)/100</f>
        <v>0</v>
      </c>
      <c r="E93" s="178"/>
      <c r="F93" s="179"/>
      <c r="G93" s="178"/>
      <c r="H93" s="182"/>
      <c r="I93" s="14" t="s">
        <v>102</v>
      </c>
      <c r="J93" s="30">
        <f ca="1">(IF(B81&gt;1.5,(H81/(B81+2)+J87+MAX(0,J88-J87)+MAX(0,J89-J88)+MAX(0,J90-J89)+MAX(0,J91-J90)+MAX(0,J92-J91)),IF(B81=1,(H81/(B81+3)+J92),IF(B81=0,H81/4+J92))))</f>
        <v>4</v>
      </c>
    </row>
    <row r="94" spans="1:10" x14ac:dyDescent="0.3">
      <c r="A94" s="156" t="s">
        <v>153</v>
      </c>
      <c r="B94" s="156"/>
      <c r="C94" s="156"/>
      <c r="D94" s="156"/>
      <c r="E94" s="156"/>
      <c r="F94" s="138" t="s">
        <v>155</v>
      </c>
      <c r="G94" s="138"/>
      <c r="H94" s="138"/>
    </row>
    <row r="95" spans="1:10" x14ac:dyDescent="0.3">
      <c r="A95" s="77" t="s">
        <v>154</v>
      </c>
      <c r="B95" s="77"/>
      <c r="C95" s="77"/>
      <c r="D95" s="77"/>
      <c r="E95" s="77"/>
      <c r="F95" s="160">
        <v>5500</v>
      </c>
      <c r="G95" s="160"/>
      <c r="H95" s="160"/>
      <c r="I95" s="65" t="s">
        <v>215</v>
      </c>
      <c r="J95" s="64"/>
    </row>
    <row r="96" spans="1:10" s="31" customFormat="1" x14ac:dyDescent="0.3">
      <c r="A96" s="77" t="s">
        <v>200</v>
      </c>
      <c r="B96" s="77"/>
      <c r="C96" s="77"/>
      <c r="D96" s="77"/>
      <c r="E96" s="77"/>
      <c r="F96" s="75">
        <v>200000</v>
      </c>
      <c r="G96" s="75"/>
      <c r="H96" s="75"/>
      <c r="I96" s="64" t="s">
        <v>205</v>
      </c>
    </row>
    <row r="97" spans="1:14" s="31" customFormat="1" x14ac:dyDescent="0.3">
      <c r="A97" s="77" t="s">
        <v>96</v>
      </c>
      <c r="B97" s="77"/>
      <c r="C97" s="77"/>
      <c r="D97" s="77"/>
      <c r="E97" s="77"/>
      <c r="F97" s="75">
        <v>50000</v>
      </c>
      <c r="G97" s="75"/>
      <c r="H97" s="75"/>
      <c r="I97" s="65" t="s">
        <v>212</v>
      </c>
    </row>
    <row r="98" spans="1:14" s="31" customFormat="1" hidden="1" x14ac:dyDescent="0.25">
      <c r="A98" s="77" t="s">
        <v>97</v>
      </c>
      <c r="B98" s="77"/>
      <c r="C98" s="77"/>
      <c r="D98" s="77"/>
      <c r="E98" s="77"/>
      <c r="F98" s="75"/>
      <c r="G98" s="75"/>
      <c r="H98" s="75"/>
    </row>
    <row r="99" spans="1:14" x14ac:dyDescent="0.3">
      <c r="A99" s="77" t="s">
        <v>51</v>
      </c>
      <c r="B99" s="77"/>
      <c r="C99" s="77"/>
      <c r="D99" s="77"/>
      <c r="E99" s="77"/>
      <c r="F99" s="75">
        <v>150000</v>
      </c>
      <c r="G99" s="75"/>
      <c r="H99" s="75"/>
    </row>
    <row r="100" spans="1:14" s="32" customFormat="1" x14ac:dyDescent="0.3">
      <c r="A100" s="108" t="s">
        <v>52</v>
      </c>
      <c r="B100" s="108"/>
      <c r="C100" s="108"/>
      <c r="D100" s="108"/>
      <c r="E100" s="108"/>
      <c r="F100" s="75">
        <f>F95*0.8</f>
        <v>4400</v>
      </c>
      <c r="G100" s="75"/>
      <c r="H100" s="75"/>
    </row>
    <row r="101" spans="1:14" s="33" customFormat="1" x14ac:dyDescent="0.3">
      <c r="A101" s="131" t="s">
        <v>71</v>
      </c>
      <c r="B101" s="131"/>
      <c r="C101" s="131"/>
      <c r="D101" s="131"/>
      <c r="E101" s="131"/>
      <c r="F101" s="131"/>
      <c r="G101" s="131"/>
      <c r="H101" s="131"/>
    </row>
    <row r="102" spans="1:14" s="33" customFormat="1" ht="15.75" customHeight="1" x14ac:dyDescent="0.3">
      <c r="A102" s="133" t="s">
        <v>53</v>
      </c>
      <c r="B102" s="133"/>
      <c r="C102" s="132" t="s">
        <v>79</v>
      </c>
      <c r="D102" s="132"/>
      <c r="E102" s="134" t="s">
        <v>54</v>
      </c>
      <c r="F102" s="134"/>
      <c r="G102" s="133" t="s">
        <v>55</v>
      </c>
      <c r="H102" s="133"/>
      <c r="I102" s="59" t="s">
        <v>201</v>
      </c>
      <c r="J102" s="59" t="s">
        <v>203</v>
      </c>
    </row>
    <row r="103" spans="1:14" s="33" customFormat="1" x14ac:dyDescent="0.3">
      <c r="A103" s="76" t="s">
        <v>174</v>
      </c>
      <c r="B103" s="76"/>
      <c r="C103" s="78">
        <f>COUNT(D112:D114)+COUNT(D116:D120)+COUNT(D122:D127)+COUNT(D129:D134)*2</f>
        <v>26</v>
      </c>
      <c r="D103" s="79"/>
      <c r="E103" s="68">
        <f>SUM(D112:D114)+SUM(D116:D120)+SUM(D122:D127)+SUM(D129:D134)*2</f>
        <v>8582.8045679999996</v>
      </c>
      <c r="F103" s="68"/>
      <c r="G103" s="68">
        <f>SUM(F112:F114)+SUM(F116:F120)+SUM(F122:F127)+SUM(F129:F134)*2</f>
        <v>14314</v>
      </c>
      <c r="H103" s="68"/>
      <c r="I103" s="33">
        <v>5500</v>
      </c>
      <c r="J103" s="33">
        <v>5000</v>
      </c>
    </row>
    <row r="104" spans="1:14" s="33" customFormat="1" x14ac:dyDescent="0.3">
      <c r="A104" s="76" t="s">
        <v>176</v>
      </c>
      <c r="B104" s="76"/>
      <c r="C104" s="78">
        <f>COUNT(D137:D139)+COUNT(D141:D146)+COUNT(D148:D153)+COUNT(D155:D160)*2</f>
        <v>27</v>
      </c>
      <c r="D104" s="79"/>
      <c r="E104" s="68">
        <f>SUM(D137:D139)+SUM(D141:D146)+SUM(D148:D153)+SUM(D155:D160)*2</f>
        <v>7119.804744</v>
      </c>
      <c r="F104" s="68"/>
      <c r="G104" s="68">
        <f>SUM(F137:F139)+SUM(F141:F146)+SUM(F148:F153)+SUM(F155:F160)*2</f>
        <v>11681</v>
      </c>
      <c r="H104" s="68"/>
      <c r="J104" s="60">
        <f>1900000/F112</f>
        <v>4408.352668213457</v>
      </c>
    </row>
    <row r="105" spans="1:14" s="33" customFormat="1" x14ac:dyDescent="0.3">
      <c r="A105" s="76" t="s">
        <v>178</v>
      </c>
      <c r="B105" s="76"/>
      <c r="C105" s="78">
        <f>COUNT(D163)+COUNT(D165:D168)+COUNT(D170:D173)+COUNT(D175:D178)*2</f>
        <v>17</v>
      </c>
      <c r="D105" s="79"/>
      <c r="E105" s="68">
        <f>SUM(D163)+SUM(D165:D168)+SUM(D170:D173)+SUM(D175:D178)*2</f>
        <v>4489.8366239999996</v>
      </c>
      <c r="F105" s="68"/>
      <c r="G105" s="68">
        <f>SUM(F163)+SUM(F165:F168)+SUM(F170:F173)+SUM(F175:F178)*2</f>
        <v>7371</v>
      </c>
      <c r="H105" s="68"/>
    </row>
    <row r="106" spans="1:14" s="33" customFormat="1" x14ac:dyDescent="0.3">
      <c r="A106" s="131" t="s">
        <v>147</v>
      </c>
      <c r="B106" s="131"/>
      <c r="C106" s="146">
        <f>SUM(C103:C105)</f>
        <v>70</v>
      </c>
      <c r="D106" s="147"/>
      <c r="E106" s="146">
        <f t="shared" ref="E106" si="0">SUM(E103:E105)</f>
        <v>20192.445936</v>
      </c>
      <c r="F106" s="147"/>
      <c r="G106" s="146">
        <f t="shared" ref="G106" si="1">SUM(G103:G105)</f>
        <v>33366</v>
      </c>
      <c r="H106" s="147"/>
    </row>
    <row r="107" spans="1:14" s="32" customFormat="1" x14ac:dyDescent="0.3">
      <c r="A107" s="138" t="s">
        <v>56</v>
      </c>
      <c r="B107" s="138"/>
      <c r="C107" s="138"/>
      <c r="D107" s="138"/>
      <c r="E107" s="138"/>
      <c r="F107" s="138"/>
      <c r="G107" s="138"/>
      <c r="H107" s="138"/>
      <c r="I107" s="58">
        <f>2262750/431</f>
        <v>5250</v>
      </c>
      <c r="J107" s="61">
        <f>2500000/F116</f>
        <v>5800.4640371229698</v>
      </c>
    </row>
    <row r="108" spans="1:14" x14ac:dyDescent="0.3">
      <c r="A108" s="126" t="s">
        <v>57</v>
      </c>
      <c r="B108" s="126"/>
      <c r="C108" s="126"/>
      <c r="D108" s="126"/>
      <c r="E108" s="126"/>
      <c r="F108" s="126"/>
      <c r="G108" s="126"/>
      <c r="H108" s="126"/>
      <c r="I108" s="20" t="s">
        <v>202</v>
      </c>
      <c r="J108" s="62">
        <f>3500000/F133</f>
        <v>5737.7049180327867</v>
      </c>
    </row>
    <row r="109" spans="1:14" ht="47.25" customHeight="1" x14ac:dyDescent="0.3">
      <c r="A109" s="56" t="s">
        <v>118</v>
      </c>
      <c r="B109" s="56" t="s">
        <v>119</v>
      </c>
      <c r="C109" s="41" t="s">
        <v>58</v>
      </c>
      <c r="D109" s="41" t="s">
        <v>59</v>
      </c>
      <c r="E109" s="55" t="s">
        <v>60</v>
      </c>
      <c r="F109" s="41" t="s">
        <v>197</v>
      </c>
      <c r="G109" s="158" t="s">
        <v>61</v>
      </c>
      <c r="H109" s="159"/>
      <c r="I109" s="63" t="s">
        <v>204</v>
      </c>
    </row>
    <row r="110" spans="1:14" s="35" customFormat="1" x14ac:dyDescent="0.3">
      <c r="A110" s="161" t="s">
        <v>174</v>
      </c>
      <c r="B110" s="162"/>
      <c r="C110" s="162"/>
      <c r="D110" s="162"/>
      <c r="E110" s="162"/>
      <c r="F110" s="162"/>
      <c r="G110" s="162"/>
      <c r="H110" s="163"/>
      <c r="J110" s="34"/>
    </row>
    <row r="111" spans="1:14" s="35" customFormat="1" x14ac:dyDescent="0.3">
      <c r="A111" s="143" t="s">
        <v>175</v>
      </c>
      <c r="B111" s="144"/>
      <c r="C111" s="144"/>
      <c r="D111" s="144"/>
      <c r="E111" s="144"/>
      <c r="F111" s="144"/>
      <c r="G111" s="144"/>
      <c r="H111" s="145"/>
      <c r="J111" s="34"/>
    </row>
    <row r="112" spans="1:14" s="35" customFormat="1" ht="15.75" customHeight="1" x14ac:dyDescent="0.3">
      <c r="A112" s="69">
        <v>1</v>
      </c>
      <c r="B112" s="70"/>
      <c r="C112" s="40" t="s">
        <v>172</v>
      </c>
      <c r="D112" s="54">
        <f>(21.768+2.725)*(10.764)</f>
        <v>263.642652</v>
      </c>
      <c r="E112" s="40">
        <v>0</v>
      </c>
      <c r="F112" s="40">
        <v>431</v>
      </c>
      <c r="G112" s="71" t="str">
        <f>A111</f>
        <v>Ground Floor For Entrance Lobby, Drivers Room, Electric Room, Residential &amp; Parking</v>
      </c>
      <c r="H112" s="72"/>
      <c r="I112" s="34">
        <v>21.768000000000001</v>
      </c>
      <c r="J112" s="34">
        <f>5000*F112</f>
        <v>2155000</v>
      </c>
      <c r="K112" s="35">
        <v>431</v>
      </c>
      <c r="L112" s="57">
        <f>K112/D112</f>
        <v>1.6347885925529226</v>
      </c>
      <c r="M112" s="57"/>
      <c r="N112" s="34"/>
    </row>
    <row r="113" spans="1:14" s="35" customFormat="1" ht="15.75" customHeight="1" x14ac:dyDescent="0.3">
      <c r="A113" s="69">
        <f t="shared" ref="A113:A114" si="2">A112+1</f>
        <v>2</v>
      </c>
      <c r="B113" s="70"/>
      <c r="C113" s="40" t="s">
        <v>172</v>
      </c>
      <c r="D113" s="54">
        <f>(21.768+2.725)*(10.764)</f>
        <v>263.642652</v>
      </c>
      <c r="E113" s="40">
        <v>0</v>
      </c>
      <c r="F113" s="40">
        <v>431</v>
      </c>
      <c r="G113" s="73"/>
      <c r="H113" s="74"/>
      <c r="I113" s="34">
        <f>2.75*4.45+1.1*1.2+1.2*1.2+2.5*1.8+1.4*1.1</f>
        <v>21.037500000000001</v>
      </c>
      <c r="J113" s="34">
        <f t="shared" ref="J113:J127" si="3">5000*F113</f>
        <v>2155000</v>
      </c>
      <c r="K113" s="35">
        <v>431</v>
      </c>
      <c r="L113" s="57">
        <f t="shared" ref="L113" si="4">K113/D113</f>
        <v>1.6347885925529226</v>
      </c>
      <c r="M113" s="57"/>
      <c r="N113" s="34"/>
    </row>
    <row r="114" spans="1:14" s="35" customFormat="1" ht="47.25" customHeight="1" x14ac:dyDescent="0.3">
      <c r="A114" s="69">
        <f t="shared" si="2"/>
        <v>3</v>
      </c>
      <c r="B114" s="70"/>
      <c r="C114" s="53" t="s">
        <v>173</v>
      </c>
      <c r="D114" s="54">
        <f>(110.392+2.85+2.85)*(10.764)</f>
        <v>1249.6142879999998</v>
      </c>
      <c r="E114" s="54">
        <f>(17.165)*(10.764)</f>
        <v>184.76405999999997</v>
      </c>
      <c r="F114" s="40">
        <v>2174</v>
      </c>
      <c r="G114" s="73"/>
      <c r="H114" s="74"/>
      <c r="I114" s="34">
        <f>5.65*4.25+2.75*3.45+3.45*1.8+2.35*1.8+2.75*3.275+2.05*1.15+1.2*2.4+1*1.8+1.5*3.2+(3.5*4.525+2.35*2.225+2.05*1.2+1.2*2.4+2.75*3.45+1*3.3+2.5*1)</f>
        <v>106.47749999999999</v>
      </c>
      <c r="J114" s="34">
        <f t="shared" si="3"/>
        <v>10870000</v>
      </c>
      <c r="K114" s="35">
        <v>2174</v>
      </c>
      <c r="L114" s="57">
        <f>2174/D114</f>
        <v>1.7397368298977072</v>
      </c>
      <c r="M114" s="57"/>
      <c r="N114" s="34"/>
    </row>
    <row r="115" spans="1:14" s="35" customFormat="1" x14ac:dyDescent="0.3">
      <c r="A115" s="130" t="s">
        <v>179</v>
      </c>
      <c r="B115" s="130"/>
      <c r="C115" s="130"/>
      <c r="D115" s="130"/>
      <c r="E115" s="130"/>
      <c r="F115" s="130"/>
      <c r="G115" s="130"/>
      <c r="H115" s="130"/>
      <c r="I115" s="34"/>
      <c r="J115" s="34">
        <f t="shared" si="3"/>
        <v>0</v>
      </c>
      <c r="L115" s="57"/>
      <c r="M115" s="57"/>
    </row>
    <row r="116" spans="1:14" s="35" customFormat="1" x14ac:dyDescent="0.3">
      <c r="A116" s="142">
        <v>1</v>
      </c>
      <c r="B116" s="142"/>
      <c r="C116" s="53" t="s">
        <v>172</v>
      </c>
      <c r="D116" s="54">
        <f>(21.768+2.725)*(10.764)</f>
        <v>263.642652</v>
      </c>
      <c r="E116" s="40">
        <v>0</v>
      </c>
      <c r="F116" s="40">
        <v>431</v>
      </c>
      <c r="G116" s="71" t="str">
        <f>A115</f>
        <v>1st Floor</v>
      </c>
      <c r="H116" s="72"/>
      <c r="I116" s="34">
        <f>2.75*4.45+2.5*1.8+1.2*1.2+1.1*1.2+1.3*1</f>
        <v>20.797500000000003</v>
      </c>
      <c r="J116" s="34">
        <f t="shared" si="3"/>
        <v>2155000</v>
      </c>
      <c r="K116" s="35">
        <v>431</v>
      </c>
      <c r="L116" s="35">
        <f>K116/D116</f>
        <v>1.6347885925529226</v>
      </c>
      <c r="N116" s="34"/>
    </row>
    <row r="117" spans="1:14" s="35" customFormat="1" x14ac:dyDescent="0.3">
      <c r="A117" s="142">
        <f>A116+1</f>
        <v>2</v>
      </c>
      <c r="B117" s="142"/>
      <c r="C117" s="53" t="s">
        <v>172</v>
      </c>
      <c r="D117" s="54">
        <f>(21.768+2.725)*(10.764)</f>
        <v>263.642652</v>
      </c>
      <c r="E117" s="40">
        <v>0</v>
      </c>
      <c r="F117" s="40">
        <v>431</v>
      </c>
      <c r="G117" s="73"/>
      <c r="H117" s="74"/>
      <c r="I117" s="34"/>
      <c r="J117" s="34">
        <f t="shared" si="3"/>
        <v>2155000</v>
      </c>
      <c r="K117" s="35">
        <v>431</v>
      </c>
      <c r="L117" s="35">
        <f t="shared" ref="L117:L120" si="5">K117/D117</f>
        <v>1.6347885925529226</v>
      </c>
      <c r="N117" s="34"/>
    </row>
    <row r="118" spans="1:14" s="35" customFormat="1" x14ac:dyDescent="0.3">
      <c r="A118" s="142">
        <f>A117+1</f>
        <v>3</v>
      </c>
      <c r="B118" s="142"/>
      <c r="C118" s="53" t="s">
        <v>172</v>
      </c>
      <c r="D118" s="54">
        <f>(21.768+2.725)*(10.764)</f>
        <v>263.642652</v>
      </c>
      <c r="E118" s="40">
        <v>0</v>
      </c>
      <c r="F118" s="40">
        <v>431</v>
      </c>
      <c r="G118" s="73"/>
      <c r="H118" s="74"/>
      <c r="I118" s="34"/>
      <c r="J118" s="34">
        <f t="shared" si="3"/>
        <v>2155000</v>
      </c>
      <c r="K118" s="35">
        <v>431</v>
      </c>
      <c r="L118" s="35">
        <f t="shared" si="5"/>
        <v>1.6347885925529226</v>
      </c>
      <c r="N118" s="34"/>
    </row>
    <row r="119" spans="1:14" s="35" customFormat="1" x14ac:dyDescent="0.3">
      <c r="A119" s="69">
        <f>A118+1</f>
        <v>4</v>
      </c>
      <c r="B119" s="70"/>
      <c r="C119" s="53" t="s">
        <v>172</v>
      </c>
      <c r="D119" s="54">
        <f>(18.868+2.9+2.725)*(10.764)</f>
        <v>263.64265199999994</v>
      </c>
      <c r="E119" s="40">
        <v>0</v>
      </c>
      <c r="F119" s="40">
        <v>431</v>
      </c>
      <c r="G119" s="73"/>
      <c r="H119" s="74"/>
      <c r="I119" s="34"/>
      <c r="J119" s="34">
        <f t="shared" si="3"/>
        <v>2155000</v>
      </c>
      <c r="K119" s="35">
        <v>431</v>
      </c>
      <c r="L119" s="35">
        <f t="shared" si="5"/>
        <v>1.6347885925529231</v>
      </c>
      <c r="N119" s="34"/>
    </row>
    <row r="120" spans="1:14" s="35" customFormat="1" x14ac:dyDescent="0.3">
      <c r="A120" s="69">
        <f>A119+1</f>
        <v>5</v>
      </c>
      <c r="B120" s="70"/>
      <c r="C120" s="40" t="s">
        <v>181</v>
      </c>
      <c r="D120" s="54">
        <f>(34.323)*(10.764)</f>
        <v>369.45277199999998</v>
      </c>
      <c r="E120" s="40">
        <v>0</v>
      </c>
      <c r="F120" s="40">
        <v>609</v>
      </c>
      <c r="G120" s="148"/>
      <c r="H120" s="149"/>
      <c r="I120" s="52">
        <f>2.75*4.45+2.5*2.8+2.75*3.225+1.2*1.15+1.2*1.45+0.9*2.5+1.2*0.8</f>
        <v>34.436250000000001</v>
      </c>
      <c r="J120" s="34">
        <f t="shared" si="3"/>
        <v>3045000</v>
      </c>
      <c r="K120" s="35">
        <v>609</v>
      </c>
      <c r="L120" s="35">
        <f t="shared" si="5"/>
        <v>1.6483838968191584</v>
      </c>
      <c r="N120" s="34"/>
    </row>
    <row r="121" spans="1:14" s="35" customFormat="1" x14ac:dyDescent="0.3">
      <c r="A121" s="143" t="s">
        <v>117</v>
      </c>
      <c r="B121" s="144"/>
      <c r="C121" s="144"/>
      <c r="D121" s="144"/>
      <c r="E121" s="144"/>
      <c r="F121" s="144"/>
      <c r="G121" s="144"/>
      <c r="H121" s="145"/>
      <c r="I121" s="34"/>
      <c r="J121" s="34">
        <f t="shared" si="3"/>
        <v>0</v>
      </c>
    </row>
    <row r="122" spans="1:14" s="35" customFormat="1" x14ac:dyDescent="0.3">
      <c r="A122" s="69">
        <v>1</v>
      </c>
      <c r="B122" s="70"/>
      <c r="C122" s="53" t="s">
        <v>172</v>
      </c>
      <c r="D122" s="54">
        <f>(21.768+2.725)*(10.764)</f>
        <v>263.642652</v>
      </c>
      <c r="E122" s="40">
        <v>0</v>
      </c>
      <c r="F122" s="40">
        <v>431</v>
      </c>
      <c r="G122" s="71" t="str">
        <f>A121</f>
        <v>2nd Floor</v>
      </c>
      <c r="H122" s="72"/>
      <c r="I122" s="34"/>
      <c r="J122" s="34">
        <f t="shared" si="3"/>
        <v>2155000</v>
      </c>
    </row>
    <row r="123" spans="1:14" s="35" customFormat="1" x14ac:dyDescent="0.3">
      <c r="A123" s="69">
        <f>A122+1</f>
        <v>2</v>
      </c>
      <c r="B123" s="70"/>
      <c r="C123" s="53" t="s">
        <v>172</v>
      </c>
      <c r="D123" s="54">
        <f>(21.768+2.725)*(10.764)</f>
        <v>263.642652</v>
      </c>
      <c r="E123" s="40">
        <v>0</v>
      </c>
      <c r="F123" s="40">
        <v>431</v>
      </c>
      <c r="G123" s="73"/>
      <c r="H123" s="74"/>
      <c r="I123" s="54">
        <f>10.764</f>
        <v>10.763999999999999</v>
      </c>
      <c r="J123" s="34">
        <f t="shared" si="3"/>
        <v>2155000</v>
      </c>
    </row>
    <row r="124" spans="1:14" s="35" customFormat="1" x14ac:dyDescent="0.3">
      <c r="A124" s="69">
        <f t="shared" ref="A124:A126" si="6">A123+1</f>
        <v>3</v>
      </c>
      <c r="B124" s="70"/>
      <c r="C124" s="53" t="s">
        <v>172</v>
      </c>
      <c r="D124" s="54">
        <f>(21.768+2.725)*(10.764)</f>
        <v>263.642652</v>
      </c>
      <c r="E124" s="40">
        <v>0</v>
      </c>
      <c r="F124" s="40">
        <v>431</v>
      </c>
      <c r="G124" s="73"/>
      <c r="H124" s="74"/>
      <c r="I124" s="34"/>
      <c r="J124" s="34">
        <f t="shared" si="3"/>
        <v>2155000</v>
      </c>
    </row>
    <row r="125" spans="1:14" s="35" customFormat="1" x14ac:dyDescent="0.3">
      <c r="A125" s="69">
        <f t="shared" si="6"/>
        <v>4</v>
      </c>
      <c r="B125" s="70"/>
      <c r="C125" s="53" t="s">
        <v>172</v>
      </c>
      <c r="D125" s="54">
        <f>(18.868+2.9+2.725)*(10.764)</f>
        <v>263.64265199999994</v>
      </c>
      <c r="E125" s="40">
        <v>0</v>
      </c>
      <c r="F125" s="40">
        <v>431</v>
      </c>
      <c r="G125" s="73"/>
      <c r="H125" s="74"/>
      <c r="I125" s="34"/>
      <c r="J125" s="34">
        <f t="shared" si="3"/>
        <v>2155000</v>
      </c>
    </row>
    <row r="126" spans="1:14" s="35" customFormat="1" x14ac:dyDescent="0.3">
      <c r="A126" s="69">
        <f t="shared" si="6"/>
        <v>5</v>
      </c>
      <c r="B126" s="70"/>
      <c r="C126" s="53" t="s">
        <v>181</v>
      </c>
      <c r="D126" s="54">
        <f>(31.608+2.85)*(10.764)</f>
        <v>370.90591199999994</v>
      </c>
      <c r="E126" s="54">
        <f>(10.291)*(10.764)</f>
        <v>110.772324</v>
      </c>
      <c r="F126" s="40">
        <v>723</v>
      </c>
      <c r="G126" s="73"/>
      <c r="H126" s="74"/>
      <c r="I126" s="34"/>
      <c r="J126" s="34">
        <f t="shared" si="3"/>
        <v>3615000</v>
      </c>
      <c r="L126" s="35">
        <f>723/371</f>
        <v>1.9487870619946093</v>
      </c>
    </row>
    <row r="127" spans="1:14" s="35" customFormat="1" x14ac:dyDescent="0.3">
      <c r="A127" s="69">
        <f t="shared" ref="A127" si="7">A126+1</f>
        <v>6</v>
      </c>
      <c r="B127" s="70"/>
      <c r="C127" s="53" t="s">
        <v>181</v>
      </c>
      <c r="D127" s="54">
        <f>(34.323)*(10.764)</f>
        <v>369.45277199999998</v>
      </c>
      <c r="E127" s="40">
        <v>0</v>
      </c>
      <c r="F127" s="40">
        <v>610</v>
      </c>
      <c r="G127" s="148"/>
      <c r="H127" s="149"/>
      <c r="I127" s="34"/>
      <c r="J127" s="34">
        <f t="shared" si="3"/>
        <v>3050000</v>
      </c>
    </row>
    <row r="128" spans="1:14" s="35" customFormat="1" x14ac:dyDescent="0.3">
      <c r="A128" s="143" t="s">
        <v>182</v>
      </c>
      <c r="B128" s="144"/>
      <c r="C128" s="144"/>
      <c r="D128" s="144"/>
      <c r="E128" s="144"/>
      <c r="F128" s="144"/>
      <c r="G128" s="144"/>
      <c r="H128" s="145"/>
      <c r="I128" s="34"/>
    </row>
    <row r="129" spans="1:14" s="35" customFormat="1" ht="15.75" customHeight="1" x14ac:dyDescent="0.3">
      <c r="A129" s="69">
        <v>1</v>
      </c>
      <c r="B129" s="70"/>
      <c r="C129" s="53" t="s">
        <v>172</v>
      </c>
      <c r="D129" s="54">
        <f>(21.768+2.725)*(10.764)</f>
        <v>263.642652</v>
      </c>
      <c r="E129" s="40">
        <v>0</v>
      </c>
      <c r="F129" s="40">
        <v>431</v>
      </c>
      <c r="G129" s="71" t="str">
        <f>A128</f>
        <v>3rd &amp; 4th Floor</v>
      </c>
      <c r="H129" s="72"/>
      <c r="I129" s="34">
        <v>431</v>
      </c>
      <c r="J129" s="35">
        <f>I129/D129</f>
        <v>1.6347885925529226</v>
      </c>
    </row>
    <row r="130" spans="1:14" s="35" customFormat="1" ht="15.75" customHeight="1" x14ac:dyDescent="0.3">
      <c r="A130" s="69">
        <f>A129+1</f>
        <v>2</v>
      </c>
      <c r="B130" s="70"/>
      <c r="C130" s="53" t="s">
        <v>172</v>
      </c>
      <c r="D130" s="54">
        <f>(21.768+2.725)*(10.764)</f>
        <v>263.642652</v>
      </c>
      <c r="E130" s="40">
        <v>0</v>
      </c>
      <c r="F130" s="40">
        <v>431</v>
      </c>
      <c r="G130" s="73"/>
      <c r="H130" s="74"/>
      <c r="I130" s="34">
        <v>431</v>
      </c>
      <c r="J130" s="35">
        <f t="shared" ref="J130:J134" si="8">I130/D130</f>
        <v>1.6347885925529226</v>
      </c>
    </row>
    <row r="131" spans="1:14" s="35" customFormat="1" ht="15.75" customHeight="1" x14ac:dyDescent="0.3">
      <c r="A131" s="69">
        <f t="shared" ref="A131:A133" si="9">A130+1</f>
        <v>3</v>
      </c>
      <c r="B131" s="70"/>
      <c r="C131" s="53" t="s">
        <v>172</v>
      </c>
      <c r="D131" s="54">
        <f>(21.768+2.725)*(10.764)</f>
        <v>263.642652</v>
      </c>
      <c r="E131" s="40">
        <v>0</v>
      </c>
      <c r="F131" s="40">
        <v>431</v>
      </c>
      <c r="G131" s="73"/>
      <c r="H131" s="74"/>
      <c r="I131" s="34">
        <v>431</v>
      </c>
      <c r="J131" s="35">
        <f t="shared" si="8"/>
        <v>1.6347885925529226</v>
      </c>
    </row>
    <row r="132" spans="1:14" s="35" customFormat="1" ht="15.75" customHeight="1" x14ac:dyDescent="0.3">
      <c r="A132" s="69">
        <f t="shared" si="9"/>
        <v>4</v>
      </c>
      <c r="B132" s="70"/>
      <c r="C132" s="53" t="s">
        <v>172</v>
      </c>
      <c r="D132" s="54">
        <f>(18.868+2.9+2.725)*(10.764)</f>
        <v>263.64265199999994</v>
      </c>
      <c r="E132" s="40">
        <v>0</v>
      </c>
      <c r="F132" s="40">
        <v>431</v>
      </c>
      <c r="G132" s="73"/>
      <c r="H132" s="74"/>
      <c r="I132" s="34">
        <v>431</v>
      </c>
      <c r="J132" s="35">
        <f t="shared" si="8"/>
        <v>1.6347885925529231</v>
      </c>
    </row>
    <row r="133" spans="1:14" s="35" customFormat="1" ht="15.75" customHeight="1" x14ac:dyDescent="0.3">
      <c r="A133" s="69">
        <f t="shared" si="9"/>
        <v>5</v>
      </c>
      <c r="B133" s="70"/>
      <c r="C133" s="53" t="s">
        <v>181</v>
      </c>
      <c r="D133" s="54">
        <f>(31.473+2.85)*(10.764)</f>
        <v>369.45277199999998</v>
      </c>
      <c r="E133" s="40">
        <v>0</v>
      </c>
      <c r="F133" s="40">
        <v>610</v>
      </c>
      <c r="G133" s="73"/>
      <c r="H133" s="74"/>
      <c r="I133" s="34">
        <v>610</v>
      </c>
      <c r="J133" s="35">
        <f t="shared" si="8"/>
        <v>1.6510906027252654</v>
      </c>
    </row>
    <row r="134" spans="1:14" s="35" customFormat="1" ht="15.75" customHeight="1" x14ac:dyDescent="0.3">
      <c r="A134" s="69">
        <f t="shared" ref="A134" si="10">A133+1</f>
        <v>6</v>
      </c>
      <c r="B134" s="70"/>
      <c r="C134" s="53" t="s">
        <v>181</v>
      </c>
      <c r="D134" s="54">
        <f>(34.323)*(10.764)</f>
        <v>369.45277199999998</v>
      </c>
      <c r="E134" s="40">
        <v>0</v>
      </c>
      <c r="F134" s="40">
        <v>610</v>
      </c>
      <c r="G134" s="148"/>
      <c r="H134" s="149"/>
      <c r="I134" s="34">
        <v>610</v>
      </c>
      <c r="J134" s="35">
        <f t="shared" si="8"/>
        <v>1.6510906027252654</v>
      </c>
    </row>
    <row r="135" spans="1:14" s="35" customFormat="1" ht="15.75" customHeight="1" x14ac:dyDescent="0.3">
      <c r="A135" s="161" t="s">
        <v>176</v>
      </c>
      <c r="B135" s="162"/>
      <c r="C135" s="162"/>
      <c r="D135" s="162"/>
      <c r="E135" s="162"/>
      <c r="F135" s="162"/>
      <c r="G135" s="162"/>
      <c r="H135" s="163"/>
      <c r="I135" s="34"/>
    </row>
    <row r="136" spans="1:14" s="35" customFormat="1" ht="15.75" customHeight="1" x14ac:dyDescent="0.3">
      <c r="A136" s="143" t="s">
        <v>177</v>
      </c>
      <c r="B136" s="144"/>
      <c r="C136" s="144"/>
      <c r="D136" s="144"/>
      <c r="E136" s="144"/>
      <c r="F136" s="144"/>
      <c r="G136" s="144"/>
      <c r="H136" s="145"/>
      <c r="J136" s="35">
        <v>264</v>
      </c>
    </row>
    <row r="137" spans="1:14" s="35" customFormat="1" ht="15.75" customHeight="1" x14ac:dyDescent="0.3">
      <c r="A137" s="69">
        <v>1</v>
      </c>
      <c r="B137" s="70"/>
      <c r="C137" s="40" t="s">
        <v>172</v>
      </c>
      <c r="D137" s="54">
        <f>(21.768+2.725)*(10.764)</f>
        <v>263.642652</v>
      </c>
      <c r="E137" s="40">
        <v>0</v>
      </c>
      <c r="F137" s="40">
        <v>431</v>
      </c>
      <c r="G137" s="71" t="str">
        <f>A136</f>
        <v>Ground Floor For Entrance Lobby, Electric Room, Residential &amp; Parking</v>
      </c>
      <c r="H137" s="72"/>
      <c r="I137" s="34"/>
      <c r="J137" s="35">
        <f>264*1.45</f>
        <v>382.8</v>
      </c>
      <c r="K137" s="35">
        <f>382*5000</f>
        <v>1910000</v>
      </c>
    </row>
    <row r="138" spans="1:14" s="35" customFormat="1" ht="15.75" customHeight="1" x14ac:dyDescent="0.3">
      <c r="A138" s="69">
        <f>A137+1</f>
        <v>2</v>
      </c>
      <c r="B138" s="70"/>
      <c r="C138" s="40" t="s">
        <v>172</v>
      </c>
      <c r="D138" s="54">
        <f>(21.768+2.725)*(10.764)</f>
        <v>263.642652</v>
      </c>
      <c r="E138" s="40">
        <v>0</v>
      </c>
      <c r="F138" s="40">
        <v>431</v>
      </c>
      <c r="G138" s="73"/>
      <c r="H138" s="74"/>
      <c r="I138" s="34"/>
      <c r="J138" s="35">
        <f>264*1.6</f>
        <v>422.40000000000003</v>
      </c>
      <c r="K138" s="35">
        <f>422*5000</f>
        <v>2110000</v>
      </c>
    </row>
    <row r="139" spans="1:14" s="35" customFormat="1" ht="15.75" customHeight="1" x14ac:dyDescent="0.3">
      <c r="A139" s="69">
        <f t="shared" ref="A139" si="11">A138+1</f>
        <v>3</v>
      </c>
      <c r="B139" s="70"/>
      <c r="C139" s="40" t="s">
        <v>172</v>
      </c>
      <c r="D139" s="54">
        <f>(21.768+2.725)*(10.764)</f>
        <v>263.642652</v>
      </c>
      <c r="E139" s="40">
        <v>0</v>
      </c>
      <c r="F139" s="40">
        <v>431</v>
      </c>
      <c r="G139" s="148"/>
      <c r="H139" s="149"/>
      <c r="I139" s="34"/>
    </row>
    <row r="140" spans="1:14" s="35" customFormat="1" x14ac:dyDescent="0.3">
      <c r="A140" s="130" t="s">
        <v>179</v>
      </c>
      <c r="B140" s="130"/>
      <c r="C140" s="130"/>
      <c r="D140" s="130"/>
      <c r="E140" s="130"/>
      <c r="F140" s="130"/>
      <c r="G140" s="130"/>
      <c r="H140" s="130"/>
      <c r="I140" s="34"/>
      <c r="L140" s="164"/>
      <c r="M140" s="164"/>
    </row>
    <row r="141" spans="1:14" s="35" customFormat="1" x14ac:dyDescent="0.3">
      <c r="A141" s="142">
        <v>1</v>
      </c>
      <c r="B141" s="142"/>
      <c r="C141" s="40" t="s">
        <v>172</v>
      </c>
      <c r="D141" s="54">
        <f>(21.768+2.725)*(10.764)</f>
        <v>263.642652</v>
      </c>
      <c r="E141" s="40">
        <v>0</v>
      </c>
      <c r="F141" s="40">
        <v>431</v>
      </c>
      <c r="G141" s="71" t="str">
        <f>A140</f>
        <v>1st Floor</v>
      </c>
      <c r="H141" s="72"/>
      <c r="I141" s="34">
        <f>2.75*4.45+2.5*1.8+1.2*1.2+1.1*1.2+1.3*1</f>
        <v>20.797500000000003</v>
      </c>
      <c r="N141" s="34"/>
    </row>
    <row r="142" spans="1:14" s="35" customFormat="1" x14ac:dyDescent="0.3">
      <c r="A142" s="142">
        <f>A141+1</f>
        <v>2</v>
      </c>
      <c r="B142" s="142"/>
      <c r="C142" s="40" t="s">
        <v>172</v>
      </c>
      <c r="D142" s="54">
        <f>(19.003+2.9+2.725)*(10.764)</f>
        <v>265.09579199999996</v>
      </c>
      <c r="E142" s="54">
        <f>(3.825)*(10.764)</f>
        <v>41.1723</v>
      </c>
      <c r="F142" s="40">
        <v>475</v>
      </c>
      <c r="G142" s="73"/>
      <c r="H142" s="74"/>
      <c r="I142" s="34"/>
      <c r="N142" s="34"/>
    </row>
    <row r="143" spans="1:14" s="35" customFormat="1" x14ac:dyDescent="0.3">
      <c r="A143" s="142">
        <f>A142+1</f>
        <v>3</v>
      </c>
      <c r="B143" s="142"/>
      <c r="C143" s="40" t="s">
        <v>172</v>
      </c>
      <c r="D143" s="54">
        <f>(18.868+2.9+2.725)*(10.764)</f>
        <v>263.64265199999994</v>
      </c>
      <c r="E143" s="40">
        <v>0</v>
      </c>
      <c r="F143" s="40">
        <v>431</v>
      </c>
      <c r="G143" s="73"/>
      <c r="H143" s="74"/>
      <c r="I143" s="34"/>
      <c r="N143" s="34"/>
    </row>
    <row r="144" spans="1:14" s="35" customFormat="1" x14ac:dyDescent="0.3">
      <c r="A144" s="69">
        <f>A143+1</f>
        <v>4</v>
      </c>
      <c r="B144" s="70"/>
      <c r="C144" s="40" t="s">
        <v>172</v>
      </c>
      <c r="D144" s="54">
        <f>(21.768+2.725)*(10.764)</f>
        <v>263.642652</v>
      </c>
      <c r="E144" s="40">
        <v>0</v>
      </c>
      <c r="F144" s="40">
        <v>431</v>
      </c>
      <c r="G144" s="73"/>
      <c r="H144" s="74"/>
      <c r="I144" s="34"/>
      <c r="N144" s="34"/>
    </row>
    <row r="145" spans="1:14" s="35" customFormat="1" x14ac:dyDescent="0.3">
      <c r="A145" s="69">
        <f>A144+1</f>
        <v>5</v>
      </c>
      <c r="B145" s="70"/>
      <c r="C145" s="40" t="s">
        <v>172</v>
      </c>
      <c r="D145" s="54">
        <f>(21.768+2.725)*(10.764)</f>
        <v>263.642652</v>
      </c>
      <c r="E145" s="40">
        <v>0</v>
      </c>
      <c r="F145" s="40">
        <v>431</v>
      </c>
      <c r="G145" s="73"/>
      <c r="H145" s="74"/>
      <c r="I145" s="52">
        <f>2.75*4.45+2.5*2.8+2.75*3.225+1.2*1.15+1.2*1.45+0.9*2.5+1.2*0.8</f>
        <v>34.436250000000001</v>
      </c>
      <c r="N145" s="34"/>
    </row>
    <row r="146" spans="1:14" s="35" customFormat="1" x14ac:dyDescent="0.3">
      <c r="A146" s="69">
        <f>A145+1</f>
        <v>6</v>
      </c>
      <c r="B146" s="70"/>
      <c r="C146" s="40" t="s">
        <v>172</v>
      </c>
      <c r="D146" s="54">
        <f>(21.768+2.725)*(10.764)</f>
        <v>263.642652</v>
      </c>
      <c r="E146" s="40">
        <v>0</v>
      </c>
      <c r="F146" s="40">
        <v>431</v>
      </c>
      <c r="G146" s="148"/>
      <c r="H146" s="149"/>
      <c r="I146" s="52">
        <f>2.75*4.45+2.5*2.8+2.75*3.225+1.2*1.15+1.2*1.45+0.9*2.5+1.2*0.8</f>
        <v>34.436250000000001</v>
      </c>
      <c r="N146" s="34"/>
    </row>
    <row r="147" spans="1:14" s="35" customFormat="1" x14ac:dyDescent="0.3">
      <c r="A147" s="143" t="s">
        <v>117</v>
      </c>
      <c r="B147" s="144"/>
      <c r="C147" s="144"/>
      <c r="D147" s="144"/>
      <c r="E147" s="144"/>
      <c r="F147" s="144"/>
      <c r="G147" s="144"/>
      <c r="H147" s="145"/>
      <c r="I147" s="34"/>
    </row>
    <row r="148" spans="1:14" s="35" customFormat="1" x14ac:dyDescent="0.3">
      <c r="A148" s="69">
        <v>1</v>
      </c>
      <c r="B148" s="70"/>
      <c r="C148" s="40" t="s">
        <v>172</v>
      </c>
      <c r="D148" s="54">
        <f>(21.768+2.725)*(10.764)</f>
        <v>263.642652</v>
      </c>
      <c r="E148" s="40">
        <v>0</v>
      </c>
      <c r="F148" s="40">
        <v>431</v>
      </c>
      <c r="G148" s="71" t="str">
        <f>A147</f>
        <v>2nd Floor</v>
      </c>
      <c r="H148" s="72"/>
      <c r="I148" s="34"/>
    </row>
    <row r="149" spans="1:14" s="35" customFormat="1" x14ac:dyDescent="0.3">
      <c r="A149" s="69">
        <f>A148+1</f>
        <v>2</v>
      </c>
      <c r="B149" s="70"/>
      <c r="C149" s="40" t="s">
        <v>172</v>
      </c>
      <c r="D149" s="54">
        <f>(18.868+2.9+2.725)*(10.764)</f>
        <v>263.64265199999994</v>
      </c>
      <c r="E149" s="40">
        <v>0</v>
      </c>
      <c r="F149" s="40">
        <v>431</v>
      </c>
      <c r="G149" s="73"/>
      <c r="H149" s="74"/>
      <c r="I149" s="34"/>
    </row>
    <row r="150" spans="1:14" s="35" customFormat="1" x14ac:dyDescent="0.3">
      <c r="A150" s="69">
        <f t="shared" ref="A150:A152" si="12">A149+1</f>
        <v>3</v>
      </c>
      <c r="B150" s="70"/>
      <c r="C150" s="40" t="s">
        <v>172</v>
      </c>
      <c r="D150" s="54">
        <f>(18.868+2.9+2.725)*(10.764)</f>
        <v>263.64265199999994</v>
      </c>
      <c r="E150" s="40">
        <v>0</v>
      </c>
      <c r="F150" s="40">
        <v>431</v>
      </c>
      <c r="G150" s="73"/>
      <c r="H150" s="74"/>
      <c r="I150" s="34"/>
    </row>
    <row r="151" spans="1:14" s="35" customFormat="1" x14ac:dyDescent="0.3">
      <c r="A151" s="69">
        <f t="shared" si="12"/>
        <v>4</v>
      </c>
      <c r="B151" s="70"/>
      <c r="C151" s="40" t="s">
        <v>172</v>
      </c>
      <c r="D151" s="54">
        <f>(21.768+2.725)*(10.764)</f>
        <v>263.642652</v>
      </c>
      <c r="E151" s="40">
        <v>0</v>
      </c>
      <c r="F151" s="40">
        <v>431</v>
      </c>
      <c r="G151" s="73"/>
      <c r="H151" s="74"/>
      <c r="I151" s="34"/>
    </row>
    <row r="152" spans="1:14" s="35" customFormat="1" x14ac:dyDescent="0.3">
      <c r="A152" s="69">
        <f t="shared" si="12"/>
        <v>5</v>
      </c>
      <c r="B152" s="70"/>
      <c r="C152" s="40" t="s">
        <v>172</v>
      </c>
      <c r="D152" s="54">
        <f>(21.768+2.725)*(10.764)</f>
        <v>263.642652</v>
      </c>
      <c r="E152" s="40">
        <v>0</v>
      </c>
      <c r="F152" s="40">
        <v>431</v>
      </c>
      <c r="G152" s="73"/>
      <c r="H152" s="74"/>
      <c r="I152" s="34"/>
    </row>
    <row r="153" spans="1:14" s="35" customFormat="1" x14ac:dyDescent="0.3">
      <c r="A153" s="69">
        <f t="shared" ref="A153" si="13">A152+1</f>
        <v>6</v>
      </c>
      <c r="B153" s="70"/>
      <c r="C153" s="40" t="s">
        <v>172</v>
      </c>
      <c r="D153" s="54">
        <f>(21.768+2.725)*(10.764)</f>
        <v>263.642652</v>
      </c>
      <c r="E153" s="40">
        <v>0</v>
      </c>
      <c r="F153" s="40">
        <v>431</v>
      </c>
      <c r="G153" s="148"/>
      <c r="H153" s="149"/>
      <c r="I153" s="34"/>
    </row>
    <row r="154" spans="1:14" s="35" customFormat="1" x14ac:dyDescent="0.3">
      <c r="A154" s="143" t="s">
        <v>182</v>
      </c>
      <c r="B154" s="144"/>
      <c r="C154" s="144"/>
      <c r="D154" s="144"/>
      <c r="E154" s="144"/>
      <c r="F154" s="144"/>
      <c r="G154" s="144"/>
      <c r="H154" s="145"/>
      <c r="I154" s="34"/>
    </row>
    <row r="155" spans="1:14" s="35" customFormat="1" ht="15.75" customHeight="1" x14ac:dyDescent="0.3">
      <c r="A155" s="69">
        <v>1</v>
      </c>
      <c r="B155" s="70"/>
      <c r="C155" s="40" t="s">
        <v>172</v>
      </c>
      <c r="D155" s="54">
        <f>(21.768+2.725)*(10.764)</f>
        <v>263.642652</v>
      </c>
      <c r="E155" s="40">
        <v>0</v>
      </c>
      <c r="F155" s="40">
        <v>431</v>
      </c>
      <c r="G155" s="71" t="str">
        <f>A154</f>
        <v>3rd &amp; 4th Floor</v>
      </c>
      <c r="H155" s="72"/>
      <c r="I155" s="34"/>
    </row>
    <row r="156" spans="1:14" s="35" customFormat="1" ht="15.75" customHeight="1" x14ac:dyDescent="0.3">
      <c r="A156" s="69">
        <f>A155+1</f>
        <v>2</v>
      </c>
      <c r="B156" s="70"/>
      <c r="C156" s="40" t="s">
        <v>172</v>
      </c>
      <c r="D156" s="54">
        <f>(18.868+2.9+2.725)*(10.764)</f>
        <v>263.64265199999994</v>
      </c>
      <c r="E156" s="40">
        <v>0</v>
      </c>
      <c r="F156" s="40">
        <v>431</v>
      </c>
      <c r="G156" s="73"/>
      <c r="H156" s="74"/>
      <c r="I156" s="34"/>
    </row>
    <row r="157" spans="1:14" s="35" customFormat="1" ht="15.75" customHeight="1" x14ac:dyDescent="0.3">
      <c r="A157" s="69">
        <f t="shared" ref="A157:A159" si="14">A156+1</f>
        <v>3</v>
      </c>
      <c r="B157" s="70"/>
      <c r="C157" s="40" t="s">
        <v>172</v>
      </c>
      <c r="D157" s="54">
        <f>(18.868+2.9+2.725)*(10.764)</f>
        <v>263.64265199999994</v>
      </c>
      <c r="E157" s="40">
        <v>0</v>
      </c>
      <c r="F157" s="40">
        <v>431</v>
      </c>
      <c r="G157" s="73"/>
      <c r="H157" s="74"/>
      <c r="I157" s="34"/>
    </row>
    <row r="158" spans="1:14" s="35" customFormat="1" ht="15.75" customHeight="1" x14ac:dyDescent="0.3">
      <c r="A158" s="69">
        <f t="shared" si="14"/>
        <v>4</v>
      </c>
      <c r="B158" s="70"/>
      <c r="C158" s="40" t="s">
        <v>172</v>
      </c>
      <c r="D158" s="54">
        <f>(21.768+2.725)*(10.764)</f>
        <v>263.642652</v>
      </c>
      <c r="E158" s="40">
        <v>0</v>
      </c>
      <c r="F158" s="40">
        <v>431</v>
      </c>
      <c r="G158" s="73"/>
      <c r="H158" s="74"/>
      <c r="I158" s="34"/>
    </row>
    <row r="159" spans="1:14" s="35" customFormat="1" ht="15.75" customHeight="1" x14ac:dyDescent="0.3">
      <c r="A159" s="69">
        <f t="shared" si="14"/>
        <v>5</v>
      </c>
      <c r="B159" s="70"/>
      <c r="C159" s="40" t="s">
        <v>172</v>
      </c>
      <c r="D159" s="54">
        <f>(21.768+2.725)*(10.764)</f>
        <v>263.642652</v>
      </c>
      <c r="E159" s="40">
        <v>0</v>
      </c>
      <c r="F159" s="40">
        <v>431</v>
      </c>
      <c r="G159" s="73"/>
      <c r="H159" s="74"/>
      <c r="I159" s="34"/>
    </row>
    <row r="160" spans="1:14" s="35" customFormat="1" ht="15.75" customHeight="1" x14ac:dyDescent="0.3">
      <c r="A160" s="69">
        <f t="shared" ref="A160" si="15">A159+1</f>
        <v>6</v>
      </c>
      <c r="B160" s="70"/>
      <c r="C160" s="40" t="s">
        <v>172</v>
      </c>
      <c r="D160" s="54">
        <f>(21.768+2.725)*(10.764)</f>
        <v>263.642652</v>
      </c>
      <c r="E160" s="40">
        <v>0</v>
      </c>
      <c r="F160" s="40">
        <v>431</v>
      </c>
      <c r="G160" s="148"/>
      <c r="H160" s="149"/>
      <c r="I160" s="34"/>
    </row>
    <row r="161" spans="1:14" s="35" customFormat="1" ht="15.75" customHeight="1" x14ac:dyDescent="0.3">
      <c r="A161" s="161" t="s">
        <v>178</v>
      </c>
      <c r="B161" s="162"/>
      <c r="C161" s="162"/>
      <c r="D161" s="162"/>
      <c r="E161" s="162"/>
      <c r="F161" s="162"/>
      <c r="G161" s="162"/>
      <c r="H161" s="163"/>
      <c r="I161" s="34"/>
    </row>
    <row r="162" spans="1:14" s="35" customFormat="1" ht="15.75" customHeight="1" x14ac:dyDescent="0.3">
      <c r="A162" s="143" t="s">
        <v>180</v>
      </c>
      <c r="B162" s="144"/>
      <c r="C162" s="144"/>
      <c r="D162" s="144"/>
      <c r="E162" s="144"/>
      <c r="F162" s="144"/>
      <c r="G162" s="144"/>
      <c r="H162" s="145"/>
      <c r="I162" s="34"/>
    </row>
    <row r="163" spans="1:14" s="35" customFormat="1" ht="15.75" customHeight="1" x14ac:dyDescent="0.3">
      <c r="A163" s="69">
        <v>1</v>
      </c>
      <c r="B163" s="70"/>
      <c r="C163" s="40" t="s">
        <v>172</v>
      </c>
      <c r="D163" s="54">
        <f>(21.768+2.725)*(10.764)</f>
        <v>263.642652</v>
      </c>
      <c r="E163" s="40">
        <v>0</v>
      </c>
      <c r="F163" s="40">
        <v>431</v>
      </c>
      <c r="G163" s="71" t="str">
        <f>A162</f>
        <v>Ground Floor For Entrance Lobby, Electric Room, Society Office, Residential &amp; Parking</v>
      </c>
      <c r="H163" s="72"/>
      <c r="I163" s="34"/>
    </row>
    <row r="164" spans="1:14" s="35" customFormat="1" x14ac:dyDescent="0.3">
      <c r="A164" s="130" t="s">
        <v>179</v>
      </c>
      <c r="B164" s="130"/>
      <c r="C164" s="130"/>
      <c r="D164" s="130"/>
      <c r="E164" s="130"/>
      <c r="F164" s="130"/>
      <c r="G164" s="130"/>
      <c r="H164" s="130"/>
      <c r="I164" s="34"/>
      <c r="L164" s="164"/>
      <c r="M164" s="164"/>
    </row>
    <row r="165" spans="1:14" s="35" customFormat="1" x14ac:dyDescent="0.3">
      <c r="A165" s="142">
        <v>1</v>
      </c>
      <c r="B165" s="142"/>
      <c r="C165" s="40" t="s">
        <v>172</v>
      </c>
      <c r="D165" s="54">
        <f>(21.768+2.8)*(10.764)</f>
        <v>264.449952</v>
      </c>
      <c r="E165" s="40">
        <v>0</v>
      </c>
      <c r="F165" s="40">
        <v>431</v>
      </c>
      <c r="G165" s="71" t="str">
        <f>A164</f>
        <v>1st Floor</v>
      </c>
      <c r="H165" s="72"/>
      <c r="I165" s="34">
        <f>2.75*4.45+2.5*1.8+1.2*1.2+1.1*1.2+1.3*1</f>
        <v>20.797500000000003</v>
      </c>
      <c r="N165" s="34"/>
    </row>
    <row r="166" spans="1:14" s="35" customFormat="1" x14ac:dyDescent="0.3">
      <c r="A166" s="142">
        <f>A165+1</f>
        <v>2</v>
      </c>
      <c r="B166" s="142"/>
      <c r="C166" s="40" t="s">
        <v>172</v>
      </c>
      <c r="D166" s="54">
        <f>(18.868+2.9+2.8)*(10.764)</f>
        <v>264.44995199999994</v>
      </c>
      <c r="E166" s="40">
        <v>0</v>
      </c>
      <c r="F166" s="40">
        <v>431</v>
      </c>
      <c r="G166" s="73"/>
      <c r="H166" s="74"/>
      <c r="I166" s="34"/>
      <c r="N166" s="34"/>
    </row>
    <row r="167" spans="1:14" s="35" customFormat="1" x14ac:dyDescent="0.3">
      <c r="A167" s="142">
        <f>A166+1</f>
        <v>3</v>
      </c>
      <c r="B167" s="142"/>
      <c r="C167" s="40" t="s">
        <v>172</v>
      </c>
      <c r="D167" s="54">
        <f>(19.003+2.9+2.725)*(10.764)</f>
        <v>265.09579199999996</v>
      </c>
      <c r="E167" s="54">
        <f>(3.825)*(10.764)</f>
        <v>41.1723</v>
      </c>
      <c r="F167" s="40">
        <v>475</v>
      </c>
      <c r="G167" s="73"/>
      <c r="H167" s="74"/>
      <c r="I167" s="34"/>
      <c r="N167" s="34"/>
    </row>
    <row r="168" spans="1:14" s="35" customFormat="1" x14ac:dyDescent="0.3">
      <c r="A168" s="69">
        <f>A167+1</f>
        <v>4</v>
      </c>
      <c r="B168" s="70"/>
      <c r="C168" s="40" t="s">
        <v>172</v>
      </c>
      <c r="D168" s="54">
        <f>(21.768+2.725)*(10.764)</f>
        <v>263.642652</v>
      </c>
      <c r="E168" s="40">
        <v>0</v>
      </c>
      <c r="F168" s="40">
        <v>431</v>
      </c>
      <c r="G168" s="73"/>
      <c r="H168" s="74"/>
      <c r="I168" s="34"/>
      <c r="N168" s="34"/>
    </row>
    <row r="169" spans="1:14" s="35" customFormat="1" x14ac:dyDescent="0.3">
      <c r="A169" s="143" t="s">
        <v>117</v>
      </c>
      <c r="B169" s="144"/>
      <c r="C169" s="144"/>
      <c r="D169" s="144"/>
      <c r="E169" s="144"/>
      <c r="F169" s="144"/>
      <c r="G169" s="144"/>
      <c r="H169" s="145"/>
      <c r="I169" s="34"/>
    </row>
    <row r="170" spans="1:14" s="35" customFormat="1" x14ac:dyDescent="0.3">
      <c r="A170" s="69">
        <v>1</v>
      </c>
      <c r="B170" s="70"/>
      <c r="C170" s="40" t="s">
        <v>172</v>
      </c>
      <c r="D170" s="54">
        <f>(21.768+2.8)*(10.764)</f>
        <v>264.449952</v>
      </c>
      <c r="E170" s="40">
        <v>0</v>
      </c>
      <c r="F170" s="40">
        <v>431</v>
      </c>
      <c r="G170" s="71" t="str">
        <f>A169</f>
        <v>2nd Floor</v>
      </c>
      <c r="H170" s="72"/>
      <c r="I170" s="34"/>
    </row>
    <row r="171" spans="1:14" s="35" customFormat="1" x14ac:dyDescent="0.3">
      <c r="A171" s="69">
        <f>A170+1</f>
        <v>2</v>
      </c>
      <c r="B171" s="70"/>
      <c r="C171" s="40" t="s">
        <v>172</v>
      </c>
      <c r="D171" s="54">
        <f>(18.868+2.9+2.8)*(10.764)</f>
        <v>264.44995199999994</v>
      </c>
      <c r="E171" s="40">
        <v>0</v>
      </c>
      <c r="F171" s="40">
        <v>431</v>
      </c>
      <c r="G171" s="73"/>
      <c r="H171" s="74"/>
      <c r="I171" s="34"/>
    </row>
    <row r="172" spans="1:14" s="35" customFormat="1" x14ac:dyDescent="0.3">
      <c r="A172" s="69">
        <f t="shared" ref="A172:A173" si="16">A171+1</f>
        <v>3</v>
      </c>
      <c r="B172" s="70"/>
      <c r="C172" s="40" t="s">
        <v>172</v>
      </c>
      <c r="D172" s="54">
        <f>(18.868+2.9+2.725)*(10.764)</f>
        <v>263.64265199999994</v>
      </c>
      <c r="E172" s="40">
        <v>0</v>
      </c>
      <c r="F172" s="40">
        <v>431</v>
      </c>
      <c r="G172" s="73"/>
      <c r="H172" s="74"/>
      <c r="I172" s="34"/>
    </row>
    <row r="173" spans="1:14" s="35" customFormat="1" x14ac:dyDescent="0.3">
      <c r="A173" s="69">
        <f t="shared" si="16"/>
        <v>4</v>
      </c>
      <c r="B173" s="70"/>
      <c r="C173" s="40" t="s">
        <v>172</v>
      </c>
      <c r="D173" s="54">
        <f>(21.768+2.725)*(10.764)</f>
        <v>263.642652</v>
      </c>
      <c r="E173" s="40">
        <v>0</v>
      </c>
      <c r="F173" s="40">
        <v>431</v>
      </c>
      <c r="G173" s="73"/>
      <c r="H173" s="74"/>
      <c r="I173" s="34"/>
    </row>
    <row r="174" spans="1:14" s="35" customFormat="1" x14ac:dyDescent="0.3">
      <c r="A174" s="143" t="s">
        <v>182</v>
      </c>
      <c r="B174" s="144"/>
      <c r="C174" s="144"/>
      <c r="D174" s="144"/>
      <c r="E174" s="144"/>
      <c r="F174" s="144"/>
      <c r="G174" s="144"/>
      <c r="H174" s="145"/>
      <c r="I174" s="34"/>
    </row>
    <row r="175" spans="1:14" s="35" customFormat="1" ht="15.75" customHeight="1" x14ac:dyDescent="0.3">
      <c r="A175" s="69">
        <v>1</v>
      </c>
      <c r="B175" s="70"/>
      <c r="C175" s="40" t="s">
        <v>172</v>
      </c>
      <c r="D175" s="54">
        <f>(21.768+2.8)*(10.764)</f>
        <v>264.449952</v>
      </c>
      <c r="E175" s="40">
        <v>0</v>
      </c>
      <c r="F175" s="40">
        <v>431</v>
      </c>
      <c r="G175" s="71" t="str">
        <f>A174</f>
        <v>3rd &amp; 4th Floor</v>
      </c>
      <c r="H175" s="72"/>
      <c r="I175" s="34"/>
    </row>
    <row r="176" spans="1:14" s="35" customFormat="1" ht="15.75" customHeight="1" x14ac:dyDescent="0.3">
      <c r="A176" s="69">
        <f>A175+1</f>
        <v>2</v>
      </c>
      <c r="B176" s="70"/>
      <c r="C176" s="40" t="s">
        <v>172</v>
      </c>
      <c r="D176" s="54">
        <f>(18.868+2.9+2.8)*(10.764)</f>
        <v>264.44995199999994</v>
      </c>
      <c r="E176" s="40">
        <v>0</v>
      </c>
      <c r="F176" s="40">
        <v>431</v>
      </c>
      <c r="G176" s="73"/>
      <c r="H176" s="74"/>
      <c r="I176" s="34"/>
    </row>
    <row r="177" spans="1:9" s="35" customFormat="1" ht="15.75" customHeight="1" x14ac:dyDescent="0.3">
      <c r="A177" s="69">
        <f t="shared" ref="A177:A178" si="17">A176+1</f>
        <v>3</v>
      </c>
      <c r="B177" s="70"/>
      <c r="C177" s="40" t="s">
        <v>172</v>
      </c>
      <c r="D177" s="54">
        <f>(18.868+2.9+2.725)*(10.764)</f>
        <v>263.64265199999994</v>
      </c>
      <c r="E177" s="40">
        <v>0</v>
      </c>
      <c r="F177" s="40">
        <v>431</v>
      </c>
      <c r="G177" s="73"/>
      <c r="H177" s="74"/>
      <c r="I177" s="34"/>
    </row>
    <row r="178" spans="1:9" s="35" customFormat="1" ht="15.75" customHeight="1" x14ac:dyDescent="0.3">
      <c r="A178" s="69">
        <f t="shared" si="17"/>
        <v>4</v>
      </c>
      <c r="B178" s="70"/>
      <c r="C178" s="40" t="s">
        <v>172</v>
      </c>
      <c r="D178" s="54">
        <f>(21.768+2.725)*(10.764)</f>
        <v>263.642652</v>
      </c>
      <c r="E178" s="40">
        <v>0</v>
      </c>
      <c r="F178" s="40">
        <v>431</v>
      </c>
      <c r="G178" s="73"/>
      <c r="H178" s="74"/>
      <c r="I178" s="34"/>
    </row>
    <row r="179" spans="1:9" s="33" customFormat="1" x14ac:dyDescent="0.3">
      <c r="A179" s="150" t="s">
        <v>69</v>
      </c>
      <c r="B179" s="150"/>
      <c r="C179" s="150"/>
      <c r="D179" s="150"/>
      <c r="E179" s="150"/>
      <c r="F179" s="150"/>
      <c r="G179" s="150"/>
      <c r="H179" s="150"/>
    </row>
    <row r="180" spans="1:9" s="33" customFormat="1" x14ac:dyDescent="0.3">
      <c r="A180" s="45" t="s">
        <v>150</v>
      </c>
      <c r="B180" s="139" t="s">
        <v>220</v>
      </c>
      <c r="C180" s="140"/>
      <c r="D180" s="140"/>
      <c r="E180" s="140"/>
      <c r="F180" s="140"/>
      <c r="G180" s="140"/>
      <c r="H180" s="141"/>
    </row>
    <row r="181" spans="1:9" s="33" customFormat="1" x14ac:dyDescent="0.3">
      <c r="A181" s="45" t="s">
        <v>150</v>
      </c>
      <c r="B181" s="139" t="str">
        <f>(IF(F109="Saleable area Loading :","We have considered Saleable area of Flats as per our Calculation.","We considered Saleable area of Flat as per Builder area Sheet."))</f>
        <v>We considered Saleable area of Flat as per Builder area Sheet.</v>
      </c>
      <c r="C181" s="140"/>
      <c r="D181" s="140"/>
      <c r="E181" s="140"/>
      <c r="F181" s="140"/>
      <c r="G181" s="140"/>
      <c r="H181" s="141"/>
    </row>
    <row r="182" spans="1:9" s="33" customFormat="1" x14ac:dyDescent="0.3">
      <c r="A182" s="45" t="s">
        <v>150</v>
      </c>
      <c r="B182" s="135" t="s">
        <v>121</v>
      </c>
      <c r="C182" s="136"/>
      <c r="D182" s="136"/>
      <c r="E182" s="136"/>
      <c r="F182" s="136"/>
      <c r="G182" s="136"/>
      <c r="H182" s="137"/>
    </row>
    <row r="183" spans="1:9" s="33" customFormat="1" x14ac:dyDescent="0.3">
      <c r="A183" s="45" t="s">
        <v>150</v>
      </c>
      <c r="B183" s="135" t="s">
        <v>183</v>
      </c>
      <c r="C183" s="136"/>
      <c r="D183" s="136"/>
      <c r="E183" s="136"/>
      <c r="F183" s="136"/>
      <c r="G183" s="136"/>
      <c r="H183" s="137"/>
    </row>
    <row r="184" spans="1:9" s="33" customFormat="1" x14ac:dyDescent="0.3">
      <c r="A184" s="45" t="s">
        <v>150</v>
      </c>
      <c r="B184" s="135" t="s">
        <v>149</v>
      </c>
      <c r="C184" s="136"/>
      <c r="D184" s="136"/>
      <c r="E184" s="136"/>
      <c r="F184" s="136"/>
      <c r="G184" s="136"/>
      <c r="H184" s="137"/>
    </row>
    <row r="185" spans="1:9" s="33" customFormat="1" x14ac:dyDescent="0.3">
      <c r="A185" s="45" t="s">
        <v>150</v>
      </c>
      <c r="B185" s="135" t="s">
        <v>122</v>
      </c>
      <c r="C185" s="136"/>
      <c r="D185" s="136"/>
      <c r="E185" s="136"/>
      <c r="F185" s="136"/>
      <c r="G185" s="136"/>
      <c r="H185" s="137"/>
    </row>
    <row r="186" spans="1:9" s="33" customFormat="1" ht="34.5" customHeight="1" x14ac:dyDescent="0.3">
      <c r="A186" s="45" t="s">
        <v>150</v>
      </c>
      <c r="B186" s="135" t="s">
        <v>151</v>
      </c>
      <c r="C186" s="136"/>
      <c r="D186" s="136"/>
      <c r="E186" s="136"/>
      <c r="F186" s="136"/>
      <c r="G186" s="136"/>
      <c r="H186" s="137"/>
    </row>
    <row r="187" spans="1:9" s="33" customFormat="1" x14ac:dyDescent="0.3">
      <c r="A187" s="45" t="s">
        <v>150</v>
      </c>
      <c r="B187" s="135" t="s">
        <v>123</v>
      </c>
      <c r="C187" s="136"/>
      <c r="D187" s="136"/>
      <c r="E187" s="136"/>
      <c r="F187" s="136"/>
      <c r="G187" s="136"/>
      <c r="H187" s="137"/>
    </row>
    <row r="188" spans="1:9" s="33" customFormat="1" ht="32.25" customHeight="1" x14ac:dyDescent="0.3">
      <c r="A188" s="67" t="s">
        <v>150</v>
      </c>
      <c r="B188" s="167" t="s">
        <v>213</v>
      </c>
      <c r="C188" s="168"/>
      <c r="D188" s="168"/>
      <c r="E188" s="168"/>
      <c r="F188" s="168"/>
      <c r="G188" s="168"/>
      <c r="H188" s="169"/>
    </row>
    <row r="189" spans="1:9" s="33" customFormat="1" ht="36.75" customHeight="1" x14ac:dyDescent="0.3">
      <c r="A189" s="67" t="s">
        <v>150</v>
      </c>
      <c r="B189" s="167" t="s">
        <v>217</v>
      </c>
      <c r="C189" s="168"/>
      <c r="D189" s="168"/>
      <c r="E189" s="168"/>
      <c r="F189" s="168"/>
      <c r="G189" s="168"/>
      <c r="H189" s="169"/>
    </row>
    <row r="190" spans="1:9" x14ac:dyDescent="0.3">
      <c r="A190" s="100" t="s">
        <v>62</v>
      </c>
      <c r="B190" s="100"/>
      <c r="C190" s="100"/>
      <c r="D190" s="100"/>
      <c r="E190" s="100"/>
      <c r="F190" s="100"/>
      <c r="G190" s="100"/>
      <c r="H190" s="100"/>
    </row>
    <row r="191" spans="1:9" x14ac:dyDescent="0.3">
      <c r="A191" s="77" t="s">
        <v>63</v>
      </c>
      <c r="B191" s="77"/>
      <c r="C191" s="77"/>
      <c r="D191" s="77"/>
      <c r="E191" s="77"/>
      <c r="F191" s="77"/>
      <c r="G191" s="77"/>
      <c r="H191" s="77"/>
    </row>
    <row r="192" spans="1:9" ht="15.75" customHeight="1" x14ac:dyDescent="0.3">
      <c r="A192" s="157" t="s">
        <v>64</v>
      </c>
      <c r="B192" s="157"/>
      <c r="C192" s="157"/>
      <c r="D192" s="157"/>
      <c r="E192" s="157"/>
      <c r="F192" s="157"/>
      <c r="G192" s="157"/>
      <c r="H192" s="157"/>
    </row>
    <row r="193" spans="1:8" x14ac:dyDescent="0.3">
      <c r="A193" s="77" t="s">
        <v>65</v>
      </c>
      <c r="B193" s="77"/>
      <c r="C193" s="77"/>
      <c r="D193" s="77"/>
      <c r="E193" s="77"/>
      <c r="F193" s="77"/>
      <c r="G193" s="77"/>
      <c r="H193" s="77"/>
    </row>
    <row r="194" spans="1:8" x14ac:dyDescent="0.3">
      <c r="A194" s="77" t="s">
        <v>66</v>
      </c>
      <c r="B194" s="77"/>
      <c r="C194" s="77"/>
      <c r="D194" s="77"/>
      <c r="E194" s="77"/>
      <c r="F194" s="77"/>
      <c r="G194" s="77"/>
      <c r="H194" s="77"/>
    </row>
    <row r="195" spans="1:8" hidden="1" x14ac:dyDescent="0.3">
      <c r="A195" s="77" t="s">
        <v>124</v>
      </c>
      <c r="B195" s="77"/>
      <c r="C195" s="77"/>
      <c r="D195" s="77"/>
      <c r="E195" s="77"/>
      <c r="F195" s="77"/>
      <c r="G195" s="77"/>
      <c r="H195" s="77"/>
    </row>
    <row r="196" spans="1:8" hidden="1" x14ac:dyDescent="0.3">
      <c r="A196" s="101" t="s">
        <v>125</v>
      </c>
      <c r="B196" s="101"/>
      <c r="C196" s="101"/>
      <c r="D196" s="101"/>
      <c r="E196" s="101"/>
      <c r="F196" s="101"/>
      <c r="G196" s="101"/>
      <c r="H196" s="101"/>
    </row>
    <row r="197" spans="1:8" x14ac:dyDescent="0.3">
      <c r="A197" s="129" t="s">
        <v>78</v>
      </c>
      <c r="B197" s="129"/>
      <c r="C197" s="129" t="s">
        <v>219</v>
      </c>
      <c r="D197" s="129"/>
      <c r="E197" s="129" t="s">
        <v>104</v>
      </c>
      <c r="F197" s="129"/>
      <c r="G197" s="129" t="s">
        <v>221</v>
      </c>
      <c r="H197" s="129"/>
    </row>
    <row r="198" spans="1:8" x14ac:dyDescent="0.3">
      <c r="A198" s="128" t="s">
        <v>80</v>
      </c>
      <c r="B198" s="128"/>
      <c r="C198" s="128"/>
      <c r="D198" s="128"/>
      <c r="E198" s="128"/>
      <c r="F198" s="128"/>
      <c r="G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G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G200" s="128"/>
      <c r="H200" s="128"/>
    </row>
    <row r="201" spans="1:8" x14ac:dyDescent="0.3">
      <c r="A201" s="36" t="s">
        <v>67</v>
      </c>
      <c r="B201" s="37"/>
      <c r="C201" s="37"/>
      <c r="D201" s="36" t="str">
        <f>E8</f>
        <v>Kedardham</v>
      </c>
      <c r="F201" s="37"/>
      <c r="G201" s="37"/>
      <c r="H201" s="37"/>
    </row>
    <row r="202" spans="1:8" x14ac:dyDescent="0.3">
      <c r="A202" s="37"/>
      <c r="B202" s="37"/>
      <c r="C202" s="37"/>
      <c r="D202" s="37"/>
      <c r="E202" s="37"/>
      <c r="F202" s="37"/>
      <c r="G202" s="37"/>
      <c r="H202" s="37"/>
    </row>
    <row r="203" spans="1:8" x14ac:dyDescent="0.3">
      <c r="A203" s="37"/>
      <c r="B203" s="37"/>
      <c r="C203" s="37"/>
      <c r="D203" s="37"/>
      <c r="E203" s="37"/>
      <c r="F203" s="37"/>
      <c r="G203" s="37"/>
      <c r="H203" s="37"/>
    </row>
    <row r="204" spans="1:8" ht="15" customHeight="1" x14ac:dyDescent="0.3"/>
    <row r="243" spans="1:1" x14ac:dyDescent="0.3">
      <c r="A243" s="39" t="s">
        <v>158</v>
      </c>
    </row>
    <row r="286" spans="1:1" x14ac:dyDescent="0.3">
      <c r="A286" s="39" t="s">
        <v>216</v>
      </c>
    </row>
    <row r="327" spans="1:1" x14ac:dyDescent="0.3">
      <c r="A327" s="39" t="s">
        <v>68</v>
      </c>
    </row>
  </sheetData>
  <mergeCells count="319">
    <mergeCell ref="B189:H189"/>
    <mergeCell ref="B188:H188"/>
    <mergeCell ref="D58:H58"/>
    <mergeCell ref="A57:C58"/>
    <mergeCell ref="A80:B80"/>
    <mergeCell ref="C80:H80"/>
    <mergeCell ref="A82:B82"/>
    <mergeCell ref="C82:H82"/>
    <mergeCell ref="A83:B83"/>
    <mergeCell ref="E83:F83"/>
    <mergeCell ref="G83:H83"/>
    <mergeCell ref="D59:H59"/>
    <mergeCell ref="E70:F79"/>
    <mergeCell ref="G70:H79"/>
    <mergeCell ref="A78:B78"/>
    <mergeCell ref="A79:B79"/>
    <mergeCell ref="D60:H60"/>
    <mergeCell ref="A84:B84"/>
    <mergeCell ref="E84:F93"/>
    <mergeCell ref="G84:H93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L164:M164"/>
    <mergeCell ref="A165:B165"/>
    <mergeCell ref="G165:H168"/>
    <mergeCell ref="A166:B166"/>
    <mergeCell ref="A167:B167"/>
    <mergeCell ref="A168:B168"/>
    <mergeCell ref="A146:B146"/>
    <mergeCell ref="G141:H146"/>
    <mergeCell ref="A159:B159"/>
    <mergeCell ref="A147:H147"/>
    <mergeCell ref="A148:B148"/>
    <mergeCell ref="A149:B149"/>
    <mergeCell ref="A150:B150"/>
    <mergeCell ref="A151:B151"/>
    <mergeCell ref="A152:B152"/>
    <mergeCell ref="A154:H154"/>
    <mergeCell ref="A155:B155"/>
    <mergeCell ref="A156:B156"/>
    <mergeCell ref="A153:B153"/>
    <mergeCell ref="A161:H161"/>
    <mergeCell ref="A162:H162"/>
    <mergeCell ref="A97:E97"/>
    <mergeCell ref="A160:B160"/>
    <mergeCell ref="G155:H160"/>
    <mergeCell ref="G148:H153"/>
    <mergeCell ref="A164:H164"/>
    <mergeCell ref="F97:H97"/>
    <mergeCell ref="L140:M140"/>
    <mergeCell ref="A142:B142"/>
    <mergeCell ref="A143:B143"/>
    <mergeCell ref="A144:B144"/>
    <mergeCell ref="A145:B145"/>
    <mergeCell ref="A121:H121"/>
    <mergeCell ref="A122:B122"/>
    <mergeCell ref="A123:B123"/>
    <mergeCell ref="A124:B124"/>
    <mergeCell ref="A125:B125"/>
    <mergeCell ref="A128:H128"/>
    <mergeCell ref="A129:B129"/>
    <mergeCell ref="A130:B130"/>
    <mergeCell ref="A117:B117"/>
    <mergeCell ref="A118:B118"/>
    <mergeCell ref="A98:E98"/>
    <mergeCell ref="A94:E94"/>
    <mergeCell ref="A95:E95"/>
    <mergeCell ref="F94:H94"/>
    <mergeCell ref="C105:D105"/>
    <mergeCell ref="A60:C60"/>
    <mergeCell ref="A41:D41"/>
    <mergeCell ref="A195:H195"/>
    <mergeCell ref="A192:H192"/>
    <mergeCell ref="A116:B116"/>
    <mergeCell ref="A102:B102"/>
    <mergeCell ref="G109:H109"/>
    <mergeCell ref="A75:B75"/>
    <mergeCell ref="F95:H95"/>
    <mergeCell ref="G103:H103"/>
    <mergeCell ref="A48:B48"/>
    <mergeCell ref="C48:E48"/>
    <mergeCell ref="G48:H48"/>
    <mergeCell ref="G50:H50"/>
    <mergeCell ref="D54:H54"/>
    <mergeCell ref="C50:E50"/>
    <mergeCell ref="D57:H57"/>
    <mergeCell ref="C49:E49"/>
    <mergeCell ref="A110:H110"/>
    <mergeCell ref="A135:H135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63:C63"/>
    <mergeCell ref="D63:H63"/>
    <mergeCell ref="A64:C64"/>
    <mergeCell ref="D64:H64"/>
    <mergeCell ref="A70:B70"/>
    <mergeCell ref="G69:H69"/>
    <mergeCell ref="B183:H183"/>
    <mergeCell ref="A179:H179"/>
    <mergeCell ref="A136:H136"/>
    <mergeCell ref="A112:B112"/>
    <mergeCell ref="A119:B119"/>
    <mergeCell ref="A106:B106"/>
    <mergeCell ref="B186:H186"/>
    <mergeCell ref="B184:H184"/>
    <mergeCell ref="A138:B138"/>
    <mergeCell ref="A108:H108"/>
    <mergeCell ref="A163:B163"/>
    <mergeCell ref="A157:B157"/>
    <mergeCell ref="A158:B158"/>
    <mergeCell ref="G129:H134"/>
    <mergeCell ref="G116:H120"/>
    <mergeCell ref="G163:H163"/>
    <mergeCell ref="G137:H139"/>
    <mergeCell ref="A140:H140"/>
    <mergeCell ref="G175:H178"/>
    <mergeCell ref="G170:H173"/>
    <mergeCell ref="A174:H174"/>
    <mergeCell ref="A175:B175"/>
    <mergeCell ref="A176:B176"/>
    <mergeCell ref="A169:H169"/>
    <mergeCell ref="A170:B170"/>
    <mergeCell ref="A171:B171"/>
    <mergeCell ref="A173:B173"/>
    <mergeCell ref="A107:H107"/>
    <mergeCell ref="B180:H180"/>
    <mergeCell ref="B181:H181"/>
    <mergeCell ref="E103:F103"/>
    <mergeCell ref="B182:H182"/>
    <mergeCell ref="A177:B177"/>
    <mergeCell ref="A178:B178"/>
    <mergeCell ref="A141:B141"/>
    <mergeCell ref="A111:H111"/>
    <mergeCell ref="A126:B126"/>
    <mergeCell ref="A137:B137"/>
    <mergeCell ref="C106:D106"/>
    <mergeCell ref="E106:F106"/>
    <mergeCell ref="G106:H106"/>
    <mergeCell ref="A131:B131"/>
    <mergeCell ref="A132:B132"/>
    <mergeCell ref="A133:B133"/>
    <mergeCell ref="A134:B134"/>
    <mergeCell ref="A127:B127"/>
    <mergeCell ref="G122:H127"/>
    <mergeCell ref="A120:B120"/>
    <mergeCell ref="A198:H200"/>
    <mergeCell ref="A197:B197"/>
    <mergeCell ref="E197:F197"/>
    <mergeCell ref="C197:D197"/>
    <mergeCell ref="G197:H197"/>
    <mergeCell ref="A99:E99"/>
    <mergeCell ref="F99:H99"/>
    <mergeCell ref="A100:E100"/>
    <mergeCell ref="F100:H100"/>
    <mergeCell ref="A115:H115"/>
    <mergeCell ref="A103:B103"/>
    <mergeCell ref="A139:B139"/>
    <mergeCell ref="A193:H193"/>
    <mergeCell ref="A101:H101"/>
    <mergeCell ref="A196:H196"/>
    <mergeCell ref="A194:H194"/>
    <mergeCell ref="A190:H190"/>
    <mergeCell ref="C102:D102"/>
    <mergeCell ref="G102:H102"/>
    <mergeCell ref="A191:H191"/>
    <mergeCell ref="E102:F102"/>
    <mergeCell ref="B187:H187"/>
    <mergeCell ref="B185:H185"/>
    <mergeCell ref="A172:B172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A37:B37"/>
    <mergeCell ref="C37:H37"/>
    <mergeCell ref="A38:B38"/>
    <mergeCell ref="C38:H38"/>
    <mergeCell ref="A43:D43"/>
    <mergeCell ref="F35:H35"/>
    <mergeCell ref="A45:D45"/>
    <mergeCell ref="A46:H46"/>
    <mergeCell ref="D56:H56"/>
    <mergeCell ref="A56:C56"/>
    <mergeCell ref="G49:H49"/>
    <mergeCell ref="A50:B51"/>
    <mergeCell ref="A49:B49"/>
    <mergeCell ref="C51:H51"/>
    <mergeCell ref="E41:H41"/>
    <mergeCell ref="A42:D42"/>
    <mergeCell ref="E42:H42"/>
    <mergeCell ref="E43:H43"/>
    <mergeCell ref="E44:H44"/>
    <mergeCell ref="E45:H45"/>
    <mergeCell ref="A44:D44"/>
    <mergeCell ref="A77:B77"/>
    <mergeCell ref="A47:B47"/>
    <mergeCell ref="C47:H47"/>
    <mergeCell ref="A76:B76"/>
    <mergeCell ref="A69:B69"/>
    <mergeCell ref="A72:B72"/>
    <mergeCell ref="A68:B68"/>
    <mergeCell ref="A66:B66"/>
    <mergeCell ref="C66:H66"/>
    <mergeCell ref="A74:B74"/>
    <mergeCell ref="A61:C61"/>
    <mergeCell ref="A52:B52"/>
    <mergeCell ref="C52:E52"/>
    <mergeCell ref="A53:H53"/>
    <mergeCell ref="A54:C54"/>
    <mergeCell ref="A55:C55"/>
    <mergeCell ref="D55:H55"/>
    <mergeCell ref="G52:H52"/>
    <mergeCell ref="E105:F105"/>
    <mergeCell ref="G105:H105"/>
    <mergeCell ref="E104:F104"/>
    <mergeCell ref="A113:B113"/>
    <mergeCell ref="A114:B114"/>
    <mergeCell ref="G112:H114"/>
    <mergeCell ref="F98:H98"/>
    <mergeCell ref="A104:B104"/>
    <mergeCell ref="F96:H96"/>
    <mergeCell ref="A96:E96"/>
    <mergeCell ref="C103:D103"/>
    <mergeCell ref="C104:D104"/>
    <mergeCell ref="G104:H104"/>
    <mergeCell ref="A105:B105"/>
  </mergeCells>
  <hyperlinks>
    <hyperlink ref="C38" r:id="rId1" xr:uid="{00000000-0004-0000-0000-000000000000}"/>
    <hyperlink ref="I109" r:id="rId2" xr:uid="{00000000-0004-0000-0000-000001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5" manualBreakCount="5">
    <brk id="65" max="16383" man="1"/>
    <brk id="200" max="16383" man="1"/>
    <brk id="242" max="16383" man="1"/>
    <brk id="284" max="16383" man="1"/>
    <brk id="326" max="16383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H7" sqref="H7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4" t="s">
        <v>105</v>
      </c>
      <c r="C3" s="184"/>
      <c r="D3" s="184"/>
      <c r="E3" s="184"/>
      <c r="F3" s="184"/>
      <c r="G3" s="184"/>
      <c r="H3" s="184"/>
    </row>
    <row r="4" spans="1:9" x14ac:dyDescent="0.3">
      <c r="A4" s="2"/>
      <c r="B4" s="3" t="s">
        <v>106</v>
      </c>
      <c r="C4" s="3" t="s">
        <v>107</v>
      </c>
      <c r="D4" s="3" t="s">
        <v>70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3">
      <c r="A5" s="2"/>
      <c r="B5" s="5" t="s">
        <v>110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Q19" sqref="Q19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2025-09-15T05:43:19Z</cp:lastPrinted>
  <dcterms:created xsi:type="dcterms:W3CDTF">2019-07-16T09:29:46Z</dcterms:created>
  <dcterms:modified xsi:type="dcterms:W3CDTF">2025-09-15T05:43:21Z</dcterms:modified>
</cp:coreProperties>
</file>