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 codeName="ThisWorkbook"/>
  <mc:AlternateContent xmlns:mc="http://schemas.openxmlformats.org/markup-compatibility/2006">
    <mc:Choice Requires="x15">
      <x15ac:absPath xmlns:x15ac="http://schemas.microsoft.com/office/spreadsheetml/2010/11/ac" url="D:\Kunal\Sept 25\Axis\Dump\"/>
    </mc:Choice>
  </mc:AlternateContent>
  <xr:revisionPtr revIDLastSave="0" documentId="13_ncr:1_{059036C9-3DAE-4C86-8418-64B3E3AED09E}" xr6:coauthVersionLast="47" xr6:coauthVersionMax="47" xr10:uidLastSave="{00000000-0000-0000-0000-000000000000}"/>
  <bookViews>
    <workbookView xWindow="-108" yWindow="-108" windowWidth="23256" windowHeight="12456" tabRatio="725" xr2:uid="{00000000-000D-0000-FFFF-FFFF00000000}"/>
  </bookViews>
  <sheets>
    <sheet name="Report" sheetId="1" r:id="rId1"/>
    <sheet name="valuation" sheetId="5" r:id="rId2"/>
    <sheet name="Research" sheetId="4" r:id="rId3"/>
  </sheets>
  <definedNames>
    <definedName name="_xlnm.Print_Area" localSheetId="0">Report!$A$1:$H$309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33" i="1" l="1"/>
  <c r="L132" i="1"/>
  <c r="E155" i="1"/>
  <c r="E154" i="1"/>
  <c r="E153" i="1"/>
  <c r="E152" i="1"/>
  <c r="E148" i="1"/>
  <c r="E145" i="1"/>
  <c r="E151" i="1"/>
  <c r="E150" i="1"/>
  <c r="E147" i="1"/>
  <c r="E146" i="1"/>
  <c r="E144" i="1"/>
  <c r="E143" i="1"/>
  <c r="E137" i="1"/>
  <c r="E136" i="1"/>
  <c r="E141" i="1"/>
  <c r="E140" i="1"/>
  <c r="E139" i="1"/>
  <c r="E138" i="1"/>
  <c r="E134" i="1"/>
  <c r="E133" i="1"/>
  <c r="E132" i="1"/>
  <c r="E131" i="1"/>
  <c r="E130" i="1"/>
  <c r="E129" i="1"/>
  <c r="G154" i="1" l="1"/>
  <c r="G153" i="1"/>
  <c r="G152" i="1"/>
  <c r="D124" i="1"/>
  <c r="D123" i="1"/>
  <c r="D122" i="1"/>
  <c r="D121" i="1"/>
  <c r="G134" i="1"/>
  <c r="G130" i="1"/>
  <c r="G129" i="1"/>
  <c r="D155" i="1"/>
  <c r="F155" i="1" s="1"/>
  <c r="D154" i="1"/>
  <c r="F154" i="1" s="1"/>
  <c r="D153" i="1"/>
  <c r="F153" i="1" s="1"/>
  <c r="D152" i="1"/>
  <c r="F152" i="1" s="1"/>
  <c r="D151" i="1"/>
  <c r="F151" i="1" s="1"/>
  <c r="H151" i="1" s="1"/>
  <c r="D150" i="1"/>
  <c r="F150" i="1" s="1"/>
  <c r="H150" i="1" s="1"/>
  <c r="D148" i="1"/>
  <c r="F148" i="1" s="1"/>
  <c r="D147" i="1"/>
  <c r="F147" i="1" s="1"/>
  <c r="H147" i="1" s="1"/>
  <c r="D146" i="1"/>
  <c r="F146" i="1" s="1"/>
  <c r="H146" i="1" s="1"/>
  <c r="D145" i="1"/>
  <c r="F145" i="1" s="1"/>
  <c r="H145" i="1" s="1"/>
  <c r="D144" i="1"/>
  <c r="F144" i="1" s="1"/>
  <c r="D143" i="1"/>
  <c r="F143" i="1" s="1"/>
  <c r="D141" i="1"/>
  <c r="F141" i="1" s="1"/>
  <c r="D140" i="1"/>
  <c r="F140" i="1" s="1"/>
  <c r="D139" i="1"/>
  <c r="F139" i="1" s="1"/>
  <c r="D138" i="1"/>
  <c r="F138" i="1" s="1"/>
  <c r="D137" i="1"/>
  <c r="F137" i="1" s="1"/>
  <c r="L137" i="1" s="1"/>
  <c r="D136" i="1"/>
  <c r="F136" i="1" s="1"/>
  <c r="D134" i="1"/>
  <c r="D133" i="1"/>
  <c r="F133" i="1" s="1"/>
  <c r="H133" i="1" s="1"/>
  <c r="D132" i="1"/>
  <c r="D131" i="1"/>
  <c r="D130" i="1"/>
  <c r="D129" i="1"/>
  <c r="A151" i="1"/>
  <c r="A152" i="1" s="1"/>
  <c r="A153" i="1" s="1"/>
  <c r="A154" i="1" s="1"/>
  <c r="A144" i="1"/>
  <c r="A145" i="1" s="1"/>
  <c r="A146" i="1" s="1"/>
  <c r="A147" i="1" s="1"/>
  <c r="A137" i="1"/>
  <c r="A138" i="1" s="1"/>
  <c r="A139" i="1" s="1"/>
  <c r="A140" i="1" s="1"/>
  <c r="I131" i="1"/>
  <c r="I129" i="1"/>
  <c r="I122" i="1"/>
  <c r="I121" i="1"/>
  <c r="E43" i="1"/>
  <c r="G51" i="1"/>
  <c r="H136" i="1" l="1"/>
  <c r="M136" i="1" s="1"/>
  <c r="K136" i="1"/>
  <c r="L136" i="1"/>
  <c r="H139" i="1"/>
  <c r="K139" i="1" s="1"/>
  <c r="L139" i="1"/>
  <c r="H140" i="1"/>
  <c r="M140" i="1" s="1"/>
  <c r="L140" i="1"/>
  <c r="H141" i="1"/>
  <c r="M141" i="1" s="1"/>
  <c r="L141" i="1"/>
  <c r="K141" i="1"/>
  <c r="H138" i="1"/>
  <c r="M138" i="1" s="1"/>
  <c r="L138" i="1"/>
  <c r="K138" i="1"/>
  <c r="H152" i="1"/>
  <c r="H153" i="1"/>
  <c r="H154" i="1"/>
  <c r="H137" i="1"/>
  <c r="M137" i="1" s="1"/>
  <c r="H143" i="1"/>
  <c r="H148" i="1"/>
  <c r="H155" i="1"/>
  <c r="H144" i="1"/>
  <c r="S33" i="1"/>
  <c r="M139" i="1" l="1"/>
  <c r="F11" i="5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84" i="1"/>
  <c r="B160" i="1"/>
  <c r="B159" i="1"/>
  <c r="F134" i="1"/>
  <c r="H134" i="1" s="1"/>
  <c r="F132" i="1"/>
  <c r="H132" i="1" s="1"/>
  <c r="F131" i="1"/>
  <c r="F130" i="1"/>
  <c r="H130" i="1" s="1"/>
  <c r="A130" i="1"/>
  <c r="A131" i="1" s="1"/>
  <c r="A132" i="1" s="1"/>
  <c r="A133" i="1" s="1"/>
  <c r="F129" i="1"/>
  <c r="H124" i="1"/>
  <c r="F124" i="1"/>
  <c r="H123" i="1"/>
  <c r="F123" i="1"/>
  <c r="H122" i="1"/>
  <c r="F122" i="1"/>
  <c r="A122" i="1"/>
  <c r="A123" i="1" s="1"/>
  <c r="A124" i="1" s="1"/>
  <c r="H121" i="1"/>
  <c r="F121" i="1"/>
  <c r="F106" i="1"/>
  <c r="C81" i="1"/>
  <c r="C67" i="1"/>
  <c r="D61" i="1"/>
  <c r="D56" i="1"/>
  <c r="C51" i="1"/>
  <c r="E44" i="1"/>
  <c r="E45" i="1" s="1"/>
  <c r="E31" i="1"/>
  <c r="E28" i="1"/>
  <c r="E26" i="1"/>
  <c r="C16" i="1"/>
  <c r="I15" i="1"/>
  <c r="Z13" i="1"/>
  <c r="E8" i="1"/>
  <c r="E3" i="1"/>
  <c r="H82" i="1"/>
  <c r="H68" i="1"/>
  <c r="E109" i="1" l="1"/>
  <c r="E110" i="1" s="1"/>
  <c r="C109" i="1"/>
  <c r="C110" i="1" s="1"/>
  <c r="J130" i="1"/>
  <c r="K130" i="1" s="1"/>
  <c r="K129" i="1"/>
  <c r="H129" i="1"/>
  <c r="G109" i="1"/>
  <c r="G110" i="1" s="1"/>
  <c r="H131" i="1"/>
  <c r="L131" i="1" s="1"/>
  <c r="K131" i="1"/>
  <c r="C113" i="1"/>
  <c r="C114" i="1" s="1"/>
  <c r="E113" i="1"/>
  <c r="E114" i="1" s="1"/>
  <c r="J67" i="1"/>
  <c r="J69" i="1" s="1"/>
  <c r="J70" i="1"/>
  <c r="J71" i="1"/>
  <c r="J72" i="1"/>
  <c r="C71" i="1" s="1"/>
  <c r="J86" i="1"/>
  <c r="C85" i="1" s="1"/>
  <c r="D85" i="1" s="1"/>
  <c r="E85" i="1"/>
  <c r="D90" i="1"/>
  <c r="D92" i="1"/>
  <c r="D86" i="1"/>
  <c r="J85" i="1"/>
  <c r="D91" i="1"/>
  <c r="J81" i="1"/>
  <c r="J83" i="1" s="1"/>
  <c r="D89" i="1"/>
  <c r="J84" i="1"/>
  <c r="D88" i="1"/>
  <c r="D94" i="1"/>
  <c r="D93" i="1"/>
  <c r="D87" i="1"/>
  <c r="D75" i="1"/>
  <c r="D77" i="1"/>
  <c r="D76" i="1"/>
  <c r="D80" i="1"/>
  <c r="D74" i="1"/>
  <c r="D79" i="1"/>
  <c r="D73" i="1"/>
  <c r="D78" i="1"/>
  <c r="B82" i="1"/>
  <c r="B68" i="1"/>
  <c r="J73" i="1" s="1"/>
  <c r="C115" i="1" l="1"/>
  <c r="E115" i="1"/>
  <c r="G113" i="1"/>
  <c r="G114" i="1" s="1"/>
  <c r="G115" i="1" s="1"/>
  <c r="D71" i="1"/>
  <c r="J92" i="1"/>
  <c r="J89" i="1"/>
  <c r="J91" i="1"/>
  <c r="J90" i="1"/>
  <c r="J87" i="1"/>
  <c r="J88" i="1" s="1"/>
  <c r="I82" i="1"/>
  <c r="I83" i="1" s="1"/>
  <c r="J77" i="1"/>
  <c r="J75" i="1"/>
  <c r="J76" i="1"/>
  <c r="J74" i="1"/>
  <c r="J79" i="1" s="1"/>
  <c r="J80" i="1" s="1"/>
  <c r="C72" i="1" s="1"/>
  <c r="J78" i="1"/>
  <c r="G85" i="1"/>
  <c r="J68" i="1" l="1"/>
  <c r="J93" i="1"/>
  <c r="J94" i="1" s="1"/>
  <c r="J82" i="1" s="1"/>
  <c r="I81" i="1" s="1"/>
  <c r="C83" i="1" s="1"/>
  <c r="E71" i="1"/>
  <c r="D72" i="1"/>
  <c r="I68" i="1" s="1"/>
  <c r="G71" i="1"/>
  <c r="D65" i="1" s="1"/>
  <c r="F66" i="1" l="1"/>
  <c r="D66" i="1"/>
  <c r="I69" i="1"/>
  <c r="I67" i="1" s="1"/>
  <c r="C6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Sachin</author>
  </authors>
  <commentList>
    <comment ref="E1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Building No. 
Tower No.
Wing 
Bunglow No., etc</t>
        </r>
      </text>
    </comment>
    <comment ref="E1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exisiting Building is provided write it or else
NA</t>
        </r>
      </text>
    </comment>
    <comment ref="D5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Sachin:</t>
        </r>
        <r>
          <rPr>
            <sz val="9"/>
            <color indexed="81"/>
            <rFont val="Tahoma"/>
            <family val="2"/>
          </rPr>
          <t xml:space="preserve">
If multiple building in project or complex just mention builtup of required building</t>
        </r>
      </text>
    </comment>
  </commentList>
</comments>
</file>

<file path=xl/sharedStrings.xml><?xml version="1.0" encoding="utf-8"?>
<sst xmlns="http://schemas.openxmlformats.org/spreadsheetml/2006/main" count="559" uniqueCount="330">
  <si>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</si>
  <si>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</si>
  <si>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</si>
  <si>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</si>
  <si>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</si>
  <si>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</si>
  <si>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</si>
  <si>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</si>
  <si>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</si>
  <si>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</si>
  <si>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</si>
  <si>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</si>
  <si>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</si>
  <si>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</si>
  <si>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</si>
  <si>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</si>
  <si>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</si>
  <si>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</si>
  <si>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</si>
  <si>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</si>
  <si>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</si>
  <si>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</si>
  <si>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</si>
  <si>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</si>
  <si>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</si>
  <si>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</si>
  <si>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</si>
  <si>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</si>
  <si>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NA</t>
  </si>
  <si>
    <t>At site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</si>
  <si>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</si>
  <si>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</si>
  <si>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</si>
  <si>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</si>
  <si>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</si>
  <si>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</si>
  <si>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</si>
  <si>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</si>
  <si>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</si>
  <si>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</si>
  <si>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</si>
  <si>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</si>
  <si>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</si>
  <si>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</si>
  <si>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</si>
  <si>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</si>
  <si>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</si>
  <si>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</si>
  <si>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</si>
  <si>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</si>
  <si>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</si>
  <si>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</si>
  <si>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</si>
  <si>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</si>
  <si>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</si>
  <si>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>Description</t>
  </si>
  <si>
    <t>Gross Carpet area</t>
  </si>
  <si>
    <t>Attached Terrace area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</si>
  <si>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</si>
  <si>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</si>
  <si>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</si>
  <si>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</si>
  <si>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</si>
  <si>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</si>
  <si>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</si>
  <si>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</si>
  <si>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</si>
  <si>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</si>
  <si>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</si>
  <si>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</si>
  <si>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</si>
  <si>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</si>
  <si>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</si>
  <si>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</si>
  <si>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</si>
  <si>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</si>
  <si>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</si>
  <si>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</si>
  <si>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</si>
  <si>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</si>
  <si>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</si>
  <si>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</si>
  <si>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</si>
  <si>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</si>
  <si>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</si>
  <si>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</si>
  <si>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</si>
  <si>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</si>
  <si>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</si>
  <si>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</si>
  <si>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</si>
  <si>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</si>
  <si>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</si>
  <si>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</si>
  <si>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</si>
  <si>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</si>
  <si>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</si>
  <si>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</si>
  <si>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</si>
  <si>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</si>
  <si>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</si>
  <si>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</si>
  <si>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</si>
  <si>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</si>
  <si>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</si>
  <si>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</si>
  <si>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</si>
  <si>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</si>
  <si>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</si>
  <si>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</si>
  <si>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</si>
  <si>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</si>
  <si>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</si>
  <si>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</si>
  <si>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</si>
  <si>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</si>
  <si>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</si>
  <si>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</si>
  <si>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</si>
  <si>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</si>
  <si>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</si>
  <si>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</si>
  <si>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</si>
  <si>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</si>
  <si>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</si>
  <si>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</si>
  <si>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</si>
  <si>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</si>
  <si>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</si>
  <si>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</si>
  <si>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</si>
  <si>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</si>
  <si>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</si>
  <si>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</si>
  <si>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</si>
  <si>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</si>
  <si>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</si>
  <si>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</si>
  <si>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</si>
  <si>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</si>
  <si>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</si>
  <si>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</si>
  <si>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</si>
  <si>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</si>
  <si>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</si>
  <si>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</si>
  <si>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</si>
  <si>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</si>
  <si>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</si>
  <si>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</si>
  <si>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</si>
  <si>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</si>
  <si>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</si>
  <si>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Recommended rate of the Shop Per Sq. Ft.</t>
  </si>
  <si>
    <t>Recommended rate of the Flat Per Sq. Ft.</t>
  </si>
  <si>
    <t>Recommended rate of the Office Per Sq. Ft.</t>
  </si>
  <si>
    <t>On Saleable Area</t>
  </si>
  <si>
    <t>Location Link</t>
  </si>
  <si>
    <t>Locality</t>
  </si>
  <si>
    <t>Layout :</t>
  </si>
  <si>
    <t>Office No. 1031, Wing J, Akshar Business Park, Plot No. 03 Sector 25, Near APMC Market, Vashi, Navi Mumbai, Maharashtra 400703 TEL: 022-46090378/79/80                                                                       
E mail : vsjcapf@gmail.com. Web site : www.vsjadon.com</t>
  </si>
  <si>
    <t>Latitude, Longitude</t>
  </si>
  <si>
    <t>Grand Total</t>
  </si>
  <si>
    <t>Provided Contact Details (Name &amp; Contact No.)</t>
  </si>
  <si>
    <t>Site Person - Contact Details (Name &amp; Contact No.)</t>
  </si>
  <si>
    <t>Approved Plans, CC, Sale Plans, Builder Saleable Area, Cost Sheet, Airport Noc, Railway Noc, OC</t>
  </si>
  <si>
    <t>Axis Goregaon</t>
  </si>
  <si>
    <t>Name / No of the Existing Building</t>
  </si>
  <si>
    <t>Mumbai</t>
  </si>
  <si>
    <t>As per Layout</t>
  </si>
  <si>
    <t xml:space="preserve">Details of Residential &amp; Commercials in Building   </t>
  </si>
  <si>
    <t>Floor Rise Rate from    Floor</t>
  </si>
  <si>
    <t>Shop No. (Sale Plan)</t>
  </si>
  <si>
    <t>Flat No. (Sale Plan)</t>
  </si>
  <si>
    <t xml:space="preserve">Thane </t>
  </si>
  <si>
    <t>Thane</t>
  </si>
  <si>
    <t>Shahpur</t>
  </si>
  <si>
    <t>Kalyan</t>
  </si>
  <si>
    <t>Bhiwandi</t>
  </si>
  <si>
    <t>Ulhasnagar</t>
  </si>
  <si>
    <t>Ambernath</t>
  </si>
  <si>
    <t>Murbad</t>
  </si>
  <si>
    <t>Mokhada</t>
  </si>
  <si>
    <t>Talasari</t>
  </si>
  <si>
    <t>Palghar</t>
  </si>
  <si>
    <t>Vasai</t>
  </si>
  <si>
    <t>Vikramgad</t>
  </si>
  <si>
    <t>Dahanu</t>
  </si>
  <si>
    <t>Wada</t>
  </si>
  <si>
    <t>Raigad</t>
  </si>
  <si>
    <t>Alibag</t>
  </si>
  <si>
    <t>Panvel</t>
  </si>
  <si>
    <t>Uran</t>
  </si>
  <si>
    <t>Karjat</t>
  </si>
  <si>
    <t>Khalapur</t>
  </si>
  <si>
    <t>Pen</t>
  </si>
  <si>
    <t>Sudhagad</t>
  </si>
  <si>
    <t>Mahad</t>
  </si>
  <si>
    <t>Roha</t>
  </si>
  <si>
    <t>Mangaon</t>
  </si>
  <si>
    <t>Poladpur</t>
  </si>
  <si>
    <t>Mahasala</t>
  </si>
  <si>
    <t>Shriwardhan</t>
  </si>
  <si>
    <t>Murud</t>
  </si>
  <si>
    <t>Andheri</t>
  </si>
  <si>
    <t>Borivali</t>
  </si>
  <si>
    <t>Kurla</t>
  </si>
  <si>
    <t>Pune</t>
  </si>
  <si>
    <t>Pune City</t>
  </si>
  <si>
    <t>Khed</t>
  </si>
  <si>
    <t>Baramati</t>
  </si>
  <si>
    <t>Junnar</t>
  </si>
  <si>
    <t>Shirur</t>
  </si>
  <si>
    <t>Indapur</t>
  </si>
  <si>
    <t>Daund</t>
  </si>
  <si>
    <t>Mawal</t>
  </si>
  <si>
    <t>Ambegaon</t>
  </si>
  <si>
    <t>Purandhar</t>
  </si>
  <si>
    <t>Bhor</t>
  </si>
  <si>
    <t>Mulshi</t>
  </si>
  <si>
    <t>Velhe</t>
  </si>
  <si>
    <t>Haveli</t>
  </si>
  <si>
    <t>Approved Plans, CC</t>
  </si>
  <si>
    <t>Approved Plans, CC, Sale Plans</t>
  </si>
  <si>
    <t>Approved Plans, CC, Sale Plans, Builder Saleable Area</t>
  </si>
  <si>
    <t>Approved Plans, CC, Sale Plans, Builder Saleable Area, Cost Sheet,</t>
  </si>
  <si>
    <t>Approved Plans, CC, Builder Saleable Area,</t>
  </si>
  <si>
    <t>Fungible area</t>
  </si>
  <si>
    <t>Carpet area</t>
  </si>
  <si>
    <t xml:space="preserve">Please check for Environment Clearance Certificate.
</t>
  </si>
  <si>
    <t>Bank Name:</t>
  </si>
  <si>
    <t>Axis Bank</t>
  </si>
  <si>
    <t>Branch</t>
  </si>
  <si>
    <t>Bank</t>
  </si>
  <si>
    <t>Cent Bank</t>
  </si>
  <si>
    <t>Indiabulls Housing Finance Ltd</t>
  </si>
  <si>
    <t>PNB Housing Finance Limited</t>
  </si>
  <si>
    <t>ABFHL</t>
  </si>
  <si>
    <t>Axis Thane</t>
  </si>
  <si>
    <t>Axis Sanpada</t>
  </si>
  <si>
    <t>Axis Badlapur</t>
  </si>
  <si>
    <t>PNB Thane</t>
  </si>
  <si>
    <t>PNB Borivali</t>
  </si>
  <si>
    <t>Cent Kalyan</t>
  </si>
  <si>
    <t>Cent Belapur</t>
  </si>
  <si>
    <t>IBHF Kalyan</t>
  </si>
  <si>
    <t>IBHF Badlapur</t>
  </si>
  <si>
    <t>IBHF Vashi</t>
  </si>
  <si>
    <t>IBHF Thane</t>
  </si>
  <si>
    <t>IBHF Andheri</t>
  </si>
  <si>
    <t>Authorites</t>
  </si>
  <si>
    <t>Slum Rehabilitation Authority (SRA)</t>
  </si>
  <si>
    <t>Municipal Corporation of Greater Mumbai (MCGM)</t>
  </si>
  <si>
    <t>Maharashtra Housing and Area Development Authority(MHADA)</t>
  </si>
  <si>
    <t>Mumbai Metropolitan Region Development Authority (MMRDA)</t>
  </si>
  <si>
    <t>Maharashtra State Road Development Corporation Limited (MSRDC)</t>
  </si>
  <si>
    <t>Navi Mumbai Municipal Corporation (NMMC)</t>
  </si>
  <si>
    <t>Thane Muncipal Cooperation (TMC)</t>
  </si>
  <si>
    <t>Kalyan Dombivli Municipal Corporation (KMDC)</t>
  </si>
  <si>
    <t>Kulgoan Badlapur Municipal Council</t>
  </si>
  <si>
    <t>Town Planning Thane</t>
  </si>
  <si>
    <t>Ambernath Municipal Council (AMC)</t>
  </si>
  <si>
    <t>Ulhasnagar Municipal Corporation</t>
  </si>
  <si>
    <t>Nagar Rachana Ani Mulya Nirdharan Vibhag Thane</t>
  </si>
  <si>
    <t>Bhiwandi Nizampur City Municipal Corporation</t>
  </si>
  <si>
    <t>City and Industrial Development Corporation (CIDCO)</t>
  </si>
  <si>
    <t>Maharashtra Industrial Development Corporation (MIDC)</t>
  </si>
  <si>
    <t>Panvel Municipal Corporation</t>
  </si>
  <si>
    <t>Navi Mumbai Airport Influence Notified Area (NAINA)</t>
  </si>
  <si>
    <t>Pen Municipal Council</t>
  </si>
  <si>
    <t>Raigad Zilha Parishad</t>
  </si>
  <si>
    <t>Roha Municipal Council</t>
  </si>
  <si>
    <t>Vasai-Virar City Municipal Corporation. (VVCMC)</t>
  </si>
  <si>
    <t>Collector Of Palghar</t>
  </si>
  <si>
    <t>Town Planner, Palghar</t>
  </si>
  <si>
    <t>Mira-Bhayandar Municipal Corporation</t>
  </si>
  <si>
    <t>Documents Provided</t>
  </si>
  <si>
    <t>Does the boundaries at site match, as mentioned in the Documentation: NA</t>
  </si>
  <si>
    <t>Thane Municipal Corporation (TMC)</t>
  </si>
  <si>
    <t xml:space="preserve">Mira-Bhayandar Municipal Corporation
</t>
  </si>
  <si>
    <t>Vasundhara Group</t>
  </si>
  <si>
    <t>P52000048350</t>
  </si>
  <si>
    <t>Plot No</t>
  </si>
  <si>
    <t>Pushpak</t>
  </si>
  <si>
    <t>Approved Plans, CC, Sale Plans, Cost Sheet</t>
  </si>
  <si>
    <t>Plot No.17E &amp; Plot No.17F</t>
  </si>
  <si>
    <t>Plot No.17H</t>
  </si>
  <si>
    <t>Plot No.17A</t>
  </si>
  <si>
    <t>CIDCO/BP/-18209/TPO(NM &amp; K)/2022/10469</t>
  </si>
  <si>
    <t>Gr + 1st to 6th Floor</t>
  </si>
  <si>
    <t>As per RERA - 31/01/2027</t>
  </si>
  <si>
    <t>17G, Sec - 25A</t>
  </si>
  <si>
    <t>Internal Road</t>
  </si>
  <si>
    <t>Bhaveshwar Rudra Apartment</t>
  </si>
  <si>
    <t>Open Plot</t>
  </si>
  <si>
    <t>2.8 KM from Kharkopar Railway Station</t>
  </si>
  <si>
    <t>18.958750,73.030917</t>
  </si>
  <si>
    <t>https://maps.app.goo.gl/X7T2k9Jr7dmkti9a6</t>
  </si>
  <si>
    <t>11.00 M. Wide Road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</si>
  <si>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   </t>
    </r>
    <r>
      <rPr>
        <b/>
        <sz val="12"/>
        <color theme="1"/>
        <rFont val="Times New Roman"/>
        <family val="1"/>
      </rPr>
      <t xml:space="preserve">                                               </t>
    </r>
  </si>
  <si>
    <t>Entrance Gate, Society Office, Driver Room, Entrance Lobby, U.G Tank, Parking</t>
  </si>
  <si>
    <t>Kharkopar East</t>
  </si>
  <si>
    <t>Ground Floor For Commercial, Entrance Lobby, Driver Room, Society Office &amp; Parking</t>
  </si>
  <si>
    <t>Shop</t>
  </si>
  <si>
    <t>1st Floor For Residential</t>
  </si>
  <si>
    <r>
      <t xml:space="preserve">Shop No.
</t>
    </r>
    <r>
      <rPr>
        <b/>
        <sz val="11"/>
        <color theme="1"/>
        <rFont val="Times New Roman"/>
        <family val="1"/>
      </rPr>
      <t>(Approved Plan)</t>
    </r>
  </si>
  <si>
    <r>
      <t xml:space="preserve">Flat No.
</t>
    </r>
    <r>
      <rPr>
        <b/>
        <sz val="11"/>
        <color theme="1"/>
        <rFont val="Times New Roman"/>
        <family val="1"/>
      </rPr>
      <t>(Approved Plan)</t>
    </r>
  </si>
  <si>
    <t>1BHK</t>
  </si>
  <si>
    <t>2nd to 4th Floor</t>
  </si>
  <si>
    <t>5th Floor</t>
  </si>
  <si>
    <t>6th Floor</t>
  </si>
  <si>
    <t>1RK</t>
  </si>
  <si>
    <t>We considered Gross carpet area = Net carpet</t>
  </si>
  <si>
    <t>Flats</t>
  </si>
  <si>
    <t>Flats - 36, Shops - 4</t>
  </si>
  <si>
    <t>Krishna Vrundavan</t>
  </si>
  <si>
    <t>Shops</t>
  </si>
  <si>
    <t>=</t>
  </si>
  <si>
    <t>Ulwe</t>
  </si>
  <si>
    <t>5500 to 5700</t>
  </si>
  <si>
    <t>smith</t>
  </si>
  <si>
    <t>Recommended Rates/Other Charges of the Property have been revised on 25/01/2024.</t>
  </si>
  <si>
    <t>Gr + 1st to 7th Floor</t>
  </si>
  <si>
    <t>CIDCO/BP/-18209/TPO(NM &amp; K)/2022/11957</t>
  </si>
  <si>
    <t xml:space="preserve">We have updated revised approved CC from RERA site (on 17/12/2024).
</t>
  </si>
  <si>
    <t xml:space="preserve">Please provide revised approved plans.
</t>
  </si>
  <si>
    <t>Finishing work is in process at the time of Visit.
Few Flats has occupied by Tenants.</t>
  </si>
  <si>
    <t>As checked on RERA portal on dated 11/09/2025, we have observed that above project is kept under abeyance.</t>
  </si>
  <si>
    <t>Kunal Kadam</t>
  </si>
  <si>
    <t>Mayur Ranvare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</si>
</sst>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30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2"/>
      <color rgb="FFFF0000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Calibri"/>
      <family val="2"/>
      <scheme val="minor"/>
    </font>
    <font>
      <b/>
      <sz val="11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4" fillId="0" borderId="0"/>
    <xf numFmtId="0" fontId="2" fillId="0" borderId="0"/>
    <xf numFmtId="0" fontId="4" fillId="0" borderId="0"/>
    <xf numFmtId="0" fontId="1" fillId="0" borderId="0"/>
    <xf numFmtId="165" fontId="4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207">
    <xf numFmtId="0" fontId="0" fillId="0" borderId="0" xfId="0"/>
    <xf numFmtId="0" fontId="4" fillId="0" borderId="0" xfId="4"/>
    <xf numFmtId="0" fontId="1" fillId="0" borderId="0" xfId="5"/>
    <xf numFmtId="0" fontId="8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8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4" fillId="0" borderId="1" xfId="4" applyBorder="1" applyAlignment="1">
      <alignment horizontal="center" vertical="center"/>
    </xf>
    <xf numFmtId="0" fontId="17" fillId="0" borderId="0" xfId="0" applyFont="1" applyProtection="1">
      <protection hidden="1"/>
    </xf>
    <xf numFmtId="0" fontId="14" fillId="0" borderId="1" xfId="1" applyFont="1" applyBorder="1" applyAlignment="1" applyProtection="1">
      <alignment horizontal="center" vertical="top"/>
      <protection locked="0"/>
    </xf>
    <xf numFmtId="0" fontId="17" fillId="0" borderId="10" xfId="0" applyFont="1" applyBorder="1" applyProtection="1">
      <protection hidden="1"/>
    </xf>
    <xf numFmtId="0" fontId="11" fillId="0" borderId="3" xfId="1" applyFont="1" applyBorder="1" applyAlignment="1" applyProtection="1">
      <alignment horizontal="center" vertical="top"/>
      <protection locked="0"/>
    </xf>
    <xf numFmtId="0" fontId="11" fillId="0" borderId="4" xfId="1" applyFont="1" applyBorder="1" applyAlignment="1" applyProtection="1">
      <alignment horizontal="center" vertical="top"/>
      <protection locked="0"/>
    </xf>
    <xf numFmtId="0" fontId="5" fillId="0" borderId="1" xfId="1" applyFont="1" applyBorder="1" applyAlignment="1" applyProtection="1">
      <alignment vertical="top" wrapText="1"/>
      <protection locked="0"/>
    </xf>
    <xf numFmtId="9" fontId="6" fillId="0" borderId="1" xfId="8" applyFont="1" applyFill="1" applyBorder="1" applyAlignment="1" applyProtection="1">
      <alignment horizontal="center" vertical="top" wrapText="1"/>
      <protection locked="0"/>
    </xf>
    <xf numFmtId="9" fontId="6" fillId="0" borderId="6" xfId="8" applyFont="1" applyFill="1" applyBorder="1" applyAlignment="1" applyProtection="1">
      <alignment horizontal="center" vertical="top" wrapText="1"/>
      <protection locked="0"/>
    </xf>
    <xf numFmtId="0" fontId="6" fillId="0" borderId="0" xfId="1" applyFont="1"/>
    <xf numFmtId="0" fontId="14" fillId="0" borderId="0" xfId="1" applyFont="1"/>
    <xf numFmtId="0" fontId="11" fillId="0" borderId="0" xfId="1" applyFont="1"/>
    <xf numFmtId="1" fontId="6" fillId="0" borderId="0" xfId="1" applyNumberFormat="1" applyFont="1"/>
    <xf numFmtId="14" fontId="6" fillId="0" borderId="0" xfId="1" applyNumberFormat="1" applyFont="1"/>
    <xf numFmtId="0" fontId="6" fillId="0" borderId="0" xfId="1" applyFont="1" applyProtection="1">
      <protection hidden="1"/>
    </xf>
    <xf numFmtId="0" fontId="22" fillId="0" borderId="0" xfId="1" applyFont="1"/>
    <xf numFmtId="0" fontId="6" fillId="0" borderId="9" xfId="1" applyFont="1" applyBorder="1"/>
    <xf numFmtId="0" fontId="17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5" fillId="0" borderId="0" xfId="1" applyFont="1"/>
    <xf numFmtId="0" fontId="5" fillId="0" borderId="0" xfId="2" applyFont="1"/>
    <xf numFmtId="0" fontId="6" fillId="0" borderId="0" xfId="0" applyFont="1" applyAlignment="1">
      <alignment horizontal="center" vertical="center"/>
    </xf>
    <xf numFmtId="1" fontId="6" fillId="0" borderId="0" xfId="1" applyNumberFormat="1" applyFont="1" applyAlignment="1">
      <alignment horizontal="center" vertical="center"/>
    </xf>
    <xf numFmtId="0" fontId="6" fillId="0" borderId="0" xfId="1" applyFont="1" applyAlignment="1">
      <alignment horizontal="center" vertical="center"/>
    </xf>
    <xf numFmtId="0" fontId="7" fillId="0" borderId="0" xfId="1" applyFont="1" applyAlignment="1" applyProtection="1">
      <alignment vertical="top"/>
      <protection locked="0"/>
    </xf>
    <xf numFmtId="0" fontId="7" fillId="0" borderId="0" xfId="1" applyFont="1" applyAlignment="1" applyProtection="1">
      <alignment vertical="top" wrapText="1"/>
      <protection locked="0"/>
    </xf>
    <xf numFmtId="0" fontId="6" fillId="0" borderId="0" xfId="1" applyFont="1" applyProtection="1">
      <protection locked="0"/>
    </xf>
    <xf numFmtId="0" fontId="9" fillId="0" borderId="0" xfId="1" applyFont="1" applyProtection="1">
      <protection locked="0"/>
    </xf>
    <xf numFmtId="1" fontId="5" fillId="0" borderId="1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center" vertical="top" wrapText="1"/>
      <protection locked="0"/>
    </xf>
    <xf numFmtId="0" fontId="6" fillId="0" borderId="6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vertical="top"/>
      <protection locked="0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0" fontId="11" fillId="0" borderId="1" xfId="1" applyFont="1" applyBorder="1" applyAlignment="1" applyProtection="1">
      <alignment horizontal="center" vertical="top"/>
      <protection locked="0"/>
    </xf>
    <xf numFmtId="0" fontId="5" fillId="0" borderId="1" xfId="1" applyFont="1" applyBorder="1" applyAlignment="1" applyProtection="1">
      <alignment horizontal="center" vertical="top"/>
      <protection locked="0"/>
    </xf>
    <xf numFmtId="0" fontId="23" fillId="2" borderId="29" xfId="0" applyFont="1" applyFill="1" applyBorder="1"/>
    <xf numFmtId="0" fontId="24" fillId="0" borderId="30" xfId="0" applyFont="1" applyBorder="1"/>
    <xf numFmtId="0" fontId="24" fillId="0" borderId="1" xfId="0" applyFont="1" applyBorder="1"/>
    <xf numFmtId="0" fontId="24" fillId="0" borderId="4" xfId="0" applyFont="1" applyBorder="1"/>
    <xf numFmtId="1" fontId="6" fillId="0" borderId="1" xfId="1" applyNumberFormat="1" applyFont="1" applyBorder="1" applyAlignment="1" applyProtection="1">
      <alignment horizontal="center" vertical="top" wrapText="1"/>
      <protection locked="0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/>
    </xf>
    <xf numFmtId="0" fontId="28" fillId="0" borderId="0" xfId="1" applyFont="1"/>
    <xf numFmtId="0" fontId="6" fillId="0" borderId="1" xfId="1" applyFont="1" applyBorder="1" applyAlignment="1" applyProtection="1">
      <alignment horizontal="center" vertical="top"/>
      <protection locked="0"/>
    </xf>
    <xf numFmtId="0" fontId="6" fillId="0" borderId="4" xfId="1" applyFont="1" applyBorder="1" applyAlignment="1" applyProtection="1">
      <alignment horizontal="center" vertical="top"/>
      <protection locked="0"/>
    </xf>
    <xf numFmtId="2" fontId="6" fillId="0" borderId="0" xfId="1" applyNumberFormat="1" applyFont="1" applyAlignment="1">
      <alignment horizontal="center" vertical="center"/>
    </xf>
    <xf numFmtId="1" fontId="9" fillId="0" borderId="2" xfId="1" applyNumberFormat="1" applyFont="1" applyBorder="1" applyAlignment="1" applyProtection="1">
      <alignment horizontal="center" vertical="top" wrapText="1"/>
      <protection locked="0"/>
    </xf>
    <xf numFmtId="9" fontId="9" fillId="0" borderId="15" xfId="8" applyFont="1" applyFill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5" fillId="0" borderId="0" xfId="1" applyNumberFormat="1" applyFont="1" applyAlignment="1" applyProtection="1">
      <alignment vertical="center" wrapText="1"/>
      <protection locked="0"/>
    </xf>
    <xf numFmtId="1" fontId="6" fillId="0" borderId="2" xfId="1" applyNumberFormat="1" applyFont="1" applyBorder="1" applyAlignment="1" applyProtection="1">
      <alignment horizontal="center" vertical="center" wrapText="1"/>
      <protection locked="0"/>
    </xf>
    <xf numFmtId="1" fontId="5" fillId="0" borderId="2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 applyProtection="1">
      <alignment vertical="top"/>
      <protection locked="0"/>
    </xf>
    <xf numFmtId="0" fontId="5" fillId="0" borderId="1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7" fillId="0" borderId="7" xfId="1" applyFont="1" applyBorder="1" applyAlignment="1" applyProtection="1">
      <alignment horizontal="left" vertical="top"/>
      <protection locked="0"/>
    </xf>
    <xf numFmtId="0" fontId="7" fillId="0" borderId="8" xfId="1" applyFont="1" applyBorder="1" applyAlignment="1" applyProtection="1">
      <alignment horizontal="left" vertical="top"/>
      <protection locked="0"/>
    </xf>
    <xf numFmtId="0" fontId="5" fillId="0" borderId="7" xfId="1" applyFont="1" applyBorder="1" applyAlignment="1" applyProtection="1">
      <alignment horizontal="left" vertical="top" wrapText="1"/>
      <protection locked="0"/>
    </xf>
    <xf numFmtId="0" fontId="5" fillId="0" borderId="20" xfId="1" applyFont="1" applyBorder="1" applyAlignment="1" applyProtection="1">
      <alignment horizontal="left" vertical="top" wrapText="1"/>
      <protection locked="0"/>
    </xf>
    <xf numFmtId="0" fontId="5" fillId="0" borderId="8" xfId="1" applyFont="1" applyBorder="1" applyAlignment="1" applyProtection="1">
      <alignment horizontal="left" vertical="top" wrapText="1"/>
      <protection locked="0"/>
    </xf>
    <xf numFmtId="0" fontId="6" fillId="0" borderId="24" xfId="1" applyFont="1" applyBorder="1" applyAlignment="1">
      <alignment horizontal="center"/>
    </xf>
    <xf numFmtId="0" fontId="6" fillId="0" borderId="0" xfId="1" applyFont="1" applyAlignment="1">
      <alignment horizontal="center"/>
    </xf>
    <xf numFmtId="167" fontId="11" fillId="0" borderId="1" xfId="9" applyNumberFormat="1" applyFont="1" applyFill="1" applyBorder="1" applyAlignment="1" applyProtection="1">
      <alignment horizontal="left" vertical="top"/>
      <protection locked="0"/>
    </xf>
    <xf numFmtId="0" fontId="6" fillId="0" borderId="5" xfId="1" applyFont="1" applyBorder="1" applyAlignment="1" applyProtection="1">
      <alignment horizontal="center" vertical="top" wrapText="1"/>
      <protection locked="0"/>
    </xf>
    <xf numFmtId="0" fontId="6" fillId="0" borderId="6" xfId="1" applyFont="1" applyBorder="1" applyAlignment="1" applyProtection="1">
      <alignment horizontal="center" vertical="top" wrapText="1"/>
      <protection locked="0"/>
    </xf>
    <xf numFmtId="0" fontId="6" fillId="0" borderId="3" xfId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horizontal="center" vertical="top" wrapText="1"/>
      <protection locked="0"/>
    </xf>
    <xf numFmtId="0" fontId="5" fillId="0" borderId="1" xfId="1" applyFont="1" applyBorder="1" applyAlignment="1" applyProtection="1">
      <alignment horizontal="left" vertical="top"/>
      <protection locked="0"/>
    </xf>
    <xf numFmtId="0" fontId="9" fillId="0" borderId="1" xfId="1" applyFont="1" applyBorder="1" applyAlignment="1" applyProtection="1">
      <alignment horizontal="left" vertical="top" wrapText="1"/>
      <protection locked="0"/>
    </xf>
    <xf numFmtId="0" fontId="9" fillId="0" borderId="4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5" fillId="0" borderId="2" xfId="1" applyFont="1" applyBorder="1" applyAlignment="1" applyProtection="1">
      <alignment horizontal="left" vertical="top" wrapText="1"/>
      <protection locked="0"/>
    </xf>
    <xf numFmtId="0" fontId="11" fillId="0" borderId="2" xfId="1" applyFont="1" applyBorder="1" applyAlignment="1" applyProtection="1">
      <alignment horizontal="left" vertical="top" wrapText="1"/>
      <protection locked="0"/>
    </xf>
    <xf numFmtId="0" fontId="7" fillId="0" borderId="7" xfId="1" applyFont="1" applyBorder="1" applyAlignment="1" applyProtection="1">
      <alignment horizontal="left" vertical="top" wrapText="1"/>
      <protection locked="0"/>
    </xf>
    <xf numFmtId="0" fontId="7" fillId="0" borderId="8" xfId="1" applyFont="1" applyBorder="1" applyAlignment="1" applyProtection="1">
      <alignment horizontal="left" vertical="top" wrapText="1"/>
      <protection locked="0"/>
    </xf>
    <xf numFmtId="0" fontId="7" fillId="0" borderId="20" xfId="1" applyFont="1" applyBorder="1" applyAlignment="1" applyProtection="1">
      <alignment horizontal="left" vertical="top" wrapText="1"/>
      <protection locked="0"/>
    </xf>
    <xf numFmtId="0" fontId="5" fillId="0" borderId="2" xfId="1" applyFont="1" applyBorder="1" applyAlignment="1" applyProtection="1">
      <alignment horizontal="left" vertical="top"/>
      <protection locked="0"/>
    </xf>
    <xf numFmtId="164" fontId="5" fillId="0" borderId="1" xfId="1" applyNumberFormat="1" applyFont="1" applyBorder="1" applyAlignment="1" applyProtection="1">
      <alignment horizontal="left" vertical="top"/>
      <protection locked="0"/>
    </xf>
    <xf numFmtId="0" fontId="7" fillId="0" borderId="21" xfId="1" applyFont="1" applyBorder="1" applyAlignment="1" applyProtection="1">
      <alignment horizontal="left" vertical="top" wrapText="1"/>
      <protection locked="0"/>
    </xf>
    <xf numFmtId="0" fontId="7" fillId="0" borderId="14" xfId="1" applyFont="1" applyBorder="1" applyAlignment="1" applyProtection="1">
      <alignment horizontal="left" vertical="top" wrapText="1"/>
      <protection locked="0"/>
    </xf>
    <xf numFmtId="0" fontId="7" fillId="0" borderId="12" xfId="1" applyFont="1" applyBorder="1" applyAlignment="1" applyProtection="1">
      <alignment horizontal="left" vertical="top" wrapText="1"/>
      <protection locked="0"/>
    </xf>
    <xf numFmtId="0" fontId="7" fillId="0" borderId="13" xfId="1" applyFont="1" applyBorder="1" applyAlignment="1" applyProtection="1">
      <alignment horizontal="left" vertical="top" wrapText="1"/>
      <protection locked="0"/>
    </xf>
    <xf numFmtId="0" fontId="7" fillId="0" borderId="22" xfId="1" applyFont="1" applyBorder="1" applyAlignment="1" applyProtection="1">
      <alignment horizontal="left" vertical="top" wrapText="1"/>
      <protection locked="0"/>
    </xf>
    <xf numFmtId="0" fontId="6" fillId="0" borderId="4" xfId="1" applyFont="1" applyBorder="1" applyAlignment="1" applyProtection="1">
      <alignment horizontal="center" vertical="top" wrapText="1"/>
      <protection locked="0"/>
    </xf>
    <xf numFmtId="9" fontId="6" fillId="0" borderId="16" xfId="8" applyFont="1" applyFill="1" applyBorder="1" applyAlignment="1" applyProtection="1">
      <alignment horizontal="center" vertical="center" wrapText="1"/>
      <protection locked="0"/>
    </xf>
    <xf numFmtId="9" fontId="6" fillId="0" borderId="17" xfId="8" applyFont="1" applyFill="1" applyBorder="1" applyAlignment="1" applyProtection="1">
      <alignment horizontal="center" vertical="center" wrapText="1"/>
      <protection locked="0"/>
    </xf>
    <xf numFmtId="9" fontId="6" fillId="0" borderId="24" xfId="8" applyFont="1" applyFill="1" applyBorder="1" applyAlignment="1" applyProtection="1">
      <alignment horizontal="center" vertical="center" wrapText="1"/>
      <protection locked="0"/>
    </xf>
    <xf numFmtId="9" fontId="6" fillId="0" borderId="25" xfId="8" applyFont="1" applyFill="1" applyBorder="1" applyAlignment="1" applyProtection="1">
      <alignment horizontal="center" vertical="center" wrapText="1"/>
      <protection locked="0"/>
    </xf>
    <xf numFmtId="9" fontId="6" fillId="0" borderId="27" xfId="8" applyFont="1" applyFill="1" applyBorder="1" applyAlignment="1" applyProtection="1">
      <alignment horizontal="center" vertical="center" wrapText="1"/>
      <protection locked="0"/>
    </xf>
    <xf numFmtId="9" fontId="6" fillId="0" borderId="28" xfId="8" applyFont="1" applyFill="1" applyBorder="1" applyAlignment="1" applyProtection="1">
      <alignment horizontal="center" vertical="center" wrapText="1"/>
      <protection locked="0"/>
    </xf>
    <xf numFmtId="0" fontId="5" fillId="0" borderId="1" xfId="1" applyFont="1" applyBorder="1" applyAlignment="1" applyProtection="1">
      <alignment vertical="top"/>
      <protection locked="0"/>
    </xf>
    <xf numFmtId="1" fontId="5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9" fillId="0" borderId="2" xfId="1" applyNumberFormat="1" applyFont="1" applyBorder="1" applyAlignment="1" applyProtection="1">
      <alignment horizontal="center" vertical="top" wrapText="1"/>
      <protection locked="0"/>
    </xf>
    <xf numFmtId="1" fontId="9" fillId="0" borderId="15" xfId="1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0" fontId="6" fillId="0" borderId="1" xfId="0" applyFont="1" applyBorder="1" applyAlignment="1" applyProtection="1">
      <alignment horizontal="center" vertical="top" wrapText="1"/>
      <protection locked="0"/>
    </xf>
    <xf numFmtId="0" fontId="9" fillId="0" borderId="1" xfId="0" applyFont="1" applyBorder="1" applyAlignment="1" applyProtection="1">
      <alignment horizontal="center" vertical="center"/>
      <protection locked="0"/>
    </xf>
    <xf numFmtId="1" fontId="9" fillId="0" borderId="2" xfId="0" applyNumberFormat="1" applyFont="1" applyBorder="1" applyAlignment="1" applyProtection="1">
      <alignment horizontal="center" vertical="center"/>
      <protection locked="0"/>
    </xf>
    <xf numFmtId="1" fontId="9" fillId="0" borderId="7" xfId="1" applyNumberFormat="1" applyFont="1" applyBorder="1" applyAlignment="1" applyProtection="1">
      <alignment horizontal="center" vertical="center" wrapText="1"/>
      <protection locked="0"/>
    </xf>
    <xf numFmtId="1" fontId="9" fillId="0" borderId="20" xfId="1" applyNumberFormat="1" applyFont="1" applyBorder="1" applyAlignment="1" applyProtection="1">
      <alignment horizontal="center" vertical="center" wrapText="1"/>
      <protection locked="0"/>
    </xf>
    <xf numFmtId="1" fontId="9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0" fontId="9" fillId="0" borderId="1" xfId="1" applyFont="1" applyBorder="1" applyAlignment="1" applyProtection="1">
      <alignment horizontal="center" vertical="top"/>
      <protection locked="0"/>
    </xf>
    <xf numFmtId="0" fontId="9" fillId="0" borderId="1" xfId="0" applyFont="1" applyBorder="1" applyAlignment="1" applyProtection="1">
      <alignment horizontal="center" vertical="top" wrapText="1"/>
      <protection locked="0"/>
    </xf>
    <xf numFmtId="1" fontId="7" fillId="0" borderId="31" xfId="0" applyNumberFormat="1" applyFont="1" applyBorder="1" applyAlignment="1" applyProtection="1">
      <alignment horizontal="center" vertical="center" wrapText="1"/>
      <protection locked="0"/>
    </xf>
    <xf numFmtId="1" fontId="7" fillId="0" borderId="32" xfId="0" applyNumberFormat="1" applyFont="1" applyBorder="1" applyAlignment="1" applyProtection="1">
      <alignment horizontal="center" vertical="center" wrapText="1"/>
      <protection locked="0"/>
    </xf>
    <xf numFmtId="1" fontId="9" fillId="0" borderId="32" xfId="0" applyNumberFormat="1" applyFont="1" applyBorder="1" applyAlignment="1" applyProtection="1">
      <alignment horizontal="center" vertical="center"/>
      <protection locked="0"/>
    </xf>
    <xf numFmtId="1" fontId="9" fillId="0" borderId="32" xfId="0" applyNumberFormat="1" applyFont="1" applyBorder="1" applyAlignment="1" applyProtection="1">
      <alignment horizontal="center" vertical="top" wrapText="1"/>
      <protection locked="0"/>
    </xf>
    <xf numFmtId="1" fontId="7" fillId="0" borderId="7" xfId="0" applyNumberFormat="1" applyFont="1" applyBorder="1" applyAlignment="1" applyProtection="1">
      <alignment vertical="top" wrapText="1"/>
      <protection locked="0"/>
    </xf>
    <xf numFmtId="1" fontId="7" fillId="0" borderId="20" xfId="0" applyNumberFormat="1" applyFont="1" applyBorder="1" applyAlignment="1" applyProtection="1">
      <alignment vertical="top" wrapText="1"/>
      <protection locked="0"/>
    </xf>
    <xf numFmtId="1" fontId="7" fillId="0" borderId="8" xfId="0" applyNumberFormat="1" applyFont="1" applyBorder="1" applyAlignment="1" applyProtection="1">
      <alignment vertical="top" wrapText="1"/>
      <protection locked="0"/>
    </xf>
    <xf numFmtId="1" fontId="12" fillId="0" borderId="7" xfId="0" applyNumberFormat="1" applyFont="1" applyBorder="1" applyAlignment="1" applyProtection="1">
      <alignment vertical="top" wrapText="1"/>
      <protection locked="0"/>
    </xf>
    <xf numFmtId="1" fontId="12" fillId="0" borderId="20" xfId="0" applyNumberFormat="1" applyFont="1" applyBorder="1" applyAlignment="1" applyProtection="1">
      <alignment vertical="top" wrapText="1"/>
      <protection locked="0"/>
    </xf>
    <xf numFmtId="1" fontId="12" fillId="0" borderId="8" xfId="0" applyNumberFormat="1" applyFont="1" applyBorder="1" applyAlignment="1" applyProtection="1">
      <alignment vertical="top" wrapText="1"/>
      <protection locked="0"/>
    </xf>
    <xf numFmtId="1" fontId="5" fillId="0" borderId="7" xfId="1" applyNumberFormat="1" applyFont="1" applyBorder="1" applyAlignment="1" applyProtection="1">
      <alignment horizontal="center" vertical="center" wrapText="1"/>
      <protection locked="0"/>
    </xf>
    <xf numFmtId="1" fontId="5" fillId="0" borderId="8" xfId="1" applyNumberFormat="1" applyFont="1" applyBorder="1" applyAlignment="1" applyProtection="1">
      <alignment horizontal="center" vertical="center" wrapText="1"/>
      <protection locked="0"/>
    </xf>
    <xf numFmtId="1" fontId="5" fillId="0" borderId="2" xfId="1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vertical="top" wrapText="1"/>
      <protection locked="0"/>
    </xf>
    <xf numFmtId="1" fontId="7" fillId="0" borderId="1" xfId="0" applyNumberFormat="1" applyFont="1" applyBorder="1" applyAlignment="1" applyProtection="1">
      <alignment horizontal="left" vertical="top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7" fillId="0" borderId="15" xfId="1" applyNumberFormat="1" applyFont="1" applyBorder="1" applyAlignment="1" applyProtection="1">
      <alignment horizontal="center" vertical="top"/>
      <protection locked="0"/>
    </xf>
    <xf numFmtId="1" fontId="9" fillId="0" borderId="16" xfId="1" applyNumberFormat="1" applyFont="1" applyBorder="1" applyAlignment="1" applyProtection="1">
      <alignment horizontal="center" vertical="top" wrapText="1"/>
      <protection locked="0"/>
    </xf>
    <xf numFmtId="1" fontId="9" fillId="0" borderId="18" xfId="1" applyNumberFormat="1" applyFont="1" applyBorder="1" applyAlignment="1" applyProtection="1">
      <alignment horizontal="center" vertical="top" wrapText="1"/>
      <protection locked="0"/>
    </xf>
    <xf numFmtId="1" fontId="5" fillId="0" borderId="20" xfId="1" applyNumberFormat="1" applyFont="1" applyBorder="1" applyAlignment="1" applyProtection="1">
      <alignment horizontal="center" vertical="center" wrapText="1"/>
      <protection locked="0"/>
    </xf>
    <xf numFmtId="1" fontId="16" fillId="0" borderId="7" xfId="0" applyNumberFormat="1" applyFont="1" applyBorder="1" applyAlignment="1" applyProtection="1">
      <alignment vertical="top" wrapText="1"/>
      <protection locked="0"/>
    </xf>
    <xf numFmtId="1" fontId="16" fillId="0" borderId="20" xfId="0" applyNumberFormat="1" applyFont="1" applyBorder="1" applyAlignment="1" applyProtection="1">
      <alignment vertical="top" wrapText="1"/>
      <protection locked="0"/>
    </xf>
    <xf numFmtId="1" fontId="16" fillId="0" borderId="8" xfId="0" applyNumberFormat="1" applyFont="1" applyBorder="1" applyAlignment="1" applyProtection="1">
      <alignment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5" fillId="0" borderId="1" xfId="1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1" fontId="5" fillId="0" borderId="1" xfId="0" applyNumberFormat="1" applyFont="1" applyBorder="1" applyAlignment="1" applyProtection="1">
      <alignment horizontal="center" vertical="center" wrapText="1"/>
      <protection locked="0"/>
    </xf>
    <xf numFmtId="0" fontId="10" fillId="0" borderId="1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14" fontId="11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/>
      <protection locked="0"/>
    </xf>
    <xf numFmtId="0" fontId="11" fillId="0" borderId="7" xfId="1" applyFont="1" applyBorder="1" applyAlignment="1" applyProtection="1">
      <alignment horizontal="center" vertical="top"/>
      <protection locked="0"/>
    </xf>
    <xf numFmtId="0" fontId="11" fillId="0" borderId="20" xfId="1" applyFont="1" applyBorder="1" applyAlignment="1" applyProtection="1">
      <alignment horizontal="center" vertical="top"/>
      <protection locked="0"/>
    </xf>
    <xf numFmtId="0" fontId="11" fillId="0" borderId="8" xfId="1" applyFont="1" applyBorder="1" applyAlignment="1" applyProtection="1">
      <alignment horizontal="center" vertical="top"/>
      <protection locked="0"/>
    </xf>
    <xf numFmtId="0" fontId="12" fillId="0" borderId="7" xfId="1" applyFont="1" applyBorder="1" applyAlignment="1" applyProtection="1">
      <alignment horizontal="center" vertical="top"/>
      <protection locked="0"/>
    </xf>
    <xf numFmtId="0" fontId="12" fillId="0" borderId="20" xfId="1" applyFont="1" applyBorder="1" applyAlignment="1" applyProtection="1">
      <alignment horizontal="center" vertical="top"/>
      <protection locked="0"/>
    </xf>
    <xf numFmtId="0" fontId="12" fillId="0" borderId="8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2" fontId="5" fillId="0" borderId="1" xfId="1" applyNumberFormat="1" applyFont="1" applyBorder="1" applyAlignment="1" applyProtection="1">
      <alignment horizontal="left" vertical="top" wrapText="1"/>
      <protection locked="0"/>
    </xf>
    <xf numFmtId="1" fontId="5" fillId="0" borderId="1" xfId="1" applyNumberFormat="1" applyFont="1" applyBorder="1" applyAlignment="1" applyProtection="1">
      <alignment horizontal="left" vertical="top" wrapText="1"/>
      <protection locked="0"/>
    </xf>
    <xf numFmtId="2" fontId="5" fillId="0" borderId="1" xfId="1" applyNumberFormat="1" applyFont="1" applyBorder="1" applyAlignment="1" applyProtection="1">
      <alignment horizontal="left" vertical="top"/>
      <protection locked="0"/>
    </xf>
    <xf numFmtId="0" fontId="11" fillId="0" borderId="16" xfId="1" applyFont="1" applyBorder="1" applyAlignment="1" applyProtection="1">
      <alignment horizontal="left" vertical="top" wrapText="1"/>
      <protection locked="0"/>
    </xf>
    <xf numFmtId="0" fontId="11" fillId="0" borderId="23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14" fontId="5" fillId="0" borderId="7" xfId="1" applyNumberFormat="1" applyFont="1" applyBorder="1" applyAlignment="1" applyProtection="1">
      <alignment horizontal="left" vertical="top" wrapText="1"/>
      <protection locked="0"/>
    </xf>
    <xf numFmtId="0" fontId="6" fillId="0" borderId="0" xfId="1" applyFont="1" applyAlignment="1">
      <alignment horizontal="center" vertical="center"/>
    </xf>
    <xf numFmtId="0" fontId="6" fillId="0" borderId="1" xfId="0" applyFont="1" applyBorder="1" applyAlignment="1" applyProtection="1">
      <alignment horizontal="center" vertical="center"/>
      <protection locked="0"/>
    </xf>
    <xf numFmtId="1" fontId="29" fillId="0" borderId="2" xfId="1" applyNumberFormat="1" applyFont="1" applyBorder="1" applyAlignment="1" applyProtection="1">
      <alignment horizontal="center" vertical="top" wrapText="1"/>
      <protection locked="0"/>
    </xf>
    <xf numFmtId="1" fontId="29" fillId="0" borderId="15" xfId="1" applyNumberFormat="1" applyFont="1" applyBorder="1" applyAlignment="1" applyProtection="1">
      <alignment horizontal="center" vertical="top" wrapText="1"/>
      <protection locked="0"/>
    </xf>
    <xf numFmtId="0" fontId="11" fillId="0" borderId="17" xfId="1" applyFont="1" applyBorder="1" applyAlignment="1" applyProtection="1">
      <alignment horizontal="left" vertical="top" wrapText="1"/>
      <protection locked="0"/>
    </xf>
    <xf numFmtId="0" fontId="5" fillId="0" borderId="16" xfId="1" applyFont="1" applyBorder="1" applyAlignment="1" applyProtection="1">
      <alignment horizontal="left" vertical="top" wrapText="1"/>
      <protection locked="0"/>
    </xf>
    <xf numFmtId="0" fontId="5" fillId="0" borderId="17" xfId="1" applyFont="1" applyBorder="1" applyAlignment="1" applyProtection="1">
      <alignment horizontal="left" vertical="top" wrapText="1"/>
      <protection locked="0"/>
    </xf>
    <xf numFmtId="0" fontId="5" fillId="0" borderId="18" xfId="1" applyFont="1" applyBorder="1" applyAlignment="1" applyProtection="1">
      <alignment horizontal="left" vertical="top" wrapText="1"/>
      <protection locked="0"/>
    </xf>
    <xf numFmtId="0" fontId="5" fillId="0" borderId="19" xfId="1" applyFont="1" applyBorder="1" applyAlignment="1" applyProtection="1">
      <alignment horizontal="left" vertical="top" wrapText="1"/>
      <protection locked="0"/>
    </xf>
    <xf numFmtId="9" fontId="6" fillId="0" borderId="26" xfId="8" applyFont="1" applyFill="1" applyBorder="1" applyAlignment="1" applyProtection="1">
      <alignment horizontal="center" vertical="center" wrapText="1"/>
      <protection locked="0"/>
    </xf>
    <xf numFmtId="9" fontId="6" fillId="0" borderId="9" xfId="8" applyFont="1" applyFill="1" applyBorder="1" applyAlignment="1" applyProtection="1">
      <alignment horizontal="center" vertical="center" wrapText="1"/>
      <protection locked="0"/>
    </xf>
    <xf numFmtId="9" fontId="6" fillId="0" borderId="11" xfId="8" applyFont="1" applyFill="1" applyBorder="1" applyAlignment="1" applyProtection="1">
      <alignment horizontal="center" vertical="center" wrapText="1"/>
      <protection locked="0"/>
    </xf>
    <xf numFmtId="0" fontId="25" fillId="0" borderId="1" xfId="10" applyFill="1" applyBorder="1" applyAlignment="1" applyProtection="1">
      <alignment horizontal="left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/>
      <protection locked="0"/>
    </xf>
    <xf numFmtId="1" fontId="7" fillId="0" borderId="32" xfId="0" applyNumberFormat="1" applyFont="1" applyBorder="1" applyAlignment="1" applyProtection="1">
      <alignment horizontal="center" vertical="top" wrapText="1"/>
      <protection locked="0"/>
    </xf>
    <xf numFmtId="1" fontId="7" fillId="0" borderId="33" xfId="0" applyNumberFormat="1" applyFont="1" applyBorder="1" applyAlignment="1" applyProtection="1">
      <alignment horizontal="center" vertical="top" wrapText="1"/>
      <protection locked="0"/>
    </xf>
    <xf numFmtId="0" fontId="9" fillId="0" borderId="7" xfId="1" applyFont="1" applyBorder="1" applyAlignment="1" applyProtection="1">
      <alignment horizontal="left" vertical="top"/>
      <protection locked="0"/>
    </xf>
    <xf numFmtId="0" fontId="9" fillId="0" borderId="20" xfId="1" applyFont="1" applyBorder="1" applyAlignment="1" applyProtection="1">
      <alignment horizontal="left" vertical="top"/>
      <protection locked="0"/>
    </xf>
    <xf numFmtId="0" fontId="9" fillId="0" borderId="8" xfId="1" applyFont="1" applyBorder="1" applyAlignment="1" applyProtection="1">
      <alignment horizontal="left" vertical="top"/>
      <protection locked="0"/>
    </xf>
    <xf numFmtId="0" fontId="7" fillId="0" borderId="15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4" xfId="1" applyFont="1" applyBorder="1" applyAlignment="1" applyProtection="1">
      <alignment horizontal="left" vertical="top" wrapText="1"/>
      <protection locked="0"/>
    </xf>
    <xf numFmtId="0" fontId="9" fillId="0" borderId="12" xfId="1" applyFont="1" applyBorder="1" applyAlignment="1" applyProtection="1">
      <alignment horizontal="left" vertical="top" wrapText="1"/>
      <protection locked="0"/>
    </xf>
    <xf numFmtId="0" fontId="9" fillId="0" borderId="13" xfId="1" applyFont="1" applyBorder="1" applyAlignment="1" applyProtection="1">
      <alignment horizontal="left" vertical="top" wrapText="1"/>
      <protection locked="0"/>
    </xf>
    <xf numFmtId="0" fontId="9" fillId="0" borderId="22" xfId="1" applyFont="1" applyBorder="1" applyAlignment="1" applyProtection="1">
      <alignment horizontal="left" vertical="top" wrapText="1"/>
      <protection locked="0"/>
    </xf>
    <xf numFmtId="1" fontId="9" fillId="0" borderId="2" xfId="0" applyNumberFormat="1" applyFont="1" applyBorder="1" applyAlignment="1" applyProtection="1">
      <alignment horizontal="center" vertical="top" wrapText="1"/>
      <protection locked="0"/>
    </xf>
    <xf numFmtId="1" fontId="7" fillId="0" borderId="2" xfId="0" applyNumberFormat="1" applyFont="1" applyBorder="1" applyAlignment="1" applyProtection="1">
      <alignment horizontal="center" vertical="top" wrapText="1"/>
      <protection locked="0"/>
    </xf>
    <xf numFmtId="1" fontId="9" fillId="0" borderId="1" xfId="0" applyNumberFormat="1" applyFont="1" applyBorder="1" applyAlignment="1" applyProtection="1">
      <alignment horizontal="center" vertical="center"/>
      <protection locked="0"/>
    </xf>
    <xf numFmtId="1" fontId="9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5" xfId="1" applyFont="1" applyBorder="1" applyAlignment="1" applyProtection="1">
      <alignment horizontal="center" vertical="top"/>
      <protection locked="0"/>
    </xf>
    <xf numFmtId="1" fontId="7" fillId="0" borderId="2" xfId="0" applyNumberFormat="1" applyFont="1" applyBorder="1" applyAlignment="1" applyProtection="1">
      <alignment horizontal="center" vertical="center" wrapText="1"/>
      <protection locked="0"/>
    </xf>
    <xf numFmtId="0" fontId="8" fillId="0" borderId="1" xfId="5" applyFont="1" applyBorder="1" applyAlignment="1">
      <alignment horizontal="left"/>
    </xf>
  </cellXfs>
  <cellStyles count="11">
    <cellStyle name="Comma" xfId="9" builtinId="3"/>
    <cellStyle name="Comma 2" xfId="6" xr:uid="{00000000-0005-0000-0000-000001000000}"/>
    <cellStyle name="Excel Built-in Normal" xfId="2" xr:uid="{00000000-0005-0000-0000-000002000000}"/>
    <cellStyle name="Excel Built-in Normal 2" xfId="4" xr:uid="{00000000-0005-0000-0000-000003000000}"/>
    <cellStyle name="Hyperlink" xfId="10" builtinId="8"/>
    <cellStyle name="Normal" xfId="0" builtinId="0"/>
    <cellStyle name="Normal 2" xfId="3" xr:uid="{00000000-0005-0000-0000-000006000000}"/>
    <cellStyle name="Normal 3" xfId="1" xr:uid="{00000000-0005-0000-0000-000007000000}"/>
    <cellStyle name="Normal 3 3" xfId="7" xr:uid="{00000000-0005-0000-0000-000008000000}"/>
    <cellStyle name="Normal 4" xfId="5" xr:uid="{00000000-0005-0000-0000-000009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g"/><Relationship Id="rId3" Type="http://schemas.openxmlformats.org/officeDocument/2006/relationships/image" Target="../media/image3.png"/><Relationship Id="rId21" Type="http://schemas.openxmlformats.org/officeDocument/2006/relationships/image" Target="../media/image21.jp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g"/><Relationship Id="rId2" Type="http://schemas.openxmlformats.org/officeDocument/2006/relationships/image" Target="../media/image2.png"/><Relationship Id="rId16" Type="http://schemas.openxmlformats.org/officeDocument/2006/relationships/image" Target="../media/image16.jpg"/><Relationship Id="rId20" Type="http://schemas.openxmlformats.org/officeDocument/2006/relationships/image" Target="../media/image20.jp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10" Type="http://schemas.openxmlformats.org/officeDocument/2006/relationships/image" Target="../media/image10.jpeg"/><Relationship Id="rId19" Type="http://schemas.openxmlformats.org/officeDocument/2006/relationships/image" Target="../media/image19.jp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363682</xdr:colOff>
      <xdr:row>286</xdr:row>
      <xdr:rowOff>144741</xdr:rowOff>
    </xdr:from>
    <xdr:to>
      <xdr:col>7</xdr:col>
      <xdr:colOff>187227</xdr:colOff>
      <xdr:row>304</xdr:row>
      <xdr:rowOff>48603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63682" y="68534241"/>
          <a:ext cx="5400000" cy="364459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75298</xdr:colOff>
      <xdr:row>269</xdr:row>
      <xdr:rowOff>103910</xdr:rowOff>
    </xdr:from>
    <xdr:to>
      <xdr:col>6</xdr:col>
      <xdr:colOff>417950</xdr:colOff>
      <xdr:row>286</xdr:row>
      <xdr:rowOff>944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7298" y="64960501"/>
          <a:ext cx="4429743" cy="3419952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>
    <xdr:from>
      <xdr:col>3</xdr:col>
      <xdr:colOff>124984</xdr:colOff>
      <xdr:row>293</xdr:row>
      <xdr:rowOff>195069</xdr:rowOff>
    </xdr:from>
    <xdr:to>
      <xdr:col>3</xdr:col>
      <xdr:colOff>554253</xdr:colOff>
      <xdr:row>295</xdr:row>
      <xdr:rowOff>605</xdr:rowOff>
    </xdr:to>
    <xdr:sp macro="" textlink="">
      <xdr:nvSpPr>
        <xdr:cNvPr id="7" name="Freefor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 rot="7852344">
          <a:off x="2636259" y="69935248"/>
          <a:ext cx="221173" cy="429269"/>
        </a:xfrm>
        <a:custGeom>
          <a:avLst/>
          <a:gdLst>
            <a:gd name="connsiteX0" fmla="*/ 0 w 1103086"/>
            <a:gd name="connsiteY0" fmla="*/ 116114 h 1756228"/>
            <a:gd name="connsiteX1" fmla="*/ 1103086 w 1103086"/>
            <a:gd name="connsiteY1" fmla="*/ 0 h 1756228"/>
            <a:gd name="connsiteX2" fmla="*/ 1088571 w 1103086"/>
            <a:gd name="connsiteY2" fmla="*/ 1654628 h 1756228"/>
            <a:gd name="connsiteX3" fmla="*/ 14514 w 1103086"/>
            <a:gd name="connsiteY3" fmla="*/ 1756228 h 1756228"/>
            <a:gd name="connsiteX4" fmla="*/ 0 w 1103086"/>
            <a:gd name="connsiteY4" fmla="*/ 116114 h 1756228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103086" h="1756228">
              <a:moveTo>
                <a:pt x="0" y="116114"/>
              </a:moveTo>
              <a:lnTo>
                <a:pt x="1103086" y="0"/>
              </a:lnTo>
              <a:lnTo>
                <a:pt x="1088571" y="1654628"/>
              </a:lnTo>
              <a:lnTo>
                <a:pt x="14514" y="1756228"/>
              </a:lnTo>
              <a:lnTo>
                <a:pt x="0" y="116114"/>
              </a:lnTo>
              <a:close/>
            </a:path>
          </a:pathLst>
        </a:custGeom>
        <a:noFill/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IN"/>
        </a:p>
      </xdr:txBody>
    </xdr:sp>
    <xdr:clientData/>
  </xdr:twoCellAnchor>
  <xdr:twoCellAnchor editAs="oneCell">
    <xdr:from>
      <xdr:col>1</xdr:col>
      <xdr:colOff>689162</xdr:colOff>
      <xdr:row>226</xdr:row>
      <xdr:rowOff>30815</xdr:rowOff>
    </xdr:from>
    <xdr:to>
      <xdr:col>5</xdr:col>
      <xdr:colOff>81306</xdr:colOff>
      <xdr:row>241</xdr:row>
      <xdr:rowOff>53314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51162" y="54289697"/>
          <a:ext cx="2742703" cy="3048089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147516</xdr:colOff>
      <xdr:row>242</xdr:row>
      <xdr:rowOff>2936</xdr:rowOff>
    </xdr:from>
    <xdr:to>
      <xdr:col>4</xdr:col>
      <xdr:colOff>545391</xdr:colOff>
      <xdr:row>265</xdr:row>
      <xdr:rowOff>10834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05134" y="57489112"/>
          <a:ext cx="2168404" cy="4647134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>
    <xdr:from>
      <xdr:col>8</xdr:col>
      <xdr:colOff>870585</xdr:colOff>
      <xdr:row>183</xdr:row>
      <xdr:rowOff>137160</xdr:rowOff>
    </xdr:from>
    <xdr:to>
      <xdr:col>15</xdr:col>
      <xdr:colOff>754380</xdr:colOff>
      <xdr:row>223</xdr:row>
      <xdr:rowOff>141685</xdr:rowOff>
    </xdr:to>
    <xdr:grpSp>
      <xdr:nvGrpSpPr>
        <xdr:cNvPr id="16" name="Group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pSpPr/>
      </xdr:nvGrpSpPr>
      <xdr:grpSpPr>
        <a:xfrm>
          <a:off x="7355205" y="36720780"/>
          <a:ext cx="6101715" cy="7921705"/>
          <a:chOff x="-188447" y="574905"/>
          <a:chExt cx="6847887" cy="8319850"/>
        </a:xfrm>
      </xdr:grpSpPr>
      <xdr:pic>
        <xdr:nvPicPr>
          <xdr:cNvPr id="17" name="Picture 16" descr="https://vsjcllp.vsjadon.com/upload/insp-236715-1525.jpg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509809" y="7454525"/>
            <a:ext cx="1075617" cy="143615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Picture 17" descr="https://vsjcllp.vsjadon.com/upload/insp-236715-843.jpg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21606" y="596491"/>
            <a:ext cx="3259840" cy="435249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Picture 18" descr="https://vsjcllp.vsjadon.com/upload/insp-236715-844.jpg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88155" y="5135610"/>
            <a:ext cx="161775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Picture 19" descr="https://vsjcllp.vsjadon.com/upload/insp-236715-847.jpg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34620" y="5111984"/>
            <a:ext cx="161775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Picture 20" descr="https://vsjcllp.vsjadon.com/upload/insp-236715-849.jpg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076753" y="7454525"/>
            <a:ext cx="1075617" cy="143615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Picture 21" descr="https://vsjcllp.vsjadon.com/upload/insp-236715-851.jpg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93281" y="7458604"/>
            <a:ext cx="1075617" cy="143615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" name="Picture 22" descr="https://vsjcllp.vsjadon.com/upload/insp-236715-861.jpg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77341" y="7458604"/>
            <a:ext cx="1075617" cy="1436151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4" name="Picture 23" descr="https://vsjcllp.vsjadon.com/upload/insp-236715-860.jpg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-188447" y="5135610"/>
            <a:ext cx="161775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Picture 24" descr="https://vsjcllp.vsjadon.com/upload/insp-236715-874.jpg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88155" y="574905"/>
            <a:ext cx="3259840" cy="435249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" name="Picture 25" descr="https://vsjcllp.vsjadon.com/upload/insp-236715-883.jpg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41690" y="5111984"/>
            <a:ext cx="1617750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8</xdr:col>
      <xdr:colOff>754380</xdr:colOff>
      <xdr:row>158</xdr:row>
      <xdr:rowOff>15240</xdr:rowOff>
    </xdr:from>
    <xdr:to>
      <xdr:col>14</xdr:col>
      <xdr:colOff>767040</xdr:colOff>
      <xdr:row>172</xdr:row>
      <xdr:rowOff>12360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FDCC64-2546-3626-EF19-9736C66AD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239000" y="30937200"/>
          <a:ext cx="5400000" cy="3037500"/>
        </a:xfrm>
        <a:prstGeom prst="rect">
          <a:avLst/>
        </a:prstGeom>
      </xdr:spPr>
    </xdr:pic>
    <xdr:clientData/>
  </xdr:twoCellAnchor>
  <xdr:twoCellAnchor>
    <xdr:from>
      <xdr:col>0</xdr:col>
      <xdr:colOff>213360</xdr:colOff>
      <xdr:row>185</xdr:row>
      <xdr:rowOff>22860</xdr:rowOff>
    </xdr:from>
    <xdr:to>
      <xdr:col>7</xdr:col>
      <xdr:colOff>518160</xdr:colOff>
      <xdr:row>221</xdr:row>
      <xdr:rowOff>112800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8FF7CD38-5952-4EC0-436A-FCD0639D7CB8}"/>
            </a:ext>
          </a:extLst>
        </xdr:cNvPr>
        <xdr:cNvGrpSpPr/>
      </xdr:nvGrpSpPr>
      <xdr:grpSpPr>
        <a:xfrm>
          <a:off x="213360" y="37002720"/>
          <a:ext cx="6035040" cy="7214640"/>
          <a:chOff x="411480" y="410483"/>
          <a:chExt cx="6035040" cy="7214640"/>
        </a:xfrm>
      </xdr:grpSpPr>
      <xdr:grpSp>
        <xdr:nvGrpSpPr>
          <xdr:cNvPr id="4" name="Group 3">
            <a:extLst>
              <a:ext uri="{FF2B5EF4-FFF2-40B4-BE49-F238E27FC236}">
                <a16:creationId xmlns:a16="http://schemas.microsoft.com/office/drawing/2014/main" id="{5B190D29-625E-44DE-2792-EF7AFD11EE46}"/>
              </a:ext>
            </a:extLst>
          </xdr:cNvPr>
          <xdr:cNvGrpSpPr/>
        </xdr:nvGrpSpPr>
        <xdr:grpSpPr>
          <a:xfrm>
            <a:off x="411480" y="410483"/>
            <a:ext cx="6035040" cy="5227320"/>
            <a:chOff x="411480" y="410483"/>
            <a:chExt cx="6035040" cy="5227320"/>
          </a:xfrm>
        </xdr:grpSpPr>
        <xdr:pic>
          <xdr:nvPicPr>
            <xdr:cNvPr id="13" name="Picture 12">
              <a:extLst>
                <a:ext uri="{FF2B5EF4-FFF2-40B4-BE49-F238E27FC236}">
                  <a16:creationId xmlns:a16="http://schemas.microsoft.com/office/drawing/2014/main" id="{54FB85FE-98E3-F311-CE7F-BEC267B7CD7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6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550614" y="3117803"/>
              <a:ext cx="1895906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4" name="Picture 13">
              <a:extLst>
                <a:ext uri="{FF2B5EF4-FFF2-40B4-BE49-F238E27FC236}">
                  <a16:creationId xmlns:a16="http://schemas.microsoft.com/office/drawing/2014/main" id="{FBCDC6E1-DB62-0E60-EBC6-2A3170E7F79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7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481047" y="3117803"/>
              <a:ext cx="1895906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5" name="Picture 14">
              <a:extLst>
                <a:ext uri="{FF2B5EF4-FFF2-40B4-BE49-F238E27FC236}">
                  <a16:creationId xmlns:a16="http://schemas.microsoft.com/office/drawing/2014/main" id="{C22A03A0-2ABD-106A-BA0E-8E812603D15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8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11480" y="3117803"/>
              <a:ext cx="1895906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36" name="Picture 35">
              <a:extLst>
                <a:ext uri="{FF2B5EF4-FFF2-40B4-BE49-F238E27FC236}">
                  <a16:creationId xmlns:a16="http://schemas.microsoft.com/office/drawing/2014/main" id="{77E15BE3-B569-6E38-EDCA-9FC90286467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9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550614" y="410483"/>
              <a:ext cx="1895906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37" name="Picture 36">
              <a:extLst>
                <a:ext uri="{FF2B5EF4-FFF2-40B4-BE49-F238E27FC236}">
                  <a16:creationId xmlns:a16="http://schemas.microsoft.com/office/drawing/2014/main" id="{4D826254-BB0F-014B-CE61-5DA486C209F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0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481047" y="410483"/>
              <a:ext cx="1895906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38" name="Picture 37">
              <a:extLst>
                <a:ext uri="{FF2B5EF4-FFF2-40B4-BE49-F238E27FC236}">
                  <a16:creationId xmlns:a16="http://schemas.microsoft.com/office/drawing/2014/main" id="{3896F2FC-35D1-3619-2B8E-A88F00550625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1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11480" y="410483"/>
              <a:ext cx="1895906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28136A66-1214-FCB7-CA0B-F67FAA609C73}"/>
              </a:ext>
            </a:extLst>
          </xdr:cNvPr>
          <xdr:cNvGrpSpPr/>
        </xdr:nvGrpSpPr>
        <xdr:grpSpPr>
          <a:xfrm>
            <a:off x="1990763" y="5825123"/>
            <a:ext cx="2876474" cy="1800000"/>
            <a:chOff x="958792" y="5825123"/>
            <a:chExt cx="2876474" cy="1800000"/>
          </a:xfrm>
        </xdr:grpSpPr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1662A1AA-6099-C44B-A442-E39B2302EAE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2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481047" y="5825123"/>
              <a:ext cx="1354219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EF2AF07E-A9C2-6DC2-1373-93EB93315B1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58792" y="5825123"/>
              <a:ext cx="1348594" cy="180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493058</xdr:colOff>
      <xdr:row>1</xdr:row>
      <xdr:rowOff>168088</xdr:rowOff>
    </xdr:from>
    <xdr:to>
      <xdr:col>14</xdr:col>
      <xdr:colOff>253521</xdr:colOff>
      <xdr:row>24</xdr:row>
      <xdr:rowOff>95382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269"/>
        <a:stretch/>
      </xdr:blipFill>
      <xdr:spPr>
        <a:xfrm>
          <a:off x="9905999" y="358588"/>
          <a:ext cx="3256698" cy="432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maps.app.goo.gl/X7T2k9Jr7dmkti9a6" TargetMode="External"/><Relationship Id="rId6" Type="http://schemas.openxmlformats.org/officeDocument/2006/relationships/comments" Target="../comments1.xml"/><Relationship Id="rId5" Type="http://schemas.openxmlformats.org/officeDocument/2006/relationships/vmlDrawing" Target="../drawings/vmlDrawing2.v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8"/>
  <sheetViews>
    <sheetView tabSelected="1" view="pageBreakPreview" zoomScaleNormal="100" zoomScaleSheetLayoutView="100" zoomScalePageLayoutView="85" workbookViewId="0">
      <selection activeCell="J6" sqref="J6"/>
    </sheetView>
  </sheetViews>
  <sheetFormatPr defaultColWidth="9.109375" defaultRowHeight="15.6" x14ac:dyDescent="0.3"/>
  <cols>
    <col min="1" max="1" width="11.44140625" style="40" customWidth="1"/>
    <col min="2" max="2" width="12" style="40" customWidth="1"/>
    <col min="3" max="3" width="12.6640625" style="40" customWidth="1"/>
    <col min="4" max="4" width="13.6640625" style="40" customWidth="1"/>
    <col min="5" max="5" width="11.6640625" style="40" customWidth="1"/>
    <col min="6" max="6" width="11.109375" style="40" customWidth="1"/>
    <col min="7" max="8" width="11" style="40" customWidth="1"/>
    <col min="9" max="9" width="17.44140625" style="21" customWidth="1"/>
    <col min="10" max="10" width="11.44140625" style="21" customWidth="1"/>
    <col min="11" max="11" width="11.33203125" style="21" bestFit="1" customWidth="1"/>
    <col min="12" max="12" width="13.88671875" style="21" bestFit="1" customWidth="1"/>
    <col min="13" max="13" width="11.88671875" style="21" customWidth="1"/>
    <col min="14" max="14" width="12.5546875" style="21" customWidth="1"/>
    <col min="15" max="15" width="12.109375" style="21" customWidth="1"/>
    <col min="16" max="16" width="11.6640625" style="21" customWidth="1"/>
    <col min="17" max="18" width="9.109375" style="21"/>
    <col min="19" max="19" width="10.88671875" style="21" bestFit="1" customWidth="1"/>
    <col min="20" max="247" width="9.109375" style="21"/>
    <col min="248" max="248" width="8.6640625" style="21" customWidth="1"/>
    <col min="249" max="249" width="9.88671875" style="21" customWidth="1"/>
    <col min="250" max="250" width="14.44140625" style="21" customWidth="1"/>
    <col min="251" max="251" width="7.33203125" style="21" customWidth="1"/>
    <col min="252" max="252" width="5.5546875" style="21" customWidth="1"/>
    <col min="253" max="253" width="9" style="21" customWidth="1"/>
    <col min="254" max="255" width="9.88671875" style="21" customWidth="1"/>
    <col min="256" max="256" width="11.109375" style="21" customWidth="1"/>
    <col min="257" max="257" width="2.88671875" style="21" customWidth="1"/>
    <col min="258" max="258" width="3.5546875" style="21" customWidth="1"/>
    <col min="259" max="503" width="9.109375" style="21"/>
    <col min="504" max="504" width="8.6640625" style="21" customWidth="1"/>
    <col min="505" max="505" width="9.88671875" style="21" customWidth="1"/>
    <col min="506" max="506" width="14.44140625" style="21" customWidth="1"/>
    <col min="507" max="507" width="7.33203125" style="21" customWidth="1"/>
    <col min="508" max="508" width="5.5546875" style="21" customWidth="1"/>
    <col min="509" max="509" width="9" style="21" customWidth="1"/>
    <col min="510" max="511" width="9.88671875" style="21" customWidth="1"/>
    <col min="512" max="512" width="11.109375" style="21" customWidth="1"/>
    <col min="513" max="513" width="2.88671875" style="21" customWidth="1"/>
    <col min="514" max="514" width="3.5546875" style="21" customWidth="1"/>
    <col min="515" max="759" width="9.109375" style="21"/>
    <col min="760" max="760" width="8.6640625" style="21" customWidth="1"/>
    <col min="761" max="761" width="9.88671875" style="21" customWidth="1"/>
    <col min="762" max="762" width="14.44140625" style="21" customWidth="1"/>
    <col min="763" max="763" width="7.33203125" style="21" customWidth="1"/>
    <col min="764" max="764" width="5.5546875" style="21" customWidth="1"/>
    <col min="765" max="765" width="9" style="21" customWidth="1"/>
    <col min="766" max="767" width="9.88671875" style="21" customWidth="1"/>
    <col min="768" max="768" width="11.109375" style="21" customWidth="1"/>
    <col min="769" max="769" width="2.88671875" style="21" customWidth="1"/>
    <col min="770" max="770" width="3.5546875" style="21" customWidth="1"/>
    <col min="771" max="1015" width="9.109375" style="21"/>
    <col min="1016" max="1016" width="8.6640625" style="21" customWidth="1"/>
    <col min="1017" max="1017" width="9.88671875" style="21" customWidth="1"/>
    <col min="1018" max="1018" width="14.44140625" style="21" customWidth="1"/>
    <col min="1019" max="1019" width="7.33203125" style="21" customWidth="1"/>
    <col min="1020" max="1020" width="5.5546875" style="21" customWidth="1"/>
    <col min="1021" max="1021" width="9" style="21" customWidth="1"/>
    <col min="1022" max="1023" width="9.88671875" style="21" customWidth="1"/>
    <col min="1024" max="1024" width="11.109375" style="21" customWidth="1"/>
    <col min="1025" max="1025" width="2.88671875" style="21" customWidth="1"/>
    <col min="1026" max="1026" width="3.5546875" style="21" customWidth="1"/>
    <col min="1027" max="1271" width="9.109375" style="21"/>
    <col min="1272" max="1272" width="8.6640625" style="21" customWidth="1"/>
    <col min="1273" max="1273" width="9.88671875" style="21" customWidth="1"/>
    <col min="1274" max="1274" width="14.44140625" style="21" customWidth="1"/>
    <col min="1275" max="1275" width="7.33203125" style="21" customWidth="1"/>
    <col min="1276" max="1276" width="5.5546875" style="21" customWidth="1"/>
    <col min="1277" max="1277" width="9" style="21" customWidth="1"/>
    <col min="1278" max="1279" width="9.88671875" style="21" customWidth="1"/>
    <col min="1280" max="1280" width="11.109375" style="21" customWidth="1"/>
    <col min="1281" max="1281" width="2.88671875" style="21" customWidth="1"/>
    <col min="1282" max="1282" width="3.5546875" style="21" customWidth="1"/>
    <col min="1283" max="1527" width="9.109375" style="21"/>
    <col min="1528" max="1528" width="8.6640625" style="21" customWidth="1"/>
    <col min="1529" max="1529" width="9.88671875" style="21" customWidth="1"/>
    <col min="1530" max="1530" width="14.44140625" style="21" customWidth="1"/>
    <col min="1531" max="1531" width="7.33203125" style="21" customWidth="1"/>
    <col min="1532" max="1532" width="5.5546875" style="21" customWidth="1"/>
    <col min="1533" max="1533" width="9" style="21" customWidth="1"/>
    <col min="1534" max="1535" width="9.88671875" style="21" customWidth="1"/>
    <col min="1536" max="1536" width="11.109375" style="21" customWidth="1"/>
    <col min="1537" max="1537" width="2.88671875" style="21" customWidth="1"/>
    <col min="1538" max="1538" width="3.5546875" style="21" customWidth="1"/>
    <col min="1539" max="1783" width="9.109375" style="21"/>
    <col min="1784" max="1784" width="8.6640625" style="21" customWidth="1"/>
    <col min="1785" max="1785" width="9.88671875" style="21" customWidth="1"/>
    <col min="1786" max="1786" width="14.44140625" style="21" customWidth="1"/>
    <col min="1787" max="1787" width="7.33203125" style="21" customWidth="1"/>
    <col min="1788" max="1788" width="5.5546875" style="21" customWidth="1"/>
    <col min="1789" max="1789" width="9" style="21" customWidth="1"/>
    <col min="1790" max="1791" width="9.88671875" style="21" customWidth="1"/>
    <col min="1792" max="1792" width="11.109375" style="21" customWidth="1"/>
    <col min="1793" max="1793" width="2.88671875" style="21" customWidth="1"/>
    <col min="1794" max="1794" width="3.5546875" style="21" customWidth="1"/>
    <col min="1795" max="2039" width="9.109375" style="21"/>
    <col min="2040" max="2040" width="8.6640625" style="21" customWidth="1"/>
    <col min="2041" max="2041" width="9.88671875" style="21" customWidth="1"/>
    <col min="2042" max="2042" width="14.44140625" style="21" customWidth="1"/>
    <col min="2043" max="2043" width="7.33203125" style="21" customWidth="1"/>
    <col min="2044" max="2044" width="5.5546875" style="21" customWidth="1"/>
    <col min="2045" max="2045" width="9" style="21" customWidth="1"/>
    <col min="2046" max="2047" width="9.88671875" style="21" customWidth="1"/>
    <col min="2048" max="2048" width="11.109375" style="21" customWidth="1"/>
    <col min="2049" max="2049" width="2.88671875" style="21" customWidth="1"/>
    <col min="2050" max="2050" width="3.5546875" style="21" customWidth="1"/>
    <col min="2051" max="2295" width="9.109375" style="21"/>
    <col min="2296" max="2296" width="8.6640625" style="21" customWidth="1"/>
    <col min="2297" max="2297" width="9.88671875" style="21" customWidth="1"/>
    <col min="2298" max="2298" width="14.44140625" style="21" customWidth="1"/>
    <col min="2299" max="2299" width="7.33203125" style="21" customWidth="1"/>
    <col min="2300" max="2300" width="5.5546875" style="21" customWidth="1"/>
    <col min="2301" max="2301" width="9" style="21" customWidth="1"/>
    <col min="2302" max="2303" width="9.88671875" style="21" customWidth="1"/>
    <col min="2304" max="2304" width="11.109375" style="21" customWidth="1"/>
    <col min="2305" max="2305" width="2.88671875" style="21" customWidth="1"/>
    <col min="2306" max="2306" width="3.5546875" style="21" customWidth="1"/>
    <col min="2307" max="2551" width="9.109375" style="21"/>
    <col min="2552" max="2552" width="8.6640625" style="21" customWidth="1"/>
    <col min="2553" max="2553" width="9.88671875" style="21" customWidth="1"/>
    <col min="2554" max="2554" width="14.44140625" style="21" customWidth="1"/>
    <col min="2555" max="2555" width="7.33203125" style="21" customWidth="1"/>
    <col min="2556" max="2556" width="5.5546875" style="21" customWidth="1"/>
    <col min="2557" max="2557" width="9" style="21" customWidth="1"/>
    <col min="2558" max="2559" width="9.88671875" style="21" customWidth="1"/>
    <col min="2560" max="2560" width="11.109375" style="21" customWidth="1"/>
    <col min="2561" max="2561" width="2.88671875" style="21" customWidth="1"/>
    <col min="2562" max="2562" width="3.5546875" style="21" customWidth="1"/>
    <col min="2563" max="2807" width="9.109375" style="21"/>
    <col min="2808" max="2808" width="8.6640625" style="21" customWidth="1"/>
    <col min="2809" max="2809" width="9.88671875" style="21" customWidth="1"/>
    <col min="2810" max="2810" width="14.44140625" style="21" customWidth="1"/>
    <col min="2811" max="2811" width="7.33203125" style="21" customWidth="1"/>
    <col min="2812" max="2812" width="5.5546875" style="21" customWidth="1"/>
    <col min="2813" max="2813" width="9" style="21" customWidth="1"/>
    <col min="2814" max="2815" width="9.88671875" style="21" customWidth="1"/>
    <col min="2816" max="2816" width="11.109375" style="21" customWidth="1"/>
    <col min="2817" max="2817" width="2.88671875" style="21" customWidth="1"/>
    <col min="2818" max="2818" width="3.5546875" style="21" customWidth="1"/>
    <col min="2819" max="3063" width="9.109375" style="21"/>
    <col min="3064" max="3064" width="8.6640625" style="21" customWidth="1"/>
    <col min="3065" max="3065" width="9.88671875" style="21" customWidth="1"/>
    <col min="3066" max="3066" width="14.44140625" style="21" customWidth="1"/>
    <col min="3067" max="3067" width="7.33203125" style="21" customWidth="1"/>
    <col min="3068" max="3068" width="5.5546875" style="21" customWidth="1"/>
    <col min="3069" max="3069" width="9" style="21" customWidth="1"/>
    <col min="3070" max="3071" width="9.88671875" style="21" customWidth="1"/>
    <col min="3072" max="3072" width="11.109375" style="21" customWidth="1"/>
    <col min="3073" max="3073" width="2.88671875" style="21" customWidth="1"/>
    <col min="3074" max="3074" width="3.5546875" style="21" customWidth="1"/>
    <col min="3075" max="3319" width="9.109375" style="21"/>
    <col min="3320" max="3320" width="8.6640625" style="21" customWidth="1"/>
    <col min="3321" max="3321" width="9.88671875" style="21" customWidth="1"/>
    <col min="3322" max="3322" width="14.44140625" style="21" customWidth="1"/>
    <col min="3323" max="3323" width="7.33203125" style="21" customWidth="1"/>
    <col min="3324" max="3324" width="5.5546875" style="21" customWidth="1"/>
    <col min="3325" max="3325" width="9" style="21" customWidth="1"/>
    <col min="3326" max="3327" width="9.88671875" style="21" customWidth="1"/>
    <col min="3328" max="3328" width="11.109375" style="21" customWidth="1"/>
    <col min="3329" max="3329" width="2.88671875" style="21" customWidth="1"/>
    <col min="3330" max="3330" width="3.5546875" style="21" customWidth="1"/>
    <col min="3331" max="3575" width="9.109375" style="21"/>
    <col min="3576" max="3576" width="8.6640625" style="21" customWidth="1"/>
    <col min="3577" max="3577" width="9.88671875" style="21" customWidth="1"/>
    <col min="3578" max="3578" width="14.44140625" style="21" customWidth="1"/>
    <col min="3579" max="3579" width="7.33203125" style="21" customWidth="1"/>
    <col min="3580" max="3580" width="5.5546875" style="21" customWidth="1"/>
    <col min="3581" max="3581" width="9" style="21" customWidth="1"/>
    <col min="3582" max="3583" width="9.88671875" style="21" customWidth="1"/>
    <col min="3584" max="3584" width="11.109375" style="21" customWidth="1"/>
    <col min="3585" max="3585" width="2.88671875" style="21" customWidth="1"/>
    <col min="3586" max="3586" width="3.5546875" style="21" customWidth="1"/>
    <col min="3587" max="3831" width="9.109375" style="21"/>
    <col min="3832" max="3832" width="8.6640625" style="21" customWidth="1"/>
    <col min="3833" max="3833" width="9.88671875" style="21" customWidth="1"/>
    <col min="3834" max="3834" width="14.44140625" style="21" customWidth="1"/>
    <col min="3835" max="3835" width="7.33203125" style="21" customWidth="1"/>
    <col min="3836" max="3836" width="5.5546875" style="21" customWidth="1"/>
    <col min="3837" max="3837" width="9" style="21" customWidth="1"/>
    <col min="3838" max="3839" width="9.88671875" style="21" customWidth="1"/>
    <col min="3840" max="3840" width="11.109375" style="21" customWidth="1"/>
    <col min="3841" max="3841" width="2.88671875" style="21" customWidth="1"/>
    <col min="3842" max="3842" width="3.5546875" style="21" customWidth="1"/>
    <col min="3843" max="4087" width="9.109375" style="21"/>
    <col min="4088" max="4088" width="8.6640625" style="21" customWidth="1"/>
    <col min="4089" max="4089" width="9.88671875" style="21" customWidth="1"/>
    <col min="4090" max="4090" width="14.44140625" style="21" customWidth="1"/>
    <col min="4091" max="4091" width="7.33203125" style="21" customWidth="1"/>
    <col min="4092" max="4092" width="5.5546875" style="21" customWidth="1"/>
    <col min="4093" max="4093" width="9" style="21" customWidth="1"/>
    <col min="4094" max="4095" width="9.88671875" style="21" customWidth="1"/>
    <col min="4096" max="4096" width="11.109375" style="21" customWidth="1"/>
    <col min="4097" max="4097" width="2.88671875" style="21" customWidth="1"/>
    <col min="4098" max="4098" width="3.5546875" style="21" customWidth="1"/>
    <col min="4099" max="4343" width="9.109375" style="21"/>
    <col min="4344" max="4344" width="8.6640625" style="21" customWidth="1"/>
    <col min="4345" max="4345" width="9.88671875" style="21" customWidth="1"/>
    <col min="4346" max="4346" width="14.44140625" style="21" customWidth="1"/>
    <col min="4347" max="4347" width="7.33203125" style="21" customWidth="1"/>
    <col min="4348" max="4348" width="5.5546875" style="21" customWidth="1"/>
    <col min="4349" max="4349" width="9" style="21" customWidth="1"/>
    <col min="4350" max="4351" width="9.88671875" style="21" customWidth="1"/>
    <col min="4352" max="4352" width="11.109375" style="21" customWidth="1"/>
    <col min="4353" max="4353" width="2.88671875" style="21" customWidth="1"/>
    <col min="4354" max="4354" width="3.5546875" style="21" customWidth="1"/>
    <col min="4355" max="4599" width="9.109375" style="21"/>
    <col min="4600" max="4600" width="8.6640625" style="21" customWidth="1"/>
    <col min="4601" max="4601" width="9.88671875" style="21" customWidth="1"/>
    <col min="4602" max="4602" width="14.44140625" style="21" customWidth="1"/>
    <col min="4603" max="4603" width="7.33203125" style="21" customWidth="1"/>
    <col min="4604" max="4604" width="5.5546875" style="21" customWidth="1"/>
    <col min="4605" max="4605" width="9" style="21" customWidth="1"/>
    <col min="4606" max="4607" width="9.88671875" style="21" customWidth="1"/>
    <col min="4608" max="4608" width="11.109375" style="21" customWidth="1"/>
    <col min="4609" max="4609" width="2.88671875" style="21" customWidth="1"/>
    <col min="4610" max="4610" width="3.5546875" style="21" customWidth="1"/>
    <col min="4611" max="4855" width="9.109375" style="21"/>
    <col min="4856" max="4856" width="8.6640625" style="21" customWidth="1"/>
    <col min="4857" max="4857" width="9.88671875" style="21" customWidth="1"/>
    <col min="4858" max="4858" width="14.44140625" style="21" customWidth="1"/>
    <col min="4859" max="4859" width="7.33203125" style="21" customWidth="1"/>
    <col min="4860" max="4860" width="5.5546875" style="21" customWidth="1"/>
    <col min="4861" max="4861" width="9" style="21" customWidth="1"/>
    <col min="4862" max="4863" width="9.88671875" style="21" customWidth="1"/>
    <col min="4864" max="4864" width="11.109375" style="21" customWidth="1"/>
    <col min="4865" max="4865" width="2.88671875" style="21" customWidth="1"/>
    <col min="4866" max="4866" width="3.5546875" style="21" customWidth="1"/>
    <col min="4867" max="5111" width="9.109375" style="21"/>
    <col min="5112" max="5112" width="8.6640625" style="21" customWidth="1"/>
    <col min="5113" max="5113" width="9.88671875" style="21" customWidth="1"/>
    <col min="5114" max="5114" width="14.44140625" style="21" customWidth="1"/>
    <col min="5115" max="5115" width="7.33203125" style="21" customWidth="1"/>
    <col min="5116" max="5116" width="5.5546875" style="21" customWidth="1"/>
    <col min="5117" max="5117" width="9" style="21" customWidth="1"/>
    <col min="5118" max="5119" width="9.88671875" style="21" customWidth="1"/>
    <col min="5120" max="5120" width="11.109375" style="21" customWidth="1"/>
    <col min="5121" max="5121" width="2.88671875" style="21" customWidth="1"/>
    <col min="5122" max="5122" width="3.5546875" style="21" customWidth="1"/>
    <col min="5123" max="5367" width="9.109375" style="21"/>
    <col min="5368" max="5368" width="8.6640625" style="21" customWidth="1"/>
    <col min="5369" max="5369" width="9.88671875" style="21" customWidth="1"/>
    <col min="5370" max="5370" width="14.44140625" style="21" customWidth="1"/>
    <col min="5371" max="5371" width="7.33203125" style="21" customWidth="1"/>
    <col min="5372" max="5372" width="5.5546875" style="21" customWidth="1"/>
    <col min="5373" max="5373" width="9" style="21" customWidth="1"/>
    <col min="5374" max="5375" width="9.88671875" style="21" customWidth="1"/>
    <col min="5376" max="5376" width="11.109375" style="21" customWidth="1"/>
    <col min="5377" max="5377" width="2.88671875" style="21" customWidth="1"/>
    <col min="5378" max="5378" width="3.5546875" style="21" customWidth="1"/>
    <col min="5379" max="5623" width="9.109375" style="21"/>
    <col min="5624" max="5624" width="8.6640625" style="21" customWidth="1"/>
    <col min="5625" max="5625" width="9.88671875" style="21" customWidth="1"/>
    <col min="5626" max="5626" width="14.44140625" style="21" customWidth="1"/>
    <col min="5627" max="5627" width="7.33203125" style="21" customWidth="1"/>
    <col min="5628" max="5628" width="5.5546875" style="21" customWidth="1"/>
    <col min="5629" max="5629" width="9" style="21" customWidth="1"/>
    <col min="5630" max="5631" width="9.88671875" style="21" customWidth="1"/>
    <col min="5632" max="5632" width="11.109375" style="21" customWidth="1"/>
    <col min="5633" max="5633" width="2.88671875" style="21" customWidth="1"/>
    <col min="5634" max="5634" width="3.5546875" style="21" customWidth="1"/>
    <col min="5635" max="5879" width="9.109375" style="21"/>
    <col min="5880" max="5880" width="8.6640625" style="21" customWidth="1"/>
    <col min="5881" max="5881" width="9.88671875" style="21" customWidth="1"/>
    <col min="5882" max="5882" width="14.44140625" style="21" customWidth="1"/>
    <col min="5883" max="5883" width="7.33203125" style="21" customWidth="1"/>
    <col min="5884" max="5884" width="5.5546875" style="21" customWidth="1"/>
    <col min="5885" max="5885" width="9" style="21" customWidth="1"/>
    <col min="5886" max="5887" width="9.88671875" style="21" customWidth="1"/>
    <col min="5888" max="5888" width="11.109375" style="21" customWidth="1"/>
    <col min="5889" max="5889" width="2.88671875" style="21" customWidth="1"/>
    <col min="5890" max="5890" width="3.5546875" style="21" customWidth="1"/>
    <col min="5891" max="6135" width="9.109375" style="21"/>
    <col min="6136" max="6136" width="8.6640625" style="21" customWidth="1"/>
    <col min="6137" max="6137" width="9.88671875" style="21" customWidth="1"/>
    <col min="6138" max="6138" width="14.44140625" style="21" customWidth="1"/>
    <col min="6139" max="6139" width="7.33203125" style="21" customWidth="1"/>
    <col min="6140" max="6140" width="5.5546875" style="21" customWidth="1"/>
    <col min="6141" max="6141" width="9" style="21" customWidth="1"/>
    <col min="6142" max="6143" width="9.88671875" style="21" customWidth="1"/>
    <col min="6144" max="6144" width="11.109375" style="21" customWidth="1"/>
    <col min="6145" max="6145" width="2.88671875" style="21" customWidth="1"/>
    <col min="6146" max="6146" width="3.5546875" style="21" customWidth="1"/>
    <col min="6147" max="6391" width="9.109375" style="21"/>
    <col min="6392" max="6392" width="8.6640625" style="21" customWidth="1"/>
    <col min="6393" max="6393" width="9.88671875" style="21" customWidth="1"/>
    <col min="6394" max="6394" width="14.44140625" style="21" customWidth="1"/>
    <col min="6395" max="6395" width="7.33203125" style="21" customWidth="1"/>
    <col min="6396" max="6396" width="5.5546875" style="21" customWidth="1"/>
    <col min="6397" max="6397" width="9" style="21" customWidth="1"/>
    <col min="6398" max="6399" width="9.88671875" style="21" customWidth="1"/>
    <col min="6400" max="6400" width="11.109375" style="21" customWidth="1"/>
    <col min="6401" max="6401" width="2.88671875" style="21" customWidth="1"/>
    <col min="6402" max="6402" width="3.5546875" style="21" customWidth="1"/>
    <col min="6403" max="6647" width="9.109375" style="21"/>
    <col min="6648" max="6648" width="8.6640625" style="21" customWidth="1"/>
    <col min="6649" max="6649" width="9.88671875" style="21" customWidth="1"/>
    <col min="6650" max="6650" width="14.44140625" style="21" customWidth="1"/>
    <col min="6651" max="6651" width="7.33203125" style="21" customWidth="1"/>
    <col min="6652" max="6652" width="5.5546875" style="21" customWidth="1"/>
    <col min="6653" max="6653" width="9" style="21" customWidth="1"/>
    <col min="6654" max="6655" width="9.88671875" style="21" customWidth="1"/>
    <col min="6656" max="6656" width="11.109375" style="21" customWidth="1"/>
    <col min="6657" max="6657" width="2.88671875" style="21" customWidth="1"/>
    <col min="6658" max="6658" width="3.5546875" style="21" customWidth="1"/>
    <col min="6659" max="6903" width="9.109375" style="21"/>
    <col min="6904" max="6904" width="8.6640625" style="21" customWidth="1"/>
    <col min="6905" max="6905" width="9.88671875" style="21" customWidth="1"/>
    <col min="6906" max="6906" width="14.44140625" style="21" customWidth="1"/>
    <col min="6907" max="6907" width="7.33203125" style="21" customWidth="1"/>
    <col min="6908" max="6908" width="5.5546875" style="21" customWidth="1"/>
    <col min="6909" max="6909" width="9" style="21" customWidth="1"/>
    <col min="6910" max="6911" width="9.88671875" style="21" customWidth="1"/>
    <col min="6912" max="6912" width="11.109375" style="21" customWidth="1"/>
    <col min="6913" max="6913" width="2.88671875" style="21" customWidth="1"/>
    <col min="6914" max="6914" width="3.5546875" style="21" customWidth="1"/>
    <col min="6915" max="7159" width="9.109375" style="21"/>
    <col min="7160" max="7160" width="8.6640625" style="21" customWidth="1"/>
    <col min="7161" max="7161" width="9.88671875" style="21" customWidth="1"/>
    <col min="7162" max="7162" width="14.44140625" style="21" customWidth="1"/>
    <col min="7163" max="7163" width="7.33203125" style="21" customWidth="1"/>
    <col min="7164" max="7164" width="5.5546875" style="21" customWidth="1"/>
    <col min="7165" max="7165" width="9" style="21" customWidth="1"/>
    <col min="7166" max="7167" width="9.88671875" style="21" customWidth="1"/>
    <col min="7168" max="7168" width="11.109375" style="21" customWidth="1"/>
    <col min="7169" max="7169" width="2.88671875" style="21" customWidth="1"/>
    <col min="7170" max="7170" width="3.5546875" style="21" customWidth="1"/>
    <col min="7171" max="7415" width="9.109375" style="21"/>
    <col min="7416" max="7416" width="8.6640625" style="21" customWidth="1"/>
    <col min="7417" max="7417" width="9.88671875" style="21" customWidth="1"/>
    <col min="7418" max="7418" width="14.44140625" style="21" customWidth="1"/>
    <col min="7419" max="7419" width="7.33203125" style="21" customWidth="1"/>
    <col min="7420" max="7420" width="5.5546875" style="21" customWidth="1"/>
    <col min="7421" max="7421" width="9" style="21" customWidth="1"/>
    <col min="7422" max="7423" width="9.88671875" style="21" customWidth="1"/>
    <col min="7424" max="7424" width="11.109375" style="21" customWidth="1"/>
    <col min="7425" max="7425" width="2.88671875" style="21" customWidth="1"/>
    <col min="7426" max="7426" width="3.5546875" style="21" customWidth="1"/>
    <col min="7427" max="7671" width="9.109375" style="21"/>
    <col min="7672" max="7672" width="8.6640625" style="21" customWidth="1"/>
    <col min="7673" max="7673" width="9.88671875" style="21" customWidth="1"/>
    <col min="7674" max="7674" width="14.44140625" style="21" customWidth="1"/>
    <col min="7675" max="7675" width="7.33203125" style="21" customWidth="1"/>
    <col min="7676" max="7676" width="5.5546875" style="21" customWidth="1"/>
    <col min="7677" max="7677" width="9" style="21" customWidth="1"/>
    <col min="7678" max="7679" width="9.88671875" style="21" customWidth="1"/>
    <col min="7680" max="7680" width="11.109375" style="21" customWidth="1"/>
    <col min="7681" max="7681" width="2.88671875" style="21" customWidth="1"/>
    <col min="7682" max="7682" width="3.5546875" style="21" customWidth="1"/>
    <col min="7683" max="7927" width="9.109375" style="21"/>
    <col min="7928" max="7928" width="8.6640625" style="21" customWidth="1"/>
    <col min="7929" max="7929" width="9.88671875" style="21" customWidth="1"/>
    <col min="7930" max="7930" width="14.44140625" style="21" customWidth="1"/>
    <col min="7931" max="7931" width="7.33203125" style="21" customWidth="1"/>
    <col min="7932" max="7932" width="5.5546875" style="21" customWidth="1"/>
    <col min="7933" max="7933" width="9" style="21" customWidth="1"/>
    <col min="7934" max="7935" width="9.88671875" style="21" customWidth="1"/>
    <col min="7936" max="7936" width="11.109375" style="21" customWidth="1"/>
    <col min="7937" max="7937" width="2.88671875" style="21" customWidth="1"/>
    <col min="7938" max="7938" width="3.5546875" style="21" customWidth="1"/>
    <col min="7939" max="8183" width="9.109375" style="21"/>
    <col min="8184" max="8184" width="8.6640625" style="21" customWidth="1"/>
    <col min="8185" max="8185" width="9.88671875" style="21" customWidth="1"/>
    <col min="8186" max="8186" width="14.44140625" style="21" customWidth="1"/>
    <col min="8187" max="8187" width="7.33203125" style="21" customWidth="1"/>
    <col min="8188" max="8188" width="5.5546875" style="21" customWidth="1"/>
    <col min="8189" max="8189" width="9" style="21" customWidth="1"/>
    <col min="8190" max="8191" width="9.88671875" style="21" customWidth="1"/>
    <col min="8192" max="8192" width="11.109375" style="21" customWidth="1"/>
    <col min="8193" max="8193" width="2.88671875" style="21" customWidth="1"/>
    <col min="8194" max="8194" width="3.5546875" style="21" customWidth="1"/>
    <col min="8195" max="8439" width="9.109375" style="21"/>
    <col min="8440" max="8440" width="8.6640625" style="21" customWidth="1"/>
    <col min="8441" max="8441" width="9.88671875" style="21" customWidth="1"/>
    <col min="8442" max="8442" width="14.44140625" style="21" customWidth="1"/>
    <col min="8443" max="8443" width="7.33203125" style="21" customWidth="1"/>
    <col min="8444" max="8444" width="5.5546875" style="21" customWidth="1"/>
    <col min="8445" max="8445" width="9" style="21" customWidth="1"/>
    <col min="8446" max="8447" width="9.88671875" style="21" customWidth="1"/>
    <col min="8448" max="8448" width="11.109375" style="21" customWidth="1"/>
    <col min="8449" max="8449" width="2.88671875" style="21" customWidth="1"/>
    <col min="8450" max="8450" width="3.5546875" style="21" customWidth="1"/>
    <col min="8451" max="8695" width="9.109375" style="21"/>
    <col min="8696" max="8696" width="8.6640625" style="21" customWidth="1"/>
    <col min="8697" max="8697" width="9.88671875" style="21" customWidth="1"/>
    <col min="8698" max="8698" width="14.44140625" style="21" customWidth="1"/>
    <col min="8699" max="8699" width="7.33203125" style="21" customWidth="1"/>
    <col min="8700" max="8700" width="5.5546875" style="21" customWidth="1"/>
    <col min="8701" max="8701" width="9" style="21" customWidth="1"/>
    <col min="8702" max="8703" width="9.88671875" style="21" customWidth="1"/>
    <col min="8704" max="8704" width="11.109375" style="21" customWidth="1"/>
    <col min="8705" max="8705" width="2.88671875" style="21" customWidth="1"/>
    <col min="8706" max="8706" width="3.5546875" style="21" customWidth="1"/>
    <col min="8707" max="8951" width="9.109375" style="21"/>
    <col min="8952" max="8952" width="8.6640625" style="21" customWidth="1"/>
    <col min="8953" max="8953" width="9.88671875" style="21" customWidth="1"/>
    <col min="8954" max="8954" width="14.44140625" style="21" customWidth="1"/>
    <col min="8955" max="8955" width="7.33203125" style="21" customWidth="1"/>
    <col min="8956" max="8956" width="5.5546875" style="21" customWidth="1"/>
    <col min="8957" max="8957" width="9" style="21" customWidth="1"/>
    <col min="8958" max="8959" width="9.88671875" style="21" customWidth="1"/>
    <col min="8960" max="8960" width="11.109375" style="21" customWidth="1"/>
    <col min="8961" max="8961" width="2.88671875" style="21" customWidth="1"/>
    <col min="8962" max="8962" width="3.5546875" style="21" customWidth="1"/>
    <col min="8963" max="9207" width="9.109375" style="21"/>
    <col min="9208" max="9208" width="8.6640625" style="21" customWidth="1"/>
    <col min="9209" max="9209" width="9.88671875" style="21" customWidth="1"/>
    <col min="9210" max="9210" width="14.44140625" style="21" customWidth="1"/>
    <col min="9211" max="9211" width="7.33203125" style="21" customWidth="1"/>
    <col min="9212" max="9212" width="5.5546875" style="21" customWidth="1"/>
    <col min="9213" max="9213" width="9" style="21" customWidth="1"/>
    <col min="9214" max="9215" width="9.88671875" style="21" customWidth="1"/>
    <col min="9216" max="9216" width="11.109375" style="21" customWidth="1"/>
    <col min="9217" max="9217" width="2.88671875" style="21" customWidth="1"/>
    <col min="9218" max="9218" width="3.5546875" style="21" customWidth="1"/>
    <col min="9219" max="9463" width="9.109375" style="21"/>
    <col min="9464" max="9464" width="8.6640625" style="21" customWidth="1"/>
    <col min="9465" max="9465" width="9.88671875" style="21" customWidth="1"/>
    <col min="9466" max="9466" width="14.44140625" style="21" customWidth="1"/>
    <col min="9467" max="9467" width="7.33203125" style="21" customWidth="1"/>
    <col min="9468" max="9468" width="5.5546875" style="21" customWidth="1"/>
    <col min="9469" max="9469" width="9" style="21" customWidth="1"/>
    <col min="9470" max="9471" width="9.88671875" style="21" customWidth="1"/>
    <col min="9472" max="9472" width="11.109375" style="21" customWidth="1"/>
    <col min="9473" max="9473" width="2.88671875" style="21" customWidth="1"/>
    <col min="9474" max="9474" width="3.5546875" style="21" customWidth="1"/>
    <col min="9475" max="9719" width="9.109375" style="21"/>
    <col min="9720" max="9720" width="8.6640625" style="21" customWidth="1"/>
    <col min="9721" max="9721" width="9.88671875" style="21" customWidth="1"/>
    <col min="9722" max="9722" width="14.44140625" style="21" customWidth="1"/>
    <col min="9723" max="9723" width="7.33203125" style="21" customWidth="1"/>
    <col min="9724" max="9724" width="5.5546875" style="21" customWidth="1"/>
    <col min="9725" max="9725" width="9" style="21" customWidth="1"/>
    <col min="9726" max="9727" width="9.88671875" style="21" customWidth="1"/>
    <col min="9728" max="9728" width="11.109375" style="21" customWidth="1"/>
    <col min="9729" max="9729" width="2.88671875" style="21" customWidth="1"/>
    <col min="9730" max="9730" width="3.5546875" style="21" customWidth="1"/>
    <col min="9731" max="9975" width="9.109375" style="21"/>
    <col min="9976" max="9976" width="8.6640625" style="21" customWidth="1"/>
    <col min="9977" max="9977" width="9.88671875" style="21" customWidth="1"/>
    <col min="9978" max="9978" width="14.44140625" style="21" customWidth="1"/>
    <col min="9979" max="9979" width="7.33203125" style="21" customWidth="1"/>
    <col min="9980" max="9980" width="5.5546875" style="21" customWidth="1"/>
    <col min="9981" max="9981" width="9" style="21" customWidth="1"/>
    <col min="9982" max="9983" width="9.88671875" style="21" customWidth="1"/>
    <col min="9984" max="9984" width="11.109375" style="21" customWidth="1"/>
    <col min="9985" max="9985" width="2.88671875" style="21" customWidth="1"/>
    <col min="9986" max="9986" width="3.5546875" style="21" customWidth="1"/>
    <col min="9987" max="10231" width="9.109375" style="21"/>
    <col min="10232" max="10232" width="8.6640625" style="21" customWidth="1"/>
    <col min="10233" max="10233" width="9.88671875" style="21" customWidth="1"/>
    <col min="10234" max="10234" width="14.44140625" style="21" customWidth="1"/>
    <col min="10235" max="10235" width="7.33203125" style="21" customWidth="1"/>
    <col min="10236" max="10236" width="5.5546875" style="21" customWidth="1"/>
    <col min="10237" max="10237" width="9" style="21" customWidth="1"/>
    <col min="10238" max="10239" width="9.88671875" style="21" customWidth="1"/>
    <col min="10240" max="10240" width="11.109375" style="21" customWidth="1"/>
    <col min="10241" max="10241" width="2.88671875" style="21" customWidth="1"/>
    <col min="10242" max="10242" width="3.5546875" style="21" customWidth="1"/>
    <col min="10243" max="10487" width="9.109375" style="21"/>
    <col min="10488" max="10488" width="8.6640625" style="21" customWidth="1"/>
    <col min="10489" max="10489" width="9.88671875" style="21" customWidth="1"/>
    <col min="10490" max="10490" width="14.44140625" style="21" customWidth="1"/>
    <col min="10491" max="10491" width="7.33203125" style="21" customWidth="1"/>
    <col min="10492" max="10492" width="5.5546875" style="21" customWidth="1"/>
    <col min="10493" max="10493" width="9" style="21" customWidth="1"/>
    <col min="10494" max="10495" width="9.88671875" style="21" customWidth="1"/>
    <col min="10496" max="10496" width="11.109375" style="21" customWidth="1"/>
    <col min="10497" max="10497" width="2.88671875" style="21" customWidth="1"/>
    <col min="10498" max="10498" width="3.5546875" style="21" customWidth="1"/>
    <col min="10499" max="10743" width="9.109375" style="21"/>
    <col min="10744" max="10744" width="8.6640625" style="21" customWidth="1"/>
    <col min="10745" max="10745" width="9.88671875" style="21" customWidth="1"/>
    <col min="10746" max="10746" width="14.44140625" style="21" customWidth="1"/>
    <col min="10747" max="10747" width="7.33203125" style="21" customWidth="1"/>
    <col min="10748" max="10748" width="5.5546875" style="21" customWidth="1"/>
    <col min="10749" max="10749" width="9" style="21" customWidth="1"/>
    <col min="10750" max="10751" width="9.88671875" style="21" customWidth="1"/>
    <col min="10752" max="10752" width="11.109375" style="21" customWidth="1"/>
    <col min="10753" max="10753" width="2.88671875" style="21" customWidth="1"/>
    <col min="10754" max="10754" width="3.5546875" style="21" customWidth="1"/>
    <col min="10755" max="10999" width="9.109375" style="21"/>
    <col min="11000" max="11000" width="8.6640625" style="21" customWidth="1"/>
    <col min="11001" max="11001" width="9.88671875" style="21" customWidth="1"/>
    <col min="11002" max="11002" width="14.44140625" style="21" customWidth="1"/>
    <col min="11003" max="11003" width="7.33203125" style="21" customWidth="1"/>
    <col min="11004" max="11004" width="5.5546875" style="21" customWidth="1"/>
    <col min="11005" max="11005" width="9" style="21" customWidth="1"/>
    <col min="11006" max="11007" width="9.88671875" style="21" customWidth="1"/>
    <col min="11008" max="11008" width="11.109375" style="21" customWidth="1"/>
    <col min="11009" max="11009" width="2.88671875" style="21" customWidth="1"/>
    <col min="11010" max="11010" width="3.5546875" style="21" customWidth="1"/>
    <col min="11011" max="11255" width="9.109375" style="21"/>
    <col min="11256" max="11256" width="8.6640625" style="21" customWidth="1"/>
    <col min="11257" max="11257" width="9.88671875" style="21" customWidth="1"/>
    <col min="11258" max="11258" width="14.44140625" style="21" customWidth="1"/>
    <col min="11259" max="11259" width="7.33203125" style="21" customWidth="1"/>
    <col min="11260" max="11260" width="5.5546875" style="21" customWidth="1"/>
    <col min="11261" max="11261" width="9" style="21" customWidth="1"/>
    <col min="11262" max="11263" width="9.88671875" style="21" customWidth="1"/>
    <col min="11264" max="11264" width="11.109375" style="21" customWidth="1"/>
    <col min="11265" max="11265" width="2.88671875" style="21" customWidth="1"/>
    <col min="11266" max="11266" width="3.5546875" style="21" customWidth="1"/>
    <col min="11267" max="11511" width="9.109375" style="21"/>
    <col min="11512" max="11512" width="8.6640625" style="21" customWidth="1"/>
    <col min="11513" max="11513" width="9.88671875" style="21" customWidth="1"/>
    <col min="11514" max="11514" width="14.44140625" style="21" customWidth="1"/>
    <col min="11515" max="11515" width="7.33203125" style="21" customWidth="1"/>
    <col min="11516" max="11516" width="5.5546875" style="21" customWidth="1"/>
    <col min="11517" max="11517" width="9" style="21" customWidth="1"/>
    <col min="11518" max="11519" width="9.88671875" style="21" customWidth="1"/>
    <col min="11520" max="11520" width="11.109375" style="21" customWidth="1"/>
    <col min="11521" max="11521" width="2.88671875" style="21" customWidth="1"/>
    <col min="11522" max="11522" width="3.5546875" style="21" customWidth="1"/>
    <col min="11523" max="11767" width="9.109375" style="21"/>
    <col min="11768" max="11768" width="8.6640625" style="21" customWidth="1"/>
    <col min="11769" max="11769" width="9.88671875" style="21" customWidth="1"/>
    <col min="11770" max="11770" width="14.44140625" style="21" customWidth="1"/>
    <col min="11771" max="11771" width="7.33203125" style="21" customWidth="1"/>
    <col min="11772" max="11772" width="5.5546875" style="21" customWidth="1"/>
    <col min="11773" max="11773" width="9" style="21" customWidth="1"/>
    <col min="11774" max="11775" width="9.88671875" style="21" customWidth="1"/>
    <col min="11776" max="11776" width="11.109375" style="21" customWidth="1"/>
    <col min="11777" max="11777" width="2.88671875" style="21" customWidth="1"/>
    <col min="11778" max="11778" width="3.5546875" style="21" customWidth="1"/>
    <col min="11779" max="12023" width="9.109375" style="21"/>
    <col min="12024" max="12024" width="8.6640625" style="21" customWidth="1"/>
    <col min="12025" max="12025" width="9.88671875" style="21" customWidth="1"/>
    <col min="12026" max="12026" width="14.44140625" style="21" customWidth="1"/>
    <col min="12027" max="12027" width="7.33203125" style="21" customWidth="1"/>
    <col min="12028" max="12028" width="5.5546875" style="21" customWidth="1"/>
    <col min="12029" max="12029" width="9" style="21" customWidth="1"/>
    <col min="12030" max="12031" width="9.88671875" style="21" customWidth="1"/>
    <col min="12032" max="12032" width="11.109375" style="21" customWidth="1"/>
    <col min="12033" max="12033" width="2.88671875" style="21" customWidth="1"/>
    <col min="12034" max="12034" width="3.5546875" style="21" customWidth="1"/>
    <col min="12035" max="12279" width="9.109375" style="21"/>
    <col min="12280" max="12280" width="8.6640625" style="21" customWidth="1"/>
    <col min="12281" max="12281" width="9.88671875" style="21" customWidth="1"/>
    <col min="12282" max="12282" width="14.44140625" style="21" customWidth="1"/>
    <col min="12283" max="12283" width="7.33203125" style="21" customWidth="1"/>
    <col min="12284" max="12284" width="5.5546875" style="21" customWidth="1"/>
    <col min="12285" max="12285" width="9" style="21" customWidth="1"/>
    <col min="12286" max="12287" width="9.88671875" style="21" customWidth="1"/>
    <col min="12288" max="12288" width="11.109375" style="21" customWidth="1"/>
    <col min="12289" max="12289" width="2.88671875" style="21" customWidth="1"/>
    <col min="12290" max="12290" width="3.5546875" style="21" customWidth="1"/>
    <col min="12291" max="12535" width="9.109375" style="21"/>
    <col min="12536" max="12536" width="8.6640625" style="21" customWidth="1"/>
    <col min="12537" max="12537" width="9.88671875" style="21" customWidth="1"/>
    <col min="12538" max="12538" width="14.44140625" style="21" customWidth="1"/>
    <col min="12539" max="12539" width="7.33203125" style="21" customWidth="1"/>
    <col min="12540" max="12540" width="5.5546875" style="21" customWidth="1"/>
    <col min="12541" max="12541" width="9" style="21" customWidth="1"/>
    <col min="12542" max="12543" width="9.88671875" style="21" customWidth="1"/>
    <col min="12544" max="12544" width="11.109375" style="21" customWidth="1"/>
    <col min="12545" max="12545" width="2.88671875" style="21" customWidth="1"/>
    <col min="12546" max="12546" width="3.5546875" style="21" customWidth="1"/>
    <col min="12547" max="12791" width="9.109375" style="21"/>
    <col min="12792" max="12792" width="8.6640625" style="21" customWidth="1"/>
    <col min="12793" max="12793" width="9.88671875" style="21" customWidth="1"/>
    <col min="12794" max="12794" width="14.44140625" style="21" customWidth="1"/>
    <col min="12795" max="12795" width="7.33203125" style="21" customWidth="1"/>
    <col min="12796" max="12796" width="5.5546875" style="21" customWidth="1"/>
    <col min="12797" max="12797" width="9" style="21" customWidth="1"/>
    <col min="12798" max="12799" width="9.88671875" style="21" customWidth="1"/>
    <col min="12800" max="12800" width="11.109375" style="21" customWidth="1"/>
    <col min="12801" max="12801" width="2.88671875" style="21" customWidth="1"/>
    <col min="12802" max="12802" width="3.5546875" style="21" customWidth="1"/>
    <col min="12803" max="13047" width="9.109375" style="21"/>
    <col min="13048" max="13048" width="8.6640625" style="21" customWidth="1"/>
    <col min="13049" max="13049" width="9.88671875" style="21" customWidth="1"/>
    <col min="13050" max="13050" width="14.44140625" style="21" customWidth="1"/>
    <col min="13051" max="13051" width="7.33203125" style="21" customWidth="1"/>
    <col min="13052" max="13052" width="5.5546875" style="21" customWidth="1"/>
    <col min="13053" max="13053" width="9" style="21" customWidth="1"/>
    <col min="13054" max="13055" width="9.88671875" style="21" customWidth="1"/>
    <col min="13056" max="13056" width="11.109375" style="21" customWidth="1"/>
    <col min="13057" max="13057" width="2.88671875" style="21" customWidth="1"/>
    <col min="13058" max="13058" width="3.5546875" style="21" customWidth="1"/>
    <col min="13059" max="13303" width="9.109375" style="21"/>
    <col min="13304" max="13304" width="8.6640625" style="21" customWidth="1"/>
    <col min="13305" max="13305" width="9.88671875" style="21" customWidth="1"/>
    <col min="13306" max="13306" width="14.44140625" style="21" customWidth="1"/>
    <col min="13307" max="13307" width="7.33203125" style="21" customWidth="1"/>
    <col min="13308" max="13308" width="5.5546875" style="21" customWidth="1"/>
    <col min="13309" max="13309" width="9" style="21" customWidth="1"/>
    <col min="13310" max="13311" width="9.88671875" style="21" customWidth="1"/>
    <col min="13312" max="13312" width="11.109375" style="21" customWidth="1"/>
    <col min="13313" max="13313" width="2.88671875" style="21" customWidth="1"/>
    <col min="13314" max="13314" width="3.5546875" style="21" customWidth="1"/>
    <col min="13315" max="13559" width="9.109375" style="21"/>
    <col min="13560" max="13560" width="8.6640625" style="21" customWidth="1"/>
    <col min="13561" max="13561" width="9.88671875" style="21" customWidth="1"/>
    <col min="13562" max="13562" width="14.44140625" style="21" customWidth="1"/>
    <col min="13563" max="13563" width="7.33203125" style="21" customWidth="1"/>
    <col min="13564" max="13564" width="5.5546875" style="21" customWidth="1"/>
    <col min="13565" max="13565" width="9" style="21" customWidth="1"/>
    <col min="13566" max="13567" width="9.88671875" style="21" customWidth="1"/>
    <col min="13568" max="13568" width="11.109375" style="21" customWidth="1"/>
    <col min="13569" max="13569" width="2.88671875" style="21" customWidth="1"/>
    <col min="13570" max="13570" width="3.5546875" style="21" customWidth="1"/>
    <col min="13571" max="13815" width="9.109375" style="21"/>
    <col min="13816" max="13816" width="8.6640625" style="21" customWidth="1"/>
    <col min="13817" max="13817" width="9.88671875" style="21" customWidth="1"/>
    <col min="13818" max="13818" width="14.44140625" style="21" customWidth="1"/>
    <col min="13819" max="13819" width="7.33203125" style="21" customWidth="1"/>
    <col min="13820" max="13820" width="5.5546875" style="21" customWidth="1"/>
    <col min="13821" max="13821" width="9" style="21" customWidth="1"/>
    <col min="13822" max="13823" width="9.88671875" style="21" customWidth="1"/>
    <col min="13824" max="13824" width="11.109375" style="21" customWidth="1"/>
    <col min="13825" max="13825" width="2.88671875" style="21" customWidth="1"/>
    <col min="13826" max="13826" width="3.5546875" style="21" customWidth="1"/>
    <col min="13827" max="14071" width="9.109375" style="21"/>
    <col min="14072" max="14072" width="8.6640625" style="21" customWidth="1"/>
    <col min="14073" max="14073" width="9.88671875" style="21" customWidth="1"/>
    <col min="14074" max="14074" width="14.44140625" style="21" customWidth="1"/>
    <col min="14075" max="14075" width="7.33203125" style="21" customWidth="1"/>
    <col min="14076" max="14076" width="5.5546875" style="21" customWidth="1"/>
    <col min="14077" max="14077" width="9" style="21" customWidth="1"/>
    <col min="14078" max="14079" width="9.88671875" style="21" customWidth="1"/>
    <col min="14080" max="14080" width="11.109375" style="21" customWidth="1"/>
    <col min="14081" max="14081" width="2.88671875" style="21" customWidth="1"/>
    <col min="14082" max="14082" width="3.5546875" style="21" customWidth="1"/>
    <col min="14083" max="14327" width="9.109375" style="21"/>
    <col min="14328" max="14328" width="8.6640625" style="21" customWidth="1"/>
    <col min="14329" max="14329" width="9.88671875" style="21" customWidth="1"/>
    <col min="14330" max="14330" width="14.44140625" style="21" customWidth="1"/>
    <col min="14331" max="14331" width="7.33203125" style="21" customWidth="1"/>
    <col min="14332" max="14332" width="5.5546875" style="21" customWidth="1"/>
    <col min="14333" max="14333" width="9" style="21" customWidth="1"/>
    <col min="14334" max="14335" width="9.88671875" style="21" customWidth="1"/>
    <col min="14336" max="14336" width="11.109375" style="21" customWidth="1"/>
    <col min="14337" max="14337" width="2.88671875" style="21" customWidth="1"/>
    <col min="14338" max="14338" width="3.5546875" style="21" customWidth="1"/>
    <col min="14339" max="14583" width="9.109375" style="21"/>
    <col min="14584" max="14584" width="8.6640625" style="21" customWidth="1"/>
    <col min="14585" max="14585" width="9.88671875" style="21" customWidth="1"/>
    <col min="14586" max="14586" width="14.44140625" style="21" customWidth="1"/>
    <col min="14587" max="14587" width="7.33203125" style="21" customWidth="1"/>
    <col min="14588" max="14588" width="5.5546875" style="21" customWidth="1"/>
    <col min="14589" max="14589" width="9" style="21" customWidth="1"/>
    <col min="14590" max="14591" width="9.88671875" style="21" customWidth="1"/>
    <col min="14592" max="14592" width="11.109375" style="21" customWidth="1"/>
    <col min="14593" max="14593" width="2.88671875" style="21" customWidth="1"/>
    <col min="14594" max="14594" width="3.5546875" style="21" customWidth="1"/>
    <col min="14595" max="14839" width="9.109375" style="21"/>
    <col min="14840" max="14840" width="8.6640625" style="21" customWidth="1"/>
    <col min="14841" max="14841" width="9.88671875" style="21" customWidth="1"/>
    <col min="14842" max="14842" width="14.44140625" style="21" customWidth="1"/>
    <col min="14843" max="14843" width="7.33203125" style="21" customWidth="1"/>
    <col min="14844" max="14844" width="5.5546875" style="21" customWidth="1"/>
    <col min="14845" max="14845" width="9" style="21" customWidth="1"/>
    <col min="14846" max="14847" width="9.88671875" style="21" customWidth="1"/>
    <col min="14848" max="14848" width="11.109375" style="21" customWidth="1"/>
    <col min="14849" max="14849" width="2.88671875" style="21" customWidth="1"/>
    <col min="14850" max="14850" width="3.5546875" style="21" customWidth="1"/>
    <col min="14851" max="15095" width="9.109375" style="21"/>
    <col min="15096" max="15096" width="8.6640625" style="21" customWidth="1"/>
    <col min="15097" max="15097" width="9.88671875" style="21" customWidth="1"/>
    <col min="15098" max="15098" width="14.44140625" style="21" customWidth="1"/>
    <col min="15099" max="15099" width="7.33203125" style="21" customWidth="1"/>
    <col min="15100" max="15100" width="5.5546875" style="21" customWidth="1"/>
    <col min="15101" max="15101" width="9" style="21" customWidth="1"/>
    <col min="15102" max="15103" width="9.88671875" style="21" customWidth="1"/>
    <col min="15104" max="15104" width="11.109375" style="21" customWidth="1"/>
    <col min="15105" max="15105" width="2.88671875" style="21" customWidth="1"/>
    <col min="15106" max="15106" width="3.5546875" style="21" customWidth="1"/>
    <col min="15107" max="15351" width="9.109375" style="21"/>
    <col min="15352" max="15352" width="8.6640625" style="21" customWidth="1"/>
    <col min="15353" max="15353" width="9.88671875" style="21" customWidth="1"/>
    <col min="15354" max="15354" width="14.44140625" style="21" customWidth="1"/>
    <col min="15355" max="15355" width="7.33203125" style="21" customWidth="1"/>
    <col min="15356" max="15356" width="5.5546875" style="21" customWidth="1"/>
    <col min="15357" max="15357" width="9" style="21" customWidth="1"/>
    <col min="15358" max="15359" width="9.88671875" style="21" customWidth="1"/>
    <col min="15360" max="15360" width="11.109375" style="21" customWidth="1"/>
    <col min="15361" max="15361" width="2.88671875" style="21" customWidth="1"/>
    <col min="15362" max="15362" width="3.5546875" style="21" customWidth="1"/>
    <col min="15363" max="15607" width="9.109375" style="21"/>
    <col min="15608" max="15608" width="8.6640625" style="21" customWidth="1"/>
    <col min="15609" max="15609" width="9.88671875" style="21" customWidth="1"/>
    <col min="15610" max="15610" width="14.44140625" style="21" customWidth="1"/>
    <col min="15611" max="15611" width="7.33203125" style="21" customWidth="1"/>
    <col min="15612" max="15612" width="5.5546875" style="21" customWidth="1"/>
    <col min="15613" max="15613" width="9" style="21" customWidth="1"/>
    <col min="15614" max="15615" width="9.88671875" style="21" customWidth="1"/>
    <col min="15616" max="15616" width="11.109375" style="21" customWidth="1"/>
    <col min="15617" max="15617" width="2.88671875" style="21" customWidth="1"/>
    <col min="15618" max="15618" width="3.5546875" style="21" customWidth="1"/>
    <col min="15619" max="15863" width="9.109375" style="21"/>
    <col min="15864" max="15864" width="8.6640625" style="21" customWidth="1"/>
    <col min="15865" max="15865" width="9.88671875" style="21" customWidth="1"/>
    <col min="15866" max="15866" width="14.44140625" style="21" customWidth="1"/>
    <col min="15867" max="15867" width="7.33203125" style="21" customWidth="1"/>
    <col min="15868" max="15868" width="5.5546875" style="21" customWidth="1"/>
    <col min="15869" max="15869" width="9" style="21" customWidth="1"/>
    <col min="15870" max="15871" width="9.88671875" style="21" customWidth="1"/>
    <col min="15872" max="15872" width="11.109375" style="21" customWidth="1"/>
    <col min="15873" max="15873" width="2.88671875" style="21" customWidth="1"/>
    <col min="15874" max="15874" width="3.5546875" style="21" customWidth="1"/>
    <col min="15875" max="16119" width="9.109375" style="21"/>
    <col min="16120" max="16120" width="8.6640625" style="21" customWidth="1"/>
    <col min="16121" max="16121" width="9.88671875" style="21" customWidth="1"/>
    <col min="16122" max="16122" width="14.44140625" style="21" customWidth="1"/>
    <col min="16123" max="16123" width="7.33203125" style="21" customWidth="1"/>
    <col min="16124" max="16124" width="5.5546875" style="21" customWidth="1"/>
    <col min="16125" max="16125" width="9" style="21" customWidth="1"/>
    <col min="16126" max="16127" width="9.88671875" style="21" customWidth="1"/>
    <col min="16128" max="16128" width="11.109375" style="21" customWidth="1"/>
    <col min="16129" max="16129" width="2.88671875" style="21" customWidth="1"/>
    <col min="16130" max="16130" width="3.5546875" style="21" customWidth="1"/>
    <col min="16131" max="16384" width="9.109375" style="21"/>
  </cols>
  <sheetData>
    <row r="1" spans="1:26" ht="46.5" customHeight="1" x14ac:dyDescent="0.3">
      <c r="A1" s="153" t="s">
        <v>160</v>
      </c>
      <c r="B1" s="153"/>
      <c r="C1" s="153"/>
      <c r="D1" s="153"/>
      <c r="E1" s="153"/>
      <c r="F1" s="153"/>
      <c r="G1" s="153"/>
      <c r="H1" s="153"/>
    </row>
    <row r="2" spans="1:26" ht="16.5" customHeight="1" x14ac:dyDescent="0.3">
      <c r="A2" s="154" t="s">
        <v>0</v>
      </c>
      <c r="B2" s="154"/>
      <c r="C2" s="154"/>
      <c r="D2" s="154"/>
      <c r="E2" s="154"/>
      <c r="F2" s="154"/>
      <c r="G2" s="154"/>
      <c r="H2" s="154"/>
    </row>
    <row r="3" spans="1:26" x14ac:dyDescent="0.3">
      <c r="A3" s="71" t="s">
        <v>1</v>
      </c>
      <c r="B3" s="71"/>
      <c r="C3" s="71"/>
      <c r="D3" s="71"/>
      <c r="E3" s="71" t="str">
        <f ca="1">TEXT(TODAY(),"DD/MM/YYYY")</f>
        <v>11/09/2025</v>
      </c>
      <c r="F3" s="71"/>
      <c r="G3" s="71"/>
      <c r="H3" s="71"/>
      <c r="K3" s="56" t="s">
        <v>233</v>
      </c>
      <c r="L3" s="55" t="s">
        <v>231</v>
      </c>
      <c r="M3" s="55" t="s">
        <v>236</v>
      </c>
      <c r="N3" s="55" t="s">
        <v>234</v>
      </c>
      <c r="O3" s="55" t="s">
        <v>235</v>
      </c>
      <c r="P3" s="55" t="s">
        <v>237</v>
      </c>
    </row>
    <row r="4" spans="1:26" ht="15" customHeight="1" x14ac:dyDescent="0.3">
      <c r="A4" s="71" t="s">
        <v>230</v>
      </c>
      <c r="B4" s="71"/>
      <c r="C4" s="71"/>
      <c r="D4" s="71"/>
      <c r="E4" s="72" t="s">
        <v>231</v>
      </c>
      <c r="F4" s="72"/>
      <c r="G4" s="72"/>
      <c r="H4" s="72"/>
      <c r="K4" s="54" t="s">
        <v>232</v>
      </c>
      <c r="L4" s="55" t="s">
        <v>166</v>
      </c>
      <c r="M4" s="55" t="s">
        <v>241</v>
      </c>
      <c r="N4" s="55" t="s">
        <v>243</v>
      </c>
      <c r="O4" s="55" t="s">
        <v>245</v>
      </c>
      <c r="P4" s="55"/>
    </row>
    <row r="5" spans="1:26" ht="15" customHeight="1" x14ac:dyDescent="0.3">
      <c r="A5" s="71" t="s">
        <v>2</v>
      </c>
      <c r="B5" s="71"/>
      <c r="C5" s="71"/>
      <c r="D5" s="71"/>
      <c r="E5" s="72" t="s">
        <v>239</v>
      </c>
      <c r="F5" s="72"/>
      <c r="G5" s="72"/>
      <c r="H5" s="72"/>
      <c r="K5" s="54"/>
      <c r="L5" s="55" t="s">
        <v>238</v>
      </c>
      <c r="M5" s="55" t="s">
        <v>242</v>
      </c>
      <c r="N5" s="55" t="s">
        <v>244</v>
      </c>
      <c r="O5" s="55" t="s">
        <v>246</v>
      </c>
      <c r="P5" s="55"/>
    </row>
    <row r="6" spans="1:26" x14ac:dyDescent="0.3">
      <c r="A6" s="71" t="s">
        <v>3</v>
      </c>
      <c r="B6" s="71"/>
      <c r="C6" s="71"/>
      <c r="D6" s="71"/>
      <c r="E6" s="157">
        <v>45908</v>
      </c>
      <c r="F6" s="71"/>
      <c r="G6" s="71"/>
      <c r="H6" s="71"/>
      <c r="K6" s="54"/>
      <c r="L6" s="55" t="s">
        <v>239</v>
      </c>
      <c r="M6" s="55"/>
      <c r="N6" s="55"/>
      <c r="O6" s="55" t="s">
        <v>247</v>
      </c>
      <c r="P6" s="55"/>
    </row>
    <row r="7" spans="1:26" ht="16.5" customHeight="1" x14ac:dyDescent="0.3">
      <c r="A7" s="71" t="s">
        <v>4</v>
      </c>
      <c r="B7" s="71"/>
      <c r="C7" s="71"/>
      <c r="D7" s="71"/>
      <c r="E7" s="71" t="s">
        <v>280</v>
      </c>
      <c r="F7" s="71"/>
      <c r="G7" s="71"/>
      <c r="H7" s="71"/>
      <c r="K7" s="54"/>
      <c r="L7" s="55" t="s">
        <v>240</v>
      </c>
      <c r="M7" s="55"/>
      <c r="N7" s="55"/>
      <c r="O7" s="55" t="s">
        <v>247</v>
      </c>
      <c r="P7" s="55"/>
    </row>
    <row r="8" spans="1:26" ht="15" customHeight="1" x14ac:dyDescent="0.3">
      <c r="A8" s="71" t="s">
        <v>5</v>
      </c>
      <c r="B8" s="71"/>
      <c r="C8" s="71"/>
      <c r="D8" s="71"/>
      <c r="E8" s="71" t="str">
        <f>E7</f>
        <v>Vasundhara Group</v>
      </c>
      <c r="F8" s="71"/>
      <c r="G8" s="71"/>
      <c r="H8" s="71"/>
      <c r="K8" s="54"/>
      <c r="L8" s="55"/>
      <c r="M8" s="55"/>
      <c r="N8" s="55"/>
      <c r="O8" s="55" t="s">
        <v>248</v>
      </c>
      <c r="P8" s="55"/>
    </row>
    <row r="9" spans="1:26" x14ac:dyDescent="0.3">
      <c r="A9" s="71" t="s">
        <v>6</v>
      </c>
      <c r="B9" s="71"/>
      <c r="C9" s="71"/>
      <c r="D9" s="71"/>
      <c r="E9" s="155" t="s">
        <v>315</v>
      </c>
      <c r="F9" s="156"/>
      <c r="G9" s="156"/>
      <c r="H9" s="156"/>
      <c r="K9" s="54"/>
      <c r="L9" s="55"/>
      <c r="M9" s="55"/>
      <c r="N9" s="55"/>
      <c r="O9" s="55" t="s">
        <v>249</v>
      </c>
      <c r="P9" s="55"/>
    </row>
    <row r="10" spans="1:26" x14ac:dyDescent="0.3">
      <c r="A10" s="71" t="s">
        <v>163</v>
      </c>
      <c r="B10" s="71"/>
      <c r="C10" s="71"/>
      <c r="D10" s="71"/>
      <c r="E10" s="71">
        <v>9137339309</v>
      </c>
      <c r="F10" s="71"/>
      <c r="G10" s="71"/>
      <c r="H10" s="71"/>
      <c r="K10" s="54"/>
      <c r="L10" s="55"/>
      <c r="M10" s="55"/>
      <c r="N10" s="55"/>
      <c r="O10" s="55"/>
      <c r="P10" s="55"/>
    </row>
    <row r="11" spans="1:26" x14ac:dyDescent="0.3">
      <c r="A11" s="71" t="s">
        <v>164</v>
      </c>
      <c r="B11" s="71"/>
      <c r="C11" s="71"/>
      <c r="D11" s="71"/>
      <c r="E11" s="71" t="s">
        <v>28</v>
      </c>
      <c r="F11" s="71"/>
      <c r="G11" s="71"/>
      <c r="H11" s="71"/>
    </row>
    <row r="12" spans="1:26" x14ac:dyDescent="0.3">
      <c r="A12" s="71" t="s">
        <v>7</v>
      </c>
      <c r="B12" s="71"/>
      <c r="C12" s="71"/>
      <c r="D12" s="71"/>
      <c r="E12" s="71" t="s">
        <v>116</v>
      </c>
      <c r="F12" s="71"/>
      <c r="G12" s="71"/>
      <c r="H12" s="71"/>
    </row>
    <row r="13" spans="1:26" x14ac:dyDescent="0.3">
      <c r="A13" s="71" t="s">
        <v>167</v>
      </c>
      <c r="B13" s="71"/>
      <c r="C13" s="71"/>
      <c r="D13" s="71"/>
      <c r="E13" s="71" t="s">
        <v>28</v>
      </c>
      <c r="F13" s="71"/>
      <c r="G13" s="71"/>
      <c r="H13" s="71"/>
      <c r="S13" s="55" t="s">
        <v>174</v>
      </c>
      <c r="T13" s="55" t="s">
        <v>184</v>
      </c>
      <c r="U13" s="55" t="s">
        <v>168</v>
      </c>
      <c r="V13" s="55" t="s">
        <v>189</v>
      </c>
      <c r="W13" s="55" t="s">
        <v>207</v>
      </c>
      <c r="X13"/>
      <c r="Y13" t="s">
        <v>189</v>
      </c>
      <c r="Z13" t="e">
        <f ca="1">OFFSET($S$13,1,MATCH($G20,$S$13:$W$13,0)-1,15,1)</f>
        <v>#VALUE!</v>
      </c>
    </row>
    <row r="14" spans="1:26" x14ac:dyDescent="0.3">
      <c r="A14" s="85" t="s">
        <v>276</v>
      </c>
      <c r="B14" s="85"/>
      <c r="C14" s="85"/>
      <c r="D14" s="85"/>
      <c r="E14" s="88" t="s">
        <v>284</v>
      </c>
      <c r="F14" s="88"/>
      <c r="G14" s="88"/>
      <c r="H14" s="88"/>
      <c r="S14" s="55" t="s">
        <v>175</v>
      </c>
      <c r="T14" s="55" t="s">
        <v>182</v>
      </c>
      <c r="U14" s="55" t="s">
        <v>204</v>
      </c>
      <c r="V14" s="55" t="s">
        <v>190</v>
      </c>
      <c r="W14" s="55" t="s">
        <v>208</v>
      </c>
      <c r="X14"/>
      <c r="Y14"/>
      <c r="Z14"/>
    </row>
    <row r="15" spans="1:26" x14ac:dyDescent="0.3">
      <c r="A15" s="85" t="s">
        <v>8</v>
      </c>
      <c r="B15" s="85"/>
      <c r="C15" s="85"/>
      <c r="D15" s="85"/>
      <c r="E15" s="88" t="s">
        <v>281</v>
      </c>
      <c r="F15" s="72"/>
      <c r="G15" s="72"/>
      <c r="H15" s="72"/>
      <c r="I15" s="78" t="e">
        <f ca="1">OFFSET($D$5,1,MATCH($J13,$D$5:$H$5,0)-1,15,1)</f>
        <v>#N/A</v>
      </c>
      <c r="J15" s="79"/>
      <c r="K15" s="79"/>
      <c r="L15" s="79"/>
      <c r="M15" s="79"/>
      <c r="N15" s="79"/>
      <c r="O15" s="79"/>
      <c r="P15" s="79"/>
      <c r="S15" s="55" t="s">
        <v>176</v>
      </c>
      <c r="T15" s="55" t="s">
        <v>183</v>
      </c>
      <c r="U15" s="55" t="s">
        <v>205</v>
      </c>
      <c r="V15" s="55" t="s">
        <v>191</v>
      </c>
      <c r="W15" s="55" t="s">
        <v>221</v>
      </c>
      <c r="X15"/>
      <c r="Y15"/>
      <c r="Z15"/>
    </row>
    <row r="16" spans="1:26" ht="48.75" customHeight="1" x14ac:dyDescent="0.3">
      <c r="A16" s="69" t="s">
        <v>9</v>
      </c>
      <c r="B16" s="69"/>
      <c r="C16" s="69" t="str">
        <f>CONCATENATE((IF(OR(E9="",E9="NA"),"",E9)),", ",(IF(OR(A17="",A17="NA"),"",A17)),".",(IF(OR(C17="",C17="NA"),"",C17)),", near ",(IF(OR(C22="",C22="NA"),"",C22)),", ",(IF(OR(C19="",C19="NA"),"",C19)),", ",(IF(OR(C18="",C18="NA"),"",C18)),", ",(IF(OR(G19="",G19="NA"),"",G19)),", ",(IF(OR(C20="",C20="NA"),"",C20)),", ",(IF(OR(C21="",C21="NA"),"",C21)),", ",(IF(OR(G20="",G20="NA"),"",G20))," - ",(IF(OR(G21="",G21="NA"),"",G21)),".")</f>
        <v>Krishna Vrundavan, Plot No.17G, Sec - 25A, near Bhaveshwar Rudra Apartment, Internal Road, Ulwe, Pushpak, Kharkopar East, Panvel, Raigad - 410206.</v>
      </c>
      <c r="D16" s="69"/>
      <c r="E16" s="69"/>
      <c r="F16" s="69"/>
      <c r="G16" s="69"/>
      <c r="H16" s="69"/>
      <c r="S16" s="55" t="s">
        <v>177</v>
      </c>
      <c r="T16" s="55" t="s">
        <v>185</v>
      </c>
      <c r="U16" s="55" t="s">
        <v>206</v>
      </c>
      <c r="V16" s="55" t="s">
        <v>192</v>
      </c>
      <c r="W16" s="55" t="s">
        <v>209</v>
      </c>
      <c r="X16"/>
      <c r="Y16"/>
      <c r="Z16"/>
    </row>
    <row r="17" spans="1:26" x14ac:dyDescent="0.3">
      <c r="A17" s="88" t="s">
        <v>282</v>
      </c>
      <c r="B17" s="88"/>
      <c r="C17" s="88" t="s">
        <v>291</v>
      </c>
      <c r="D17" s="88"/>
      <c r="E17" s="88"/>
      <c r="F17" s="88"/>
      <c r="G17" s="88"/>
      <c r="H17" s="88"/>
      <c r="S17" s="55" t="s">
        <v>178</v>
      </c>
      <c r="T17" s="55" t="s">
        <v>186</v>
      </c>
      <c r="U17" s="55" t="s">
        <v>168</v>
      </c>
      <c r="V17" s="55" t="s">
        <v>193</v>
      </c>
      <c r="W17" s="55" t="s">
        <v>210</v>
      </c>
      <c r="X17"/>
      <c r="Y17"/>
      <c r="Z17"/>
    </row>
    <row r="18" spans="1:26" ht="15.75" customHeight="1" x14ac:dyDescent="0.3">
      <c r="A18" s="70" t="s">
        <v>158</v>
      </c>
      <c r="B18" s="70"/>
      <c r="C18" s="88" t="s">
        <v>318</v>
      </c>
      <c r="D18" s="88"/>
      <c r="E18" s="88"/>
      <c r="F18" s="88"/>
      <c r="G18" s="88"/>
      <c r="H18" s="88"/>
      <c r="S18" s="55" t="s">
        <v>179</v>
      </c>
      <c r="T18" s="55" t="s">
        <v>184</v>
      </c>
      <c r="U18" s="55"/>
      <c r="V18" s="55" t="s">
        <v>194</v>
      </c>
      <c r="W18" s="55" t="s">
        <v>211</v>
      </c>
      <c r="X18"/>
      <c r="Y18"/>
      <c r="Z18"/>
    </row>
    <row r="19" spans="1:26" ht="15.75" customHeight="1" x14ac:dyDescent="0.3">
      <c r="A19" s="69" t="s">
        <v>10</v>
      </c>
      <c r="B19" s="69"/>
      <c r="C19" s="71" t="s">
        <v>292</v>
      </c>
      <c r="D19" s="71"/>
      <c r="E19" s="69" t="s">
        <v>70</v>
      </c>
      <c r="F19" s="69"/>
      <c r="G19" s="70" t="s">
        <v>283</v>
      </c>
      <c r="H19" s="70"/>
      <c r="S19" s="55" t="s">
        <v>180</v>
      </c>
      <c r="T19" s="55" t="s">
        <v>187</v>
      </c>
      <c r="U19" s="55"/>
      <c r="V19" s="55" t="s">
        <v>195</v>
      </c>
      <c r="W19" s="55" t="s">
        <v>212</v>
      </c>
      <c r="X19"/>
      <c r="Y19"/>
      <c r="Z19"/>
    </row>
    <row r="20" spans="1:26" x14ac:dyDescent="0.3">
      <c r="A20" s="85" t="s">
        <v>12</v>
      </c>
      <c r="B20" s="85"/>
      <c r="C20" s="88" t="s">
        <v>301</v>
      </c>
      <c r="D20" s="88"/>
      <c r="E20" s="88" t="s">
        <v>11</v>
      </c>
      <c r="F20" s="88"/>
      <c r="G20" s="158" t="s">
        <v>189</v>
      </c>
      <c r="H20" s="158"/>
      <c r="S20" s="55" t="s">
        <v>181</v>
      </c>
      <c r="T20" s="55" t="s">
        <v>188</v>
      </c>
      <c r="U20" s="55"/>
      <c r="V20" s="55" t="s">
        <v>196</v>
      </c>
      <c r="W20" s="55" t="s">
        <v>213</v>
      </c>
      <c r="X20"/>
      <c r="Y20"/>
      <c r="Z20"/>
    </row>
    <row r="21" spans="1:26" x14ac:dyDescent="0.3">
      <c r="A21" s="85" t="s">
        <v>71</v>
      </c>
      <c r="B21" s="85"/>
      <c r="C21" s="88" t="s">
        <v>191</v>
      </c>
      <c r="D21" s="88"/>
      <c r="E21" s="88" t="s">
        <v>13</v>
      </c>
      <c r="F21" s="88"/>
      <c r="G21" s="88">
        <v>410206</v>
      </c>
      <c r="H21" s="88"/>
      <c r="S21" s="55"/>
      <c r="T21" s="55"/>
      <c r="U21" s="55"/>
      <c r="V21" s="55" t="s">
        <v>197</v>
      </c>
      <c r="W21" s="55" t="s">
        <v>214</v>
      </c>
      <c r="X21"/>
      <c r="Y21"/>
      <c r="Z21"/>
    </row>
    <row r="22" spans="1:26" ht="51" customHeight="1" x14ac:dyDescent="0.3">
      <c r="A22" s="85" t="s">
        <v>117</v>
      </c>
      <c r="B22" s="85"/>
      <c r="C22" s="70" t="s">
        <v>293</v>
      </c>
      <c r="D22" s="70"/>
      <c r="E22" s="69" t="s">
        <v>14</v>
      </c>
      <c r="F22" s="69"/>
      <c r="G22" s="88" t="s">
        <v>295</v>
      </c>
      <c r="H22" s="88"/>
      <c r="S22" s="55"/>
      <c r="T22" s="55"/>
      <c r="U22" s="55"/>
      <c r="V22" s="55" t="s">
        <v>198</v>
      </c>
      <c r="W22" s="55" t="s">
        <v>215</v>
      </c>
      <c r="X22"/>
      <c r="Y22"/>
      <c r="Z22"/>
    </row>
    <row r="23" spans="1:26" ht="15" customHeight="1" x14ac:dyDescent="0.3">
      <c r="A23" s="69" t="s">
        <v>73</v>
      </c>
      <c r="B23" s="69"/>
      <c r="C23" s="69"/>
      <c r="D23" s="69"/>
      <c r="E23" s="71" t="s">
        <v>15</v>
      </c>
      <c r="F23" s="71"/>
      <c r="G23" s="71"/>
      <c r="H23" s="71"/>
      <c r="S23" s="55"/>
      <c r="T23" s="55"/>
      <c r="U23" s="55"/>
      <c r="V23" s="55" t="s">
        <v>199</v>
      </c>
      <c r="W23" s="55" t="s">
        <v>216</v>
      </c>
      <c r="X23"/>
      <c r="Y23"/>
      <c r="Z23"/>
    </row>
    <row r="24" spans="1:26" ht="18.75" customHeight="1" x14ac:dyDescent="0.3">
      <c r="A24" s="69"/>
      <c r="B24" s="69"/>
      <c r="C24" s="69"/>
      <c r="D24" s="69"/>
      <c r="E24" s="71"/>
      <c r="F24" s="71"/>
      <c r="G24" s="71"/>
      <c r="H24" s="71"/>
      <c r="S24" s="55"/>
      <c r="T24" s="55"/>
      <c r="U24" s="55"/>
      <c r="V24" s="55" t="s">
        <v>200</v>
      </c>
      <c r="W24" s="55" t="s">
        <v>217</v>
      </c>
      <c r="X24"/>
      <c r="Y24"/>
      <c r="Z24"/>
    </row>
    <row r="25" spans="1:26" ht="15" customHeight="1" x14ac:dyDescent="0.3">
      <c r="A25" s="69" t="s">
        <v>16</v>
      </c>
      <c r="B25" s="69"/>
      <c r="C25" s="69"/>
      <c r="D25" s="69"/>
      <c r="E25" s="70" t="s">
        <v>17</v>
      </c>
      <c r="F25" s="70"/>
      <c r="G25" s="70"/>
      <c r="H25" s="70"/>
      <c r="S25" s="55"/>
      <c r="T25" s="55"/>
      <c r="U25" s="55"/>
      <c r="V25" s="55" t="s">
        <v>201</v>
      </c>
      <c r="W25" s="55" t="s">
        <v>218</v>
      </c>
      <c r="X25"/>
      <c r="Y25"/>
      <c r="Z25"/>
    </row>
    <row r="26" spans="1:26" ht="15" customHeight="1" x14ac:dyDescent="0.3">
      <c r="A26" s="85" t="s">
        <v>18</v>
      </c>
      <c r="B26" s="85"/>
      <c r="C26" s="85"/>
      <c r="D26" s="85"/>
      <c r="E26" s="70" t="str">
        <f>IF(AND(G20="Mumbai"),"Upper Class","Middle Class")</f>
        <v>Middle Class</v>
      </c>
      <c r="F26" s="70"/>
      <c r="G26" s="70"/>
      <c r="H26" s="70"/>
      <c r="S26" s="55"/>
      <c r="T26" s="55"/>
      <c r="U26" s="55"/>
      <c r="V26" s="55" t="s">
        <v>202</v>
      </c>
      <c r="W26" s="55" t="s">
        <v>219</v>
      </c>
      <c r="X26"/>
      <c r="Y26"/>
      <c r="Z26"/>
    </row>
    <row r="27" spans="1:26" x14ac:dyDescent="0.3">
      <c r="A27" s="85" t="s">
        <v>19</v>
      </c>
      <c r="B27" s="85"/>
      <c r="C27" s="85"/>
      <c r="D27" s="85"/>
      <c r="E27" s="70" t="s">
        <v>20</v>
      </c>
      <c r="F27" s="70"/>
      <c r="G27" s="70"/>
      <c r="H27" s="70"/>
      <c r="S27" s="55"/>
      <c r="T27" s="55"/>
      <c r="U27" s="55"/>
      <c r="V27" s="55" t="s">
        <v>203</v>
      </c>
      <c r="W27" s="55" t="s">
        <v>220</v>
      </c>
      <c r="X27"/>
      <c r="Y27"/>
      <c r="Z27"/>
    </row>
    <row r="28" spans="1:26" ht="15.75" customHeight="1" x14ac:dyDescent="0.3">
      <c r="A28" s="85" t="s">
        <v>21</v>
      </c>
      <c r="B28" s="85"/>
      <c r="C28" s="85"/>
      <c r="D28" s="85"/>
      <c r="E28" s="70" t="str">
        <f>IF(AND(G20="Mumbai"),"Developed","Developing")</f>
        <v>Developing</v>
      </c>
      <c r="F28" s="70"/>
      <c r="G28" s="70"/>
      <c r="H28" s="70"/>
    </row>
    <row r="29" spans="1:26" x14ac:dyDescent="0.3">
      <c r="A29" s="85" t="s">
        <v>22</v>
      </c>
      <c r="B29" s="85"/>
      <c r="C29" s="85"/>
      <c r="D29" s="85"/>
      <c r="E29" s="70" t="s">
        <v>23</v>
      </c>
      <c r="F29" s="70"/>
      <c r="G29" s="70"/>
      <c r="H29" s="70"/>
    </row>
    <row r="30" spans="1:26" ht="15.75" customHeight="1" x14ac:dyDescent="0.3">
      <c r="A30" s="85" t="s">
        <v>78</v>
      </c>
      <c r="B30" s="85"/>
      <c r="C30" s="85"/>
      <c r="D30" s="85"/>
      <c r="E30" s="70" t="s">
        <v>79</v>
      </c>
      <c r="F30" s="70"/>
      <c r="G30" s="70"/>
      <c r="H30" s="70"/>
    </row>
    <row r="31" spans="1:26" ht="15" customHeight="1" x14ac:dyDescent="0.3">
      <c r="A31" s="85" t="s">
        <v>30</v>
      </c>
      <c r="B31" s="85"/>
      <c r="C31" s="85"/>
      <c r="D31" s="85"/>
      <c r="E31" s="70" t="str">
        <f>IF(AND(ISNUMBER(SEARCH("Flat",D57)),ISNUMBER(SEARCH("Shop",D57)),ISNUMBER(SEARCH("Office",D57))),"Residential + Commercial",IF(AND(ISNUMBER(SEARCH("Flat",D57)),ISNUMBER(SEARCH("Shop",D57))),"Residential + Commercial",IF(AND(ISNUMBER(SEARCH("Flat",D57)),ISNUMBER(SEARCH("Office",D57))),"Residential + Commercial",IF(AND(ISNUMBER(SEARCH("Shop",D57)),ISNUMBER(SEARCH("Office",D57))),"Commercial",IF(ISNUMBER(SEARCH("Shop",D57)),"Commercial",IF(ISNUMBER(SEARCH("Office",D57)),"Commercial",IF(ISNUMBER(SEARCH("Flat",D57)),"Residential")))))))</f>
        <v>Residential + Commercial</v>
      </c>
      <c r="F31" s="70"/>
      <c r="G31" s="70"/>
      <c r="H31" s="70"/>
    </row>
    <row r="32" spans="1:26" ht="15.75" customHeight="1" x14ac:dyDescent="0.3">
      <c r="A32" s="85" t="s">
        <v>90</v>
      </c>
      <c r="B32" s="85"/>
      <c r="C32" s="85"/>
      <c r="D32" s="85"/>
      <c r="E32" s="70" t="s">
        <v>31</v>
      </c>
      <c r="F32" s="70"/>
      <c r="G32" s="70"/>
      <c r="H32" s="70"/>
    </row>
    <row r="33" spans="1:19" s="22" customFormat="1" x14ac:dyDescent="0.3">
      <c r="A33" s="166" t="s">
        <v>91</v>
      </c>
      <c r="B33" s="166"/>
      <c r="C33" s="163" t="s">
        <v>169</v>
      </c>
      <c r="D33" s="164"/>
      <c r="E33" s="165"/>
      <c r="F33" s="163" t="s">
        <v>29</v>
      </c>
      <c r="G33" s="164"/>
      <c r="H33" s="165"/>
      <c r="S33" s="22" t="e">
        <f ca="1">OFFSET($S$13,1,MATCH($G20,$S$13:$W$13,0)-1,15,1)</f>
        <v>#VALUE!</v>
      </c>
    </row>
    <row r="34" spans="1:19" s="22" customFormat="1" x14ac:dyDescent="0.3">
      <c r="A34" s="159" t="s">
        <v>24</v>
      </c>
      <c r="B34" s="159" t="s">
        <v>28</v>
      </c>
      <c r="C34" s="160" t="s">
        <v>286</v>
      </c>
      <c r="D34" s="161"/>
      <c r="E34" s="162"/>
      <c r="F34" s="160" t="s">
        <v>294</v>
      </c>
      <c r="G34" s="161"/>
      <c r="H34" s="162"/>
    </row>
    <row r="35" spans="1:19" x14ac:dyDescent="0.3">
      <c r="A35" s="159" t="s">
        <v>25</v>
      </c>
      <c r="B35" s="159" t="s">
        <v>28</v>
      </c>
      <c r="C35" s="160" t="s">
        <v>285</v>
      </c>
      <c r="D35" s="161"/>
      <c r="E35" s="162"/>
      <c r="F35" s="160" t="s">
        <v>293</v>
      </c>
      <c r="G35" s="161"/>
      <c r="H35" s="162"/>
    </row>
    <row r="36" spans="1:19" s="22" customFormat="1" x14ac:dyDescent="0.3">
      <c r="A36" s="159" t="s">
        <v>27</v>
      </c>
      <c r="B36" s="159" t="s">
        <v>28</v>
      </c>
      <c r="C36" s="160" t="s">
        <v>298</v>
      </c>
      <c r="D36" s="161"/>
      <c r="E36" s="162"/>
      <c r="F36" s="160" t="s">
        <v>292</v>
      </c>
      <c r="G36" s="161"/>
      <c r="H36" s="162"/>
    </row>
    <row r="37" spans="1:19" x14ac:dyDescent="0.3">
      <c r="A37" s="159" t="s">
        <v>26</v>
      </c>
      <c r="B37" s="159" t="s">
        <v>28</v>
      </c>
      <c r="C37" s="160" t="s">
        <v>287</v>
      </c>
      <c r="D37" s="161"/>
      <c r="E37" s="162"/>
      <c r="F37" s="160" t="s">
        <v>294</v>
      </c>
      <c r="G37" s="161"/>
      <c r="H37" s="162"/>
    </row>
    <row r="38" spans="1:19" x14ac:dyDescent="0.3">
      <c r="A38" s="85" t="s">
        <v>277</v>
      </c>
      <c r="B38" s="85"/>
      <c r="C38" s="85"/>
      <c r="D38" s="85"/>
      <c r="E38" s="85"/>
      <c r="F38" s="85"/>
      <c r="G38" s="85"/>
      <c r="H38" s="85"/>
    </row>
    <row r="39" spans="1:19" ht="15.75" customHeight="1" x14ac:dyDescent="0.3">
      <c r="A39" s="85" t="s">
        <v>161</v>
      </c>
      <c r="B39" s="85"/>
      <c r="C39" s="151" t="s">
        <v>296</v>
      </c>
      <c r="D39" s="151"/>
      <c r="E39" s="151"/>
      <c r="F39" s="151"/>
      <c r="G39" s="151"/>
      <c r="H39" s="151"/>
    </row>
    <row r="40" spans="1:19" x14ac:dyDescent="0.3">
      <c r="A40" s="85" t="s">
        <v>157</v>
      </c>
      <c r="B40" s="85"/>
      <c r="C40" s="187" t="s">
        <v>297</v>
      </c>
      <c r="D40" s="70"/>
      <c r="E40" s="70"/>
      <c r="F40" s="70"/>
      <c r="G40" s="70"/>
      <c r="H40" s="70"/>
    </row>
    <row r="41" spans="1:19" x14ac:dyDescent="0.3">
      <c r="A41" s="151" t="s">
        <v>32</v>
      </c>
      <c r="B41" s="151"/>
      <c r="C41" s="151"/>
      <c r="D41" s="151"/>
      <c r="E41" s="151"/>
      <c r="F41" s="151"/>
      <c r="G41" s="151"/>
      <c r="H41" s="151"/>
    </row>
    <row r="42" spans="1:19" x14ac:dyDescent="0.3">
      <c r="A42" s="85" t="s">
        <v>33</v>
      </c>
      <c r="B42" s="85"/>
      <c r="C42" s="85"/>
      <c r="D42" s="85"/>
      <c r="E42" s="167">
        <v>650</v>
      </c>
      <c r="F42" s="167"/>
      <c r="G42" s="167"/>
      <c r="H42" s="167"/>
    </row>
    <row r="43" spans="1:19" x14ac:dyDescent="0.3">
      <c r="A43" s="85" t="s">
        <v>34</v>
      </c>
      <c r="B43" s="85"/>
      <c r="C43" s="85"/>
      <c r="D43" s="85"/>
      <c r="E43" s="95">
        <f>975/E42</f>
        <v>1.5</v>
      </c>
      <c r="F43" s="95"/>
      <c r="G43" s="95"/>
      <c r="H43" s="95"/>
    </row>
    <row r="44" spans="1:19" x14ac:dyDescent="0.3">
      <c r="A44" s="85" t="s">
        <v>35</v>
      </c>
      <c r="B44" s="85"/>
      <c r="C44" s="85"/>
      <c r="D44" s="85"/>
      <c r="E44" s="95">
        <f>E46/E42-E43</f>
        <v>0.91320461538461561</v>
      </c>
      <c r="F44" s="95"/>
      <c r="G44" s="95"/>
      <c r="H44" s="95"/>
    </row>
    <row r="45" spans="1:19" x14ac:dyDescent="0.3">
      <c r="A45" s="85" t="s">
        <v>36</v>
      </c>
      <c r="B45" s="85"/>
      <c r="C45" s="85"/>
      <c r="D45" s="85"/>
      <c r="E45" s="95">
        <f>E43+E44</f>
        <v>2.4132046153846156</v>
      </c>
      <c r="F45" s="95"/>
      <c r="G45" s="95"/>
      <c r="H45" s="95"/>
    </row>
    <row r="46" spans="1:19" x14ac:dyDescent="0.3">
      <c r="A46" s="85" t="s">
        <v>89</v>
      </c>
      <c r="B46" s="85"/>
      <c r="C46" s="85"/>
      <c r="D46" s="85"/>
      <c r="E46" s="169">
        <v>1568.5830000000001</v>
      </c>
      <c r="F46" s="169"/>
      <c r="G46" s="169"/>
      <c r="H46" s="169"/>
    </row>
    <row r="47" spans="1:19" x14ac:dyDescent="0.3">
      <c r="A47" s="71" t="s">
        <v>37</v>
      </c>
      <c r="B47" s="71"/>
      <c r="C47" s="71"/>
      <c r="D47" s="71"/>
      <c r="E47" s="72" t="s">
        <v>116</v>
      </c>
      <c r="F47" s="72"/>
      <c r="G47" s="72"/>
      <c r="H47" s="72"/>
    </row>
    <row r="48" spans="1:19" x14ac:dyDescent="0.3">
      <c r="A48" s="151" t="s">
        <v>38</v>
      </c>
      <c r="B48" s="151"/>
      <c r="C48" s="151"/>
      <c r="D48" s="151"/>
      <c r="E48" s="151"/>
      <c r="F48" s="151"/>
      <c r="G48" s="151"/>
      <c r="H48" s="151"/>
    </row>
    <row r="49" spans="1:23" ht="33.75" customHeight="1" x14ac:dyDescent="0.3">
      <c r="A49" s="75" t="s">
        <v>146</v>
      </c>
      <c r="B49" s="77"/>
      <c r="C49" s="191" t="s">
        <v>265</v>
      </c>
      <c r="D49" s="192"/>
      <c r="E49" s="192"/>
      <c r="F49" s="192"/>
      <c r="G49" s="192"/>
      <c r="H49" s="193"/>
      <c r="R49" t="s">
        <v>250</v>
      </c>
      <c r="S49" t="s">
        <v>168</v>
      </c>
      <c r="T49" t="s">
        <v>174</v>
      </c>
      <c r="U49" t="s">
        <v>189</v>
      </c>
      <c r="V49" t="s">
        <v>184</v>
      </c>
    </row>
    <row r="50" spans="1:23" ht="33.75" customHeight="1" x14ac:dyDescent="0.3">
      <c r="A50" s="75" t="s">
        <v>39</v>
      </c>
      <c r="B50" s="77"/>
      <c r="C50" s="75" t="s">
        <v>288</v>
      </c>
      <c r="D50" s="76"/>
      <c r="E50" s="77"/>
      <c r="F50" s="18" t="s">
        <v>40</v>
      </c>
      <c r="G50" s="174">
        <v>45090</v>
      </c>
      <c r="H50" s="77"/>
      <c r="R50"/>
      <c r="S50" t="s">
        <v>251</v>
      </c>
      <c r="T50" t="s">
        <v>256</v>
      </c>
      <c r="U50" t="s">
        <v>267</v>
      </c>
      <c r="V50" t="s">
        <v>272</v>
      </c>
    </row>
    <row r="51" spans="1:23" ht="30" customHeight="1" x14ac:dyDescent="0.3">
      <c r="A51" s="75" t="s">
        <v>41</v>
      </c>
      <c r="B51" s="77"/>
      <c r="C51" s="75" t="str">
        <f>C50</f>
        <v>CIDCO/BP/-18209/TPO(NM &amp; K)/2022/10469</v>
      </c>
      <c r="D51" s="76"/>
      <c r="E51" s="77"/>
      <c r="F51" s="18" t="s">
        <v>40</v>
      </c>
      <c r="G51" s="174">
        <f>G50</f>
        <v>45090</v>
      </c>
      <c r="H51" s="77"/>
      <c r="R51"/>
      <c r="S51" t="s">
        <v>252</v>
      </c>
      <c r="T51" t="s">
        <v>278</v>
      </c>
      <c r="U51" t="s">
        <v>265</v>
      </c>
      <c r="V51" t="s">
        <v>273</v>
      </c>
      <c r="W51" s="57" t="s">
        <v>279</v>
      </c>
    </row>
    <row r="52" spans="1:23" s="23" customFormat="1" ht="33" customHeight="1" x14ac:dyDescent="0.3">
      <c r="A52" s="180" t="s">
        <v>150</v>
      </c>
      <c r="B52" s="181"/>
      <c r="C52" s="75" t="s">
        <v>323</v>
      </c>
      <c r="D52" s="76"/>
      <c r="E52" s="77"/>
      <c r="F52" s="18" t="s">
        <v>40</v>
      </c>
      <c r="G52" s="174">
        <v>45337</v>
      </c>
      <c r="H52" s="77"/>
      <c r="R52"/>
      <c r="S52" t="s">
        <v>253</v>
      </c>
      <c r="T52" t="s">
        <v>258</v>
      </c>
      <c r="U52" t="s">
        <v>255</v>
      </c>
      <c r="V52" t="s">
        <v>274</v>
      </c>
    </row>
    <row r="53" spans="1:23" s="23" customFormat="1" ht="17.25" customHeight="1" x14ac:dyDescent="0.3">
      <c r="A53" s="182"/>
      <c r="B53" s="183"/>
      <c r="C53" s="75" t="s">
        <v>322</v>
      </c>
      <c r="D53" s="76"/>
      <c r="E53" s="76"/>
      <c r="F53" s="76"/>
      <c r="G53" s="76"/>
      <c r="H53" s="77"/>
      <c r="R53"/>
      <c r="S53" t="s">
        <v>254</v>
      </c>
      <c r="T53" t="s">
        <v>261</v>
      </c>
      <c r="U53" t="s">
        <v>268</v>
      </c>
    </row>
    <row r="54" spans="1:23" x14ac:dyDescent="0.3">
      <c r="A54" s="91" t="s">
        <v>42</v>
      </c>
      <c r="B54" s="92"/>
      <c r="C54" s="91" t="s">
        <v>102</v>
      </c>
      <c r="D54" s="93"/>
      <c r="E54" s="92"/>
      <c r="F54" s="45" t="s">
        <v>40</v>
      </c>
      <c r="G54" s="73" t="s">
        <v>28</v>
      </c>
      <c r="H54" s="74"/>
      <c r="R54"/>
      <c r="S54" t="s">
        <v>255</v>
      </c>
      <c r="T54" t="s">
        <v>259</v>
      </c>
      <c r="U54" t="s">
        <v>269</v>
      </c>
    </row>
    <row r="55" spans="1:23" x14ac:dyDescent="0.3">
      <c r="A55" s="68" t="s">
        <v>44</v>
      </c>
      <c r="B55" s="68"/>
      <c r="C55" s="68"/>
      <c r="D55" s="68"/>
      <c r="E55" s="68"/>
      <c r="F55" s="68"/>
      <c r="G55" s="68"/>
      <c r="H55" s="68"/>
      <c r="T55" t="s">
        <v>260</v>
      </c>
      <c r="U55" t="s">
        <v>270</v>
      </c>
    </row>
    <row r="56" spans="1:23" x14ac:dyDescent="0.3">
      <c r="A56" s="69" t="s">
        <v>88</v>
      </c>
      <c r="B56" s="69"/>
      <c r="C56" s="69"/>
      <c r="D56" s="85">
        <f>E46</f>
        <v>1568.5830000000001</v>
      </c>
      <c r="E56" s="85"/>
      <c r="F56" s="85"/>
      <c r="G56" s="85"/>
      <c r="H56" s="85"/>
      <c r="R56"/>
      <c r="T56" t="s">
        <v>262</v>
      </c>
      <c r="U56" t="s">
        <v>271</v>
      </c>
    </row>
    <row r="57" spans="1:23" x14ac:dyDescent="0.3">
      <c r="A57" s="70" t="s">
        <v>45</v>
      </c>
      <c r="B57" s="71"/>
      <c r="C57" s="71"/>
      <c r="D57" s="72" t="s">
        <v>314</v>
      </c>
      <c r="E57" s="72"/>
      <c r="F57" s="72"/>
      <c r="G57" s="72"/>
      <c r="H57" s="72"/>
      <c r="I57" s="24"/>
      <c r="R57"/>
      <c r="T57" t="s">
        <v>263</v>
      </c>
    </row>
    <row r="58" spans="1:23" x14ac:dyDescent="0.3">
      <c r="A58" s="170" t="s">
        <v>46</v>
      </c>
      <c r="B58" s="171"/>
      <c r="C58" s="179"/>
      <c r="D58" s="172" t="s">
        <v>289</v>
      </c>
      <c r="E58" s="173"/>
      <c r="F58" s="173"/>
      <c r="G58" s="173"/>
      <c r="H58" s="173"/>
      <c r="R58"/>
      <c r="T58" t="s">
        <v>264</v>
      </c>
    </row>
    <row r="59" spans="1:23" ht="15.75" customHeight="1" x14ac:dyDescent="0.3">
      <c r="A59" s="170" t="s">
        <v>86</v>
      </c>
      <c r="B59" s="171"/>
      <c r="C59" s="171"/>
      <c r="D59" s="172" t="s">
        <v>322</v>
      </c>
      <c r="E59" s="173"/>
      <c r="F59" s="173"/>
      <c r="G59" s="173"/>
      <c r="H59" s="173"/>
      <c r="R59"/>
      <c r="T59" t="s">
        <v>266</v>
      </c>
    </row>
    <row r="60" spans="1:23" ht="15.75" customHeight="1" x14ac:dyDescent="0.3">
      <c r="A60" s="85" t="s">
        <v>43</v>
      </c>
      <c r="B60" s="85"/>
      <c r="C60" s="85"/>
      <c r="D60" s="69" t="s">
        <v>290</v>
      </c>
      <c r="E60" s="69"/>
      <c r="F60" s="69"/>
      <c r="G60" s="69"/>
      <c r="H60" s="69"/>
      <c r="J60" s="25"/>
      <c r="K60" s="24"/>
      <c r="N60" s="24"/>
      <c r="S60"/>
    </row>
    <row r="61" spans="1:23" ht="15.75" customHeight="1" x14ac:dyDescent="0.3">
      <c r="A61" s="85" t="s">
        <v>84</v>
      </c>
      <c r="B61" s="85"/>
      <c r="C61" s="85"/>
      <c r="D61" s="168" t="str">
        <f>(IF(G54="NA","60 Years After Completion",IF(G54&lt;&gt;"NA",""&amp;60-ROUNDDOWN((E3-G54)/360,0)&amp;" Years"," ")))</f>
        <v>60 Years After Completion</v>
      </c>
      <c r="E61" s="168"/>
      <c r="F61" s="168"/>
      <c r="G61" s="168"/>
      <c r="H61" s="168"/>
      <c r="N61" s="24"/>
      <c r="S61"/>
    </row>
    <row r="62" spans="1:23" ht="15.75" customHeight="1" x14ac:dyDescent="0.3">
      <c r="A62" s="85" t="s">
        <v>85</v>
      </c>
      <c r="B62" s="85"/>
      <c r="C62" s="85"/>
      <c r="D62" s="69" t="s">
        <v>23</v>
      </c>
      <c r="E62" s="69"/>
      <c r="F62" s="69"/>
      <c r="G62" s="69"/>
      <c r="H62" s="69"/>
      <c r="J62" s="26"/>
      <c r="K62" s="26"/>
      <c r="S62"/>
    </row>
    <row r="63" spans="1:23" ht="33" customHeight="1" x14ac:dyDescent="0.3">
      <c r="A63" s="72" t="s">
        <v>299</v>
      </c>
      <c r="B63" s="72"/>
      <c r="C63" s="72"/>
      <c r="D63" s="88" t="s">
        <v>300</v>
      </c>
      <c r="E63" s="88"/>
      <c r="F63" s="88"/>
      <c r="G63" s="88"/>
      <c r="H63" s="88"/>
      <c r="S63"/>
    </row>
    <row r="64" spans="1:23" x14ac:dyDescent="0.3">
      <c r="A64" s="69" t="s">
        <v>143</v>
      </c>
      <c r="B64" s="69"/>
      <c r="C64" s="69"/>
      <c r="D64" s="69" t="s">
        <v>28</v>
      </c>
      <c r="E64" s="69"/>
      <c r="F64" s="69"/>
      <c r="G64" s="69"/>
      <c r="H64" s="69"/>
      <c r="I64" s="27"/>
      <c r="J64" s="27"/>
      <c r="K64" s="27"/>
      <c r="L64" s="27"/>
      <c r="M64" s="27"/>
      <c r="N64" s="27"/>
    </row>
    <row r="65" spans="1:19" ht="15.75" customHeight="1" x14ac:dyDescent="0.3">
      <c r="A65" s="94" t="s">
        <v>83</v>
      </c>
      <c r="B65" s="94"/>
      <c r="C65" s="94"/>
      <c r="D65" s="90" t="str">
        <f ca="1">(IF(G71&gt;95%,"Nothing",IF(G71&gt;0%,"Cement, Aggregate, Steel, etc",IF(G71=0%,"Work not yet Started"))))</f>
        <v>Cement, Aggregate, Steel, etc</v>
      </c>
      <c r="E65" s="90"/>
      <c r="F65" s="90"/>
      <c r="G65" s="90"/>
      <c r="H65" s="90"/>
      <c r="J65" s="26"/>
      <c r="S65"/>
    </row>
    <row r="66" spans="1:19" ht="33.75" customHeight="1" thickBot="1" x14ac:dyDescent="0.35">
      <c r="A66" s="89" t="s">
        <v>115</v>
      </c>
      <c r="B66" s="89"/>
      <c r="C66" s="89"/>
      <c r="D66" s="90" t="str">
        <f ca="1">(IF(D65="Nothing","Yes",IF(D65="Cement, Aggregate, Steel, etc","Under Construction",IF(D65="Work not yet Started","Work not yet Started"))))</f>
        <v>Under Construction</v>
      </c>
      <c r="E66" s="90"/>
      <c r="F66" s="90" t="str">
        <f ca="1">(IF(D65="Nothing","Yes",IF(D65="Cement, Aggregate, Steel, etc","Under Construction",IF(D65="Work not yet Started","Work not yet Started"))))</f>
        <v>Under Construction</v>
      </c>
      <c r="G66" s="90"/>
      <c r="H66" s="90"/>
      <c r="S66"/>
    </row>
    <row r="67" spans="1:19" ht="15.75" customHeight="1" x14ac:dyDescent="0.3">
      <c r="A67" s="96" t="s">
        <v>135</v>
      </c>
      <c r="B67" s="97"/>
      <c r="C67" s="197" t="str">
        <f>D59</f>
        <v>Gr + 1st to 7th Floor</v>
      </c>
      <c r="D67" s="198"/>
      <c r="E67" s="198"/>
      <c r="F67" s="198"/>
      <c r="G67" s="198"/>
      <c r="H67" s="199"/>
      <c r="I67" s="49" t="str">
        <f ca="1">IF(D80=100%,"All work Completed. Possession granted to the Building.",IF(D79=100%,"All work Completed, Waiting for OC",I68&amp;""&amp;I69&amp;""&amp;J68&amp;""&amp;J67&amp;" "&amp;J69))</f>
        <v>Excavation, Plinth, RCC Slab, Brickwork, Internal Plaster, External Plaster Completed, Flooring upto 6 Floor, Painting upto 6 Floor, Finishing upto 4 Floor Completed</v>
      </c>
      <c r="J67" s="50" t="str">
        <f ca="1">(IF(C73=(D68+F68+H68),"",IF(C73&gt;0,", RCC upto "&amp;C73&amp;" Slab","")))&amp;(IF(C74=H68,"",IF(C74&gt;0,", Brickwork upto "&amp;C74&amp;" Floor","")))&amp;(IF(C75=H68,"",IF(C75&gt;0,", Internal Plaster upto "&amp;C75&amp;" Floor","")))&amp;(IF(C76=H68,"",IF(C76&gt;0,", External Plaster upto "&amp;C76&amp;" Floor","")))&amp;(IF(C77=H68,"",IF(C77&gt;0,", Flooring upto "&amp;C77&amp;" Floor","")))&amp;(IF(C78=H68,"",IF(C78&gt;0,", Painting upto "&amp;C78&amp;" Floor","")))&amp;(IF(C79=H68,"",IF(C79&gt;0,", Finishing upto "&amp;C79&amp;" Floor","")))&amp;(IF(C80=H68,"",IF(C80&gt;0,", Possession upto "&amp;C80&amp;" Floor","")))</f>
        <v>, Flooring upto 6 Floor, Painting upto 6 Floor, Finishing upto 4 Floor</v>
      </c>
      <c r="S67"/>
    </row>
    <row r="68" spans="1:19" x14ac:dyDescent="0.3">
      <c r="A68" s="16" t="s">
        <v>137</v>
      </c>
      <c r="B68" s="47">
        <f>IF(AND(ISNUMBER(SEARCH("1B",C67))),1,IF(AND(ISNUMBER(SEARCH("2B",C67))),2,IF(AND(ISNUMBER(SEARCH("3B",C67))),3,IF(AND(ISNUMBER(SEARCH("4B",C67))),4,IF(ISNUMBER(SEARCH("5B",C67)),5,0)))))</f>
        <v>0</v>
      </c>
      <c r="C68" s="58" t="s">
        <v>69</v>
      </c>
      <c r="D68" s="58">
        <v>1</v>
      </c>
      <c r="E68" s="58" t="s">
        <v>68</v>
      </c>
      <c r="F68" s="58">
        <v>0</v>
      </c>
      <c r="G68" s="58" t="s">
        <v>77</v>
      </c>
      <c r="H68" s="59">
        <f ca="1">--TRIM(RIGHT(SUBSTITUTE(LEFT(C67,_xlfn.AGGREGATE(16,6,FIND({0,1,2,3,4,5,6,7,8,9},C67,ROW(INDIRECT("1:"&amp;LEN(C67)))),1))," ",REPT(" ",LEN(C67))),LEN(C67)))</f>
        <v>7</v>
      </c>
      <c r="I68" s="51" t="str">
        <f ca="1">IF(D71=100%,"Excavation","")&amp;IF(D72=100%,", Plinth","")&amp;IF(D73=100%,", RCC Slab","")&amp;IF(D74=100%,", Brickwork","")&amp;IF(D75=100%,", Internal Plaster","")&amp;IF(D76=100%,", External Plaster","")&amp;IF(D77=100%,", Flooring","")&amp;IF(D78=100%,", Painting","")&amp;IF(D79=100%,", Building common Amenities","")</f>
        <v>Excavation, Plinth, RCC Slab, Brickwork, Internal Plaster, External Plaster</v>
      </c>
      <c r="J68" s="52" t="str">
        <f ca="1">(IF(C71=0,"Work not yet Started.",IF(D71=25%,"Piling work in process",IF(D71=50%,"Excavation work in process",IF(D71=100%,"","0")))))&amp;(IF(C72=0%,"",IF(C72=J73,", Footing work is process",IF(C72=J74,", Footing work Completed",IF(C72=J75,", 1st Basement Completed",IF(C72=J76,", 1st &amp; 2nd Basement Completed",IF(C72=J77,", 1st to 3rd Basement Completed",IF(C72=J78,", 1st to 4th Basement Completed",IF(C72=J79,", Plinth work is process",IF(C72=J80,"","0"))))))))))</f>
        <v/>
      </c>
      <c r="S68"/>
    </row>
    <row r="69" spans="1:19" ht="46.5" customHeight="1" x14ac:dyDescent="0.3">
      <c r="A69" s="195" t="s">
        <v>87</v>
      </c>
      <c r="B69" s="156"/>
      <c r="C69" s="86" t="str">
        <f ca="1">I67</f>
        <v>Excavation, Plinth, RCC Slab, Brickwork, Internal Plaster, External Plaster Completed, Flooring upto 6 Floor, Painting upto 6 Floor, Finishing upto 4 Floor Completed</v>
      </c>
      <c r="D69" s="86"/>
      <c r="E69" s="86"/>
      <c r="F69" s="86"/>
      <c r="G69" s="86"/>
      <c r="H69" s="87"/>
      <c r="I69" s="51" t="str">
        <f ca="1">IF(I68&lt;&gt;""," Completed","")</f>
        <v xml:space="preserve"> Completed</v>
      </c>
      <c r="J69" s="52" t="str">
        <f ca="1">IF(J67&lt;&gt;"","Completed","")</f>
        <v>Completed</v>
      </c>
      <c r="S69"/>
    </row>
    <row r="70" spans="1:19" ht="15.75" customHeight="1" x14ac:dyDescent="0.3">
      <c r="A70" s="83" t="s">
        <v>47</v>
      </c>
      <c r="B70" s="84"/>
      <c r="C70" s="43" t="s">
        <v>134</v>
      </c>
      <c r="D70" s="43" t="s">
        <v>80</v>
      </c>
      <c r="E70" s="84" t="s">
        <v>82</v>
      </c>
      <c r="F70" s="84"/>
      <c r="G70" s="84" t="s">
        <v>81</v>
      </c>
      <c r="H70" s="101"/>
      <c r="I70" s="13" t="s">
        <v>136</v>
      </c>
      <c r="J70" s="28">
        <f ca="1">H68*25%</f>
        <v>1.75</v>
      </c>
      <c r="S70"/>
    </row>
    <row r="71" spans="1:19" x14ac:dyDescent="0.3">
      <c r="A71" s="83" t="s">
        <v>123</v>
      </c>
      <c r="B71" s="84"/>
      <c r="C71" s="43">
        <f ca="1">J72</f>
        <v>7</v>
      </c>
      <c r="D71" s="19">
        <f ca="1">((100/H68)*C71)/100</f>
        <v>1</v>
      </c>
      <c r="E71" s="102">
        <f ca="1">(((C72/H68*10)+(40/(D68+F68+H68)*C73)+(7.5/(H68)*C74)+(7.5/(H68)*C75)+(10/H68*C76)+(10/H68*C77)+(5/H68*C78)+(5/H68*C79)+(5/H68*C80))/100)</f>
        <v>0.90714285714285725</v>
      </c>
      <c r="F71" s="103"/>
      <c r="G71" s="102">
        <f ca="1">((((C71/H68)*20)+((C72/H68)*25)+(30/(H68+F68+D68)*C73)+(5/H68*C74)+(5/H68*C75)+(5/H68*C76)+(5/H68*C77)+(0/H68*C78)+(0/H68*C79)+(5/H68*C80))/100)</f>
        <v>0.94285714285714295</v>
      </c>
      <c r="H71" s="184"/>
      <c r="I71" s="13" t="s">
        <v>97</v>
      </c>
      <c r="J71" s="29">
        <f ca="1">H68*50%</f>
        <v>3.5</v>
      </c>
    </row>
    <row r="72" spans="1:19" x14ac:dyDescent="0.3">
      <c r="A72" s="83" t="s">
        <v>48</v>
      </c>
      <c r="B72" s="84"/>
      <c r="C72" s="43">
        <f ca="1">J80</f>
        <v>7</v>
      </c>
      <c r="D72" s="19">
        <f ca="1">((100/H68)*C72)/100</f>
        <v>1</v>
      </c>
      <c r="E72" s="104"/>
      <c r="F72" s="105"/>
      <c r="G72" s="104"/>
      <c r="H72" s="185"/>
      <c r="I72" s="13" t="s">
        <v>98</v>
      </c>
      <c r="J72" s="29">
        <f ca="1">H68</f>
        <v>7</v>
      </c>
      <c r="S72"/>
    </row>
    <row r="73" spans="1:19" ht="15.75" customHeight="1" x14ac:dyDescent="0.3">
      <c r="A73" s="83" t="s">
        <v>124</v>
      </c>
      <c r="B73" s="84"/>
      <c r="C73" s="43">
        <v>8</v>
      </c>
      <c r="D73" s="19">
        <f ca="1">((100/(D68+F68+H68))*C73)/100</f>
        <v>1</v>
      </c>
      <c r="E73" s="104"/>
      <c r="F73" s="105"/>
      <c r="G73" s="104"/>
      <c r="H73" s="185"/>
      <c r="I73" s="13" t="s">
        <v>99</v>
      </c>
      <c r="J73" s="30">
        <f ca="1">(IF(B68&gt;1,(H68/(B68+2)),H68/4))</f>
        <v>1.75</v>
      </c>
      <c r="S73"/>
    </row>
    <row r="74" spans="1:19" ht="15.75" customHeight="1" x14ac:dyDescent="0.3">
      <c r="A74" s="83" t="s">
        <v>131</v>
      </c>
      <c r="B74" s="84" t="s">
        <v>125</v>
      </c>
      <c r="C74" s="43">
        <v>7</v>
      </c>
      <c r="D74" s="19">
        <f ca="1">((100/H68)*C74)/100</f>
        <v>1</v>
      </c>
      <c r="E74" s="104"/>
      <c r="F74" s="105"/>
      <c r="G74" s="104"/>
      <c r="H74" s="185"/>
      <c r="I74" s="13" t="s">
        <v>100</v>
      </c>
      <c r="J74" s="30">
        <f ca="1">(IF(B68&gt;1,(H68/(B68+2)+J73),H68/4+J73))</f>
        <v>3.5</v>
      </c>
    </row>
    <row r="75" spans="1:19" ht="15.75" customHeight="1" x14ac:dyDescent="0.3">
      <c r="A75" s="83" t="s">
        <v>132</v>
      </c>
      <c r="B75" s="84" t="s">
        <v>125</v>
      </c>
      <c r="C75" s="43">
        <v>7</v>
      </c>
      <c r="D75" s="19">
        <f ca="1">((100/H68)*C75)/100</f>
        <v>1</v>
      </c>
      <c r="E75" s="104"/>
      <c r="F75" s="105"/>
      <c r="G75" s="104"/>
      <c r="H75" s="185"/>
      <c r="I75" s="13" t="s">
        <v>141</v>
      </c>
      <c r="J75" s="30">
        <f>(IF(B68&gt;1,(H68/(B68+2)+J74),0))</f>
        <v>0</v>
      </c>
    </row>
    <row r="76" spans="1:19" ht="15" customHeight="1" x14ac:dyDescent="0.3">
      <c r="A76" s="83" t="s">
        <v>130</v>
      </c>
      <c r="B76" s="84" t="s">
        <v>127</v>
      </c>
      <c r="C76" s="43">
        <v>7</v>
      </c>
      <c r="D76" s="19">
        <f ca="1">((100/(H68))*C76)/100</f>
        <v>1</v>
      </c>
      <c r="E76" s="104"/>
      <c r="F76" s="105"/>
      <c r="G76" s="104"/>
      <c r="H76" s="185"/>
      <c r="I76" s="13" t="s">
        <v>138</v>
      </c>
      <c r="J76" s="30">
        <f>(IF(B68&gt;2,(H68/(B68+2)+J75),0))</f>
        <v>0</v>
      </c>
    </row>
    <row r="77" spans="1:19" ht="15.75" customHeight="1" x14ac:dyDescent="0.3">
      <c r="A77" s="83" t="s">
        <v>126</v>
      </c>
      <c r="B77" s="84" t="s">
        <v>126</v>
      </c>
      <c r="C77" s="43">
        <v>6</v>
      </c>
      <c r="D77" s="19">
        <f ca="1">((100/H68)*C77)/100</f>
        <v>0.85714285714285721</v>
      </c>
      <c r="E77" s="104"/>
      <c r="F77" s="105"/>
      <c r="G77" s="104"/>
      <c r="H77" s="185"/>
      <c r="I77" s="13" t="s">
        <v>139</v>
      </c>
      <c r="J77" s="31">
        <f>(IF(B68&gt;3,(H68/(B68+2)+J76),0))</f>
        <v>0</v>
      </c>
    </row>
    <row r="78" spans="1:19" ht="15.75" customHeight="1" x14ac:dyDescent="0.3">
      <c r="A78" s="83" t="s">
        <v>133</v>
      </c>
      <c r="B78" s="84"/>
      <c r="C78" s="43">
        <v>6</v>
      </c>
      <c r="D78" s="19">
        <f ca="1">((100/H68)*C78)/100</f>
        <v>0.85714285714285721</v>
      </c>
      <c r="E78" s="104"/>
      <c r="F78" s="105"/>
      <c r="G78" s="104"/>
      <c r="H78" s="185"/>
      <c r="I78" s="13" t="s">
        <v>140</v>
      </c>
      <c r="J78" s="30">
        <f>(IF(B68&gt;4,(H68/(B68+2)+J77),0))</f>
        <v>0</v>
      </c>
    </row>
    <row r="79" spans="1:19" ht="15.75" customHeight="1" x14ac:dyDescent="0.3">
      <c r="A79" s="83" t="s">
        <v>128</v>
      </c>
      <c r="B79" s="84" t="s">
        <v>128</v>
      </c>
      <c r="C79" s="43">
        <v>4</v>
      </c>
      <c r="D79" s="19">
        <f ca="1">((100/(H68))*C79)/100</f>
        <v>0.57142857142857151</v>
      </c>
      <c r="E79" s="104"/>
      <c r="F79" s="105"/>
      <c r="G79" s="104"/>
      <c r="H79" s="185"/>
      <c r="I79" s="13" t="s">
        <v>142</v>
      </c>
      <c r="J79" s="30">
        <f ca="1">(IF(B68=1,(H68/(B68+3)+J74),IF(B68=0,(H68/4+J74),IF(B68&gt;1,0))))</f>
        <v>5.25</v>
      </c>
    </row>
    <row r="80" spans="1:19" ht="16.2" thickBot="1" x14ac:dyDescent="0.35">
      <c r="A80" s="81" t="s">
        <v>129</v>
      </c>
      <c r="B80" s="82"/>
      <c r="C80" s="44">
        <v>0</v>
      </c>
      <c r="D80" s="20">
        <f ca="1">((100/(H68))*C80)/100</f>
        <v>0</v>
      </c>
      <c r="E80" s="106"/>
      <c r="F80" s="107"/>
      <c r="G80" s="106"/>
      <c r="H80" s="186"/>
      <c r="I80" s="15" t="s">
        <v>101</v>
      </c>
      <c r="J80" s="32">
        <f ca="1">(IF(B68&gt;1.5,(H68/(B68+2)+J74+MAX(0,J75-J74)+MAX(0,J76-J75)+MAX(0,J77-J76)+MAX(0,J78-J77)+MAX(0,J79-J78)),IF(B68=1,(H68/(B68+3)+J79),IF(B68=0,H68/4+J79))))</f>
        <v>7</v>
      </c>
    </row>
    <row r="81" spans="1:11" ht="15.75" hidden="1" customHeight="1" x14ac:dyDescent="0.3">
      <c r="A81" s="96" t="s">
        <v>135</v>
      </c>
      <c r="B81" s="97"/>
      <c r="C81" s="98" t="e">
        <f>#REF!</f>
        <v>#REF!</v>
      </c>
      <c r="D81" s="99"/>
      <c r="E81" s="99"/>
      <c r="F81" s="99"/>
      <c r="G81" s="99"/>
      <c r="H81" s="100"/>
      <c r="I81" s="49" t="e">
        <f ca="1">IF(D94=100%,"All work Completed. Possession granted to the Building.",IF(D93=100%,"All work Completed, Waiting for OC",I82&amp;""&amp;I83&amp;""&amp;J82&amp;""&amp;J81&amp;" "&amp;J83))</f>
        <v>#REF!</v>
      </c>
      <c r="J81" s="50" t="e">
        <f ca="1">(IF(C87=(D82+F82+H82),"",IF(C87&gt;0,", RCC upto "&amp;C87&amp;" Slab","")))&amp;(IF(C88=H82,"",IF(C88&gt;0,", Brickwork upto "&amp;C88&amp;" Floor","")))&amp;(IF(C89=H82,"",IF(C89&gt;0,", Internal Plaster upto "&amp;C89&amp;" Floor","")))&amp;(IF(C90=H82,"",IF(C90&gt;0,", External Plaster upto "&amp;C90&amp;" Floor","")))&amp;(IF(C91=H82,"",IF(C91&gt;0,", Flooring upto "&amp;C91&amp;" Floor","")))&amp;(IF(C92=H82,"",IF(C92&gt;0,", Painting upto "&amp;C92&amp;" Floor","")))&amp;(IF(C93=H82,"",IF(C93&gt;0,", Finishing upto "&amp;C93&amp;" Floor","")))&amp;(IF(C94=H82,"",IF(C94&gt;0,", Possession upto "&amp;C94&amp;" Floor","")))</f>
        <v>#REF!</v>
      </c>
    </row>
    <row r="82" spans="1:11" hidden="1" x14ac:dyDescent="0.3">
      <c r="A82" s="16" t="s">
        <v>137</v>
      </c>
      <c r="B82" s="47">
        <f>IF(AND(ISNUMBER(SEARCH("1B",C81))),1,IF(AND(ISNUMBER(SEARCH("2B",C81))),2,IF(AND(ISNUMBER(SEARCH("3B",C81))),3,IF(AND(ISNUMBER(SEARCH("4B",C81))),4,IF(ISNUMBER(SEARCH("5B",C81)),5,0)))))</f>
        <v>0</v>
      </c>
      <c r="C82" s="47" t="s">
        <v>69</v>
      </c>
      <c r="D82" s="47">
        <v>1</v>
      </c>
      <c r="E82" s="47" t="s">
        <v>68</v>
      </c>
      <c r="F82" s="14">
        <v>0</v>
      </c>
      <c r="G82" s="48" t="s">
        <v>77</v>
      </c>
      <c r="H82" s="17" t="e">
        <f ca="1">--TRIM(RIGHT(SUBSTITUTE(LEFT(C81,_xlfn.AGGREGATE(16,6,FIND({0,1,2,3,4,5,6,7,8,9},C81,ROW(INDIRECT("1:"&amp;LEN(C81)))),1))," ",REPT(" ",LEN(C81))),LEN(C81)))</f>
        <v>#REF!</v>
      </c>
      <c r="I82" s="51" t="e">
        <f ca="1">IF(D85=100%,"Excavation","")&amp;IF(D86=100%,", Plinth","")&amp;IF(D87=100%,", RCC Slab","")&amp;IF(D88=100%,", Brickwork","")&amp;IF(D89=100%,", Internal Plaster","")&amp;IF(D90=100%,", External Plaster","")&amp;IF(D91=100%,", Flooring","")&amp;IF(D92=100%,", Painting","")&amp;IF(D93=100%,", Building common Amenities","")</f>
        <v>#REF!</v>
      </c>
      <c r="J82" s="52" t="e">
        <f ca="1">(IF(C85=0,"Work not yet Started.",IF(D85=25%,"Piling work in process",IF(D85=50%,"Excavation work in process",IF(D85=100%,"","0")))))&amp;(IF(C86=0%,"",IF(C86=J87,", Footing work is process",IF(C86=J88,", Footing work Completed",IF(C86=J89,", 1st Basement Completed",IF(C86=J90,", 1st &amp; 2nd Basement Completed",IF(C86=J91,", 1st to 3rd Basement Completed",IF(C86=J92,", 1st to 4th Basement Completed",IF(C86=J93,", Plinth work is process",IF(C86=J94,"","0"))))))))))</f>
        <v>#REF!</v>
      </c>
    </row>
    <row r="83" spans="1:11" ht="33.75" hidden="1" customHeight="1" x14ac:dyDescent="0.3">
      <c r="A83" s="195" t="s">
        <v>87</v>
      </c>
      <c r="B83" s="156"/>
      <c r="C83" s="155" t="e">
        <f ca="1">(IF($G$54="NA",I81,"All work Completed. OC Received."))</f>
        <v>#REF!</v>
      </c>
      <c r="D83" s="155"/>
      <c r="E83" s="155"/>
      <c r="F83" s="155"/>
      <c r="G83" s="155"/>
      <c r="H83" s="196"/>
      <c r="I83" s="51" t="e">
        <f ca="1">IF(I82&lt;&gt;""," Completed","")</f>
        <v>#REF!</v>
      </c>
      <c r="J83" s="52" t="e">
        <f ca="1">IF(J81&lt;&gt;"","Completed","")</f>
        <v>#REF!</v>
      </c>
    </row>
    <row r="84" spans="1:11" ht="15.75" hidden="1" customHeight="1" x14ac:dyDescent="0.3">
      <c r="A84" s="83" t="s">
        <v>47</v>
      </c>
      <c r="B84" s="84"/>
      <c r="C84" s="43" t="s">
        <v>134</v>
      </c>
      <c r="D84" s="43" t="s">
        <v>80</v>
      </c>
      <c r="E84" s="84" t="s">
        <v>82</v>
      </c>
      <c r="F84" s="84"/>
      <c r="G84" s="84" t="s">
        <v>81</v>
      </c>
      <c r="H84" s="101"/>
      <c r="I84" s="13" t="s">
        <v>136</v>
      </c>
      <c r="J84" s="28" t="e">
        <f ca="1">H82*25%</f>
        <v>#REF!</v>
      </c>
    </row>
    <row r="85" spans="1:11" hidden="1" x14ac:dyDescent="0.3">
      <c r="A85" s="83" t="s">
        <v>123</v>
      </c>
      <c r="B85" s="84"/>
      <c r="C85" s="43" t="e">
        <f ca="1">J86</f>
        <v>#REF!</v>
      </c>
      <c r="D85" s="19" t="e">
        <f ca="1">((100/H82)*C85)/100</f>
        <v>#REF!</v>
      </c>
      <c r="E85" s="102" t="e">
        <f ca="1">(((C86/H82*10)+(40/(D82+F82+H82)*C87)+(7.5/(H82)*C88)+(7.5/(H82)*C89)+(10/H82*C90)+(10/H82*C91)+(5/H82*C92)+(5/H82*C93)+(5/H82*C94))/100)</f>
        <v>#REF!</v>
      </c>
      <c r="F85" s="103"/>
      <c r="G85" s="102" t="e">
        <f ca="1">((((C85/H82)*20)+((C86/H82)*25)+(30/(H82+F82+D82)*C87)+(5/H82*C88)+(5/H82*C89)+(5/H82*C90)+(5/H82*C91)+(0/H82*C92)+(0/H82*C93)+(5/H82*C94))/100)</f>
        <v>#REF!</v>
      </c>
      <c r="H85" s="184"/>
      <c r="I85" s="13" t="s">
        <v>97</v>
      </c>
      <c r="J85" s="29" t="e">
        <f ca="1">H82*50%</f>
        <v>#REF!</v>
      </c>
    </row>
    <row r="86" spans="1:11" hidden="1" x14ac:dyDescent="0.3">
      <c r="A86" s="83" t="s">
        <v>48</v>
      </c>
      <c r="B86" s="84"/>
      <c r="C86" s="53">
        <v>20</v>
      </c>
      <c r="D86" s="19" t="e">
        <f ca="1">((100/H82)*C86)/100</f>
        <v>#REF!</v>
      </c>
      <c r="E86" s="104"/>
      <c r="F86" s="105"/>
      <c r="G86" s="104"/>
      <c r="H86" s="185"/>
      <c r="I86" s="13" t="s">
        <v>98</v>
      </c>
      <c r="J86" s="29" t="e">
        <f ca="1">H82</f>
        <v>#REF!</v>
      </c>
    </row>
    <row r="87" spans="1:11" ht="15.75" hidden="1" customHeight="1" x14ac:dyDescent="0.3">
      <c r="A87" s="83" t="s">
        <v>124</v>
      </c>
      <c r="B87" s="84"/>
      <c r="C87" s="43">
        <v>0</v>
      </c>
      <c r="D87" s="19" t="e">
        <f ca="1">((100/(D82+F82+H82))*C87)/100</f>
        <v>#REF!</v>
      </c>
      <c r="E87" s="104"/>
      <c r="F87" s="105"/>
      <c r="G87" s="104"/>
      <c r="H87" s="185"/>
      <c r="I87" s="13" t="s">
        <v>99</v>
      </c>
      <c r="J87" s="30" t="e">
        <f ca="1">(IF(B82&gt;1,(H82/(B82+2)),H82/4))</f>
        <v>#REF!</v>
      </c>
    </row>
    <row r="88" spans="1:11" ht="15.75" hidden="1" customHeight="1" x14ac:dyDescent="0.3">
      <c r="A88" s="83" t="s">
        <v>131</v>
      </c>
      <c r="B88" s="84" t="s">
        <v>125</v>
      </c>
      <c r="C88" s="43">
        <v>0</v>
      </c>
      <c r="D88" s="19" t="e">
        <f ca="1">((100/H82)*C88)/100</f>
        <v>#REF!</v>
      </c>
      <c r="E88" s="104"/>
      <c r="F88" s="105"/>
      <c r="G88" s="104"/>
      <c r="H88" s="185"/>
      <c r="I88" s="13" t="s">
        <v>100</v>
      </c>
      <c r="J88" s="30" t="e">
        <f ca="1">(IF(B82&gt;1,(H82/(B82+2)+J87),H82/4+J87))</f>
        <v>#REF!</v>
      </c>
    </row>
    <row r="89" spans="1:11" ht="15.75" hidden="1" customHeight="1" x14ac:dyDescent="0.3">
      <c r="A89" s="83" t="s">
        <v>132</v>
      </c>
      <c r="B89" s="84" t="s">
        <v>125</v>
      </c>
      <c r="C89" s="43">
        <v>0</v>
      </c>
      <c r="D89" s="19" t="e">
        <f ca="1">((100/H82)*C89)/100</f>
        <v>#REF!</v>
      </c>
      <c r="E89" s="104"/>
      <c r="F89" s="105"/>
      <c r="G89" s="104"/>
      <c r="H89" s="185"/>
      <c r="I89" s="13" t="s">
        <v>141</v>
      </c>
      <c r="J89" s="30">
        <f>(IF(B82&gt;1,(H82/(B82+2)+J88),0))</f>
        <v>0</v>
      </c>
    </row>
    <row r="90" spans="1:11" ht="15" hidden="1" customHeight="1" x14ac:dyDescent="0.3">
      <c r="A90" s="83" t="s">
        <v>130</v>
      </c>
      <c r="B90" s="84" t="s">
        <v>127</v>
      </c>
      <c r="C90" s="43">
        <v>0</v>
      </c>
      <c r="D90" s="19" t="e">
        <f ca="1">((100/(H82))*C90)/100</f>
        <v>#REF!</v>
      </c>
      <c r="E90" s="104"/>
      <c r="F90" s="105"/>
      <c r="G90" s="104"/>
      <c r="H90" s="185"/>
      <c r="I90" s="13" t="s">
        <v>138</v>
      </c>
      <c r="J90" s="30">
        <f>(IF(B82&gt;2,(H82/(B82+2)+J89),0))</f>
        <v>0</v>
      </c>
    </row>
    <row r="91" spans="1:11" ht="15.75" hidden="1" customHeight="1" x14ac:dyDescent="0.3">
      <c r="A91" s="83" t="s">
        <v>126</v>
      </c>
      <c r="B91" s="84" t="s">
        <v>126</v>
      </c>
      <c r="C91" s="43">
        <v>0</v>
      </c>
      <c r="D91" s="19" t="e">
        <f ca="1">((100/H82)*C91)/100</f>
        <v>#REF!</v>
      </c>
      <c r="E91" s="104"/>
      <c r="F91" s="105"/>
      <c r="G91" s="104"/>
      <c r="H91" s="185"/>
      <c r="I91" s="13" t="s">
        <v>139</v>
      </c>
      <c r="J91" s="31">
        <f>(IF(B82&gt;3,(H82/(B82+2)+J90),0))</f>
        <v>0</v>
      </c>
    </row>
    <row r="92" spans="1:11" ht="15.75" hidden="1" customHeight="1" x14ac:dyDescent="0.3">
      <c r="A92" s="83" t="s">
        <v>133</v>
      </c>
      <c r="B92" s="84"/>
      <c r="C92" s="43">
        <v>0</v>
      </c>
      <c r="D92" s="19" t="e">
        <f ca="1">((100/H82)*C92)/100</f>
        <v>#REF!</v>
      </c>
      <c r="E92" s="104"/>
      <c r="F92" s="105"/>
      <c r="G92" s="104"/>
      <c r="H92" s="185"/>
      <c r="I92" s="13" t="s">
        <v>140</v>
      </c>
      <c r="J92" s="30">
        <f>(IF(B82&gt;4,(H82/(B82+2)+J91),0))</f>
        <v>0</v>
      </c>
    </row>
    <row r="93" spans="1:11" ht="15.75" hidden="1" customHeight="1" x14ac:dyDescent="0.3">
      <c r="A93" s="83" t="s">
        <v>128</v>
      </c>
      <c r="B93" s="84" t="s">
        <v>128</v>
      </c>
      <c r="C93" s="43">
        <v>0</v>
      </c>
      <c r="D93" s="19" t="e">
        <f ca="1">((100/(H82))*C93)/100</f>
        <v>#REF!</v>
      </c>
      <c r="E93" s="104"/>
      <c r="F93" s="105"/>
      <c r="G93" s="104"/>
      <c r="H93" s="185"/>
      <c r="I93" s="13" t="s">
        <v>142</v>
      </c>
      <c r="J93" s="30" t="e">
        <f ca="1">(IF(B82=1,(H82/(B82+3)+J88),IF(B82=0,(H82/4+J88),IF(B82&gt;1,0))))</f>
        <v>#REF!</v>
      </c>
    </row>
    <row r="94" spans="1:11" ht="16.2" hidden="1" thickBot="1" x14ac:dyDescent="0.35">
      <c r="A94" s="81" t="s">
        <v>129</v>
      </c>
      <c r="B94" s="82"/>
      <c r="C94" s="44">
        <v>0</v>
      </c>
      <c r="D94" s="20" t="e">
        <f ca="1">((100/(H82))*C94)/100</f>
        <v>#REF!</v>
      </c>
      <c r="E94" s="106"/>
      <c r="F94" s="107"/>
      <c r="G94" s="106"/>
      <c r="H94" s="186"/>
      <c r="I94" s="15" t="s">
        <v>101</v>
      </c>
      <c r="J94" s="32" t="e">
        <f ca="1">(IF(B82&gt;1.5,(H82/(B82+2)+J88+MAX(0,J89-J88)+MAX(0,J90-J89)+MAX(0,J91-J90)+MAX(0,J92-J91)+MAX(0,J93-J92)),IF(B82=1,(H82/(B82+3)+J93),IF(B82=0,H82/4+J93))))</f>
        <v>#REF!</v>
      </c>
    </row>
    <row r="95" spans="1:11" x14ac:dyDescent="0.3">
      <c r="A95" s="194" t="s">
        <v>152</v>
      </c>
      <c r="B95" s="194"/>
      <c r="C95" s="194"/>
      <c r="D95" s="194"/>
      <c r="E95" s="194"/>
      <c r="F95" s="204" t="s">
        <v>156</v>
      </c>
      <c r="G95" s="204"/>
      <c r="H95" s="204"/>
    </row>
    <row r="96" spans="1:11" x14ac:dyDescent="0.3">
      <c r="A96" s="85" t="s">
        <v>154</v>
      </c>
      <c r="B96" s="85"/>
      <c r="C96" s="85"/>
      <c r="D96" s="85"/>
      <c r="E96" s="85"/>
      <c r="F96" s="80">
        <v>5700</v>
      </c>
      <c r="G96" s="80"/>
      <c r="H96" s="80"/>
      <c r="I96" s="21" t="s">
        <v>319</v>
      </c>
      <c r="J96" s="21" t="s">
        <v>320</v>
      </c>
      <c r="K96" s="25">
        <v>45316</v>
      </c>
    </row>
    <row r="97" spans="1:8" x14ac:dyDescent="0.3">
      <c r="A97" s="85" t="s">
        <v>153</v>
      </c>
      <c r="B97" s="85"/>
      <c r="C97" s="85"/>
      <c r="D97" s="85"/>
      <c r="E97" s="85"/>
      <c r="F97" s="80">
        <v>9000</v>
      </c>
      <c r="G97" s="80"/>
      <c r="H97" s="80"/>
    </row>
    <row r="98" spans="1:8" hidden="1" x14ac:dyDescent="0.3">
      <c r="A98" s="85" t="s">
        <v>155</v>
      </c>
      <c r="B98" s="85"/>
      <c r="C98" s="85"/>
      <c r="D98" s="85"/>
      <c r="E98" s="85"/>
      <c r="F98" s="80"/>
      <c r="G98" s="80"/>
      <c r="H98" s="80"/>
    </row>
    <row r="99" spans="1:8" s="33" customFormat="1" hidden="1" x14ac:dyDescent="0.25">
      <c r="A99" s="85" t="s">
        <v>171</v>
      </c>
      <c r="B99" s="85"/>
      <c r="C99" s="85"/>
      <c r="D99" s="85"/>
      <c r="E99" s="85"/>
      <c r="F99" s="80"/>
      <c r="G99" s="80"/>
      <c r="H99" s="80"/>
    </row>
    <row r="100" spans="1:8" s="33" customFormat="1" x14ac:dyDescent="0.25">
      <c r="A100" s="85" t="s">
        <v>92</v>
      </c>
      <c r="B100" s="85"/>
      <c r="C100" s="85"/>
      <c r="D100" s="85"/>
      <c r="E100" s="85"/>
      <c r="F100" s="80">
        <v>200000</v>
      </c>
      <c r="G100" s="80"/>
      <c r="H100" s="80"/>
    </row>
    <row r="101" spans="1:8" s="33" customFormat="1" hidden="1" x14ac:dyDescent="0.25">
      <c r="A101" s="85" t="s">
        <v>93</v>
      </c>
      <c r="B101" s="85"/>
      <c r="C101" s="85"/>
      <c r="D101" s="85"/>
      <c r="E101" s="85"/>
      <c r="F101" s="80"/>
      <c r="G101" s="80"/>
      <c r="H101" s="80"/>
    </row>
    <row r="102" spans="1:8" s="33" customFormat="1" hidden="1" x14ac:dyDescent="0.25">
      <c r="A102" s="85" t="s">
        <v>94</v>
      </c>
      <c r="B102" s="85"/>
      <c r="C102" s="85"/>
      <c r="D102" s="85"/>
      <c r="E102" s="85"/>
      <c r="F102" s="80"/>
      <c r="G102" s="80"/>
      <c r="H102" s="80"/>
    </row>
    <row r="103" spans="1:8" s="33" customFormat="1" hidden="1" x14ac:dyDescent="0.25">
      <c r="A103" s="85" t="s">
        <v>95</v>
      </c>
      <c r="B103" s="85"/>
      <c r="C103" s="85"/>
      <c r="D103" s="85"/>
      <c r="E103" s="85"/>
      <c r="F103" s="80"/>
      <c r="G103" s="80"/>
      <c r="H103" s="80"/>
    </row>
    <row r="104" spans="1:8" s="33" customFormat="1" x14ac:dyDescent="0.25">
      <c r="A104" s="85" t="s">
        <v>96</v>
      </c>
      <c r="B104" s="85"/>
      <c r="C104" s="85"/>
      <c r="D104" s="85"/>
      <c r="E104" s="85"/>
      <c r="F104" s="80">
        <v>50000</v>
      </c>
      <c r="G104" s="80"/>
      <c r="H104" s="80"/>
    </row>
    <row r="105" spans="1:8" x14ac:dyDescent="0.3">
      <c r="A105" s="85" t="s">
        <v>49</v>
      </c>
      <c r="B105" s="85"/>
      <c r="C105" s="85"/>
      <c r="D105" s="85"/>
      <c r="E105" s="85"/>
      <c r="F105" s="80">
        <v>250000</v>
      </c>
      <c r="G105" s="80"/>
      <c r="H105" s="80"/>
    </row>
    <row r="106" spans="1:8" s="34" customFormat="1" x14ac:dyDescent="0.3">
      <c r="A106" s="151" t="s">
        <v>50</v>
      </c>
      <c r="B106" s="151"/>
      <c r="C106" s="151"/>
      <c r="D106" s="151"/>
      <c r="E106" s="151"/>
      <c r="F106" s="80">
        <f>F96*0.8</f>
        <v>4560</v>
      </c>
      <c r="G106" s="80"/>
      <c r="H106" s="80"/>
    </row>
    <row r="107" spans="1:8" s="35" customFormat="1" ht="15.75" customHeight="1" x14ac:dyDescent="0.3">
      <c r="A107" s="150" t="s">
        <v>72</v>
      </c>
      <c r="B107" s="150"/>
      <c r="C107" s="150"/>
      <c r="D107" s="150"/>
      <c r="E107" s="150"/>
      <c r="F107" s="150"/>
      <c r="G107" s="150"/>
      <c r="H107" s="150"/>
    </row>
    <row r="108" spans="1:8" s="35" customFormat="1" ht="15.75" customHeight="1" x14ac:dyDescent="0.3">
      <c r="A108" s="110" t="s">
        <v>51</v>
      </c>
      <c r="B108" s="110"/>
      <c r="C108" s="115" t="s">
        <v>75</v>
      </c>
      <c r="D108" s="115"/>
      <c r="E108" s="123" t="s">
        <v>52</v>
      </c>
      <c r="F108" s="123"/>
      <c r="G108" s="110" t="s">
        <v>53</v>
      </c>
      <c r="H108" s="110"/>
    </row>
    <row r="109" spans="1:8" s="35" customFormat="1" x14ac:dyDescent="0.3">
      <c r="A109" s="152" t="s">
        <v>316</v>
      </c>
      <c r="B109" s="152"/>
      <c r="C109" s="188">
        <f>COUNT(F121:F124)</f>
        <v>4</v>
      </c>
      <c r="D109" s="176"/>
      <c r="E109" s="113">
        <f>SUM(F121:F124)</f>
        <v>899.33220000000006</v>
      </c>
      <c r="F109" s="114"/>
      <c r="G109" s="113">
        <f>SUM(H121:H124)</f>
        <v>1438.9315200000001</v>
      </c>
      <c r="H109" s="114"/>
    </row>
    <row r="110" spans="1:8" s="35" customFormat="1" hidden="1" x14ac:dyDescent="0.3">
      <c r="A110" s="150" t="s">
        <v>145</v>
      </c>
      <c r="B110" s="150"/>
      <c r="C110" s="202">
        <f t="shared" ref="C110:G110" si="0">SUM(C109)</f>
        <v>4</v>
      </c>
      <c r="D110" s="115"/>
      <c r="E110" s="203">
        <f t="shared" si="0"/>
        <v>899.33220000000006</v>
      </c>
      <c r="F110" s="123"/>
      <c r="G110" s="110">
        <f t="shared" si="0"/>
        <v>1438.9315200000001</v>
      </c>
      <c r="H110" s="110"/>
    </row>
    <row r="111" spans="1:8" s="35" customFormat="1" x14ac:dyDescent="0.3">
      <c r="A111" s="150" t="s">
        <v>67</v>
      </c>
      <c r="B111" s="150"/>
      <c r="C111" s="150"/>
      <c r="D111" s="150"/>
      <c r="E111" s="150"/>
      <c r="F111" s="150"/>
      <c r="G111" s="150"/>
      <c r="H111" s="150"/>
    </row>
    <row r="112" spans="1:8" s="35" customFormat="1" ht="15.75" customHeight="1" x14ac:dyDescent="0.3">
      <c r="A112" s="110" t="s">
        <v>51</v>
      </c>
      <c r="B112" s="110"/>
      <c r="C112" s="115" t="s">
        <v>75</v>
      </c>
      <c r="D112" s="115"/>
      <c r="E112" s="123" t="s">
        <v>52</v>
      </c>
      <c r="F112" s="123"/>
      <c r="G112" s="110" t="s">
        <v>53</v>
      </c>
      <c r="H112" s="110"/>
    </row>
    <row r="113" spans="1:14" s="35" customFormat="1" ht="16.2" thickBot="1" x14ac:dyDescent="0.35">
      <c r="A113" s="152" t="s">
        <v>313</v>
      </c>
      <c r="B113" s="152"/>
      <c r="C113" s="176">
        <f>COUNT(F129:F134)+COUNT(F136:F141)*3+COUNT(F143:F148)+COUNT(F150:F155)</f>
        <v>36</v>
      </c>
      <c r="D113" s="176"/>
      <c r="E113" s="113">
        <f>SUM(F129:F134)+SUM(F136:F141)*3+SUM(F143:F148)+SUM(F150:F155)</f>
        <v>13292.51742</v>
      </c>
      <c r="F113" s="113"/>
      <c r="G113" s="113">
        <f>SUM(H129:H134)+SUM(H136:H141)*3+SUM(H143:H148)+SUM(H150:H155)</f>
        <v>20464.812809999999</v>
      </c>
      <c r="H113" s="113"/>
    </row>
    <row r="114" spans="1:14" s="35" customFormat="1" ht="16.2" hidden="1" thickBot="1" x14ac:dyDescent="0.35">
      <c r="A114" s="205" t="s">
        <v>145</v>
      </c>
      <c r="B114" s="205"/>
      <c r="C114" s="116">
        <f t="shared" ref="C114:G114" si="1">SUM(C113)</f>
        <v>36</v>
      </c>
      <c r="D114" s="116"/>
      <c r="E114" s="200">
        <f t="shared" si="1"/>
        <v>13292.51742</v>
      </c>
      <c r="F114" s="200"/>
      <c r="G114" s="201">
        <f t="shared" si="1"/>
        <v>20464.812809999999</v>
      </c>
      <c r="H114" s="201"/>
    </row>
    <row r="115" spans="1:14" s="35" customFormat="1" ht="16.2" thickBot="1" x14ac:dyDescent="0.35">
      <c r="A115" s="124" t="s">
        <v>162</v>
      </c>
      <c r="B115" s="125"/>
      <c r="C115" s="126">
        <f>C110+C114</f>
        <v>40</v>
      </c>
      <c r="D115" s="126"/>
      <c r="E115" s="127">
        <f>E110+E114</f>
        <v>14191.849620000001</v>
      </c>
      <c r="F115" s="127"/>
      <c r="G115" s="189">
        <f>G110+G114</f>
        <v>21903.744330000001</v>
      </c>
      <c r="H115" s="190"/>
    </row>
    <row r="116" spans="1:14" s="34" customFormat="1" x14ac:dyDescent="0.3">
      <c r="A116" s="140" t="s">
        <v>54</v>
      </c>
      <c r="B116" s="140"/>
      <c r="C116" s="140"/>
      <c r="D116" s="140"/>
      <c r="E116" s="140"/>
      <c r="F116" s="140"/>
      <c r="G116" s="140"/>
      <c r="H116" s="140"/>
    </row>
    <row r="117" spans="1:14" x14ac:dyDescent="0.3">
      <c r="A117" s="122" t="s">
        <v>170</v>
      </c>
      <c r="B117" s="122"/>
      <c r="C117" s="122"/>
      <c r="D117" s="122"/>
      <c r="E117" s="122"/>
      <c r="F117" s="122"/>
      <c r="G117" s="122"/>
      <c r="H117" s="122"/>
    </row>
    <row r="118" spans="1:14" ht="47.25" customHeight="1" x14ac:dyDescent="0.3">
      <c r="A118" s="111" t="s">
        <v>305</v>
      </c>
      <c r="B118" s="111" t="s">
        <v>172</v>
      </c>
      <c r="C118" s="111" t="s">
        <v>55</v>
      </c>
      <c r="D118" s="111" t="s">
        <v>228</v>
      </c>
      <c r="E118" s="177" t="s">
        <v>151</v>
      </c>
      <c r="F118" s="111" t="s">
        <v>56</v>
      </c>
      <c r="G118" s="177" t="s">
        <v>57</v>
      </c>
      <c r="H118" s="61" t="s">
        <v>144</v>
      </c>
    </row>
    <row r="119" spans="1:14" s="37" customFormat="1" x14ac:dyDescent="0.3">
      <c r="A119" s="112"/>
      <c r="B119" s="112"/>
      <c r="C119" s="112"/>
      <c r="D119" s="112"/>
      <c r="E119" s="178"/>
      <c r="F119" s="112"/>
      <c r="G119" s="178"/>
      <c r="H119" s="62">
        <v>0.6</v>
      </c>
    </row>
    <row r="120" spans="1:14" s="37" customFormat="1" x14ac:dyDescent="0.3">
      <c r="A120" s="117" t="s">
        <v>302</v>
      </c>
      <c r="B120" s="118"/>
      <c r="C120" s="118"/>
      <c r="D120" s="118"/>
      <c r="E120" s="118"/>
      <c r="F120" s="118"/>
      <c r="G120" s="118"/>
      <c r="H120" s="119"/>
      <c r="J120" s="36"/>
    </row>
    <row r="121" spans="1:14" s="37" customFormat="1" ht="15.75" customHeight="1" x14ac:dyDescent="0.3">
      <c r="A121" s="120">
        <v>1</v>
      </c>
      <c r="B121" s="121"/>
      <c r="C121" s="63" t="s">
        <v>303</v>
      </c>
      <c r="D121" s="67">
        <f>(19.73)*10.764</f>
        <v>212.37371999999999</v>
      </c>
      <c r="E121" s="63">
        <v>0</v>
      </c>
      <c r="F121" s="63">
        <f>D121+E121</f>
        <v>212.37371999999999</v>
      </c>
      <c r="G121" s="63">
        <v>0</v>
      </c>
      <c r="H121" s="63">
        <f>(D121+E121)*(($H$119)+1)</f>
        <v>339.79795200000001</v>
      </c>
      <c r="I121" s="60">
        <f>2.45*8.03</f>
        <v>19.673500000000001</v>
      </c>
      <c r="L121" s="175"/>
      <c r="M121" s="175"/>
      <c r="N121" s="36"/>
    </row>
    <row r="122" spans="1:14" s="37" customFormat="1" ht="15.75" customHeight="1" x14ac:dyDescent="0.3">
      <c r="A122" s="120">
        <f>A121+1</f>
        <v>2</v>
      </c>
      <c r="B122" s="121"/>
      <c r="C122" s="63" t="s">
        <v>303</v>
      </c>
      <c r="D122" s="67">
        <f>(21.68)*10.764</f>
        <v>233.36351999999999</v>
      </c>
      <c r="E122" s="63">
        <v>0</v>
      </c>
      <c r="F122" s="63">
        <f>D122+E122</f>
        <v>233.36351999999999</v>
      </c>
      <c r="G122" s="63">
        <v>0</v>
      </c>
      <c r="H122" s="63">
        <f>(D122+E122)*(($H$119)+1)</f>
        <v>373.38163200000002</v>
      </c>
      <c r="I122" s="36">
        <f>2.7*8.03</f>
        <v>21.681000000000001</v>
      </c>
      <c r="L122" s="175"/>
      <c r="M122" s="175"/>
      <c r="N122" s="36"/>
    </row>
    <row r="123" spans="1:14" s="37" customFormat="1" ht="15.75" customHeight="1" x14ac:dyDescent="0.3">
      <c r="A123" s="120">
        <f>A122+1</f>
        <v>3</v>
      </c>
      <c r="B123" s="121"/>
      <c r="C123" s="63" t="s">
        <v>303</v>
      </c>
      <c r="D123" s="67">
        <f>(21.68)*10.764</f>
        <v>233.36351999999999</v>
      </c>
      <c r="E123" s="63">
        <v>0</v>
      </c>
      <c r="F123" s="63">
        <f>D123+E123</f>
        <v>233.36351999999999</v>
      </c>
      <c r="G123" s="63">
        <v>0</v>
      </c>
      <c r="H123" s="63">
        <f>(D123+E123)*(($H$119)+1)</f>
        <v>373.38163200000002</v>
      </c>
      <c r="I123" s="36"/>
      <c r="L123" s="175"/>
      <c r="M123" s="175"/>
      <c r="N123" s="36"/>
    </row>
    <row r="124" spans="1:14" s="37" customFormat="1" ht="15.75" customHeight="1" x14ac:dyDescent="0.3">
      <c r="A124" s="120">
        <f>A123+1</f>
        <v>4</v>
      </c>
      <c r="B124" s="121"/>
      <c r="C124" s="63" t="s">
        <v>303</v>
      </c>
      <c r="D124" s="67">
        <f>(20.46)*10.764</f>
        <v>220.23143999999999</v>
      </c>
      <c r="E124" s="63">
        <v>0</v>
      </c>
      <c r="F124" s="63">
        <f>D124+E124</f>
        <v>220.23143999999999</v>
      </c>
      <c r="G124" s="63">
        <v>0</v>
      </c>
      <c r="H124" s="63">
        <f>(D124+E124)*(($H$119)+1)</f>
        <v>352.37030400000003</v>
      </c>
      <c r="I124" s="36"/>
      <c r="L124" s="175"/>
      <c r="M124" s="175"/>
      <c r="N124" s="36"/>
    </row>
    <row r="125" spans="1:14" s="37" customFormat="1" x14ac:dyDescent="0.3">
      <c r="A125" s="120"/>
      <c r="B125" s="139"/>
      <c r="C125" s="139"/>
      <c r="D125" s="139"/>
      <c r="E125" s="139"/>
      <c r="F125" s="139"/>
      <c r="G125" s="139"/>
      <c r="H125" s="121"/>
      <c r="I125" s="36"/>
      <c r="N125" s="36"/>
    </row>
    <row r="126" spans="1:14" ht="47.25" customHeight="1" x14ac:dyDescent="0.3">
      <c r="A126" s="141" t="s">
        <v>306</v>
      </c>
      <c r="B126" s="111" t="s">
        <v>173</v>
      </c>
      <c r="C126" s="111" t="s">
        <v>55</v>
      </c>
      <c r="D126" s="111" t="s">
        <v>228</v>
      </c>
      <c r="E126" s="111" t="s">
        <v>227</v>
      </c>
      <c r="F126" s="111" t="s">
        <v>56</v>
      </c>
      <c r="G126" s="177" t="s">
        <v>57</v>
      </c>
      <c r="H126" s="61" t="s">
        <v>144</v>
      </c>
      <c r="I126" s="36"/>
    </row>
    <row r="127" spans="1:14" s="37" customFormat="1" x14ac:dyDescent="0.3">
      <c r="A127" s="142"/>
      <c r="B127" s="112"/>
      <c r="C127" s="112"/>
      <c r="D127" s="112"/>
      <c r="E127" s="112"/>
      <c r="F127" s="112"/>
      <c r="G127" s="178"/>
      <c r="H127" s="62">
        <v>0.5</v>
      </c>
      <c r="I127" s="67">
        <v>10.763999999999999</v>
      </c>
    </row>
    <row r="128" spans="1:14" s="37" customFormat="1" x14ac:dyDescent="0.3">
      <c r="A128" s="117" t="s">
        <v>304</v>
      </c>
      <c r="B128" s="118"/>
      <c r="C128" s="118"/>
      <c r="D128" s="118"/>
      <c r="E128" s="118"/>
      <c r="F128" s="118"/>
      <c r="G128" s="118"/>
      <c r="H128" s="119"/>
      <c r="J128" s="36"/>
    </row>
    <row r="129" spans="1:14" s="37" customFormat="1" ht="15.75" customHeight="1" x14ac:dyDescent="0.3">
      <c r="A129" s="120">
        <v>1</v>
      </c>
      <c r="B129" s="121"/>
      <c r="C129" s="63" t="s">
        <v>307</v>
      </c>
      <c r="D129" s="67">
        <f>(29.97)*10.764</f>
        <v>322.59707999999995</v>
      </c>
      <c r="E129" s="63">
        <f>2.7*0.75*10.764</f>
        <v>21.797100000000004</v>
      </c>
      <c r="F129" s="63">
        <f t="shared" ref="F129:F134" si="2">D129+E129</f>
        <v>344.39417999999995</v>
      </c>
      <c r="G129" s="67">
        <f>(2.7*1+2.2*2+1.4*0.9+0.2*1.4)*10.764</f>
        <v>93.000960000000006</v>
      </c>
      <c r="H129" s="63">
        <f>F129*(($H$127)+1)+(IF(G129&lt;101,G129,IF(G129&lt;201,G129/2,IF(G129&lt;=301,G129/3,G129/4))))</f>
        <v>609.59222999999986</v>
      </c>
      <c r="I129" s="36">
        <f>2.7*4.25+1*1.2+2*2.2+2.7*3+1.2*1.5+0.95*1.2+0.75*1.1</f>
        <v>28.940000000000005</v>
      </c>
      <c r="K129" s="37">
        <f>585/(F129+G129)</f>
        <v>1.3374634203754527</v>
      </c>
      <c r="L129" s="175"/>
      <c r="M129" s="175"/>
      <c r="N129" s="36"/>
    </row>
    <row r="130" spans="1:14" s="37" customFormat="1" ht="15.75" customHeight="1" x14ac:dyDescent="0.3">
      <c r="A130" s="134">
        <f>A129+1</f>
        <v>2</v>
      </c>
      <c r="B130" s="135"/>
      <c r="C130" s="63" t="s">
        <v>307</v>
      </c>
      <c r="D130" s="67">
        <f>(29.97)*10.764</f>
        <v>322.59707999999995</v>
      </c>
      <c r="E130" s="63">
        <f>2.7*0.75*10.764</f>
        <v>21.797100000000004</v>
      </c>
      <c r="F130" s="42">
        <f t="shared" si="2"/>
        <v>344.39417999999995</v>
      </c>
      <c r="G130" s="67">
        <f>(2.7*1+1.4*0.9+1.9*2.1+1.1*0.4)*10.764</f>
        <v>90.309959999999975</v>
      </c>
      <c r="H130" s="42">
        <f t="shared" ref="H130:H134" si="3">F130*(($H$127)+1)+(IF(G130&lt;101,G130,IF(G130&lt;201,G130/2,IF(G130&lt;=301,G130/3,G130/4))))</f>
        <v>606.90122999999983</v>
      </c>
      <c r="I130" s="36"/>
      <c r="J130" s="36">
        <f>F129+G129</f>
        <v>437.39513999999997</v>
      </c>
      <c r="K130" s="37">
        <f>585/J130</f>
        <v>1.3374634203754527</v>
      </c>
      <c r="L130" s="175"/>
      <c r="M130" s="175"/>
      <c r="N130" s="36"/>
    </row>
    <row r="131" spans="1:14" s="37" customFormat="1" ht="15.75" customHeight="1" x14ac:dyDescent="0.3">
      <c r="A131" s="134">
        <f>A130+1</f>
        <v>3</v>
      </c>
      <c r="B131" s="135"/>
      <c r="C131" s="63" t="s">
        <v>307</v>
      </c>
      <c r="D131" s="67">
        <f>(29.44)*10.764</f>
        <v>316.89215999999999</v>
      </c>
      <c r="E131" s="42">
        <f>((1.8+2.7+2.7)*0.75)*10.764</f>
        <v>58.125599999999999</v>
      </c>
      <c r="F131" s="42">
        <f t="shared" si="2"/>
        <v>375.01776000000001</v>
      </c>
      <c r="G131" s="67">
        <v>0</v>
      </c>
      <c r="H131" s="42">
        <f t="shared" si="3"/>
        <v>562.52664000000004</v>
      </c>
      <c r="I131" s="36">
        <f>4.15*2.7+3.05*2.7+2.2*1.5+1.2*0.7+1.5*1.2+0.9*1.4+0.9*1.1</f>
        <v>27.630000000000003</v>
      </c>
      <c r="K131" s="37">
        <f>615/F131</f>
        <v>1.639922333278296</v>
      </c>
      <c r="L131" s="175">
        <f>3300000/H131</f>
        <v>5866.3888344914649</v>
      </c>
      <c r="M131" s="175"/>
      <c r="N131" s="36"/>
    </row>
    <row r="132" spans="1:14" s="37" customFormat="1" ht="15.75" customHeight="1" x14ac:dyDescent="0.3">
      <c r="A132" s="134">
        <f>A131+1</f>
        <v>4</v>
      </c>
      <c r="B132" s="135"/>
      <c r="C132" s="63" t="s">
        <v>307</v>
      </c>
      <c r="D132" s="67">
        <f>(29.97)*10.764</f>
        <v>322.59707999999995</v>
      </c>
      <c r="E132" s="42">
        <f>((2.07+2.7+2.7)*0.75)*10.764</f>
        <v>60.305309999999999</v>
      </c>
      <c r="F132" s="42">
        <f t="shared" si="2"/>
        <v>382.90238999999997</v>
      </c>
      <c r="G132" s="67">
        <v>0</v>
      </c>
      <c r="H132" s="42">
        <f t="shared" si="3"/>
        <v>574.35358499999995</v>
      </c>
      <c r="I132" s="36"/>
      <c r="K132" s="37" t="s">
        <v>317</v>
      </c>
      <c r="L132" s="175">
        <f>4500000/672</f>
        <v>6696.4285714285716</v>
      </c>
      <c r="M132" s="175"/>
      <c r="N132" s="36"/>
    </row>
    <row r="133" spans="1:14" s="37" customFormat="1" x14ac:dyDescent="0.3">
      <c r="A133" s="134">
        <f>A132+1</f>
        <v>5</v>
      </c>
      <c r="B133" s="135"/>
      <c r="C133" s="63" t="s">
        <v>307</v>
      </c>
      <c r="D133" s="67">
        <f>(29.97)*10.764</f>
        <v>322.59707999999995</v>
      </c>
      <c r="E133" s="42">
        <f>((2.07+2.7+2.7)*0.75)*10.764</f>
        <v>60.305309999999999</v>
      </c>
      <c r="F133" s="42">
        <f t="shared" si="2"/>
        <v>382.90238999999997</v>
      </c>
      <c r="G133" s="67">
        <v>0</v>
      </c>
      <c r="H133" s="42">
        <f t="shared" si="3"/>
        <v>574.35358499999995</v>
      </c>
      <c r="I133" s="36"/>
      <c r="L133" s="175">
        <f>5500*672</f>
        <v>3696000</v>
      </c>
      <c r="M133" s="175"/>
    </row>
    <row r="134" spans="1:14" s="37" customFormat="1" x14ac:dyDescent="0.3">
      <c r="A134" s="109">
        <v>6</v>
      </c>
      <c r="B134" s="109"/>
      <c r="C134" s="63" t="s">
        <v>307</v>
      </c>
      <c r="D134" s="67">
        <f>(29.32)*10.764</f>
        <v>315.60048</v>
      </c>
      <c r="E134" s="42">
        <f>((1.8+2.7+2.7)*0.75)*10.764</f>
        <v>58.125599999999999</v>
      </c>
      <c r="F134" s="42">
        <f t="shared" si="2"/>
        <v>373.72608000000002</v>
      </c>
      <c r="G134" s="67">
        <f>(2*2.5+0.6*1.2+0.7*2.6)*10.764</f>
        <v>81.16055999999999</v>
      </c>
      <c r="H134" s="42">
        <f t="shared" si="3"/>
        <v>641.74968000000013</v>
      </c>
      <c r="I134" s="36"/>
      <c r="N134" s="36"/>
    </row>
    <row r="135" spans="1:14" s="37" customFormat="1" x14ac:dyDescent="0.3">
      <c r="A135" s="117" t="s">
        <v>308</v>
      </c>
      <c r="B135" s="118"/>
      <c r="C135" s="118"/>
      <c r="D135" s="118"/>
      <c r="E135" s="118"/>
      <c r="F135" s="118"/>
      <c r="G135" s="118"/>
      <c r="H135" s="119"/>
      <c r="I135" s="36"/>
      <c r="N135" s="36"/>
    </row>
    <row r="136" spans="1:14" s="37" customFormat="1" x14ac:dyDescent="0.3">
      <c r="A136" s="120">
        <v>1</v>
      </c>
      <c r="B136" s="121"/>
      <c r="C136" s="63" t="s">
        <v>307</v>
      </c>
      <c r="D136" s="67">
        <f>(29.97)*10.764</f>
        <v>322.59707999999995</v>
      </c>
      <c r="E136" s="42">
        <f>((2.07+2.7+2.7)*0.75)*10.764</f>
        <v>60.305309999999999</v>
      </c>
      <c r="F136" s="63">
        <f t="shared" ref="F136:F141" si="4">D136+E136</f>
        <v>382.90238999999997</v>
      </c>
      <c r="G136" s="63">
        <v>0</v>
      </c>
      <c r="H136" s="63">
        <f t="shared" ref="H136:H141" si="5">F136*(($H$127)+1)+(IF(G136&lt;101,G136,IF(G136&lt;201,G136/2,IF(G136&lt;=301,G136/3,G136/4))))</f>
        <v>574.35358499999995</v>
      </c>
      <c r="I136" s="36"/>
      <c r="K136" s="37">
        <f>672/F136</f>
        <v>1.7550164677739413</v>
      </c>
      <c r="L136" s="37">
        <f>672/F136</f>
        <v>1.7550164677739413</v>
      </c>
      <c r="M136" s="37">
        <f>5500*H136</f>
        <v>3158944.7174999998</v>
      </c>
      <c r="N136" s="36"/>
    </row>
    <row r="137" spans="1:14" s="37" customFormat="1" x14ac:dyDescent="0.3">
      <c r="A137" s="134">
        <f>A136+1</f>
        <v>2</v>
      </c>
      <c r="B137" s="135"/>
      <c r="C137" s="63" t="s">
        <v>307</v>
      </c>
      <c r="D137" s="67">
        <f>(29.97)*10.764</f>
        <v>322.59707999999995</v>
      </c>
      <c r="E137" s="42">
        <f>((2.07+2.7+2.7)*0.75)*10.764</f>
        <v>60.305309999999999</v>
      </c>
      <c r="F137" s="42">
        <f t="shared" si="4"/>
        <v>382.90238999999997</v>
      </c>
      <c r="G137" s="63">
        <v>0</v>
      </c>
      <c r="H137" s="42">
        <f t="shared" si="5"/>
        <v>574.35358499999995</v>
      </c>
      <c r="I137" s="36"/>
      <c r="L137" s="37">
        <f t="shared" ref="L137:L140" si="6">672/F137</f>
        <v>1.7550164677739413</v>
      </c>
      <c r="M137" s="37">
        <f t="shared" ref="M137:M141" si="7">5500*H137</f>
        <v>3158944.7174999998</v>
      </c>
      <c r="N137" s="36"/>
    </row>
    <row r="138" spans="1:14" s="37" customFormat="1" x14ac:dyDescent="0.3">
      <c r="A138" s="134">
        <f>A137+1</f>
        <v>3</v>
      </c>
      <c r="B138" s="135"/>
      <c r="C138" s="63" t="s">
        <v>307</v>
      </c>
      <c r="D138" s="67">
        <f>(29.44)*10.764</f>
        <v>316.89215999999999</v>
      </c>
      <c r="E138" s="42">
        <f>((1.8+2.7+2.7)*0.75)*10.764</f>
        <v>58.125599999999999</v>
      </c>
      <c r="F138" s="42">
        <f t="shared" si="4"/>
        <v>375.01776000000001</v>
      </c>
      <c r="G138" s="42">
        <v>0</v>
      </c>
      <c r="H138" s="42">
        <f t="shared" si="5"/>
        <v>562.52664000000004</v>
      </c>
      <c r="I138" s="36"/>
      <c r="K138" s="37">
        <f>615/F138</f>
        <v>1.639922333278296</v>
      </c>
      <c r="L138" s="37">
        <f>615/F138</f>
        <v>1.639922333278296</v>
      </c>
      <c r="M138" s="37">
        <f t="shared" si="7"/>
        <v>3093896.52</v>
      </c>
      <c r="N138" s="36"/>
    </row>
    <row r="139" spans="1:14" s="37" customFormat="1" ht="15.75" customHeight="1" x14ac:dyDescent="0.3">
      <c r="A139" s="134">
        <f>A138+1</f>
        <v>4</v>
      </c>
      <c r="B139" s="135"/>
      <c r="C139" s="63" t="s">
        <v>307</v>
      </c>
      <c r="D139" s="67">
        <f>(29.97)*10.764</f>
        <v>322.59707999999995</v>
      </c>
      <c r="E139" s="42">
        <f>((2.07+2.7+2.7)*0.75)*10.764</f>
        <v>60.305309999999999</v>
      </c>
      <c r="F139" s="42">
        <f t="shared" si="4"/>
        <v>382.90238999999997</v>
      </c>
      <c r="G139" s="42">
        <v>0</v>
      </c>
      <c r="H139" s="42">
        <f t="shared" si="5"/>
        <v>574.35358499999995</v>
      </c>
      <c r="I139" s="36"/>
      <c r="K139" s="37">
        <f>4000000/H139</f>
        <v>6964.3510625950048</v>
      </c>
      <c r="L139" s="37">
        <f t="shared" si="6"/>
        <v>1.7550164677739413</v>
      </c>
      <c r="M139" s="37">
        <f t="shared" si="7"/>
        <v>3158944.7174999998</v>
      </c>
    </row>
    <row r="140" spans="1:14" s="37" customFormat="1" ht="15.75" customHeight="1" x14ac:dyDescent="0.3">
      <c r="A140" s="134">
        <f>A139+1</f>
        <v>5</v>
      </c>
      <c r="B140" s="135"/>
      <c r="C140" s="63" t="s">
        <v>307</v>
      </c>
      <c r="D140" s="67">
        <f>(29.97)*10.764</f>
        <v>322.59707999999995</v>
      </c>
      <c r="E140" s="42">
        <f>((2.07+2.7+2.7)*0.75)*10.764</f>
        <v>60.305309999999999</v>
      </c>
      <c r="F140" s="42">
        <f t="shared" si="4"/>
        <v>382.90238999999997</v>
      </c>
      <c r="G140" s="42">
        <v>0</v>
      </c>
      <c r="H140" s="42">
        <f t="shared" si="5"/>
        <v>574.35358499999995</v>
      </c>
      <c r="I140" s="36"/>
      <c r="L140" s="37">
        <f t="shared" si="6"/>
        <v>1.7550164677739413</v>
      </c>
      <c r="M140" s="37">
        <f t="shared" si="7"/>
        <v>3158944.7174999998</v>
      </c>
    </row>
    <row r="141" spans="1:14" s="37" customFormat="1" ht="15.75" customHeight="1" x14ac:dyDescent="0.3">
      <c r="A141" s="109">
        <v>6</v>
      </c>
      <c r="B141" s="109"/>
      <c r="C141" s="63" t="s">
        <v>307</v>
      </c>
      <c r="D141" s="67">
        <f>(29.32)*10.764</f>
        <v>315.60048</v>
      </c>
      <c r="E141" s="42">
        <f>((1.8+2.7+2.7)*0.75)*10.764</f>
        <v>58.125599999999999</v>
      </c>
      <c r="F141" s="42">
        <f t="shared" si="4"/>
        <v>373.72608000000002</v>
      </c>
      <c r="G141" s="42">
        <v>0</v>
      </c>
      <c r="H141" s="42">
        <f t="shared" si="5"/>
        <v>560.58912000000009</v>
      </c>
      <c r="I141" s="36"/>
      <c r="K141" s="37">
        <f>650/F141</f>
        <v>1.7392417462543688</v>
      </c>
      <c r="L141" s="37">
        <f>650/F141</f>
        <v>1.7392417462543688</v>
      </c>
      <c r="M141" s="37">
        <f t="shared" si="7"/>
        <v>3083240.1600000006</v>
      </c>
    </row>
    <row r="142" spans="1:14" s="37" customFormat="1" ht="15.75" customHeight="1" x14ac:dyDescent="0.3">
      <c r="A142" s="117" t="s">
        <v>309</v>
      </c>
      <c r="B142" s="118"/>
      <c r="C142" s="118"/>
      <c r="D142" s="118"/>
      <c r="E142" s="118"/>
      <c r="F142" s="118"/>
      <c r="G142" s="118"/>
      <c r="H142" s="119"/>
      <c r="I142" s="36"/>
    </row>
    <row r="143" spans="1:14" s="37" customFormat="1" ht="15.75" customHeight="1" x14ac:dyDescent="0.3">
      <c r="A143" s="120">
        <v>1</v>
      </c>
      <c r="B143" s="121"/>
      <c r="C143" s="63" t="s">
        <v>307</v>
      </c>
      <c r="D143" s="67">
        <f>(29.97)*10.764</f>
        <v>322.59707999999995</v>
      </c>
      <c r="E143" s="42">
        <f>((2.07+2.7+2.7)*0.75)*10.764</f>
        <v>60.305309999999999</v>
      </c>
      <c r="F143" s="63">
        <f t="shared" ref="F143:F148" si="8">D143+E143</f>
        <v>382.90238999999997</v>
      </c>
      <c r="G143" s="63">
        <v>0</v>
      </c>
      <c r="H143" s="63">
        <f t="shared" ref="H143:H148" si="9">F143*(($H$127)+1)+(IF(G143&lt;101,G143,IF(G143&lt;201,G143/2,IF(G143&lt;=301,G143/3,G143/4))))</f>
        <v>574.35358499999995</v>
      </c>
      <c r="I143" s="36"/>
    </row>
    <row r="144" spans="1:14" s="37" customFormat="1" ht="15.75" customHeight="1" x14ac:dyDescent="0.3">
      <c r="A144" s="134">
        <f>A143+1</f>
        <v>2</v>
      </c>
      <c r="B144" s="135"/>
      <c r="C144" s="63" t="s">
        <v>307</v>
      </c>
      <c r="D144" s="67">
        <f>(29.97)*10.764</f>
        <v>322.59707999999995</v>
      </c>
      <c r="E144" s="42">
        <f>((2.07+2.7+2.7)*0.75)*10.764</f>
        <v>60.305309999999999</v>
      </c>
      <c r="F144" s="42">
        <f t="shared" si="8"/>
        <v>382.90238999999997</v>
      </c>
      <c r="G144" s="63">
        <v>0</v>
      </c>
      <c r="H144" s="42">
        <f t="shared" si="9"/>
        <v>574.35358499999995</v>
      </c>
      <c r="I144" s="36"/>
    </row>
    <row r="145" spans="1:9" s="37" customFormat="1" ht="15.75" customHeight="1" x14ac:dyDescent="0.3">
      <c r="A145" s="134">
        <f>A144+1</f>
        <v>3</v>
      </c>
      <c r="B145" s="135"/>
      <c r="C145" s="63" t="s">
        <v>307</v>
      </c>
      <c r="D145" s="67">
        <f>(29.44)*10.764</f>
        <v>316.89215999999999</v>
      </c>
      <c r="E145" s="42">
        <f>(2.7*1+1.8*0.75+2.7*0.75)*10.764</f>
        <v>65.391300000000001</v>
      </c>
      <c r="F145" s="42">
        <f t="shared" si="8"/>
        <v>382.28345999999999</v>
      </c>
      <c r="G145" s="42">
        <v>0</v>
      </c>
      <c r="H145" s="42">
        <f t="shared" si="9"/>
        <v>573.42518999999993</v>
      </c>
      <c r="I145" s="36"/>
    </row>
    <row r="146" spans="1:9" s="37" customFormat="1" ht="15.75" customHeight="1" x14ac:dyDescent="0.3">
      <c r="A146" s="134">
        <f>A145+1</f>
        <v>4</v>
      </c>
      <c r="B146" s="135"/>
      <c r="C146" s="63" t="s">
        <v>307</v>
      </c>
      <c r="D146" s="67">
        <f>(29.97)*10.764</f>
        <v>322.59707999999995</v>
      </c>
      <c r="E146" s="42">
        <f>((2.07+2.7+2.7)*0.75)*10.764</f>
        <v>60.305309999999999</v>
      </c>
      <c r="F146" s="42">
        <f t="shared" si="8"/>
        <v>382.90238999999997</v>
      </c>
      <c r="G146" s="42">
        <v>0</v>
      </c>
      <c r="H146" s="42">
        <f t="shared" si="9"/>
        <v>574.35358499999995</v>
      </c>
      <c r="I146" s="36"/>
    </row>
    <row r="147" spans="1:9" s="37" customFormat="1" ht="15.75" customHeight="1" x14ac:dyDescent="0.3">
      <c r="A147" s="134">
        <f>A146+1</f>
        <v>5</v>
      </c>
      <c r="B147" s="135"/>
      <c r="C147" s="63" t="s">
        <v>307</v>
      </c>
      <c r="D147" s="67">
        <f>(29.97)*10.764</f>
        <v>322.59707999999995</v>
      </c>
      <c r="E147" s="42">
        <f>((2.07+2.7+2.7)*0.75)*10.764</f>
        <v>60.305309999999999</v>
      </c>
      <c r="F147" s="42">
        <f t="shared" si="8"/>
        <v>382.90238999999997</v>
      </c>
      <c r="G147" s="42">
        <v>0</v>
      </c>
      <c r="H147" s="42">
        <f t="shared" si="9"/>
        <v>574.35358499999995</v>
      </c>
      <c r="I147" s="36"/>
    </row>
    <row r="148" spans="1:9" s="37" customFormat="1" ht="15.75" customHeight="1" x14ac:dyDescent="0.3">
      <c r="A148" s="109">
        <v>6</v>
      </c>
      <c r="B148" s="109"/>
      <c r="C148" s="63" t="s">
        <v>307</v>
      </c>
      <c r="D148" s="67">
        <f>(29.32)*10.764</f>
        <v>315.60048</v>
      </c>
      <c r="E148" s="42">
        <f>(2.7*1+1.8*0.75+2.7*0.75)*10.764</f>
        <v>65.391300000000001</v>
      </c>
      <c r="F148" s="42">
        <f t="shared" si="8"/>
        <v>380.99178000000001</v>
      </c>
      <c r="G148" s="42">
        <v>0</v>
      </c>
      <c r="H148" s="42">
        <f t="shared" si="9"/>
        <v>571.48766999999998</v>
      </c>
      <c r="I148" s="36"/>
    </row>
    <row r="149" spans="1:9" s="37" customFormat="1" ht="15.75" customHeight="1" x14ac:dyDescent="0.3">
      <c r="A149" s="117" t="s">
        <v>310</v>
      </c>
      <c r="B149" s="118"/>
      <c r="C149" s="118"/>
      <c r="D149" s="118"/>
      <c r="E149" s="118"/>
      <c r="F149" s="118"/>
      <c r="G149" s="118"/>
      <c r="H149" s="119"/>
      <c r="I149" s="36"/>
    </row>
    <row r="150" spans="1:9" s="37" customFormat="1" ht="15.75" customHeight="1" x14ac:dyDescent="0.3">
      <c r="A150" s="120">
        <v>1</v>
      </c>
      <c r="B150" s="121"/>
      <c r="C150" s="63" t="s">
        <v>307</v>
      </c>
      <c r="D150" s="67">
        <f>(29.97)*10.764</f>
        <v>322.59707999999995</v>
      </c>
      <c r="E150" s="42">
        <f>((2.07+2.7+2.7)*0.75)*10.764</f>
        <v>60.305309999999999</v>
      </c>
      <c r="F150" s="63">
        <f t="shared" ref="F150:F155" si="10">D150+E150</f>
        <v>382.90238999999997</v>
      </c>
      <c r="G150" s="63">
        <v>0</v>
      </c>
      <c r="H150" s="63">
        <f t="shared" ref="H150:H155" si="11">F150*(($H$127)+1)+(IF(G150&lt;101,G150,IF(G150&lt;201,G150/2,IF(G150&lt;=301,G150/3,G150/4))))</f>
        <v>574.35358499999995</v>
      </c>
      <c r="I150" s="36"/>
    </row>
    <row r="151" spans="1:9" s="37" customFormat="1" ht="15.75" customHeight="1" x14ac:dyDescent="0.3">
      <c r="A151" s="134">
        <f>A150+1</f>
        <v>2</v>
      </c>
      <c r="B151" s="135"/>
      <c r="C151" s="63" t="s">
        <v>307</v>
      </c>
      <c r="D151" s="67">
        <f>(29.97)*10.764</f>
        <v>322.59707999999995</v>
      </c>
      <c r="E151" s="42">
        <f>((2.07+2.7+2.7)*0.75)*10.764</f>
        <v>60.305309999999999</v>
      </c>
      <c r="F151" s="42">
        <f t="shared" si="10"/>
        <v>382.90238999999997</v>
      </c>
      <c r="G151" s="63">
        <v>0</v>
      </c>
      <c r="H151" s="42">
        <f t="shared" si="11"/>
        <v>574.35358499999995</v>
      </c>
      <c r="I151" s="36"/>
    </row>
    <row r="152" spans="1:9" s="37" customFormat="1" ht="15.75" customHeight="1" x14ac:dyDescent="0.3">
      <c r="A152" s="134">
        <f>A151+1</f>
        <v>3</v>
      </c>
      <c r="B152" s="135"/>
      <c r="C152" s="63" t="s">
        <v>311</v>
      </c>
      <c r="D152" s="67">
        <f>(20.94)*10.764</f>
        <v>225.39815999999999</v>
      </c>
      <c r="E152" s="42">
        <f>(2.7*1+1.8*0.75)*10.764</f>
        <v>43.594200000000008</v>
      </c>
      <c r="F152" s="42">
        <f t="shared" si="10"/>
        <v>268.99236000000002</v>
      </c>
      <c r="G152" s="67">
        <f>(3*2.7)*10.764</f>
        <v>87.188400000000016</v>
      </c>
      <c r="H152" s="42">
        <f t="shared" si="11"/>
        <v>490.67694000000006</v>
      </c>
      <c r="I152" s="36"/>
    </row>
    <row r="153" spans="1:9" s="37" customFormat="1" ht="15.75" customHeight="1" x14ac:dyDescent="0.3">
      <c r="A153" s="134">
        <f>A152+1</f>
        <v>4</v>
      </c>
      <c r="B153" s="135"/>
      <c r="C153" s="63" t="s">
        <v>311</v>
      </c>
      <c r="D153" s="67">
        <f>(21.44)*10.764</f>
        <v>230.78016</v>
      </c>
      <c r="E153" s="42">
        <f>((2+2.7)*0.75)*10.764</f>
        <v>37.943100000000001</v>
      </c>
      <c r="F153" s="42">
        <f t="shared" si="10"/>
        <v>268.72325999999998</v>
      </c>
      <c r="G153" s="67">
        <f>(2.7*3)*10.764</f>
        <v>87.188400000000016</v>
      </c>
      <c r="H153" s="42">
        <f t="shared" si="11"/>
        <v>490.27328999999997</v>
      </c>
      <c r="I153" s="36"/>
    </row>
    <row r="154" spans="1:9" s="37" customFormat="1" ht="15.75" customHeight="1" x14ac:dyDescent="0.3">
      <c r="A154" s="134">
        <f>A153+1</f>
        <v>5</v>
      </c>
      <c r="B154" s="135"/>
      <c r="C154" s="63" t="s">
        <v>311</v>
      </c>
      <c r="D154" s="67">
        <f>(21.44)*10.764</f>
        <v>230.78016</v>
      </c>
      <c r="E154" s="42">
        <f>((2+2.7)*0.75)*10.764</f>
        <v>37.943100000000001</v>
      </c>
      <c r="F154" s="42">
        <f t="shared" si="10"/>
        <v>268.72325999999998</v>
      </c>
      <c r="G154" s="67">
        <f>(2.7*3)*10.764</f>
        <v>87.188400000000016</v>
      </c>
      <c r="H154" s="42">
        <f t="shared" si="11"/>
        <v>490.27328999999997</v>
      </c>
      <c r="I154" s="36"/>
    </row>
    <row r="155" spans="1:9" s="37" customFormat="1" ht="15.75" customHeight="1" x14ac:dyDescent="0.3">
      <c r="A155" s="136">
        <v>6</v>
      </c>
      <c r="B155" s="136"/>
      <c r="C155" s="65" t="s">
        <v>307</v>
      </c>
      <c r="D155" s="67">
        <f>(29.32)*10.764</f>
        <v>315.60048</v>
      </c>
      <c r="E155" s="42">
        <f>(2.7*1+1.8*0.75+2.7*0.75)*10.764</f>
        <v>65.391300000000001</v>
      </c>
      <c r="F155" s="66">
        <f t="shared" si="10"/>
        <v>380.99178000000001</v>
      </c>
      <c r="G155" s="66">
        <v>0</v>
      </c>
      <c r="H155" s="66">
        <f t="shared" si="11"/>
        <v>571.48766999999998</v>
      </c>
      <c r="I155" s="36"/>
    </row>
    <row r="156" spans="1:9" s="64" customFormat="1" ht="15.75" customHeight="1" x14ac:dyDescent="0.3">
      <c r="A156" s="134"/>
      <c r="B156" s="143"/>
      <c r="C156" s="143"/>
      <c r="D156" s="143"/>
      <c r="E156" s="143"/>
      <c r="F156" s="143"/>
      <c r="G156" s="143"/>
      <c r="H156" s="135"/>
    </row>
    <row r="157" spans="1:9" s="35" customFormat="1" x14ac:dyDescent="0.3">
      <c r="A157" s="138" t="s">
        <v>65</v>
      </c>
      <c r="B157" s="138"/>
      <c r="C157" s="138"/>
      <c r="D157" s="138"/>
      <c r="E157" s="138"/>
      <c r="F157" s="138"/>
      <c r="G157" s="138"/>
      <c r="H157" s="138"/>
    </row>
    <row r="158" spans="1:9" s="35" customFormat="1" ht="33" customHeight="1" x14ac:dyDescent="0.3">
      <c r="A158" s="46" t="s">
        <v>148</v>
      </c>
      <c r="B158" s="137" t="s">
        <v>326</v>
      </c>
      <c r="C158" s="137"/>
      <c r="D158" s="137"/>
      <c r="E158" s="137"/>
      <c r="F158" s="137"/>
      <c r="G158" s="137"/>
      <c r="H158" s="137"/>
    </row>
    <row r="159" spans="1:9" s="35" customFormat="1" x14ac:dyDescent="0.3">
      <c r="A159" s="46" t="s">
        <v>148</v>
      </c>
      <c r="B159" s="131" t="str">
        <f>(IF(H126="Saleable area Loading :","We have considered Saleable area of Flats as per our Calculation.","We considered Saleable area of Flat as per Builder area Sheet."))</f>
        <v>We have considered Saleable area of Flats as per our Calculation.</v>
      </c>
      <c r="C159" s="132"/>
      <c r="D159" s="132"/>
      <c r="E159" s="132"/>
      <c r="F159" s="132"/>
      <c r="G159" s="132"/>
      <c r="H159" s="133"/>
    </row>
    <row r="160" spans="1:9" s="35" customFormat="1" x14ac:dyDescent="0.3">
      <c r="A160" s="46" t="s">
        <v>148</v>
      </c>
      <c r="B160" s="131" t="str">
        <f>(IF(H118="Saleable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60" s="132"/>
      <c r="D160" s="132"/>
      <c r="E160" s="132"/>
      <c r="F160" s="132"/>
      <c r="G160" s="132"/>
      <c r="H160" s="133"/>
    </row>
    <row r="161" spans="1:8" s="35" customFormat="1" x14ac:dyDescent="0.3">
      <c r="A161" s="46" t="s">
        <v>148</v>
      </c>
      <c r="B161" s="128" t="s">
        <v>118</v>
      </c>
      <c r="C161" s="129"/>
      <c r="D161" s="129"/>
      <c r="E161" s="129"/>
      <c r="F161" s="129"/>
      <c r="G161" s="129"/>
      <c r="H161" s="130"/>
    </row>
    <row r="162" spans="1:8" s="35" customFormat="1" x14ac:dyDescent="0.3">
      <c r="A162" s="46" t="s">
        <v>148</v>
      </c>
      <c r="B162" s="128" t="s">
        <v>312</v>
      </c>
      <c r="C162" s="129"/>
      <c r="D162" s="129"/>
      <c r="E162" s="129"/>
      <c r="F162" s="129"/>
      <c r="G162" s="129"/>
      <c r="H162" s="130"/>
    </row>
    <row r="163" spans="1:8" s="35" customFormat="1" x14ac:dyDescent="0.3">
      <c r="A163" s="46" t="s">
        <v>148</v>
      </c>
      <c r="B163" s="128" t="s">
        <v>147</v>
      </c>
      <c r="C163" s="129"/>
      <c r="D163" s="129"/>
      <c r="E163" s="129"/>
      <c r="F163" s="129"/>
      <c r="G163" s="129"/>
      <c r="H163" s="130"/>
    </row>
    <row r="164" spans="1:8" s="35" customFormat="1" x14ac:dyDescent="0.3">
      <c r="A164" s="46" t="s">
        <v>148</v>
      </c>
      <c r="B164" s="128" t="s">
        <v>119</v>
      </c>
      <c r="C164" s="129"/>
      <c r="D164" s="129"/>
      <c r="E164" s="129"/>
      <c r="F164" s="129"/>
      <c r="G164" s="129"/>
      <c r="H164" s="130"/>
    </row>
    <row r="165" spans="1:8" s="35" customFormat="1" ht="34.5" customHeight="1" x14ac:dyDescent="0.3">
      <c r="A165" s="46" t="s">
        <v>148</v>
      </c>
      <c r="B165" s="128" t="s">
        <v>149</v>
      </c>
      <c r="C165" s="129"/>
      <c r="D165" s="129"/>
      <c r="E165" s="129"/>
      <c r="F165" s="129"/>
      <c r="G165" s="129"/>
      <c r="H165" s="130"/>
    </row>
    <row r="166" spans="1:8" s="35" customFormat="1" x14ac:dyDescent="0.3">
      <c r="A166" s="46" t="s">
        <v>148</v>
      </c>
      <c r="B166" s="128" t="s">
        <v>120</v>
      </c>
      <c r="C166" s="129"/>
      <c r="D166" s="129"/>
      <c r="E166" s="129"/>
      <c r="F166" s="129"/>
      <c r="G166" s="129"/>
      <c r="H166" s="130"/>
    </row>
    <row r="167" spans="1:8" s="35" customFormat="1" x14ac:dyDescent="0.3">
      <c r="A167" s="46" t="s">
        <v>148</v>
      </c>
      <c r="B167" s="128" t="s">
        <v>321</v>
      </c>
      <c r="C167" s="129"/>
      <c r="D167" s="129"/>
      <c r="E167" s="129"/>
      <c r="F167" s="129"/>
      <c r="G167" s="129"/>
      <c r="H167" s="130"/>
    </row>
    <row r="168" spans="1:8" s="35" customFormat="1" x14ac:dyDescent="0.3">
      <c r="A168" s="46" t="s">
        <v>148</v>
      </c>
      <c r="B168" s="131" t="s">
        <v>324</v>
      </c>
      <c r="C168" s="132"/>
      <c r="D168" s="132"/>
      <c r="E168" s="132"/>
      <c r="F168" s="132"/>
      <c r="G168" s="132"/>
      <c r="H168" s="133"/>
    </row>
    <row r="169" spans="1:8" s="35" customFormat="1" hidden="1" x14ac:dyDescent="0.3">
      <c r="A169" s="46" t="s">
        <v>148</v>
      </c>
      <c r="B169" s="144" t="s">
        <v>229</v>
      </c>
      <c r="C169" s="145"/>
      <c r="D169" s="145"/>
      <c r="E169" s="145"/>
      <c r="F169" s="145"/>
      <c r="G169" s="145"/>
      <c r="H169" s="146"/>
    </row>
    <row r="170" spans="1:8" s="35" customFormat="1" x14ac:dyDescent="0.3">
      <c r="A170" s="46" t="s">
        <v>148</v>
      </c>
      <c r="B170" s="131" t="s">
        <v>325</v>
      </c>
      <c r="C170" s="132"/>
      <c r="D170" s="132"/>
      <c r="E170" s="132"/>
      <c r="F170" s="132"/>
      <c r="G170" s="132"/>
      <c r="H170" s="133"/>
    </row>
    <row r="171" spans="1:8" s="35" customFormat="1" ht="33.6" customHeight="1" x14ac:dyDescent="0.3">
      <c r="A171" s="46" t="s">
        <v>148</v>
      </c>
      <c r="B171" s="131" t="s">
        <v>327</v>
      </c>
      <c r="C171" s="132"/>
      <c r="D171" s="132"/>
      <c r="E171" s="132"/>
      <c r="F171" s="132"/>
      <c r="G171" s="132"/>
      <c r="H171" s="133"/>
    </row>
    <row r="172" spans="1:8" x14ac:dyDescent="0.3">
      <c r="A172" s="68" t="s">
        <v>58</v>
      </c>
      <c r="B172" s="68"/>
      <c r="C172" s="68"/>
      <c r="D172" s="68"/>
      <c r="E172" s="68"/>
      <c r="F172" s="68"/>
      <c r="G172" s="68"/>
      <c r="H172" s="68"/>
    </row>
    <row r="173" spans="1:8" x14ac:dyDescent="0.3">
      <c r="A173" s="85" t="s">
        <v>59</v>
      </c>
      <c r="B173" s="85"/>
      <c r="C173" s="85"/>
      <c r="D173" s="85"/>
      <c r="E173" s="85"/>
      <c r="F173" s="85"/>
      <c r="G173" s="85"/>
      <c r="H173" s="85"/>
    </row>
    <row r="174" spans="1:8" ht="15.75" customHeight="1" x14ac:dyDescent="0.3">
      <c r="A174" s="108" t="s">
        <v>60</v>
      </c>
      <c r="B174" s="108"/>
      <c r="C174" s="108"/>
      <c r="D174" s="108"/>
      <c r="E174" s="108"/>
      <c r="F174" s="108"/>
      <c r="G174" s="108"/>
      <c r="H174" s="108"/>
    </row>
    <row r="175" spans="1:8" x14ac:dyDescent="0.3">
      <c r="A175" s="85" t="s">
        <v>61</v>
      </c>
      <c r="B175" s="85"/>
      <c r="C175" s="85"/>
      <c r="D175" s="85"/>
      <c r="E175" s="85"/>
      <c r="F175" s="85"/>
      <c r="G175" s="85"/>
      <c r="H175" s="85"/>
    </row>
    <row r="176" spans="1:8" x14ac:dyDescent="0.3">
      <c r="A176" s="85" t="s">
        <v>62</v>
      </c>
      <c r="B176" s="85"/>
      <c r="C176" s="85"/>
      <c r="D176" s="85"/>
      <c r="E176" s="85"/>
      <c r="F176" s="85"/>
      <c r="G176" s="85"/>
      <c r="H176" s="85"/>
    </row>
    <row r="177" spans="1:8" x14ac:dyDescent="0.3">
      <c r="A177" s="85" t="s">
        <v>121</v>
      </c>
      <c r="B177" s="85"/>
      <c r="C177" s="85"/>
      <c r="D177" s="85"/>
      <c r="E177" s="85"/>
      <c r="F177" s="85"/>
      <c r="G177" s="85"/>
      <c r="H177" s="85"/>
    </row>
    <row r="178" spans="1:8" ht="33" customHeight="1" x14ac:dyDescent="0.3">
      <c r="A178" s="69" t="s">
        <v>122</v>
      </c>
      <c r="B178" s="69"/>
      <c r="C178" s="69"/>
      <c r="D178" s="69"/>
      <c r="E178" s="69"/>
      <c r="F178" s="69"/>
      <c r="G178" s="69"/>
      <c r="H178" s="69"/>
    </row>
    <row r="179" spans="1:8" x14ac:dyDescent="0.3">
      <c r="A179" s="148" t="s">
        <v>74</v>
      </c>
      <c r="B179" s="148"/>
      <c r="C179" s="148" t="s">
        <v>329</v>
      </c>
      <c r="D179" s="148"/>
      <c r="E179" s="148" t="s">
        <v>103</v>
      </c>
      <c r="F179" s="148"/>
      <c r="G179" s="149" t="s">
        <v>328</v>
      </c>
      <c r="H179" s="149"/>
    </row>
    <row r="180" spans="1:8" x14ac:dyDescent="0.3">
      <c r="A180" s="147" t="s">
        <v>76</v>
      </c>
      <c r="B180" s="147"/>
      <c r="C180" s="147"/>
      <c r="D180" s="147"/>
      <c r="E180" s="147"/>
      <c r="F180" s="147"/>
      <c r="G180" s="147"/>
      <c r="H180" s="147"/>
    </row>
    <row r="181" spans="1:8" x14ac:dyDescent="0.3">
      <c r="A181" s="147"/>
      <c r="B181" s="147"/>
      <c r="C181" s="147"/>
      <c r="D181" s="147"/>
      <c r="E181" s="147"/>
      <c r="F181" s="147"/>
      <c r="G181" s="147"/>
      <c r="H181" s="147"/>
    </row>
    <row r="182" spans="1:8" x14ac:dyDescent="0.3">
      <c r="A182" s="147"/>
      <c r="B182" s="147"/>
      <c r="C182" s="147"/>
      <c r="D182" s="147"/>
      <c r="E182" s="147"/>
      <c r="F182" s="147"/>
      <c r="G182" s="147"/>
      <c r="H182" s="147"/>
    </row>
    <row r="183" spans="1:8" x14ac:dyDescent="0.3">
      <c r="A183" s="147"/>
      <c r="B183" s="147"/>
      <c r="C183" s="147"/>
      <c r="D183" s="147"/>
      <c r="E183" s="147"/>
      <c r="F183" s="147"/>
      <c r="G183" s="147"/>
      <c r="H183" s="147"/>
    </row>
    <row r="184" spans="1:8" x14ac:dyDescent="0.3">
      <c r="A184" s="38" t="s">
        <v>63</v>
      </c>
      <c r="B184" s="39"/>
      <c r="C184" s="39"/>
      <c r="D184" s="38" t="str">
        <f>E9</f>
        <v>Krishna Vrundavan</v>
      </c>
      <c r="F184" s="39"/>
      <c r="G184" s="39"/>
      <c r="H184" s="39"/>
    </row>
    <row r="185" spans="1:8" x14ac:dyDescent="0.3">
      <c r="A185" s="39"/>
      <c r="B185" s="39"/>
      <c r="C185" s="39"/>
      <c r="D185" s="39"/>
      <c r="E185" s="39"/>
      <c r="F185" s="39"/>
      <c r="G185" s="39"/>
      <c r="H185" s="39"/>
    </row>
    <row r="186" spans="1:8" x14ac:dyDescent="0.3">
      <c r="A186" s="39"/>
      <c r="B186" s="39"/>
      <c r="C186" s="39"/>
      <c r="D186" s="39"/>
      <c r="E186" s="39"/>
      <c r="F186" s="39"/>
      <c r="G186" s="39"/>
      <c r="H186" s="39"/>
    </row>
    <row r="187" spans="1:8" ht="15" customHeight="1" x14ac:dyDescent="0.3"/>
    <row r="226" spans="1:1" x14ac:dyDescent="0.3">
      <c r="A226" s="41" t="s">
        <v>159</v>
      </c>
    </row>
    <row r="268" spans="1:1" x14ac:dyDescent="0.3">
      <c r="A268" s="41" t="s">
        <v>64</v>
      </c>
    </row>
  </sheetData>
  <mergeCells count="320">
    <mergeCell ref="E114:F114"/>
    <mergeCell ref="G114:H114"/>
    <mergeCell ref="A110:B110"/>
    <mergeCell ref="C110:D110"/>
    <mergeCell ref="E110:F110"/>
    <mergeCell ref="G110:H110"/>
    <mergeCell ref="F95:H95"/>
    <mergeCell ref="F100:H100"/>
    <mergeCell ref="E112:F112"/>
    <mergeCell ref="A114:B114"/>
    <mergeCell ref="A104:E104"/>
    <mergeCell ref="A49:B49"/>
    <mergeCell ref="C49:H49"/>
    <mergeCell ref="B163:H163"/>
    <mergeCell ref="G85:H94"/>
    <mergeCell ref="A86:B86"/>
    <mergeCell ref="A87:B87"/>
    <mergeCell ref="A88:B88"/>
    <mergeCell ref="F97:H97"/>
    <mergeCell ref="A97:E97"/>
    <mergeCell ref="D118:D119"/>
    <mergeCell ref="A99:E99"/>
    <mergeCell ref="A98:E98"/>
    <mergeCell ref="A95:E95"/>
    <mergeCell ref="F99:H99"/>
    <mergeCell ref="F126:F127"/>
    <mergeCell ref="G118:G119"/>
    <mergeCell ref="A147:B147"/>
    <mergeCell ref="A80:B80"/>
    <mergeCell ref="A84:B84"/>
    <mergeCell ref="A83:B83"/>
    <mergeCell ref="C83:H83"/>
    <mergeCell ref="A69:B69"/>
    <mergeCell ref="A67:B67"/>
    <mergeCell ref="C67:H67"/>
    <mergeCell ref="L133:M133"/>
    <mergeCell ref="A138:B138"/>
    <mergeCell ref="A136:B136"/>
    <mergeCell ref="A146:B146"/>
    <mergeCell ref="A40:B40"/>
    <mergeCell ref="C40:H40"/>
    <mergeCell ref="F118:F119"/>
    <mergeCell ref="C109:D109"/>
    <mergeCell ref="E109:F109"/>
    <mergeCell ref="B118:B119"/>
    <mergeCell ref="A118:A119"/>
    <mergeCell ref="C126:C127"/>
    <mergeCell ref="G126:G127"/>
    <mergeCell ref="L132:M132"/>
    <mergeCell ref="L129:M129"/>
    <mergeCell ref="A130:B130"/>
    <mergeCell ref="G115:H115"/>
    <mergeCell ref="L130:M130"/>
    <mergeCell ref="A131:B131"/>
    <mergeCell ref="L131:M131"/>
    <mergeCell ref="A132:B132"/>
    <mergeCell ref="A70:B70"/>
    <mergeCell ref="A73:B73"/>
    <mergeCell ref="A79:B79"/>
    <mergeCell ref="A39:B39"/>
    <mergeCell ref="C39:H39"/>
    <mergeCell ref="A46:D46"/>
    <mergeCell ref="L124:M124"/>
    <mergeCell ref="L123:M123"/>
    <mergeCell ref="L122:M122"/>
    <mergeCell ref="L121:M121"/>
    <mergeCell ref="A78:B78"/>
    <mergeCell ref="C113:D113"/>
    <mergeCell ref="E113:F113"/>
    <mergeCell ref="G113:H113"/>
    <mergeCell ref="A96:E96"/>
    <mergeCell ref="A120:H120"/>
    <mergeCell ref="E118:E119"/>
    <mergeCell ref="A85:B85"/>
    <mergeCell ref="A47:D47"/>
    <mergeCell ref="A48:H48"/>
    <mergeCell ref="D58:H58"/>
    <mergeCell ref="A58:C58"/>
    <mergeCell ref="G51:H51"/>
    <mergeCell ref="A52:B53"/>
    <mergeCell ref="A77:B77"/>
    <mergeCell ref="E71:F80"/>
    <mergeCell ref="G71:H80"/>
    <mergeCell ref="A38:H38"/>
    <mergeCell ref="A37:B37"/>
    <mergeCell ref="C37:E37"/>
    <mergeCell ref="A42:D42"/>
    <mergeCell ref="E42:H42"/>
    <mergeCell ref="A41:H41"/>
    <mergeCell ref="A60:C60"/>
    <mergeCell ref="A61:C61"/>
    <mergeCell ref="D60:H60"/>
    <mergeCell ref="D61:H61"/>
    <mergeCell ref="A44:D44"/>
    <mergeCell ref="E44:H44"/>
    <mergeCell ref="E45:H45"/>
    <mergeCell ref="E46:H46"/>
    <mergeCell ref="E47:H47"/>
    <mergeCell ref="A45:D45"/>
    <mergeCell ref="F37:H37"/>
    <mergeCell ref="C52:E52"/>
    <mergeCell ref="A59:C59"/>
    <mergeCell ref="D59:H59"/>
    <mergeCell ref="C51:E51"/>
    <mergeCell ref="C50:E50"/>
    <mergeCell ref="G50:H50"/>
    <mergeCell ref="G52:H52"/>
    <mergeCell ref="A36:B36"/>
    <mergeCell ref="C36:E36"/>
    <mergeCell ref="A31:D31"/>
    <mergeCell ref="E31:H31"/>
    <mergeCell ref="A32:D32"/>
    <mergeCell ref="E32:H32"/>
    <mergeCell ref="A28:D28"/>
    <mergeCell ref="E28:H28"/>
    <mergeCell ref="C33:E33"/>
    <mergeCell ref="F36:H36"/>
    <mergeCell ref="F33:H33"/>
    <mergeCell ref="A34:B34"/>
    <mergeCell ref="A33:B33"/>
    <mergeCell ref="C34:E34"/>
    <mergeCell ref="A35:B35"/>
    <mergeCell ref="C35:E35"/>
    <mergeCell ref="F34:H34"/>
    <mergeCell ref="F35:H35"/>
    <mergeCell ref="E27:H27"/>
    <mergeCell ref="A29:D29"/>
    <mergeCell ref="E29:H29"/>
    <mergeCell ref="A26:D26"/>
    <mergeCell ref="E26:H26"/>
    <mergeCell ref="A25:D25"/>
    <mergeCell ref="E25:H25"/>
    <mergeCell ref="A30:D30"/>
    <mergeCell ref="E30:H30"/>
    <mergeCell ref="A27:D27"/>
    <mergeCell ref="A22:B22"/>
    <mergeCell ref="C22:D22"/>
    <mergeCell ref="E22:F22"/>
    <mergeCell ref="G22:H22"/>
    <mergeCell ref="A12:D12"/>
    <mergeCell ref="E12:H12"/>
    <mergeCell ref="A17:B17"/>
    <mergeCell ref="A14:D14"/>
    <mergeCell ref="A19:B19"/>
    <mergeCell ref="C19:D19"/>
    <mergeCell ref="E19:F19"/>
    <mergeCell ref="G19:H19"/>
    <mergeCell ref="A20:B20"/>
    <mergeCell ref="C20:D20"/>
    <mergeCell ref="E20:F20"/>
    <mergeCell ref="G20:H20"/>
    <mergeCell ref="E14:H14"/>
    <mergeCell ref="A15:D15"/>
    <mergeCell ref="A16:B16"/>
    <mergeCell ref="C16:H16"/>
    <mergeCell ref="C17:H17"/>
    <mergeCell ref="A18:B18"/>
    <mergeCell ref="C18:H18"/>
    <mergeCell ref="A13:D13"/>
    <mergeCell ref="E13:H13"/>
    <mergeCell ref="A21:B21"/>
    <mergeCell ref="C21:D21"/>
    <mergeCell ref="E21:F21"/>
    <mergeCell ref="G21:H21"/>
    <mergeCell ref="A124:B124"/>
    <mergeCell ref="A1:H1"/>
    <mergeCell ref="A2:H2"/>
    <mergeCell ref="A3:D3"/>
    <mergeCell ref="E3:H3"/>
    <mergeCell ref="A5:D5"/>
    <mergeCell ref="A9:D9"/>
    <mergeCell ref="E9:H9"/>
    <mergeCell ref="A10:D10"/>
    <mergeCell ref="E10:H10"/>
    <mergeCell ref="E5:H5"/>
    <mergeCell ref="A6:D6"/>
    <mergeCell ref="E6:H6"/>
    <mergeCell ref="A7:D7"/>
    <mergeCell ref="E7:H7"/>
    <mergeCell ref="A8:D8"/>
    <mergeCell ref="E8:H8"/>
    <mergeCell ref="A4:D4"/>
    <mergeCell ref="E4:H4"/>
    <mergeCell ref="A11:D11"/>
    <mergeCell ref="E11:H11"/>
    <mergeCell ref="A23:D24"/>
    <mergeCell ref="E23:H24"/>
    <mergeCell ref="E15:H15"/>
    <mergeCell ref="A135:H135"/>
    <mergeCell ref="A180:H183"/>
    <mergeCell ref="A179:B179"/>
    <mergeCell ref="E179:F179"/>
    <mergeCell ref="C179:D179"/>
    <mergeCell ref="G179:H179"/>
    <mergeCell ref="A107:H107"/>
    <mergeCell ref="A105:E105"/>
    <mergeCell ref="F105:H105"/>
    <mergeCell ref="A106:E106"/>
    <mergeCell ref="F106:H106"/>
    <mergeCell ref="A113:B113"/>
    <mergeCell ref="A109:B109"/>
    <mergeCell ref="A175:H175"/>
    <mergeCell ref="A111:H111"/>
    <mergeCell ref="A178:H178"/>
    <mergeCell ref="A176:H176"/>
    <mergeCell ref="A172:H172"/>
    <mergeCell ref="G112:H112"/>
    <mergeCell ref="A173:H173"/>
    <mergeCell ref="A129:B129"/>
    <mergeCell ref="A125:H125"/>
    <mergeCell ref="A116:H116"/>
    <mergeCell ref="A126:A127"/>
    <mergeCell ref="A140:B140"/>
    <mergeCell ref="A121:B121"/>
    <mergeCell ref="B168:H168"/>
    <mergeCell ref="B170:H170"/>
    <mergeCell ref="A137:B137"/>
    <mergeCell ref="A139:B139"/>
    <mergeCell ref="A142:H142"/>
    <mergeCell ref="A145:B145"/>
    <mergeCell ref="A149:H149"/>
    <mergeCell ref="A151:B151"/>
    <mergeCell ref="A156:H156"/>
    <mergeCell ref="B169:H169"/>
    <mergeCell ref="B165:H165"/>
    <mergeCell ref="A148:B148"/>
    <mergeCell ref="B166:H166"/>
    <mergeCell ref="A144:B144"/>
    <mergeCell ref="B171:H171"/>
    <mergeCell ref="C115:D115"/>
    <mergeCell ref="E115:F115"/>
    <mergeCell ref="B167:H167"/>
    <mergeCell ref="B164:H164"/>
    <mergeCell ref="B160:H160"/>
    <mergeCell ref="A154:B154"/>
    <mergeCell ref="A152:B152"/>
    <mergeCell ref="A153:B153"/>
    <mergeCell ref="A155:B155"/>
    <mergeCell ref="B158:H158"/>
    <mergeCell ref="B159:H159"/>
    <mergeCell ref="B161:H161"/>
    <mergeCell ref="B162:H162"/>
    <mergeCell ref="A157:H157"/>
    <mergeCell ref="A150:B150"/>
    <mergeCell ref="A123:B123"/>
    <mergeCell ref="A133:B133"/>
    <mergeCell ref="C118:C119"/>
    <mergeCell ref="B126:B127"/>
    <mergeCell ref="A177:H177"/>
    <mergeCell ref="A174:H174"/>
    <mergeCell ref="A134:B134"/>
    <mergeCell ref="A112:B112"/>
    <mergeCell ref="D126:D127"/>
    <mergeCell ref="E126:E127"/>
    <mergeCell ref="A89:B89"/>
    <mergeCell ref="A90:B90"/>
    <mergeCell ref="A91:B91"/>
    <mergeCell ref="F96:H96"/>
    <mergeCell ref="G109:H109"/>
    <mergeCell ref="F102:H102"/>
    <mergeCell ref="C108:D108"/>
    <mergeCell ref="C114:D114"/>
    <mergeCell ref="A128:H128"/>
    <mergeCell ref="A143:B143"/>
    <mergeCell ref="A141:B141"/>
    <mergeCell ref="A117:H117"/>
    <mergeCell ref="G108:H108"/>
    <mergeCell ref="A122:B122"/>
    <mergeCell ref="E108:F108"/>
    <mergeCell ref="A108:B108"/>
    <mergeCell ref="C112:D112"/>
    <mergeCell ref="A115:B115"/>
    <mergeCell ref="C54:E54"/>
    <mergeCell ref="D56:H56"/>
    <mergeCell ref="F104:H104"/>
    <mergeCell ref="D64:H64"/>
    <mergeCell ref="A65:C65"/>
    <mergeCell ref="E43:H43"/>
    <mergeCell ref="A43:D43"/>
    <mergeCell ref="A81:B81"/>
    <mergeCell ref="C81:H81"/>
    <mergeCell ref="A76:B76"/>
    <mergeCell ref="A50:B50"/>
    <mergeCell ref="E84:F84"/>
    <mergeCell ref="G84:H84"/>
    <mergeCell ref="A101:E101"/>
    <mergeCell ref="F101:H101"/>
    <mergeCell ref="A103:E103"/>
    <mergeCell ref="F98:H98"/>
    <mergeCell ref="A102:E102"/>
    <mergeCell ref="E85:F94"/>
    <mergeCell ref="A92:B92"/>
    <mergeCell ref="A93:B93"/>
    <mergeCell ref="A100:E100"/>
    <mergeCell ref="A51:B51"/>
    <mergeCell ref="G70:H70"/>
    <mergeCell ref="A55:H55"/>
    <mergeCell ref="A56:C56"/>
    <mergeCell ref="A57:C57"/>
    <mergeCell ref="D57:H57"/>
    <mergeCell ref="G54:H54"/>
    <mergeCell ref="C53:H53"/>
    <mergeCell ref="I15:P15"/>
    <mergeCell ref="F103:H103"/>
    <mergeCell ref="A94:B94"/>
    <mergeCell ref="A75:B75"/>
    <mergeCell ref="A62:C62"/>
    <mergeCell ref="D62:H62"/>
    <mergeCell ref="C69:H69"/>
    <mergeCell ref="A72:B72"/>
    <mergeCell ref="A74:B74"/>
    <mergeCell ref="E70:F70"/>
    <mergeCell ref="A63:C63"/>
    <mergeCell ref="D63:H63"/>
    <mergeCell ref="A66:C66"/>
    <mergeCell ref="D66:H66"/>
    <mergeCell ref="A64:C64"/>
    <mergeCell ref="D65:H65"/>
    <mergeCell ref="A71:B71"/>
    <mergeCell ref="A54:B54"/>
  </mergeCells>
  <dataValidations count="14">
    <dataValidation type="list" allowBlank="1" showInputMessage="1" showErrorMessage="1" sqref="E5:H5" xr:uid="{00000000-0002-0000-0000-000000000000}">
      <formula1>OFFSET($L$3,1,MATCH($E4,$L$3:$P$3,0)-1,10,1)</formula1>
    </dataValidation>
    <dataValidation type="list" allowBlank="1" showInputMessage="1" showErrorMessage="1" sqref="A17:B17" xr:uid="{00000000-0002-0000-0000-000001000000}">
      <formula1>"CTS No,Survey No,Plot No,Gut No,FP No,"</formula1>
    </dataValidation>
    <dataValidation type="list" allowBlank="1" showInputMessage="1" showErrorMessage="1" sqref="G20:H20" xr:uid="{00000000-0002-0000-0000-000002000000}">
      <formula1>$S$13:$W$13</formula1>
    </dataValidation>
    <dataValidation type="list" allowBlank="1" showInputMessage="1" showErrorMessage="1" sqref="E118:E119" xr:uid="{00000000-0002-0000-0000-000003000000}">
      <formula1>"Attached Loft area,Attached Otla area,Attached Mezzanine area"</formula1>
    </dataValidation>
    <dataValidation type="list" allowBlank="1" showInputMessage="1" showErrorMessage="1" sqref="F95:H95" xr:uid="{00000000-0002-0000-0000-000004000000}">
      <formula1>"On Saleable Area,On Builtup Area,On Carpet Area,On Plot Area"</formula1>
    </dataValidation>
    <dataValidation type="list" allowBlank="1" showInputMessage="1" showErrorMessage="1" sqref="F105:H105" xr:uid="{00000000-0002-0000-0000-000005000000}">
      <formula1>"100000,150000,200000,250000,300000,350000,400000,500000,600000,700000,800000,900000,1000000,1200000,1400000,1500000"</formula1>
    </dataValidation>
    <dataValidation type="list" allowBlank="1" showInputMessage="1" showErrorMessage="1" sqref="B118:B119" xr:uid="{00000000-0002-0000-0000-000006000000}">
      <formula1>"Shop No. (Sale Plan),Sale / Rehab,Sale / Mhada"</formula1>
    </dataValidation>
    <dataValidation type="list" allowBlank="1" showInputMessage="1" showErrorMessage="1" sqref="B126:B127" xr:uid="{00000000-0002-0000-0000-000007000000}">
      <formula1>"Flat No. (Sale Plan),Sale / Rehab,Sale / Mhada"</formula1>
    </dataValidation>
    <dataValidation type="list" allowBlank="1" showInputMessage="1" showErrorMessage="1" sqref="C21:D21" xr:uid="{00000000-0002-0000-0000-000008000000}">
      <formula1>OFFSET($S$13,1,MATCH($G20,$S$13:$W$13,0)-1,15,1)</formula1>
    </dataValidation>
    <dataValidation type="list" allowBlank="1" showInputMessage="1" showErrorMessage="1" sqref="Y13" xr:uid="{00000000-0002-0000-0000-000009000000}">
      <formula1>$D$5:$H$5</formula1>
    </dataValidation>
    <dataValidation type="list" allowBlank="1" showInputMessage="1" showErrorMessage="1" sqref="E126:E127" xr:uid="{00000000-0002-0000-0000-00000A000000}">
      <formula1>"Fungible area,Balcony Area,Chajja Area,Cornice Area,AP Area,WS Area"</formula1>
    </dataValidation>
    <dataValidation type="list" allowBlank="1" showInputMessage="1" showErrorMessage="1" sqref="H119 H127" xr:uid="{00000000-0002-0000-0000-00000B000000}">
      <formula1>".45,.50,.55,.60"</formula1>
    </dataValidation>
    <dataValidation type="list" allowBlank="1" showInputMessage="1" showErrorMessage="1" sqref="E4:H4" xr:uid="{00000000-0002-0000-0000-00000C000000}">
      <formula1>$L$3:$P$3</formula1>
    </dataValidation>
    <dataValidation type="list" allowBlank="1" showInputMessage="1" showErrorMessage="1" sqref="C49:H49" xr:uid="{00000000-0002-0000-0000-00000D000000}">
      <formula1>OFFSET($S$49,1,MATCH($G20,$S$49:$W$49,0)-1,15,1)</formula1>
    </dataValidation>
  </dataValidations>
  <hyperlinks>
    <hyperlink ref="C40" r:id="rId1" xr:uid="{00000000-0004-0000-0000-000000000000}"/>
  </hyperlinks>
  <printOptions horizontalCentered="1"/>
  <pageMargins left="0.39370078740157483" right="0.39370078740157483" top="0.82677165354330717" bottom="0.78740157480314965" header="0.15748031496062992" footer="0.19685039370078741"/>
  <pageSetup paperSize="2" orientation="portrait" r:id="rId2"/>
  <headerFooter>
    <oddHeader>&amp;C&amp;G</oddHeader>
    <oddFooter>&amp;L&amp;"Times New Roman,Bold"&amp;12Ref No: &amp;F&amp;C&amp;G&amp;R&amp;"Times New Roman,Bold"&amp;12&amp;P</oddFooter>
  </headerFooter>
  <rowBreaks count="5" manualBreakCount="5">
    <brk id="66" max="16383" man="1"/>
    <brk id="125" max="16383" man="1"/>
    <brk id="183" max="16383" man="1"/>
    <brk id="225" max="16383" man="1"/>
    <brk id="267" max="16383" man="1"/>
  </rowBreaks>
  <drawing r:id="rId3"/>
  <legacyDrawing r:id="rId4"/>
  <legacyDrawingHF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K3" sqref="K3"/>
    </sheetView>
  </sheetViews>
  <sheetFormatPr defaultColWidth="8.6640625" defaultRowHeight="14.4" x14ac:dyDescent="0.3"/>
  <cols>
    <col min="1" max="1" width="8.6640625" style="1"/>
    <col min="2" max="2" width="22.109375" style="1" customWidth="1"/>
    <col min="3" max="3" width="37" style="1" customWidth="1"/>
    <col min="4" max="5" width="11.44140625" style="1" customWidth="1"/>
    <col min="6" max="6" width="14" style="1" customWidth="1"/>
    <col min="7" max="7" width="20" style="1" customWidth="1"/>
    <col min="8" max="8" width="16.44140625" style="1" customWidth="1"/>
    <col min="9" max="16384" width="8.6640625" style="1"/>
  </cols>
  <sheetData>
    <row r="1" spans="1:9" ht="15" customHeight="1" x14ac:dyDescent="0.3"/>
    <row r="2" spans="1:9" ht="15" customHeight="1" x14ac:dyDescent="0.3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">
      <c r="A3" s="2"/>
      <c r="B3" s="206" t="s">
        <v>104</v>
      </c>
      <c r="C3" s="206"/>
      <c r="D3" s="206"/>
      <c r="E3" s="206"/>
      <c r="F3" s="206"/>
      <c r="G3" s="206"/>
      <c r="H3" s="206"/>
    </row>
    <row r="4" spans="1:9" x14ac:dyDescent="0.3">
      <c r="A4" s="2"/>
      <c r="B4" s="3" t="s">
        <v>105</v>
      </c>
      <c r="C4" s="3" t="s">
        <v>106</v>
      </c>
      <c r="D4" s="3" t="s">
        <v>66</v>
      </c>
      <c r="E4" s="3" t="s">
        <v>107</v>
      </c>
      <c r="F4" s="3" t="s">
        <v>113</v>
      </c>
      <c r="G4" s="3" t="s">
        <v>114</v>
      </c>
      <c r="H4" s="3" t="s">
        <v>108</v>
      </c>
    </row>
    <row r="5" spans="1:9" ht="15" customHeight="1" x14ac:dyDescent="0.3">
      <c r="A5" s="2"/>
      <c r="B5" s="5" t="s">
        <v>109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">
      <c r="A6" s="2"/>
      <c r="B6" s="5" t="s">
        <v>109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">
      <c r="A7" s="2"/>
      <c r="B7" s="5" t="s">
        <v>109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">
      <c r="A8" s="2"/>
      <c r="B8" s="5" t="s">
        <v>109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">
      <c r="A9" s="2"/>
      <c r="B9" s="5" t="s">
        <v>109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">
      <c r="A10" s="2"/>
      <c r="B10" s="5" t="s">
        <v>110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">
      <c r="A11" s="2"/>
      <c r="B11" s="5" t="s">
        <v>110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">
      <c r="A12" s="2"/>
      <c r="B12" s="10" t="s">
        <v>111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">
      <c r="B13" s="10" t="s">
        <v>112</v>
      </c>
      <c r="C13" s="5"/>
      <c r="D13" s="5"/>
      <c r="E13" s="5"/>
      <c r="F13" s="12"/>
      <c r="G13" s="10"/>
      <c r="H13" s="10"/>
      <c r="I13" s="4"/>
    </row>
    <row r="14" spans="1:9" ht="15" customHeight="1" x14ac:dyDescent="0.3"/>
    <row r="15" spans="1:9" ht="15" customHeight="1" x14ac:dyDescent="0.3"/>
    <row r="16" spans="1:9" ht="15" customHeight="1" x14ac:dyDescent="0.3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3:K69"/>
  <sheetViews>
    <sheetView topLeftCell="A55" zoomScale="130" zoomScaleNormal="130" workbookViewId="0">
      <selection activeCell="C43" sqref="C43:D69"/>
    </sheetView>
  </sheetViews>
  <sheetFormatPr defaultRowHeight="14.4" x14ac:dyDescent="0.3"/>
  <cols>
    <col min="4" max="4" width="13.88671875" bestFit="1" customWidth="1"/>
    <col min="5" max="5" width="10.44140625" bestFit="1" customWidth="1"/>
    <col min="6" max="6" width="12.44140625" bestFit="1" customWidth="1"/>
    <col min="7" max="7" width="18.109375" customWidth="1"/>
    <col min="8" max="8" width="10.5546875" bestFit="1" customWidth="1"/>
  </cols>
  <sheetData>
    <row r="3" spans="2:11" x14ac:dyDescent="0.3">
      <c r="J3">
        <v>1</v>
      </c>
      <c r="K3">
        <v>2</v>
      </c>
    </row>
    <row r="4" spans="2:11" x14ac:dyDescent="0.3">
      <c r="B4" s="54"/>
      <c r="C4" s="54" t="s">
        <v>11</v>
      </c>
      <c r="D4" s="55" t="s">
        <v>174</v>
      </c>
      <c r="E4" s="55" t="s">
        <v>184</v>
      </c>
      <c r="F4" s="55" t="s">
        <v>168</v>
      </c>
      <c r="G4" s="55" t="s">
        <v>189</v>
      </c>
      <c r="H4" s="55" t="s">
        <v>207</v>
      </c>
      <c r="J4" t="s">
        <v>189</v>
      </c>
      <c r="K4" t="s">
        <v>205</v>
      </c>
    </row>
    <row r="5" spans="2:11" x14ac:dyDescent="0.3">
      <c r="B5" s="54"/>
      <c r="C5" s="54"/>
      <c r="D5" s="55" t="s">
        <v>175</v>
      </c>
      <c r="E5" s="55" t="s">
        <v>182</v>
      </c>
      <c r="F5" s="55" t="s">
        <v>204</v>
      </c>
      <c r="G5" s="55" t="s">
        <v>190</v>
      </c>
      <c r="H5" s="55" t="s">
        <v>208</v>
      </c>
    </row>
    <row r="6" spans="2:11" x14ac:dyDescent="0.3">
      <c r="B6" s="54"/>
      <c r="C6" s="54"/>
      <c r="D6" s="55" t="s">
        <v>176</v>
      </c>
      <c r="E6" s="55" t="s">
        <v>183</v>
      </c>
      <c r="F6" s="55" t="s">
        <v>205</v>
      </c>
      <c r="G6" s="55" t="s">
        <v>191</v>
      </c>
      <c r="H6" s="55" t="s">
        <v>221</v>
      </c>
    </row>
    <row r="7" spans="2:11" x14ac:dyDescent="0.3">
      <c r="B7" s="54"/>
      <c r="C7" s="54"/>
      <c r="D7" s="55" t="s">
        <v>177</v>
      </c>
      <c r="E7" s="55" t="s">
        <v>185</v>
      </c>
      <c r="F7" s="55" t="s">
        <v>206</v>
      </c>
      <c r="G7" s="55" t="s">
        <v>192</v>
      </c>
      <c r="H7" s="55" t="s">
        <v>209</v>
      </c>
    </row>
    <row r="8" spans="2:11" x14ac:dyDescent="0.3">
      <c r="B8" s="54"/>
      <c r="C8" s="54"/>
      <c r="D8" s="55" t="s">
        <v>178</v>
      </c>
      <c r="E8" s="55" t="s">
        <v>186</v>
      </c>
      <c r="F8" s="55"/>
      <c r="G8" s="55" t="s">
        <v>193</v>
      </c>
      <c r="H8" s="55" t="s">
        <v>210</v>
      </c>
    </row>
    <row r="9" spans="2:11" x14ac:dyDescent="0.3">
      <c r="B9" s="54"/>
      <c r="C9" s="54"/>
      <c r="D9" s="55" t="s">
        <v>179</v>
      </c>
      <c r="E9" s="55" t="s">
        <v>184</v>
      </c>
      <c r="F9" s="55"/>
      <c r="G9" s="55" t="s">
        <v>194</v>
      </c>
      <c r="H9" s="55" t="s">
        <v>211</v>
      </c>
    </row>
    <row r="10" spans="2:11" x14ac:dyDescent="0.3">
      <c r="B10" s="54"/>
      <c r="C10" s="54"/>
      <c r="D10" s="55" t="s">
        <v>180</v>
      </c>
      <c r="E10" s="55" t="s">
        <v>187</v>
      </c>
      <c r="F10" s="55"/>
      <c r="G10" s="55" t="s">
        <v>195</v>
      </c>
      <c r="H10" s="55" t="s">
        <v>212</v>
      </c>
    </row>
    <row r="11" spans="2:11" x14ac:dyDescent="0.3">
      <c r="B11" s="54"/>
      <c r="C11" s="54"/>
      <c r="D11" s="55" t="s">
        <v>181</v>
      </c>
      <c r="E11" s="55" t="s">
        <v>188</v>
      </c>
      <c r="F11" s="55"/>
      <c r="G11" s="55" t="s">
        <v>196</v>
      </c>
      <c r="H11" s="55" t="s">
        <v>213</v>
      </c>
    </row>
    <row r="12" spans="2:11" x14ac:dyDescent="0.3">
      <c r="B12" s="54"/>
      <c r="C12" s="54"/>
      <c r="D12" s="55"/>
      <c r="E12" s="55"/>
      <c r="F12" s="55"/>
      <c r="G12" s="55" t="s">
        <v>197</v>
      </c>
      <c r="H12" s="55" t="s">
        <v>214</v>
      </c>
    </row>
    <row r="13" spans="2:11" x14ac:dyDescent="0.3">
      <c r="B13" s="54"/>
      <c r="C13" s="54"/>
      <c r="D13" s="55"/>
      <c r="E13" s="55"/>
      <c r="F13" s="55"/>
      <c r="G13" s="55" t="s">
        <v>198</v>
      </c>
      <c r="H13" s="55" t="s">
        <v>215</v>
      </c>
    </row>
    <row r="14" spans="2:11" x14ac:dyDescent="0.3">
      <c r="B14" s="54"/>
      <c r="C14" s="54"/>
      <c r="D14" s="55"/>
      <c r="E14" s="55"/>
      <c r="F14" s="55"/>
      <c r="G14" s="55" t="s">
        <v>199</v>
      </c>
      <c r="H14" s="55" t="s">
        <v>216</v>
      </c>
    </row>
    <row r="15" spans="2:11" x14ac:dyDescent="0.3">
      <c r="B15" s="54"/>
      <c r="C15" s="54"/>
      <c r="D15" s="55"/>
      <c r="E15" s="55"/>
      <c r="F15" s="55"/>
      <c r="G15" s="55" t="s">
        <v>200</v>
      </c>
      <c r="H15" s="55" t="s">
        <v>217</v>
      </c>
    </row>
    <row r="16" spans="2:11" x14ac:dyDescent="0.3">
      <c r="B16" s="54"/>
      <c r="C16" s="54"/>
      <c r="D16" s="55"/>
      <c r="E16" s="55"/>
      <c r="F16" s="55"/>
      <c r="G16" s="55" t="s">
        <v>201</v>
      </c>
      <c r="H16" s="55" t="s">
        <v>218</v>
      </c>
    </row>
    <row r="17" spans="2:8" x14ac:dyDescent="0.3">
      <c r="B17" s="54"/>
      <c r="C17" s="54"/>
      <c r="D17" s="55"/>
      <c r="E17" s="55"/>
      <c r="F17" s="55"/>
      <c r="G17" s="55" t="s">
        <v>202</v>
      </c>
      <c r="H17" s="55" t="s">
        <v>219</v>
      </c>
    </row>
    <row r="18" spans="2:8" x14ac:dyDescent="0.3">
      <c r="B18" s="54"/>
      <c r="C18" s="54"/>
      <c r="D18" s="55"/>
      <c r="E18" s="55"/>
      <c r="F18" s="55"/>
      <c r="G18" s="55" t="s">
        <v>203</v>
      </c>
      <c r="H18" s="55" t="s">
        <v>220</v>
      </c>
    </row>
    <row r="24" spans="2:8" x14ac:dyDescent="0.3">
      <c r="C24" t="s">
        <v>165</v>
      </c>
    </row>
    <row r="25" spans="2:8" x14ac:dyDescent="0.3">
      <c r="C25" t="s">
        <v>222</v>
      </c>
    </row>
    <row r="26" spans="2:8" x14ac:dyDescent="0.3">
      <c r="C26" t="s">
        <v>223</v>
      </c>
    </row>
    <row r="27" spans="2:8" x14ac:dyDescent="0.3">
      <c r="C27" t="s">
        <v>224</v>
      </c>
    </row>
    <row r="28" spans="2:8" x14ac:dyDescent="0.3">
      <c r="C28" t="s">
        <v>225</v>
      </c>
    </row>
    <row r="29" spans="2:8" x14ac:dyDescent="0.3">
      <c r="C29" t="s">
        <v>226</v>
      </c>
    </row>
    <row r="30" spans="2:8" x14ac:dyDescent="0.3">
      <c r="C30" t="s">
        <v>165</v>
      </c>
    </row>
    <row r="33" spans="3:11" x14ac:dyDescent="0.3">
      <c r="J33">
        <v>1</v>
      </c>
      <c r="K33">
        <v>2</v>
      </c>
    </row>
    <row r="34" spans="3:11" x14ac:dyDescent="0.3">
      <c r="C34" s="56" t="s">
        <v>233</v>
      </c>
      <c r="D34" s="55" t="s">
        <v>231</v>
      </c>
      <c r="E34" s="55" t="s">
        <v>236</v>
      </c>
      <c r="F34" s="55" t="s">
        <v>234</v>
      </c>
      <c r="G34" s="55" t="s">
        <v>235</v>
      </c>
      <c r="H34" s="55" t="s">
        <v>237</v>
      </c>
      <c r="J34" t="s">
        <v>189</v>
      </c>
      <c r="K34" t="s">
        <v>205</v>
      </c>
    </row>
    <row r="35" spans="3:11" x14ac:dyDescent="0.3">
      <c r="C35" s="54" t="s">
        <v>232</v>
      </c>
      <c r="D35" s="55" t="s">
        <v>166</v>
      </c>
      <c r="E35" s="55" t="s">
        <v>241</v>
      </c>
      <c r="F35" s="55" t="s">
        <v>243</v>
      </c>
      <c r="G35" s="55" t="s">
        <v>245</v>
      </c>
      <c r="H35" s="55"/>
    </row>
    <row r="36" spans="3:11" x14ac:dyDescent="0.3">
      <c r="C36" s="54"/>
      <c r="D36" s="55" t="s">
        <v>238</v>
      </c>
      <c r="E36" s="55" t="s">
        <v>242</v>
      </c>
      <c r="F36" s="55" t="s">
        <v>244</v>
      </c>
      <c r="G36" s="55" t="s">
        <v>246</v>
      </c>
      <c r="H36" s="55"/>
    </row>
    <row r="37" spans="3:11" x14ac:dyDescent="0.3">
      <c r="C37" s="54"/>
      <c r="D37" s="55" t="s">
        <v>239</v>
      </c>
      <c r="E37" s="55"/>
      <c r="F37" s="55"/>
      <c r="G37" s="55" t="s">
        <v>247</v>
      </c>
      <c r="H37" s="55"/>
    </row>
    <row r="38" spans="3:11" x14ac:dyDescent="0.3">
      <c r="C38" s="54"/>
      <c r="D38" s="55" t="s">
        <v>240</v>
      </c>
      <c r="E38" s="55"/>
      <c r="F38" s="55"/>
      <c r="G38" s="55" t="s">
        <v>247</v>
      </c>
      <c r="H38" s="55"/>
    </row>
    <row r="39" spans="3:11" x14ac:dyDescent="0.3">
      <c r="C39" s="54"/>
      <c r="D39" s="55"/>
      <c r="E39" s="55"/>
      <c r="F39" s="55"/>
      <c r="G39" s="55" t="s">
        <v>248</v>
      </c>
      <c r="H39" s="55"/>
    </row>
    <row r="40" spans="3:11" x14ac:dyDescent="0.3">
      <c r="C40" s="54"/>
      <c r="D40" s="55"/>
      <c r="E40" s="55"/>
      <c r="F40" s="55"/>
      <c r="G40" s="55" t="s">
        <v>249</v>
      </c>
      <c r="H40" s="55"/>
    </row>
    <row r="41" spans="3:11" x14ac:dyDescent="0.3">
      <c r="C41" s="54"/>
      <c r="D41" s="55"/>
      <c r="E41" s="55"/>
      <c r="F41" s="55"/>
      <c r="G41" s="55"/>
      <c r="H41" s="55"/>
    </row>
    <row r="43" spans="3:11" x14ac:dyDescent="0.3">
      <c r="C43" t="s">
        <v>250</v>
      </c>
    </row>
    <row r="44" spans="3:11" x14ac:dyDescent="0.3">
      <c r="C44" t="s">
        <v>168</v>
      </c>
      <c r="D44" t="s">
        <v>251</v>
      </c>
    </row>
    <row r="45" spans="3:11" x14ac:dyDescent="0.3">
      <c r="D45" t="s">
        <v>252</v>
      </c>
    </row>
    <row r="46" spans="3:11" x14ac:dyDescent="0.3">
      <c r="D46" t="s">
        <v>253</v>
      </c>
    </row>
    <row r="47" spans="3:11" x14ac:dyDescent="0.3">
      <c r="D47" t="s">
        <v>254</v>
      </c>
    </row>
    <row r="48" spans="3:11" x14ac:dyDescent="0.3">
      <c r="D48" t="s">
        <v>255</v>
      </c>
    </row>
    <row r="49" spans="3:4" x14ac:dyDescent="0.3">
      <c r="C49" t="s">
        <v>174</v>
      </c>
      <c r="D49" t="s">
        <v>256</v>
      </c>
    </row>
    <row r="50" spans="3:4" x14ac:dyDescent="0.3">
      <c r="D50" t="s">
        <v>257</v>
      </c>
    </row>
    <row r="51" spans="3:4" x14ac:dyDescent="0.3">
      <c r="D51" t="s">
        <v>258</v>
      </c>
    </row>
    <row r="52" spans="3:4" x14ac:dyDescent="0.3">
      <c r="D52" t="s">
        <v>261</v>
      </c>
    </row>
    <row r="53" spans="3:4" x14ac:dyDescent="0.3">
      <c r="D53" t="s">
        <v>259</v>
      </c>
    </row>
    <row r="54" spans="3:4" x14ac:dyDescent="0.3">
      <c r="D54" t="s">
        <v>260</v>
      </c>
    </row>
    <row r="55" spans="3:4" x14ac:dyDescent="0.3">
      <c r="D55" t="s">
        <v>262</v>
      </c>
    </row>
    <row r="56" spans="3:4" x14ac:dyDescent="0.3">
      <c r="D56" t="s">
        <v>263</v>
      </c>
    </row>
    <row r="57" spans="3:4" x14ac:dyDescent="0.3">
      <c r="D57" t="s">
        <v>264</v>
      </c>
    </row>
    <row r="58" spans="3:4" x14ac:dyDescent="0.3">
      <c r="D58" t="s">
        <v>266</v>
      </c>
    </row>
    <row r="59" spans="3:4" x14ac:dyDescent="0.3">
      <c r="D59" t="s">
        <v>275</v>
      </c>
    </row>
    <row r="60" spans="3:4" x14ac:dyDescent="0.3">
      <c r="C60" t="s">
        <v>189</v>
      </c>
      <c r="D60" t="s">
        <v>267</v>
      </c>
    </row>
    <row r="61" spans="3:4" x14ac:dyDescent="0.3">
      <c r="D61" t="s">
        <v>265</v>
      </c>
    </row>
    <row r="62" spans="3:4" x14ac:dyDescent="0.3">
      <c r="D62" t="s">
        <v>255</v>
      </c>
    </row>
    <row r="63" spans="3:4" x14ac:dyDescent="0.3">
      <c r="D63" t="s">
        <v>268</v>
      </c>
    </row>
    <row r="64" spans="3:4" x14ac:dyDescent="0.3">
      <c r="D64" t="s">
        <v>269</v>
      </c>
    </row>
    <row r="65" spans="3:4" x14ac:dyDescent="0.3">
      <c r="D65" t="s">
        <v>270</v>
      </c>
    </row>
    <row r="66" spans="3:4" x14ac:dyDescent="0.3">
      <c r="D66" t="s">
        <v>271</v>
      </c>
    </row>
    <row r="67" spans="3:4" x14ac:dyDescent="0.3">
      <c r="C67" t="s">
        <v>184</v>
      </c>
      <c r="D67" t="s">
        <v>272</v>
      </c>
    </row>
    <row r="68" spans="3:4" x14ac:dyDescent="0.3">
      <c r="D68" t="s">
        <v>273</v>
      </c>
    </row>
    <row r="69" spans="3:4" x14ac:dyDescent="0.3">
      <c r="D69" t="s">
        <v>274</v>
      </c>
    </row>
  </sheetData>
  <dataValidations count="2">
    <dataValidation type="list" allowBlank="1" showInputMessage="1" showErrorMessage="1" sqref="J4 J34" xr:uid="{00000000-0002-0000-0200-000000000000}">
      <formula1>$D$4:$H$4</formula1>
    </dataValidation>
    <dataValidation type="list" allowBlank="1" showInputMessage="1" showErrorMessage="1" sqref="K4 K34" xr:uid="{00000000-0002-0000-0200-000001000000}">
      <formula1>OFFSET($D$4,1,MATCH($J4,$D$4:$H$4,0)-1,15,1)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Research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USER</cp:lastModifiedBy>
  <cp:lastPrinted>2025-09-11T13:02:43Z</cp:lastPrinted>
  <dcterms:created xsi:type="dcterms:W3CDTF">2019-07-16T09:29:46Z</dcterms:created>
  <dcterms:modified xsi:type="dcterms:W3CDTF">2025-09-11T13:04:50Z</dcterms:modified>
</cp:coreProperties>
</file>