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578CB0F2-105F-48EF-8B9D-D240082D8B15}"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Report!$A$1:$H$434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5" i="1" l="1"/>
  <c r="E3" i="1"/>
  <c r="J173" i="1" l="1"/>
  <c r="A195" i="1" l="1"/>
  <c r="A196" i="1" s="1"/>
  <c r="A197" i="1" s="1"/>
  <c r="A198" i="1" s="1"/>
  <c r="A199" i="1" s="1"/>
  <c r="A200" i="1" s="1"/>
  <c r="A201" i="1" s="1"/>
  <c r="A202" i="1" s="1"/>
  <c r="A203" i="1" s="1"/>
  <c r="A204" i="1" s="1"/>
  <c r="A205" i="1" s="1"/>
  <c r="I205" i="1" l="1"/>
  <c r="G152" i="1" l="1"/>
  <c r="G151" i="1"/>
  <c r="E192" i="1" l="1"/>
  <c r="E191" i="1"/>
  <c r="E190" i="1"/>
  <c r="E189" i="1"/>
  <c r="E188" i="1"/>
  <c r="E187" i="1"/>
  <c r="E185" i="1"/>
  <c r="E184" i="1"/>
  <c r="E183" i="1"/>
  <c r="E182" i="1"/>
  <c r="E181" i="1"/>
  <c r="E180" i="1"/>
  <c r="E176" i="1"/>
  <c r="E175" i="1"/>
  <c r="E174" i="1"/>
  <c r="E172" i="1"/>
  <c r="E171" i="1"/>
  <c r="E170" i="1"/>
  <c r="D192" i="1" l="1"/>
  <c r="F192" i="1" s="1"/>
  <c r="J192" i="1" s="1"/>
  <c r="D191" i="1"/>
  <c r="F191" i="1" s="1"/>
  <c r="J191" i="1" s="1"/>
  <c r="D190" i="1"/>
  <c r="F190" i="1" s="1"/>
  <c r="J190" i="1" s="1"/>
  <c r="D189" i="1"/>
  <c r="F189" i="1" s="1"/>
  <c r="J189" i="1" s="1"/>
  <c r="D188" i="1"/>
  <c r="F188" i="1" s="1"/>
  <c r="J188" i="1" s="1"/>
  <c r="D187" i="1"/>
  <c r="F187" i="1" s="1"/>
  <c r="J187" i="1" s="1"/>
  <c r="D185" i="1"/>
  <c r="D184" i="1"/>
  <c r="D183" i="1"/>
  <c r="D182" i="1"/>
  <c r="D181" i="1"/>
  <c r="D180" i="1"/>
  <c r="D172" i="1"/>
  <c r="D171" i="1"/>
  <c r="D170" i="1"/>
  <c r="K192" i="1"/>
  <c r="I192" i="1"/>
  <c r="K191" i="1"/>
  <c r="I191" i="1"/>
  <c r="K190" i="1"/>
  <c r="I190" i="1"/>
  <c r="K189" i="1"/>
  <c r="I189" i="1"/>
  <c r="K188" i="1"/>
  <c r="I188" i="1"/>
  <c r="A188" i="1"/>
  <c r="A189" i="1" s="1"/>
  <c r="A190" i="1" s="1"/>
  <c r="A191" i="1" s="1"/>
  <c r="A192" i="1" s="1"/>
  <c r="K187" i="1"/>
  <c r="I187" i="1"/>
  <c r="D176" i="1"/>
  <c r="F176" i="1" s="1"/>
  <c r="J176" i="1" s="1"/>
  <c r="D175" i="1"/>
  <c r="F175" i="1" s="1"/>
  <c r="J175" i="1" s="1"/>
  <c r="D174" i="1"/>
  <c r="F174" i="1" s="1"/>
  <c r="J174" i="1" s="1"/>
  <c r="I175" i="1"/>
  <c r="A175" i="1"/>
  <c r="A176" i="1" s="1"/>
  <c r="I174" i="1"/>
  <c r="D62" i="1"/>
  <c r="I62" i="1"/>
  <c r="I46" i="1"/>
  <c r="I43" i="1"/>
  <c r="M51" i="1"/>
  <c r="M52" i="1" s="1"/>
  <c r="I51" i="1"/>
  <c r="L191" i="1" l="1"/>
  <c r="L192" i="1"/>
  <c r="L190" i="1"/>
  <c r="L189" i="1"/>
  <c r="L187" i="1"/>
  <c r="L188" i="1"/>
  <c r="C152" i="1"/>
  <c r="C151" i="1"/>
  <c r="I44" i="1"/>
  <c r="I45" i="1" s="1"/>
  <c r="I183" i="1"/>
  <c r="I184" i="1"/>
  <c r="I182" i="1"/>
  <c r="I180" i="1"/>
  <c r="I185" i="1"/>
  <c r="I181" i="1"/>
  <c r="I171" i="1"/>
  <c r="G154" i="1" l="1"/>
  <c r="K180" i="1"/>
  <c r="K181" i="1"/>
  <c r="K182" i="1"/>
  <c r="K183" i="1"/>
  <c r="K184" i="1"/>
  <c r="K185" i="1"/>
  <c r="I170" i="1"/>
  <c r="F181" i="1"/>
  <c r="J181" i="1" s="1"/>
  <c r="C154" i="1"/>
  <c r="F185" i="1"/>
  <c r="J185" i="1" s="1"/>
  <c r="F183" i="1"/>
  <c r="J183" i="1" s="1"/>
  <c r="A181" i="1"/>
  <c r="A182" i="1" s="1"/>
  <c r="A183" i="1" s="1"/>
  <c r="A184" i="1" s="1"/>
  <c r="A185" i="1" s="1"/>
  <c r="L181" i="1" l="1"/>
  <c r="F182" i="1"/>
  <c r="J182" i="1" s="1"/>
  <c r="F184" i="1"/>
  <c r="L184" i="1" s="1"/>
  <c r="F180" i="1"/>
  <c r="J180" i="1" s="1"/>
  <c r="L185" i="1"/>
  <c r="L183" i="1"/>
  <c r="E152" i="1" l="1"/>
  <c r="J184" i="1"/>
  <c r="L182" i="1"/>
  <c r="L180" i="1"/>
  <c r="B195" i="1"/>
  <c r="F161" i="1" l="1"/>
  <c r="H161" i="1" s="1"/>
  <c r="F162" i="1"/>
  <c r="H162" i="1" s="1"/>
  <c r="F163" i="1"/>
  <c r="H163" i="1" s="1"/>
  <c r="F160" i="1"/>
  <c r="H160" i="1" s="1"/>
  <c r="G58" i="1" l="1"/>
  <c r="C58" i="1"/>
  <c r="G56" i="1"/>
  <c r="C56" i="1"/>
  <c r="C54" i="1"/>
  <c r="S33" i="1" l="1"/>
  <c r="F11" i="5" l="1"/>
  <c r="G11" i="5" s="1"/>
  <c r="F10" i="5"/>
  <c r="G10" i="5" s="1"/>
  <c r="F9" i="5"/>
  <c r="G9" i="5" s="1"/>
  <c r="F8" i="5"/>
  <c r="G8" i="5" s="1"/>
  <c r="F7" i="5"/>
  <c r="G7" i="5" s="1"/>
  <c r="F6" i="5"/>
  <c r="G6" i="5" s="1"/>
  <c r="F5" i="5"/>
  <c r="G5" i="5" s="1"/>
  <c r="G12" i="5" s="1"/>
  <c r="D220" i="1"/>
  <c r="B196" i="1"/>
  <c r="F172" i="1"/>
  <c r="J172" i="1" s="1"/>
  <c r="F171" i="1"/>
  <c r="J171" i="1" s="1"/>
  <c r="A171" i="1"/>
  <c r="A172" i="1" s="1"/>
  <c r="F170" i="1"/>
  <c r="J170" i="1" s="1"/>
  <c r="A161" i="1"/>
  <c r="A162" i="1" s="1"/>
  <c r="A163" i="1" s="1"/>
  <c r="F143" i="1"/>
  <c r="C103" i="1"/>
  <c r="C89" i="1"/>
  <c r="D69" i="1"/>
  <c r="G51" i="1"/>
  <c r="G52" i="1" s="1"/>
  <c r="C51" i="1"/>
  <c r="E44" i="1"/>
  <c r="E45" i="1" s="1"/>
  <c r="E31" i="1"/>
  <c r="E28" i="1"/>
  <c r="E26" i="1"/>
  <c r="C16" i="1"/>
  <c r="I15" i="1"/>
  <c r="Z13" i="1"/>
  <c r="E8" i="1"/>
  <c r="H90" i="1"/>
  <c r="H76" i="1"/>
  <c r="H104" i="1"/>
  <c r="E151" i="1" l="1"/>
  <c r="E154" i="1" s="1"/>
  <c r="J75" i="1"/>
  <c r="J77" i="1" s="1"/>
  <c r="J78" i="1"/>
  <c r="J79" i="1"/>
  <c r="J80" i="1"/>
  <c r="C79" i="1" s="1"/>
  <c r="J94" i="1"/>
  <c r="E93" i="1"/>
  <c r="D98" i="1"/>
  <c r="D100" i="1"/>
  <c r="D94" i="1"/>
  <c r="J93" i="1"/>
  <c r="D99" i="1"/>
  <c r="J89" i="1"/>
  <c r="J91" i="1" s="1"/>
  <c r="D97" i="1"/>
  <c r="J92" i="1"/>
  <c r="D96" i="1"/>
  <c r="D102" i="1"/>
  <c r="D101" i="1"/>
  <c r="D95" i="1"/>
  <c r="D83" i="1"/>
  <c r="D85" i="1"/>
  <c r="D84" i="1"/>
  <c r="D88" i="1"/>
  <c r="D82" i="1"/>
  <c r="D87" i="1"/>
  <c r="D81" i="1"/>
  <c r="D86" i="1"/>
  <c r="C109" i="1"/>
  <c r="J103" i="1" s="1"/>
  <c r="J105" i="1" s="1"/>
  <c r="D112" i="1"/>
  <c r="D114" i="1"/>
  <c r="J108" i="1"/>
  <c r="C107" i="1" s="1"/>
  <c r="D107" i="1" s="1"/>
  <c r="D113" i="1"/>
  <c r="J107" i="1"/>
  <c r="D111" i="1"/>
  <c r="J106" i="1"/>
  <c r="D110" i="1"/>
  <c r="D116" i="1"/>
  <c r="D115" i="1"/>
  <c r="B104" i="1"/>
  <c r="B90" i="1"/>
  <c r="B76" i="1"/>
  <c r="J81" i="1" s="1"/>
  <c r="B118" i="1" l="1"/>
  <c r="C93" i="1"/>
  <c r="D93" i="1" s="1"/>
  <c r="I90" i="1" s="1"/>
  <c r="I91"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C80" i="1" s="1"/>
  <c r="J86" i="1"/>
  <c r="H118" i="1"/>
  <c r="J122" i="1" l="1"/>
  <c r="C121" i="1" s="1"/>
  <c r="D121" i="1" s="1"/>
  <c r="J120" i="1"/>
  <c r="J117" i="1"/>
  <c r="J119" i="1" s="1"/>
  <c r="D130" i="1"/>
  <c r="D126" i="1"/>
  <c r="D128" i="1"/>
  <c r="D127" i="1"/>
  <c r="D123" i="1"/>
  <c r="D125" i="1"/>
  <c r="J121" i="1"/>
  <c r="D129" i="1"/>
  <c r="D124" i="1"/>
  <c r="J126" i="1"/>
  <c r="J128" i="1"/>
  <c r="J127" i="1"/>
  <c r="J125" i="1"/>
  <c r="J123" i="1"/>
  <c r="J124" i="1" s="1"/>
  <c r="J129" i="1" s="1"/>
  <c r="J130" i="1" s="1"/>
  <c r="C122" i="1" s="1"/>
  <c r="G93" i="1"/>
  <c r="J76" i="1"/>
  <c r="J101" i="1"/>
  <c r="J102" i="1" s="1"/>
  <c r="J90" i="1" s="1"/>
  <c r="I89" i="1" s="1"/>
  <c r="C91" i="1" s="1"/>
  <c r="D108" i="1"/>
  <c r="I104" i="1" s="1"/>
  <c r="J104" i="1"/>
  <c r="G107" i="1"/>
  <c r="E79" i="1"/>
  <c r="D80" i="1"/>
  <c r="I76" i="1" s="1"/>
  <c r="G79" i="1"/>
  <c r="D73" i="1" s="1"/>
  <c r="E121" i="1" l="1"/>
  <c r="D122" i="1"/>
  <c r="I118" i="1" s="1"/>
  <c r="I119" i="1" s="1"/>
  <c r="G121" i="1"/>
  <c r="J118" i="1"/>
  <c r="F74" i="1"/>
  <c r="D74" i="1"/>
  <c r="I105" i="1"/>
  <c r="I103" i="1" s="1"/>
  <c r="C105" i="1" s="1"/>
  <c r="I77" i="1"/>
  <c r="I75" i="1" s="1"/>
  <c r="C77" i="1" s="1"/>
  <c r="I117" i="1" l="1"/>
  <c r="C1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I62" authorId="0" shapeId="0" xr:uid="{00000000-0006-0000-0000-000007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36" authorId="1" shapeId="0" xr:uid="{00000000-0006-0000-0000-000008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6" authorId="1" shapeId="0" xr:uid="{00000000-0006-0000-0000-000009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<sst xmlns="http://schemas.openxmlformats.org/spreadsheetml/2006/main" count="668" uniqueCount="364">
  <si>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</si>
  <si>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</si>
  <si>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</si>
  <si>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</si>
  <si>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</si>
  <si>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</si>
  <si>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</si>
  <si>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</si>
  <si>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</si>
  <si>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</si>
  <si>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</si>
  <si>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</si>
  <si>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</si>
  <si>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</si>
  <si>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</si>
  <si>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</si>
  <si>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</si>
  <si>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</si>
  <si>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</si>
  <si>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</si>
  <si>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</si>
  <si>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</si>
  <si>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</si>
  <si>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</si>
  <si>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</si>
  <si>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</si>
  <si>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</si>
  <si>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</si>
  <si>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</si>
  <si>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</si>
  <si>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</si>
  <si>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</si>
  <si>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</si>
  <si>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</si>
  <si>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</si>
  <si>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</si>
  <si>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</si>
  <si>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</si>
  <si>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</si>
  <si>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</si>
  <si>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</si>
  <si>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</si>
  <si>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</si>
  <si>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</si>
  <si>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</si>
  <si>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</si>
  <si>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</si>
  <si>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</si>
  <si>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</si>
  <si>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</si>
  <si>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</si>
  <si>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</si>
  <si>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</si>
  <si>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</si>
  <si>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</si>
  <si>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</si>
  <si>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</si>
  <si>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</si>
  <si>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</si>
  <si>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</si>
  <si>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</si>
  <si>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</si>
  <si>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</si>
  <si>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</si>
  <si>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</si>
  <si>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</si>
  <si>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</si>
  <si>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</si>
  <si>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</si>
  <si>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</si>
  <si>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</si>
  <si>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</si>
  <si>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</si>
  <si>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</si>
  <si>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</si>
  <si>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</si>
  <si>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</si>
  <si>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</si>
  <si>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</si>
  <si>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</si>
  <si>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</si>
  <si>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</si>
  <si>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</si>
  <si>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</si>
  <si>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</si>
  <si>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</si>
  <si>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</si>
  <si>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</si>
  <si>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</si>
  <si>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</si>
  <si>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</si>
  <si>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</si>
  <si>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</si>
  <si>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</si>
  <si>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</si>
  <si>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</si>
  <si>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</si>
  <si>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</si>
  <si>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</si>
  <si>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</si>
  <si>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</si>
  <si>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</si>
  <si>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</si>
  <si>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</si>
  <si>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</si>
  <si>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</si>
  <si>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</si>
  <si>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</si>
  <si>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</si>
  <si>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</si>
  <si>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</si>
  <si>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</si>
  <si>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</si>
  <si>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</si>
  <si>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</si>
  <si>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</si>
  <si>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</si>
  <si>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</si>
  <si>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</si>
  <si>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</si>
  <si>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</si>
  <si>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</si>
  <si>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</si>
  <si>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</si>
  <si>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</si>
  <si>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</si>
  <si>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</si>
  <si>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</si>
  <si>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</si>
  <si>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</si>
  <si>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</si>
  <si>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</si>
  <si>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</si>
  <si>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</si>
  <si>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</si>
  <si>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</si>
  <si>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</si>
  <si>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</si>
  <si>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</si>
  <si>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</si>
  <si>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</si>
  <si>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</si>
  <si>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</si>
  <si>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</si>
  <si>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</si>
  <si>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</si>
  <si>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</si>
  <si>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</si>
  <si>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</si>
  <si>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</si>
  <si>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</si>
  <si>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</si>
  <si>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</si>
  <si>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</si>
  <si>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</si>
  <si>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</si>
  <si>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</si>
  <si>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</si>
  <si>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</si>
  <si>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</si>
  <si>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</si>
  <si>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</si>
  <si>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</si>
  <si>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</si>
  <si>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</si>
  <si>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</si>
  <si>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</si>
  <si>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</si>
  <si>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</si>
  <si>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</si>
  <si>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</si>
  <si>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</si>
  <si>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</si>
  <si>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</si>
  <si>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</si>
  <si>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</si>
  <si>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</si>
  <si>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</si>
  <si>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</si>
  <si>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</si>
  <si>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</si>
  <si>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</si>
  <si>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</si>
  <si>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</si>
  <si>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</si>
  <si>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</si>
  <si>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</si>
  <si>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</si>
  <si>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</si>
  <si>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</si>
  <si>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</si>
  <si>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</si>
  <si>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</si>
  <si>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</si>
  <si>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</si>
  <si>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</si>
  <si>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</si>
  <si>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</si>
  <si>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</si>
  <si>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</si>
  <si>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</si>
  <si>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</si>
  <si>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</si>
  <si>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</si>
  <si>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</si>
  <si>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</si>
  <si>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</si>
  <si>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</si>
  <si>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</si>
  <si>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</si>
  <si>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</si>
  <si>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</si>
  <si>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</si>
  <si>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</si>
  <si>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</si>
  <si>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</si>
  <si>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</si>
  <si>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</si>
  <si>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</si>
  <si>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</si>
  <si>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</si>
  <si>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</si>
  <si>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</si>
  <si>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</si>
  <si>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</si>
  <si>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</si>
  <si>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</si>
  <si>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</si>
  <si>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</si>
  <si>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</si>
  <si>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</si>
  <si>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</si>
  <si>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</si>
  <si>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</si>
  <si>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</si>
  <si>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</si>
  <si>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</si>
  <si>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</si>
  <si>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</si>
  <si>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</si>
  <si>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</si>
  <si>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</si>
  <si>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</si>
  <si>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</si>
  <si>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</si>
  <si>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</si>
  <si>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</si>
  <si>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</si>
  <si>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</si>
  <si>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</si>
  <si>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</si>
  <si>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</si>
  <si>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</si>
  <si>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</si>
  <si>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</si>
  <si>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</si>
  <si>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</si>
  <si>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</si>
  <si>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</si>
  <si>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</si>
  <si>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</si>
  <si>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</si>
  <si>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</si>
  <si>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</si>
  <si>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</si>
  <si>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</si>
  <si>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</si>
  <si>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</si>
  <si>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</si>
  <si>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</si>
  <si>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</si>
  <si>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</si>
  <si>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</si>
  <si>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</si>
  <si>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</si>
  <si>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</si>
  <si>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</si>
  <si>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</si>
  <si>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</si>
  <si>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</si>
  <si>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</si>
  <si>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</si>
  <si>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</si>
  <si>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</si>
  <si>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</si>
  <si>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</si>
  <si>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</si>
  <si>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</si>
  <si>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</si>
  <si>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</si>
  <si>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</si>
  <si>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</si>
  <si>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</si>
  <si>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</si>
  <si>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</si>
  <si>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</si>
  <si>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</si>
  <si>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</si>
  <si>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</si>
  <si>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J B Infra Projects</t>
  </si>
  <si>
    <t>J B Opera</t>
  </si>
  <si>
    <t>7738568686 / 9321897927</t>
  </si>
  <si>
    <t>Wing A &amp; B</t>
  </si>
  <si>
    <t>P52000046774</t>
  </si>
  <si>
    <t>102/3/A/3/B/2</t>
  </si>
  <si>
    <t>Adai</t>
  </si>
  <si>
    <t>19.009366,73.130769</t>
  </si>
  <si>
    <t>https://maps.app.goo.gl/kEWqV5FfDypxskkF9</t>
  </si>
  <si>
    <t>Adaigaon</t>
  </si>
  <si>
    <t>New Panvel</t>
  </si>
  <si>
    <t>Balaji Splendour</t>
  </si>
  <si>
    <t>Survey No</t>
  </si>
  <si>
    <t>3.50KM from Panvel Railway Station</t>
  </si>
  <si>
    <t>S. No. 102/3A + 3B/1</t>
  </si>
  <si>
    <t>Hissa No. 6</t>
  </si>
  <si>
    <t>Hissa No. 2</t>
  </si>
  <si>
    <t>S. No. 105</t>
  </si>
  <si>
    <t>Omkarpuram Amrapali</t>
  </si>
  <si>
    <t>Internal Road/Building</t>
  </si>
  <si>
    <t>Open Plot</t>
  </si>
  <si>
    <t>CIDCO/NAINA/Panvel/Adai/
BP-00554/CC/2022/0223</t>
  </si>
  <si>
    <t>Total Builtup Area = 1463.83 Sqm
No. Of Unit Proposed = 40</t>
  </si>
  <si>
    <t>B Wing = G + 1st to 4th Floor</t>
  </si>
  <si>
    <t>As per RERA - 31/12/2026</t>
  </si>
  <si>
    <t xml:space="preserve">Proposed Amenities : </t>
  </si>
  <si>
    <t xml:space="preserve">Details of Residential in Building   </t>
  </si>
  <si>
    <t>1st to 4th Floor For Residential</t>
  </si>
  <si>
    <t>1BHK</t>
  </si>
  <si>
    <t>Wing A</t>
  </si>
  <si>
    <t>Wing B</t>
  </si>
  <si>
    <t>RERA Carpet area</t>
  </si>
  <si>
    <t>Construction work is in process at the time of Visit (labour found)
All work completed. Wait for OC / OC received.
Work not yet Started.</t>
  </si>
  <si>
    <t>Builder Saleable Area</t>
  </si>
  <si>
    <t xml:space="preserve">Wing A </t>
  </si>
  <si>
    <t>Flats - 40</t>
  </si>
  <si>
    <t>02 Wings</t>
  </si>
  <si>
    <t>Approved Plans, CC, Sale Plans, Builder Saleable Area, Cost Sheet.</t>
  </si>
  <si>
    <t>Please provide revised approved CC, As the construction work goes beyond the CC permission.</t>
  </si>
  <si>
    <t>Internal Rd</t>
  </si>
  <si>
    <t>Vitrified tiles flooring, Granite Kitchen Platform, Decorative Entrance, etc.</t>
  </si>
  <si>
    <t>Water, MSEB, Development Charges</t>
  </si>
  <si>
    <t>Society Formation Charges + Infrastructure + Maintenance</t>
  </si>
  <si>
    <t>CIDCO/NAINA/Panvel/Adai/BP-00554/ACC/2024/0543</t>
  </si>
  <si>
    <t>Wing A &amp; B = G + 1st to 4th Floor</t>
  </si>
  <si>
    <t>Wing A &amp; B = G + 1st to 7th Floor</t>
  </si>
  <si>
    <t>2BHK</t>
  </si>
  <si>
    <t>5th to 7th Floor</t>
  </si>
  <si>
    <t>OK</t>
  </si>
  <si>
    <t>Flats - 63</t>
  </si>
  <si>
    <t xml:space="preserve">Mr. Ravindra Vishwakarma </t>
  </si>
  <si>
    <t>Balcony Area</t>
  </si>
  <si>
    <t>We considered Gross carpet area = Net carpet + Balcony Area.</t>
  </si>
  <si>
    <t>Total Builtup Area = 3199.72 Sq.M
No. of Residential Unit Proposed = 63 Nos.</t>
  </si>
  <si>
    <t>We have refered revised approved plans from RERA portal.</t>
  </si>
  <si>
    <t>We have updated revised approved plans &amp; CC on 09/06/2025.</t>
  </si>
  <si>
    <t>Mr. Mathew 7738138883</t>
  </si>
  <si>
    <t>Ground Floor For Entrance Lobby &amp; Parking</t>
  </si>
  <si>
    <t>Ground Floor For Entrance Lobby, Society Office, Meter Room, Drivers Room &amp; Parking</t>
  </si>
  <si>
    <t>Remark No. 13</t>
  </si>
  <si>
    <t>According to the flat bifurcation letter, Wing A (21 flats) &amp; Wing B, Flat No. 103, 203, 303, 403, 503, 603 &amp; 703 (7 flats) belong to J. B. Infra Developer, and Wing B (total 35 flats) belongs to Sharad Nama Patil, which is provided by the bank officials on mail, is attached below.</t>
  </si>
  <si>
    <t>sale area changed on 21/07/2025</t>
  </si>
  <si>
    <t>Wing B = G + 1st to 7th Floor</t>
  </si>
  <si>
    <t>Wing A &amp; B = Construction work is in process at the time of visit. (Very Slow Speed)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</si>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</sst>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
    <numFmt numFmtId="166" formatCode="_(* #,##0_);_(* \(#,##0\);_(* &quot;-&quot;??_);_(@_)"/>
    <numFmt numFmtId="167" formatCode="_ * #,##0_ ;_ * \-#,##0_ ;_ * &quot;-&quot;??_ ;_ @_ "/>
    <numFmt numFmtId="168" formatCode="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1" fontId="6" fillId="0" borderId="1" xfId="0"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7" fillId="0" borderId="0" xfId="1" applyFont="1" applyAlignment="1">
      <alignment vertical="center"/>
    </xf>
    <xf numFmtId="168" fontId="7" fillId="0" borderId="0" xfId="1" applyNumberFormat="1" applyFont="1" applyAlignment="1">
      <alignment horizontal="center" vertical="center"/>
    </xf>
    <xf numFmtId="0" fontId="15" fillId="0" borderId="0" xfId="0" applyFont="1" applyAlignment="1">
      <alignment horizontal="center" vertical="center"/>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67" fontId="7" fillId="0" borderId="1" xfId="9" applyNumberFormat="1" applyFont="1" applyFill="1" applyBorder="1" applyAlignment="1" applyProtection="1">
      <alignment horizontal="left" vertical="top"/>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7" fillId="0" borderId="25" xfId="0" applyFont="1" applyBorder="1" applyAlignment="1">
      <alignment horizontal="center" vertical="center" wrapText="1"/>
    </xf>
    <xf numFmtId="0" fontId="7" fillId="0" borderId="0" xfId="0" applyFont="1" applyAlignment="1">
      <alignment horizontal="center" vertical="center"/>
    </xf>
    <xf numFmtId="1" fontId="10"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32" Type="http://schemas.openxmlformats.org/officeDocument/2006/relationships/image" Target="../media/image32.jp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jp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g"/><Relationship Id="rId30" Type="http://schemas.openxmlformats.org/officeDocument/2006/relationships/image" Target="../media/image30.jpg"/></Relationships>
</file>

<file path=xl/drawings/_rels/drawing2.xml.rels><?xml version="1.0" encoding="UTF-8" standalone="yes"?>
<Relationships xmlns="http://schemas.openxmlformats.org/package/2006/relationships"><Relationship Id="rId1" Type="http://schemas.openxmlformats.org/officeDocument/2006/relationships/image" Target="../media/image3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342900</xdr:colOff>
      <xdr:row>13</xdr:row>
      <xdr:rowOff>171450</xdr:rowOff>
    </xdr:from>
    <xdr:to>
      <xdr:col>14</xdr:col>
      <xdr:colOff>561300</xdr:colOff>
      <xdr:row>15</xdr:row>
      <xdr:rowOff>455083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57975" y="3152775"/>
          <a:ext cx="5400000" cy="893233"/>
        </a:xfrm>
        <a:prstGeom prst="rect">
          <a:avLst/>
        </a:prstGeom>
      </xdr:spPr>
    </xdr:pic>
    <xdr:clientData/>
  </xdr:twoCellAnchor>
  <xdr:twoCellAnchor editAs="oneCell">
    <xdr:from>
      <xdr:col>8</xdr:col>
      <xdr:colOff>352425</xdr:colOff>
      <xdr:row>15</xdr:row>
      <xdr:rowOff>561999</xdr:rowOff>
    </xdr:from>
    <xdr:to>
      <xdr:col>14</xdr:col>
      <xdr:colOff>570825</xdr:colOff>
      <xdr:row>23</xdr:row>
      <xdr:rowOff>4634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667500" y="4152924"/>
          <a:ext cx="5400000" cy="1604810"/>
        </a:xfrm>
        <a:prstGeom prst="rect">
          <a:avLst/>
        </a:prstGeom>
      </xdr:spPr>
    </xdr:pic>
    <xdr:clientData/>
  </xdr:twoCellAnchor>
  <xdr:twoCellAnchor editAs="oneCell">
    <xdr:from>
      <xdr:col>8</xdr:col>
      <xdr:colOff>800100</xdr:colOff>
      <xdr:row>29</xdr:row>
      <xdr:rowOff>180975</xdr:rowOff>
    </xdr:from>
    <xdr:to>
      <xdr:col>10</xdr:col>
      <xdr:colOff>316050</xdr:colOff>
      <xdr:row>42</xdr:row>
      <xdr:rowOff>143632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115175" y="7210425"/>
          <a:ext cx="1440000" cy="2553457"/>
        </a:xfrm>
        <a:prstGeom prst="rect">
          <a:avLst/>
        </a:prstGeom>
        <a:ln>
          <a:solidFill>
            <a:sysClr val="windowText" lastClr="000000"/>
          </a:solidFill>
        </a:ln>
      </xdr:spPr>
    </xdr:pic>
    <xdr:clientData/>
  </xdr:twoCellAnchor>
  <xdr:twoCellAnchor editAs="oneCell">
    <xdr:from>
      <xdr:col>8</xdr:col>
      <xdr:colOff>876300</xdr:colOff>
      <xdr:row>62</xdr:row>
      <xdr:rowOff>142875</xdr:rowOff>
    </xdr:from>
    <xdr:to>
      <xdr:col>12</xdr:col>
      <xdr:colOff>203475</xdr:colOff>
      <xdr:row>71</xdr:row>
      <xdr:rowOff>168440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191375" y="13525500"/>
          <a:ext cx="2880000" cy="1635290"/>
        </a:xfrm>
        <a:prstGeom prst="rect">
          <a:avLst/>
        </a:prstGeom>
        <a:ln>
          <a:solidFill>
            <a:sysClr val="windowText" lastClr="000000"/>
          </a:solidFill>
        </a:ln>
      </xdr:spPr>
    </xdr:pic>
    <xdr:clientData/>
  </xdr:twoCellAnchor>
  <xdr:twoCellAnchor editAs="oneCell">
    <xdr:from>
      <xdr:col>12</xdr:col>
      <xdr:colOff>200025</xdr:colOff>
      <xdr:row>166</xdr:row>
      <xdr:rowOff>85725</xdr:rowOff>
    </xdr:from>
    <xdr:to>
      <xdr:col>16</xdr:col>
      <xdr:colOff>40575</xdr:colOff>
      <xdr:row>173</xdr:row>
      <xdr:rowOff>18004</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0067925" y="25231725"/>
          <a:ext cx="3060000" cy="1332454"/>
        </a:xfrm>
        <a:prstGeom prst="rect">
          <a:avLst/>
        </a:prstGeom>
      </xdr:spPr>
    </xdr:pic>
    <xdr:clientData/>
  </xdr:twoCellAnchor>
  <xdr:twoCellAnchor editAs="oneCell">
    <xdr:from>
      <xdr:col>12</xdr:col>
      <xdr:colOff>428625</xdr:colOff>
      <xdr:row>177</xdr:row>
      <xdr:rowOff>114300</xdr:rowOff>
    </xdr:from>
    <xdr:to>
      <xdr:col>16</xdr:col>
      <xdr:colOff>269175</xdr:colOff>
      <xdr:row>184</xdr:row>
      <xdr:rowOff>45225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10296525" y="26860500"/>
          <a:ext cx="3060000" cy="1331100"/>
        </a:xfrm>
        <a:prstGeom prst="rect">
          <a:avLst/>
        </a:prstGeom>
      </xdr:spPr>
    </xdr:pic>
    <xdr:clientData/>
  </xdr:twoCellAnchor>
  <xdr:twoCellAnchor>
    <xdr:from>
      <xdr:col>0</xdr:col>
      <xdr:colOff>247650</xdr:colOff>
      <xdr:row>350</xdr:row>
      <xdr:rowOff>19050</xdr:rowOff>
    </xdr:from>
    <xdr:to>
      <xdr:col>7</xdr:col>
      <xdr:colOff>450510</xdr:colOff>
      <xdr:row>387</xdr:row>
      <xdr:rowOff>66225</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247650" y="58129170"/>
          <a:ext cx="5933100" cy="7377615"/>
          <a:chOff x="413892" y="307137"/>
          <a:chExt cx="5784510" cy="7448100"/>
        </a:xfrm>
      </xdr:grpSpPr>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a:stretch>
            <a:fillRect/>
          </a:stretch>
        </xdr:blipFill>
        <xdr:spPr>
          <a:xfrm>
            <a:off x="413892" y="307137"/>
            <a:ext cx="3196119" cy="74481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tretch>
            <a:fillRect/>
          </a:stretch>
        </xdr:blipFill>
        <xdr:spPr>
          <a:xfrm>
            <a:off x="3905251" y="4155237"/>
            <a:ext cx="2293151" cy="360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a:stretch>
            <a:fillRect/>
          </a:stretch>
        </xdr:blipFill>
        <xdr:spPr>
          <a:xfrm>
            <a:off x="3905251" y="307137"/>
            <a:ext cx="2293151" cy="3600000"/>
          </a:xfrm>
          <a:prstGeom prst="rect">
            <a:avLst/>
          </a:prstGeom>
          <a:ln>
            <a:solidFill>
              <a:schemeClr val="tx1"/>
            </a:solidFill>
          </a:ln>
        </xdr:spPr>
      </xdr:pic>
      <xdr:sp macro="" textlink="">
        <xdr:nvSpPr>
          <xdr:cNvPr id="26" name="Rectangle 25">
            <a:extLst>
              <a:ext uri="{FF2B5EF4-FFF2-40B4-BE49-F238E27FC236}">
                <a16:creationId xmlns:a16="http://schemas.microsoft.com/office/drawing/2014/main" id="{00000000-0008-0000-0000-00001A000000}"/>
              </a:ext>
            </a:extLst>
          </xdr:cNvPr>
          <xdr:cNvSpPr/>
        </xdr:nvSpPr>
        <xdr:spPr>
          <a:xfrm>
            <a:off x="1009650" y="1581150"/>
            <a:ext cx="1181100" cy="15621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Rectangle 26">
            <a:extLst>
              <a:ext uri="{FF2B5EF4-FFF2-40B4-BE49-F238E27FC236}">
                <a16:creationId xmlns:a16="http://schemas.microsoft.com/office/drawing/2014/main" id="{00000000-0008-0000-0000-00001B000000}"/>
              </a:ext>
            </a:extLst>
          </xdr:cNvPr>
          <xdr:cNvSpPr/>
        </xdr:nvSpPr>
        <xdr:spPr>
          <a:xfrm>
            <a:off x="1009650" y="3202287"/>
            <a:ext cx="1695450" cy="10668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7">
            <a:extLst>
              <a:ext uri="{FF2B5EF4-FFF2-40B4-BE49-F238E27FC236}">
                <a16:creationId xmlns:a16="http://schemas.microsoft.com/office/drawing/2014/main" id="{00000000-0008-0000-0000-00001C000000}"/>
              </a:ext>
            </a:extLst>
          </xdr:cNvPr>
          <xdr:cNvSpPr txBox="1"/>
        </xdr:nvSpPr>
        <xdr:spPr>
          <a:xfrm>
            <a:off x="1126352" y="1152781"/>
            <a:ext cx="94769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9" name="TextBox 8">
            <a:extLst>
              <a:ext uri="{FF2B5EF4-FFF2-40B4-BE49-F238E27FC236}">
                <a16:creationId xmlns:a16="http://schemas.microsoft.com/office/drawing/2014/main" id="{00000000-0008-0000-0000-00001D000000}"/>
              </a:ext>
            </a:extLst>
          </xdr:cNvPr>
          <xdr:cNvSpPr txBox="1"/>
        </xdr:nvSpPr>
        <xdr:spPr>
          <a:xfrm rot="16200000">
            <a:off x="195143" y="3612460"/>
            <a:ext cx="93807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editAs="oneCell">
    <xdr:from>
      <xdr:col>1</xdr:col>
      <xdr:colOff>613275</xdr:colOff>
      <xdr:row>393</xdr:row>
      <xdr:rowOff>57150</xdr:rowOff>
    </xdr:from>
    <xdr:to>
      <xdr:col>6</xdr:col>
      <xdr:colOff>127050</xdr:colOff>
      <xdr:row>411</xdr:row>
      <xdr:rowOff>40767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375275" y="50120550"/>
          <a:ext cx="3600000" cy="3584067"/>
        </a:xfrm>
        <a:prstGeom prst="rect">
          <a:avLst/>
        </a:prstGeom>
        <a:ln>
          <a:solidFill>
            <a:schemeClr val="tx1"/>
          </a:solidFill>
        </a:ln>
      </xdr:spPr>
    </xdr:pic>
    <xdr:clientData/>
  </xdr:twoCellAnchor>
  <xdr:twoCellAnchor>
    <xdr:from>
      <xdr:col>0</xdr:col>
      <xdr:colOff>295275</xdr:colOff>
      <xdr:row>412</xdr:row>
      <xdr:rowOff>9527</xdr:rowOff>
    </xdr:from>
    <xdr:to>
      <xdr:col>7</xdr:col>
      <xdr:colOff>473625</xdr:colOff>
      <xdr:row>433</xdr:row>
      <xdr:rowOff>0</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295275" y="70403087"/>
          <a:ext cx="5908590" cy="4150993"/>
          <a:chOff x="314325" y="4019559"/>
          <a:chExt cx="5760000" cy="4289727"/>
        </a:xfrm>
      </xdr:grpSpPr>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314325" y="4019559"/>
            <a:ext cx="5760000" cy="4289727"/>
          </a:xfrm>
          <a:prstGeom prst="rect">
            <a:avLst/>
          </a:prstGeom>
          <a:ln>
            <a:solidFill>
              <a:schemeClr val="tx1"/>
            </a:solidFill>
          </a:ln>
        </xdr:spPr>
      </xdr:pic>
      <xdr:sp macro="" textlink="">
        <xdr:nvSpPr>
          <xdr:cNvPr id="33" name="Rectangle 32">
            <a:extLst>
              <a:ext uri="{FF2B5EF4-FFF2-40B4-BE49-F238E27FC236}">
                <a16:creationId xmlns:a16="http://schemas.microsoft.com/office/drawing/2014/main" id="{00000000-0008-0000-0000-000021000000}"/>
              </a:ext>
            </a:extLst>
          </xdr:cNvPr>
          <xdr:cNvSpPr/>
        </xdr:nvSpPr>
        <xdr:spPr>
          <a:xfrm rot="21014868">
            <a:off x="3209125" y="5463679"/>
            <a:ext cx="629540" cy="1296920"/>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9</xdr:col>
      <xdr:colOff>333375</xdr:colOff>
      <xdr:row>40</xdr:row>
      <xdr:rowOff>152400</xdr:rowOff>
    </xdr:from>
    <xdr:to>
      <xdr:col>13</xdr:col>
      <xdr:colOff>247263</xdr:colOff>
      <xdr:row>62</xdr:row>
      <xdr:rowOff>66146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2"/>
        <a:stretch>
          <a:fillRect/>
        </a:stretch>
      </xdr:blipFill>
      <xdr:spPr>
        <a:xfrm>
          <a:off x="7810500" y="9220200"/>
          <a:ext cx="3095238" cy="4228571"/>
        </a:xfrm>
        <a:prstGeom prst="rect">
          <a:avLst/>
        </a:prstGeom>
      </xdr:spPr>
    </xdr:pic>
    <xdr:clientData/>
  </xdr:twoCellAnchor>
  <xdr:twoCellAnchor editAs="oneCell">
    <xdr:from>
      <xdr:col>12</xdr:col>
      <xdr:colOff>180974</xdr:colOff>
      <xdr:row>164</xdr:row>
      <xdr:rowOff>133349</xdr:rowOff>
    </xdr:from>
    <xdr:to>
      <xdr:col>17</xdr:col>
      <xdr:colOff>342387</xdr:colOff>
      <xdr:row>184</xdr:row>
      <xdr:rowOff>161385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3"/>
        <a:srcRect l="2559" t="1987"/>
        <a:stretch/>
      </xdr:blipFill>
      <xdr:spPr>
        <a:xfrm>
          <a:off x="10315574" y="21374099"/>
          <a:ext cx="3990463" cy="4228561"/>
        </a:xfrm>
        <a:prstGeom prst="rect">
          <a:avLst/>
        </a:prstGeom>
      </xdr:spPr>
    </xdr:pic>
    <xdr:clientData/>
  </xdr:twoCellAnchor>
  <xdr:oneCellAnchor>
    <xdr:from>
      <xdr:col>12</xdr:col>
      <xdr:colOff>428625</xdr:colOff>
      <xdr:row>184</xdr:row>
      <xdr:rowOff>114300</xdr:rowOff>
    </xdr:from>
    <xdr:ext cx="3060000" cy="1331100"/>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a:stretch>
          <a:fillRect/>
        </a:stretch>
      </xdr:blipFill>
      <xdr:spPr>
        <a:xfrm>
          <a:off x="10296525" y="24631650"/>
          <a:ext cx="3060000" cy="1331100"/>
        </a:xfrm>
        <a:prstGeom prst="rect">
          <a:avLst/>
        </a:prstGeom>
      </xdr:spPr>
    </xdr:pic>
    <xdr:clientData/>
  </xdr:oneCellAnchor>
  <xdr:twoCellAnchor>
    <xdr:from>
      <xdr:col>8</xdr:col>
      <xdr:colOff>819150</xdr:colOff>
      <xdr:row>218</xdr:row>
      <xdr:rowOff>110489</xdr:rowOff>
    </xdr:from>
    <xdr:to>
      <xdr:col>16</xdr:col>
      <xdr:colOff>123060</xdr:colOff>
      <xdr:row>254</xdr:row>
      <xdr:rowOff>119114</xdr:rowOff>
    </xdr:to>
    <xdr:grpSp>
      <xdr:nvGrpSpPr>
        <xdr:cNvPr id="35" name="Group 34">
          <a:extLst>
            <a:ext uri="{FF2B5EF4-FFF2-40B4-BE49-F238E27FC236}">
              <a16:creationId xmlns:a16="http://schemas.microsoft.com/office/drawing/2014/main" id="{00000000-0008-0000-0000-000023000000}"/>
            </a:ext>
          </a:extLst>
        </xdr:cNvPr>
        <xdr:cNvGrpSpPr/>
      </xdr:nvGrpSpPr>
      <xdr:grpSpPr>
        <a:xfrm>
          <a:off x="7578090" y="32091629"/>
          <a:ext cx="6268590" cy="7133325"/>
          <a:chOff x="283568" y="252886"/>
          <a:chExt cx="6290864" cy="7167823"/>
        </a:xfrm>
      </xdr:grpSpPr>
      <xdr:grpSp>
        <xdr:nvGrpSpPr>
          <xdr:cNvPr id="36" name="Group 35">
            <a:extLst>
              <a:ext uri="{FF2B5EF4-FFF2-40B4-BE49-F238E27FC236}">
                <a16:creationId xmlns:a16="http://schemas.microsoft.com/office/drawing/2014/main" id="{00000000-0008-0000-0000-000024000000}"/>
              </a:ext>
            </a:extLst>
          </xdr:cNvPr>
          <xdr:cNvGrpSpPr/>
        </xdr:nvGrpSpPr>
        <xdr:grpSpPr>
          <a:xfrm>
            <a:off x="451277" y="252886"/>
            <a:ext cx="5955447" cy="2520000"/>
            <a:chOff x="2426514" y="4596286"/>
            <a:chExt cx="5955447" cy="2520000"/>
          </a:xfrm>
        </xdr:grpSpPr>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426514" y="4596286"/>
              <a:ext cx="1888031" cy="2520000"/>
            </a:xfrm>
            <a:prstGeom prst="rect">
              <a:avLst/>
            </a:prstGeom>
            <a:ln>
              <a:solidFill>
                <a:schemeClr val="tx1"/>
              </a:solidFill>
            </a:ln>
          </xdr:spPr>
        </xdr:pic>
        <xdr:grpSp>
          <xdr:nvGrpSpPr>
            <xdr:cNvPr id="47" name="Group 46">
              <a:extLst>
                <a:ext uri="{FF2B5EF4-FFF2-40B4-BE49-F238E27FC236}">
                  <a16:creationId xmlns:a16="http://schemas.microsoft.com/office/drawing/2014/main" id="{00000000-0008-0000-0000-00002F000000}"/>
                </a:ext>
              </a:extLst>
            </xdr:cNvPr>
            <xdr:cNvGrpSpPr/>
          </xdr:nvGrpSpPr>
          <xdr:grpSpPr>
            <a:xfrm>
              <a:off x="4460222" y="4596286"/>
              <a:ext cx="1930354" cy="2520000"/>
              <a:chOff x="4987324" y="0"/>
              <a:chExt cx="1930354" cy="2520000"/>
            </a:xfrm>
          </xdr:grpSpPr>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987324" y="0"/>
                <a:ext cx="1888031" cy="2520000"/>
              </a:xfrm>
              <a:prstGeom prst="rect">
                <a:avLst/>
              </a:prstGeom>
              <a:ln>
                <a:solidFill>
                  <a:schemeClr val="tx1"/>
                </a:solidFill>
              </a:ln>
            </xdr:spPr>
          </xdr:pic>
          <xdr:sp macro="" textlink="">
            <xdr:nvSpPr>
              <xdr:cNvPr id="52" name="TextBox 18">
                <a:extLst>
                  <a:ext uri="{FF2B5EF4-FFF2-40B4-BE49-F238E27FC236}">
                    <a16:creationId xmlns:a16="http://schemas.microsoft.com/office/drawing/2014/main" id="{00000000-0008-0000-0000-000034000000}"/>
                  </a:ext>
                </a:extLst>
              </xdr:cNvPr>
              <xdr:cNvSpPr txBox="1"/>
            </xdr:nvSpPr>
            <xdr:spPr>
              <a:xfrm>
                <a:off x="5943275" y="18965"/>
                <a:ext cx="9744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A</a:t>
                </a:r>
                <a:endParaRPr lang="en-IN" b="1"/>
              </a:p>
            </xdr:txBody>
          </xdr:sp>
        </xdr:grpSp>
        <xdr:grpSp>
          <xdr:nvGrpSpPr>
            <xdr:cNvPr id="48" name="Group 47">
              <a:extLst>
                <a:ext uri="{FF2B5EF4-FFF2-40B4-BE49-F238E27FC236}">
                  <a16:creationId xmlns:a16="http://schemas.microsoft.com/office/drawing/2014/main" id="{00000000-0008-0000-0000-000030000000}"/>
                </a:ext>
              </a:extLst>
            </xdr:cNvPr>
            <xdr:cNvGrpSpPr/>
          </xdr:nvGrpSpPr>
          <xdr:grpSpPr>
            <a:xfrm>
              <a:off x="6493930" y="4596286"/>
              <a:ext cx="1888031" cy="2520000"/>
              <a:chOff x="7139904" y="121884"/>
              <a:chExt cx="1888031" cy="2520000"/>
            </a:xfrm>
          </xdr:grpSpPr>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139904" y="121884"/>
                <a:ext cx="1888031" cy="2520000"/>
              </a:xfrm>
              <a:prstGeom prst="rect">
                <a:avLst/>
              </a:prstGeom>
              <a:ln>
                <a:solidFill>
                  <a:schemeClr val="tx1"/>
                </a:solidFill>
              </a:ln>
            </xdr:spPr>
          </xdr:pic>
          <xdr:sp macro="" textlink="">
            <xdr:nvSpPr>
              <xdr:cNvPr id="50" name="TextBox 19">
                <a:extLst>
                  <a:ext uri="{FF2B5EF4-FFF2-40B4-BE49-F238E27FC236}">
                    <a16:creationId xmlns:a16="http://schemas.microsoft.com/office/drawing/2014/main" id="{00000000-0008-0000-0000-000032000000}"/>
                  </a:ext>
                </a:extLst>
              </xdr:cNvPr>
              <xdr:cNvSpPr txBox="1"/>
            </xdr:nvSpPr>
            <xdr:spPr>
              <a:xfrm>
                <a:off x="7169195" y="203631"/>
                <a:ext cx="9744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grpSp>
        <xdr:nvGrpSpPr>
          <xdr:cNvPr id="37" name="Group 36">
            <a:extLst>
              <a:ext uri="{FF2B5EF4-FFF2-40B4-BE49-F238E27FC236}">
                <a16:creationId xmlns:a16="http://schemas.microsoft.com/office/drawing/2014/main" id="{00000000-0008-0000-0000-000025000000}"/>
              </a:ext>
            </a:extLst>
          </xdr:cNvPr>
          <xdr:cNvGrpSpPr/>
        </xdr:nvGrpSpPr>
        <xdr:grpSpPr>
          <a:xfrm>
            <a:off x="1468131" y="2949423"/>
            <a:ext cx="3921739" cy="2520000"/>
            <a:chOff x="2426514" y="4707886"/>
            <a:chExt cx="3921739" cy="2520000"/>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426514" y="4707886"/>
              <a:ext cx="1888031" cy="2520000"/>
            </a:xfrm>
            <a:prstGeom prst="rect">
              <a:avLst/>
            </a:prstGeom>
            <a:ln>
              <a:solidFill>
                <a:schemeClr val="tx1"/>
              </a:solidFill>
            </a:ln>
          </xdr:spPr>
        </xdr:pic>
        <xdr:grpSp>
          <xdr:nvGrpSpPr>
            <xdr:cNvPr id="43" name="Group 42">
              <a:extLst>
                <a:ext uri="{FF2B5EF4-FFF2-40B4-BE49-F238E27FC236}">
                  <a16:creationId xmlns:a16="http://schemas.microsoft.com/office/drawing/2014/main" id="{00000000-0008-0000-0000-00002B000000}"/>
                </a:ext>
              </a:extLst>
            </xdr:cNvPr>
            <xdr:cNvGrpSpPr/>
          </xdr:nvGrpSpPr>
          <xdr:grpSpPr>
            <a:xfrm>
              <a:off x="4460222" y="4707886"/>
              <a:ext cx="1888031" cy="2520000"/>
              <a:chOff x="3809796" y="3129315"/>
              <a:chExt cx="1888031" cy="2520000"/>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809796" y="3129315"/>
                <a:ext cx="1888031" cy="2520000"/>
              </a:xfrm>
              <a:prstGeom prst="rect">
                <a:avLst/>
              </a:prstGeom>
              <a:ln>
                <a:solidFill>
                  <a:schemeClr val="tx1"/>
                </a:solidFill>
              </a:ln>
            </xdr:spPr>
          </xdr:pic>
          <xdr:sp macro="" textlink="">
            <xdr:nvSpPr>
              <xdr:cNvPr id="45" name="TextBox 20">
                <a:extLst>
                  <a:ext uri="{FF2B5EF4-FFF2-40B4-BE49-F238E27FC236}">
                    <a16:creationId xmlns:a16="http://schemas.microsoft.com/office/drawing/2014/main" id="{00000000-0008-0000-0000-00002D000000}"/>
                  </a:ext>
                </a:extLst>
              </xdr:cNvPr>
              <xdr:cNvSpPr txBox="1"/>
            </xdr:nvSpPr>
            <xdr:spPr>
              <a:xfrm>
                <a:off x="4714647" y="3176498"/>
                <a:ext cx="97440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Wing B</a:t>
                </a:r>
                <a:endParaRPr lang="en-IN" b="1"/>
              </a:p>
            </xdr:txBody>
          </xdr:sp>
        </xdr:grpSp>
      </xdr:grpSp>
      <xdr:grpSp>
        <xdr:nvGrpSpPr>
          <xdr:cNvPr id="38" name="Group 37">
            <a:extLst>
              <a:ext uri="{FF2B5EF4-FFF2-40B4-BE49-F238E27FC236}">
                <a16:creationId xmlns:a16="http://schemas.microsoft.com/office/drawing/2014/main" id="{00000000-0008-0000-0000-000026000000}"/>
              </a:ext>
            </a:extLst>
          </xdr:cNvPr>
          <xdr:cNvGrpSpPr/>
        </xdr:nvGrpSpPr>
        <xdr:grpSpPr>
          <a:xfrm>
            <a:off x="283568" y="5620709"/>
            <a:ext cx="6290864" cy="1800000"/>
            <a:chOff x="567136" y="7344000"/>
            <a:chExt cx="6290864" cy="1800000"/>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460222" y="7344000"/>
              <a:ext cx="2397778"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67136" y="7344000"/>
              <a:ext cx="2397778" cy="180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038271" y="7344000"/>
              <a:ext cx="1348594" cy="1800000"/>
            </a:xfrm>
            <a:prstGeom prst="rect">
              <a:avLst/>
            </a:prstGeom>
            <a:ln>
              <a:solidFill>
                <a:schemeClr val="tx1"/>
              </a:solidFill>
            </a:ln>
          </xdr:spPr>
        </xdr:pic>
      </xdr:grpSp>
    </xdr:grpSp>
    <xdr:clientData/>
  </xdr:twoCellAnchor>
  <xdr:twoCellAnchor editAs="oneCell">
    <xdr:from>
      <xdr:col>10</xdr:col>
      <xdr:colOff>137476</xdr:colOff>
      <xdr:row>261</xdr:row>
      <xdr:rowOff>9525</xdr:rowOff>
    </xdr:from>
    <xdr:to>
      <xdr:col>13</xdr:col>
      <xdr:colOff>700398</xdr:colOff>
      <xdr:row>282</xdr:row>
      <xdr:rowOff>138525</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8643301" y="41890950"/>
          <a:ext cx="2982272" cy="4320000"/>
        </a:xfrm>
        <a:prstGeom prst="rect">
          <a:avLst/>
        </a:prstGeom>
        <a:ln>
          <a:solidFill>
            <a:schemeClr val="tx1"/>
          </a:solidFill>
        </a:ln>
      </xdr:spPr>
    </xdr:pic>
    <xdr:clientData/>
  </xdr:twoCellAnchor>
  <xdr:twoCellAnchor editAs="oneCell">
    <xdr:from>
      <xdr:col>0</xdr:col>
      <xdr:colOff>542924</xdr:colOff>
      <xdr:row>266</xdr:row>
      <xdr:rowOff>104775</xdr:rowOff>
    </xdr:from>
    <xdr:to>
      <xdr:col>7</xdr:col>
      <xdr:colOff>316827</xdr:colOff>
      <xdr:row>302</xdr:row>
      <xdr:rowOff>103875</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23" cstate="screen">
          <a:extLst>
            <a:ext uri="{28A0092B-C50C-407E-A947-70E740481C1C}">
              <a14:useLocalDpi xmlns:a14="http://schemas.microsoft.com/office/drawing/2010/main"/>
            </a:ext>
          </a:extLst>
        </a:blip>
        <a:srcRect/>
        <a:stretch/>
      </xdr:blipFill>
      <xdr:spPr>
        <a:xfrm>
          <a:off x="542924" y="42976800"/>
          <a:ext cx="5355553" cy="7200000"/>
        </a:xfrm>
        <a:prstGeom prst="rect">
          <a:avLst/>
        </a:prstGeom>
        <a:ln>
          <a:solidFill>
            <a:schemeClr val="tx1"/>
          </a:solidFill>
        </a:ln>
      </xdr:spPr>
    </xdr:pic>
    <xdr:clientData/>
  </xdr:twoCellAnchor>
  <xdr:oneCellAnchor>
    <xdr:from>
      <xdr:col>1</xdr:col>
      <xdr:colOff>23176</xdr:colOff>
      <xdr:row>306</xdr:row>
      <xdr:rowOff>180975</xdr:rowOff>
    </xdr:from>
    <xdr:ext cx="4970453" cy="7200000"/>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rotWithShape="1">
        <a:blip xmlns:r="http://schemas.openxmlformats.org/officeDocument/2006/relationships" r:embed="rId22" cstate="screen">
          <a:extLst>
            <a:ext uri="{28A0092B-C50C-407E-A947-70E740481C1C}">
              <a14:useLocalDpi xmlns:a14="http://schemas.microsoft.com/office/drawing/2010/main"/>
            </a:ext>
          </a:extLst>
        </a:blip>
        <a:srcRect/>
        <a:stretch/>
      </xdr:blipFill>
      <xdr:spPr>
        <a:xfrm>
          <a:off x="785176" y="51254025"/>
          <a:ext cx="4970453" cy="7200000"/>
        </a:xfrm>
        <a:prstGeom prst="rect">
          <a:avLst/>
        </a:prstGeom>
        <a:ln>
          <a:solidFill>
            <a:schemeClr val="tx1"/>
          </a:solidFill>
        </a:ln>
      </xdr:spPr>
    </xdr:pic>
    <xdr:clientData/>
  </xdr:oneCellAnchor>
  <xdr:twoCellAnchor>
    <xdr:from>
      <xdr:col>0</xdr:col>
      <xdr:colOff>312420</xdr:colOff>
      <xdr:row>221</xdr:row>
      <xdr:rowOff>30480</xdr:rowOff>
    </xdr:from>
    <xdr:to>
      <xdr:col>7</xdr:col>
      <xdr:colOff>629918</xdr:colOff>
      <xdr:row>258</xdr:row>
      <xdr:rowOff>32613</xdr:rowOff>
    </xdr:to>
    <xdr:grpSp>
      <xdr:nvGrpSpPr>
        <xdr:cNvPr id="5" name="Group 4">
          <a:extLst>
            <a:ext uri="{FF2B5EF4-FFF2-40B4-BE49-F238E27FC236}">
              <a16:creationId xmlns:a16="http://schemas.microsoft.com/office/drawing/2014/main" id="{3F8AA7B2-48B3-BCCB-B519-BFCCA2EB9E45}"/>
            </a:ext>
          </a:extLst>
        </xdr:cNvPr>
        <xdr:cNvGrpSpPr/>
      </xdr:nvGrpSpPr>
      <xdr:grpSpPr>
        <a:xfrm>
          <a:off x="312420" y="32605980"/>
          <a:ext cx="6047738" cy="7324953"/>
          <a:chOff x="405131" y="175261"/>
          <a:chExt cx="6047738" cy="7324953"/>
        </a:xfrm>
      </xdr:grpSpPr>
      <xdr:grpSp>
        <xdr:nvGrpSpPr>
          <xdr:cNvPr id="53" name="Group 52">
            <a:extLst>
              <a:ext uri="{FF2B5EF4-FFF2-40B4-BE49-F238E27FC236}">
                <a16:creationId xmlns:a16="http://schemas.microsoft.com/office/drawing/2014/main" id="{A13FD43E-CC56-5371-615C-95CC2579D948}"/>
              </a:ext>
            </a:extLst>
          </xdr:cNvPr>
          <xdr:cNvGrpSpPr/>
        </xdr:nvGrpSpPr>
        <xdr:grpSpPr>
          <a:xfrm>
            <a:off x="712844" y="5700214"/>
            <a:ext cx="5432312" cy="1800000"/>
            <a:chOff x="967717" y="5700214"/>
            <a:chExt cx="5432312" cy="1800000"/>
          </a:xfrm>
        </xdr:grpSpPr>
        <xdr:pic>
          <xdr:nvPicPr>
            <xdr:cNvPr id="63" name="Picture 62">
              <a:extLst>
                <a:ext uri="{FF2B5EF4-FFF2-40B4-BE49-F238E27FC236}">
                  <a16:creationId xmlns:a16="http://schemas.microsoft.com/office/drawing/2014/main" id="{7B91D16E-59E6-2059-F540-7D8D906FCDA2}"/>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967717" y="5700214"/>
              <a:ext cx="1348594" cy="1800000"/>
            </a:xfrm>
            <a:prstGeom prst="rect">
              <a:avLst/>
            </a:prstGeom>
            <a:ln>
              <a:solidFill>
                <a:schemeClr val="tx1"/>
              </a:solidFill>
            </a:ln>
          </xdr:spPr>
        </xdr:pic>
        <xdr:pic>
          <xdr:nvPicPr>
            <xdr:cNvPr id="64" name="Picture 63">
              <a:extLst>
                <a:ext uri="{FF2B5EF4-FFF2-40B4-BE49-F238E27FC236}">
                  <a16:creationId xmlns:a16="http://schemas.microsoft.com/office/drawing/2014/main" id="{80E8CC0E-73DB-B604-C5AD-B1149847C35F}"/>
                </a:ext>
              </a:extLst>
            </xdr:cNvPr>
            <xdr:cNvPicPr>
              <a:picLocks noChangeAspect="1"/>
            </xdr:cNvPicPr>
          </xdr:nvPicPr>
          <xdr:blipFill>
            <a:blip xmlns:r="http://schemas.openxmlformats.org/officeDocument/2006/relationships" r:embed="rId25" cstate="hqprint">
              <a:extLst>
                <a:ext uri="{28A0092B-C50C-407E-A947-70E740481C1C}">
                  <a14:useLocalDpi xmlns:a14="http://schemas.microsoft.com/office/drawing/2010/main"/>
                </a:ext>
              </a:extLst>
            </a:blip>
            <a:stretch>
              <a:fillRect/>
            </a:stretch>
          </xdr:blipFill>
          <xdr:spPr>
            <a:xfrm>
              <a:off x="2484984" y="5700214"/>
              <a:ext cx="1348594" cy="1800000"/>
            </a:xfrm>
            <a:prstGeom prst="rect">
              <a:avLst/>
            </a:prstGeom>
            <a:ln>
              <a:solidFill>
                <a:schemeClr val="tx1"/>
              </a:solidFill>
            </a:ln>
          </xdr:spPr>
        </xdr:pic>
        <xdr:pic>
          <xdr:nvPicPr>
            <xdr:cNvPr id="65" name="Picture 64">
              <a:extLst>
                <a:ext uri="{FF2B5EF4-FFF2-40B4-BE49-F238E27FC236}">
                  <a16:creationId xmlns:a16="http://schemas.microsoft.com/office/drawing/2014/main" id="{87B4FC7A-E72E-EC8D-03D8-095D3573970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tretch>
              <a:fillRect/>
            </a:stretch>
          </xdr:blipFill>
          <xdr:spPr>
            <a:xfrm>
              <a:off x="4002251" y="5700214"/>
              <a:ext cx="2397778" cy="1800000"/>
            </a:xfrm>
            <a:prstGeom prst="rect">
              <a:avLst/>
            </a:prstGeom>
            <a:ln>
              <a:solidFill>
                <a:schemeClr val="tx1"/>
              </a:solidFill>
            </a:ln>
          </xdr:spPr>
        </xdr:pic>
      </xdr:grpSp>
      <xdr:grpSp>
        <xdr:nvGrpSpPr>
          <xdr:cNvPr id="54" name="Group 53">
            <a:extLst>
              <a:ext uri="{FF2B5EF4-FFF2-40B4-BE49-F238E27FC236}">
                <a16:creationId xmlns:a16="http://schemas.microsoft.com/office/drawing/2014/main" id="{988DAC18-1A9C-A62C-5CA1-A8797B1163A3}"/>
              </a:ext>
            </a:extLst>
          </xdr:cNvPr>
          <xdr:cNvGrpSpPr/>
        </xdr:nvGrpSpPr>
        <xdr:grpSpPr>
          <a:xfrm>
            <a:off x="405131" y="175261"/>
            <a:ext cx="6047738" cy="5284710"/>
            <a:chOff x="405131" y="175261"/>
            <a:chExt cx="6047738" cy="5284710"/>
          </a:xfrm>
        </xdr:grpSpPr>
        <xdr:pic>
          <xdr:nvPicPr>
            <xdr:cNvPr id="55" name="Picture 54">
              <a:extLst>
                <a:ext uri="{FF2B5EF4-FFF2-40B4-BE49-F238E27FC236}">
                  <a16:creationId xmlns:a16="http://schemas.microsoft.com/office/drawing/2014/main" id="{2467992D-CE27-BF0B-43B9-2FEC17DF2C43}"/>
                </a:ext>
              </a:extLst>
            </xdr:cNvPr>
            <xdr:cNvPicPr>
              <a:picLocks noChangeAspect="1"/>
            </xdr:cNvPicPr>
          </xdr:nvPicPr>
          <xdr:blipFill>
            <a:blip xmlns:r="http://schemas.openxmlformats.org/officeDocument/2006/relationships" r:embed="rId27" cstate="hqprint">
              <a:extLst>
                <a:ext uri="{28A0092B-C50C-407E-A947-70E740481C1C}">
                  <a14:useLocalDpi xmlns:a14="http://schemas.microsoft.com/office/drawing/2010/main"/>
                </a:ext>
              </a:extLst>
            </a:blip>
            <a:stretch>
              <a:fillRect/>
            </a:stretch>
          </xdr:blipFill>
          <xdr:spPr>
            <a:xfrm>
              <a:off x="4564838" y="175261"/>
              <a:ext cx="1888031" cy="2520000"/>
            </a:xfrm>
            <a:prstGeom prst="rect">
              <a:avLst/>
            </a:prstGeom>
            <a:ln>
              <a:solidFill>
                <a:schemeClr val="tx1"/>
              </a:solidFill>
            </a:ln>
          </xdr:spPr>
        </xdr:pic>
        <xdr:pic>
          <xdr:nvPicPr>
            <xdr:cNvPr id="56" name="Picture 55">
              <a:extLst>
                <a:ext uri="{FF2B5EF4-FFF2-40B4-BE49-F238E27FC236}">
                  <a16:creationId xmlns:a16="http://schemas.microsoft.com/office/drawing/2014/main" id="{D8BE01E0-92EB-F072-3E66-E4DDB923D6AB}"/>
                </a:ext>
              </a:extLst>
            </xdr:cNvPr>
            <xdr:cNvPicPr>
              <a:picLocks noChangeAspect="1"/>
            </xdr:cNvPicPr>
          </xdr:nvPicPr>
          <xdr:blipFill>
            <a:blip xmlns:r="http://schemas.openxmlformats.org/officeDocument/2006/relationships" r:embed="rId28" cstate="hqprint">
              <a:extLst>
                <a:ext uri="{28A0092B-C50C-407E-A947-70E740481C1C}">
                  <a14:useLocalDpi xmlns:a14="http://schemas.microsoft.com/office/drawing/2010/main"/>
                </a:ext>
              </a:extLst>
            </a:blip>
            <a:stretch>
              <a:fillRect/>
            </a:stretch>
          </xdr:blipFill>
          <xdr:spPr>
            <a:xfrm>
              <a:off x="405131" y="2939970"/>
              <a:ext cx="1888031" cy="2520000"/>
            </a:xfrm>
            <a:prstGeom prst="rect">
              <a:avLst/>
            </a:prstGeom>
            <a:ln>
              <a:solidFill>
                <a:schemeClr val="tx1"/>
              </a:solidFill>
            </a:ln>
          </xdr:spPr>
        </xdr:pic>
        <xdr:pic>
          <xdr:nvPicPr>
            <xdr:cNvPr id="57" name="Picture 56">
              <a:extLst>
                <a:ext uri="{FF2B5EF4-FFF2-40B4-BE49-F238E27FC236}">
                  <a16:creationId xmlns:a16="http://schemas.microsoft.com/office/drawing/2014/main" id="{D0D92AA0-320F-A2C3-653E-3A649A1B7FB6}"/>
                </a:ext>
              </a:extLst>
            </xdr:cNvPr>
            <xdr:cNvPicPr>
              <a:picLocks noChangeAspect="1"/>
            </xdr:cNvPicPr>
          </xdr:nvPicPr>
          <xdr:blipFill>
            <a:blip xmlns:r="http://schemas.openxmlformats.org/officeDocument/2006/relationships" r:embed="rId29" cstate="hqprint">
              <a:extLst>
                <a:ext uri="{28A0092B-C50C-407E-A947-70E740481C1C}">
                  <a14:useLocalDpi xmlns:a14="http://schemas.microsoft.com/office/drawing/2010/main"/>
                </a:ext>
              </a:extLst>
            </a:blip>
            <a:stretch>
              <a:fillRect/>
            </a:stretch>
          </xdr:blipFill>
          <xdr:spPr>
            <a:xfrm>
              <a:off x="2507794" y="2939971"/>
              <a:ext cx="1888031" cy="2520000"/>
            </a:xfrm>
            <a:prstGeom prst="rect">
              <a:avLst/>
            </a:prstGeom>
            <a:ln>
              <a:solidFill>
                <a:schemeClr val="tx1"/>
              </a:solidFill>
            </a:ln>
          </xdr:spPr>
        </xdr:pic>
        <xdr:pic>
          <xdr:nvPicPr>
            <xdr:cNvPr id="58" name="Picture 57">
              <a:extLst>
                <a:ext uri="{FF2B5EF4-FFF2-40B4-BE49-F238E27FC236}">
                  <a16:creationId xmlns:a16="http://schemas.microsoft.com/office/drawing/2014/main" id="{2D77E41E-66A1-4D21-9AD7-3FB318395371}"/>
                </a:ext>
              </a:extLst>
            </xdr:cNvPr>
            <xdr:cNvPicPr>
              <a:picLocks noChangeAspect="1"/>
            </xdr:cNvPicPr>
          </xdr:nvPicPr>
          <xdr:blipFill>
            <a:blip xmlns:r="http://schemas.openxmlformats.org/officeDocument/2006/relationships" r:embed="rId30" cstate="hqprint">
              <a:extLst>
                <a:ext uri="{28A0092B-C50C-407E-A947-70E740481C1C}">
                  <a14:useLocalDpi xmlns:a14="http://schemas.microsoft.com/office/drawing/2010/main"/>
                </a:ext>
              </a:extLst>
            </a:blip>
            <a:stretch>
              <a:fillRect/>
            </a:stretch>
          </xdr:blipFill>
          <xdr:spPr>
            <a:xfrm>
              <a:off x="4564837" y="2939970"/>
              <a:ext cx="1888031" cy="2520000"/>
            </a:xfrm>
            <a:prstGeom prst="rect">
              <a:avLst/>
            </a:prstGeom>
            <a:ln>
              <a:solidFill>
                <a:schemeClr val="tx1"/>
              </a:solidFill>
            </a:ln>
          </xdr:spPr>
        </xdr:pic>
        <xdr:pic>
          <xdr:nvPicPr>
            <xdr:cNvPr id="59" name="Picture 58">
              <a:extLst>
                <a:ext uri="{FF2B5EF4-FFF2-40B4-BE49-F238E27FC236}">
                  <a16:creationId xmlns:a16="http://schemas.microsoft.com/office/drawing/2014/main" id="{EADF8D74-C4BC-75E4-BA98-143ECA7262B8}"/>
                </a:ext>
              </a:extLst>
            </xdr:cNvPr>
            <xdr:cNvPicPr>
              <a:picLocks noChangeAspect="1"/>
            </xdr:cNvPicPr>
          </xdr:nvPicPr>
          <xdr:blipFill>
            <a:blip xmlns:r="http://schemas.openxmlformats.org/officeDocument/2006/relationships" r:embed="rId31" cstate="hqprint">
              <a:extLst>
                <a:ext uri="{28A0092B-C50C-407E-A947-70E740481C1C}">
                  <a14:useLocalDpi xmlns:a14="http://schemas.microsoft.com/office/drawing/2010/main"/>
                </a:ext>
              </a:extLst>
            </a:blip>
            <a:stretch>
              <a:fillRect/>
            </a:stretch>
          </xdr:blipFill>
          <xdr:spPr>
            <a:xfrm>
              <a:off x="2484984" y="175261"/>
              <a:ext cx="1888031" cy="2520000"/>
            </a:xfrm>
            <a:prstGeom prst="rect">
              <a:avLst/>
            </a:prstGeom>
            <a:ln>
              <a:solidFill>
                <a:schemeClr val="tx1"/>
              </a:solidFill>
            </a:ln>
          </xdr:spPr>
        </xdr:pic>
        <xdr:pic>
          <xdr:nvPicPr>
            <xdr:cNvPr id="60" name="Picture 59">
              <a:extLst>
                <a:ext uri="{FF2B5EF4-FFF2-40B4-BE49-F238E27FC236}">
                  <a16:creationId xmlns:a16="http://schemas.microsoft.com/office/drawing/2014/main" id="{BF9DD1D1-35EE-5B42-67F0-2416BF47846D}"/>
                </a:ext>
              </a:extLst>
            </xdr:cNvPr>
            <xdr:cNvPicPr>
              <a:picLocks noChangeAspect="1"/>
            </xdr:cNvPicPr>
          </xdr:nvPicPr>
          <xdr:blipFill>
            <a:blip xmlns:r="http://schemas.openxmlformats.org/officeDocument/2006/relationships" r:embed="rId32" cstate="hqprint">
              <a:extLst>
                <a:ext uri="{28A0092B-C50C-407E-A947-70E740481C1C}">
                  <a14:useLocalDpi xmlns:a14="http://schemas.microsoft.com/office/drawing/2010/main"/>
                </a:ext>
              </a:extLst>
            </a:blip>
            <a:stretch>
              <a:fillRect/>
            </a:stretch>
          </xdr:blipFill>
          <xdr:spPr>
            <a:xfrm>
              <a:off x="428280" y="175261"/>
              <a:ext cx="1888031" cy="2520000"/>
            </a:xfrm>
            <a:prstGeom prst="rect">
              <a:avLst/>
            </a:prstGeom>
            <a:ln>
              <a:solidFill>
                <a:schemeClr val="tx1"/>
              </a:solidFill>
            </a:ln>
          </xdr:spPr>
        </xdr:pic>
        <xdr:sp macro="" textlink="">
          <xdr:nvSpPr>
            <xdr:cNvPr id="61" name="TextBox 23">
              <a:extLst>
                <a:ext uri="{FF2B5EF4-FFF2-40B4-BE49-F238E27FC236}">
                  <a16:creationId xmlns:a16="http://schemas.microsoft.com/office/drawing/2014/main" id="{5ED09D10-5F37-9C07-30C9-CB36AD679826}"/>
                </a:ext>
              </a:extLst>
            </xdr:cNvPr>
            <xdr:cNvSpPr txBox="1"/>
          </xdr:nvSpPr>
          <xdr:spPr>
            <a:xfrm>
              <a:off x="1426324" y="266218"/>
              <a:ext cx="88998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A wing </a:t>
              </a:r>
            </a:p>
          </xdr:txBody>
        </xdr:sp>
        <xdr:sp macro="" textlink="">
          <xdr:nvSpPr>
            <xdr:cNvPr id="62" name="TextBox 24">
              <a:extLst>
                <a:ext uri="{FF2B5EF4-FFF2-40B4-BE49-F238E27FC236}">
                  <a16:creationId xmlns:a16="http://schemas.microsoft.com/office/drawing/2014/main" id="{3EC6A3E4-649F-AB60-4608-49124B810572}"/>
                </a:ext>
              </a:extLst>
            </xdr:cNvPr>
            <xdr:cNvSpPr txBox="1"/>
          </xdr:nvSpPr>
          <xdr:spPr>
            <a:xfrm>
              <a:off x="2584566" y="175261"/>
              <a:ext cx="88998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 wing </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EWqV5FfDypxskkF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92"/>
  <sheetViews>
    <sheetView tabSelected="1" view="pageBreakPreview" zoomScaleNormal="100" zoomScaleSheetLayoutView="100" zoomScalePageLayoutView="85" workbookViewId="0">
      <selection activeCell="N429" sqref="N429"/>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7" width="11" style="40" customWidth="1"/>
    <col min="8" max="8" width="15" style="40" customWidth="1"/>
    <col min="9" max="9" width="17.44140625" style="21" customWidth="1"/>
    <col min="10" max="10" width="11.44140625" style="21" customWidth="1"/>
    <col min="11" max="11" width="10.554687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173" t="s">
        <v>161</v>
      </c>
      <c r="B1" s="173"/>
      <c r="C1" s="173"/>
      <c r="D1" s="173"/>
      <c r="E1" s="173"/>
      <c r="F1" s="173"/>
      <c r="G1" s="173"/>
      <c r="H1" s="173"/>
    </row>
    <row r="2" spans="1:26" ht="16.5" customHeight="1" x14ac:dyDescent="0.3">
      <c r="A2" s="174" t="s">
        <v>0</v>
      </c>
      <c r="B2" s="174"/>
      <c r="C2" s="174"/>
      <c r="D2" s="174"/>
      <c r="E2" s="174"/>
      <c r="F2" s="174"/>
      <c r="G2" s="174"/>
      <c r="H2" s="174"/>
    </row>
    <row r="3" spans="1:26" x14ac:dyDescent="0.3">
      <c r="A3" s="85" t="s">
        <v>1</v>
      </c>
      <c r="B3" s="85"/>
      <c r="C3" s="85"/>
      <c r="D3" s="85"/>
      <c r="E3" s="175" t="str">
        <f ca="1">TEXT(TODAY(),"DD/MM/YYYY")</f>
        <v>13/09/2025</v>
      </c>
      <c r="F3" s="175"/>
      <c r="G3" s="175"/>
      <c r="H3" s="175"/>
      <c r="K3" s="56" t="s">
        <v>233</v>
      </c>
      <c r="L3" s="53" t="s">
        <v>231</v>
      </c>
      <c r="M3" s="53" t="s">
        <v>236</v>
      </c>
      <c r="N3" s="53" t="s">
        <v>234</v>
      </c>
      <c r="O3" s="53" t="s">
        <v>235</v>
      </c>
      <c r="P3" s="53" t="s">
        <v>237</v>
      </c>
    </row>
    <row r="4" spans="1:26" ht="15" customHeight="1" x14ac:dyDescent="0.3">
      <c r="A4" s="85" t="s">
        <v>230</v>
      </c>
      <c r="B4" s="85"/>
      <c r="C4" s="85"/>
      <c r="D4" s="85"/>
      <c r="E4" s="85" t="s">
        <v>231</v>
      </c>
      <c r="F4" s="85"/>
      <c r="G4" s="85"/>
      <c r="H4" s="85"/>
      <c r="K4" s="52" t="s">
        <v>232</v>
      </c>
      <c r="L4" s="53" t="s">
        <v>168</v>
      </c>
      <c r="M4" s="53" t="s">
        <v>241</v>
      </c>
      <c r="N4" s="53" t="s">
        <v>243</v>
      </c>
      <c r="O4" s="53" t="s">
        <v>245</v>
      </c>
      <c r="P4" s="53"/>
    </row>
    <row r="5" spans="1:26" ht="15" customHeight="1" x14ac:dyDescent="0.3">
      <c r="A5" s="85" t="s">
        <v>2</v>
      </c>
      <c r="B5" s="85"/>
      <c r="C5" s="85"/>
      <c r="D5" s="85"/>
      <c r="E5" s="85" t="s">
        <v>239</v>
      </c>
      <c r="F5" s="85"/>
      <c r="G5" s="85"/>
      <c r="H5" s="85"/>
      <c r="K5" s="52"/>
      <c r="L5" s="53" t="s">
        <v>238</v>
      </c>
      <c r="M5" s="53" t="s">
        <v>242</v>
      </c>
      <c r="N5" s="53" t="s">
        <v>244</v>
      </c>
      <c r="O5" s="53" t="s">
        <v>246</v>
      </c>
      <c r="P5" s="53"/>
    </row>
    <row r="6" spans="1:26" x14ac:dyDescent="0.3">
      <c r="A6" s="85" t="s">
        <v>3</v>
      </c>
      <c r="B6" s="85"/>
      <c r="C6" s="85"/>
      <c r="D6" s="85"/>
      <c r="E6" s="175">
        <v>45908</v>
      </c>
      <c r="F6" s="85"/>
      <c r="G6" s="85"/>
      <c r="H6" s="85"/>
      <c r="K6" s="52"/>
      <c r="L6" s="53" t="s">
        <v>239</v>
      </c>
      <c r="M6" s="53"/>
      <c r="N6" s="53"/>
      <c r="O6" s="53" t="s">
        <v>247</v>
      </c>
      <c r="P6" s="53"/>
    </row>
    <row r="7" spans="1:26" ht="16.5" customHeight="1" x14ac:dyDescent="0.3">
      <c r="A7" s="85" t="s">
        <v>4</v>
      </c>
      <c r="B7" s="85"/>
      <c r="C7" s="85"/>
      <c r="D7" s="85"/>
      <c r="E7" s="77" t="s">
        <v>299</v>
      </c>
      <c r="F7" s="85"/>
      <c r="G7" s="85"/>
      <c r="H7" s="85"/>
      <c r="K7" s="52"/>
      <c r="L7" s="53" t="s">
        <v>240</v>
      </c>
      <c r="M7" s="53"/>
      <c r="N7" s="53"/>
      <c r="O7" s="53" t="s">
        <v>247</v>
      </c>
      <c r="P7" s="53"/>
    </row>
    <row r="8" spans="1:26" ht="15" customHeight="1" x14ac:dyDescent="0.3">
      <c r="A8" s="85" t="s">
        <v>5</v>
      </c>
      <c r="B8" s="85"/>
      <c r="C8" s="85"/>
      <c r="D8" s="85"/>
      <c r="E8" s="85" t="str">
        <f>E7</f>
        <v>J B Infra Projects</v>
      </c>
      <c r="F8" s="85"/>
      <c r="G8" s="85"/>
      <c r="H8" s="85"/>
      <c r="K8" s="52"/>
      <c r="L8" s="53"/>
      <c r="M8" s="53"/>
      <c r="N8" s="53"/>
      <c r="O8" s="53" t="s">
        <v>248</v>
      </c>
      <c r="P8" s="53"/>
    </row>
    <row r="9" spans="1:26" x14ac:dyDescent="0.3">
      <c r="A9" s="85" t="s">
        <v>6</v>
      </c>
      <c r="B9" s="85"/>
      <c r="C9" s="85"/>
      <c r="D9" s="85"/>
      <c r="E9" s="90" t="s">
        <v>300</v>
      </c>
      <c r="F9" s="90"/>
      <c r="G9" s="90"/>
      <c r="H9" s="90"/>
      <c r="K9" s="52"/>
      <c r="L9" s="53"/>
      <c r="M9" s="53"/>
      <c r="N9" s="53"/>
      <c r="O9" s="53" t="s">
        <v>249</v>
      </c>
      <c r="P9" s="53"/>
    </row>
    <row r="10" spans="1:26" x14ac:dyDescent="0.3">
      <c r="A10" s="85" t="s">
        <v>164</v>
      </c>
      <c r="B10" s="85"/>
      <c r="C10" s="85"/>
      <c r="D10" s="85"/>
      <c r="E10" s="77" t="s">
        <v>301</v>
      </c>
      <c r="F10" s="85"/>
      <c r="G10" s="85"/>
      <c r="H10" s="85"/>
      <c r="K10" s="52"/>
      <c r="L10" s="53"/>
      <c r="M10" s="53"/>
      <c r="N10" s="53"/>
      <c r="O10" s="53"/>
      <c r="P10" s="53"/>
    </row>
    <row r="11" spans="1:26" x14ac:dyDescent="0.3">
      <c r="A11" s="85" t="s">
        <v>165</v>
      </c>
      <c r="B11" s="85"/>
      <c r="C11" s="85"/>
      <c r="D11" s="85"/>
      <c r="E11" s="85" t="s">
        <v>355</v>
      </c>
      <c r="F11" s="85"/>
      <c r="G11" s="85"/>
      <c r="H11" s="85"/>
    </row>
    <row r="12" spans="1:26" x14ac:dyDescent="0.3">
      <c r="A12" s="85" t="s">
        <v>7</v>
      </c>
      <c r="B12" s="85"/>
      <c r="C12" s="85"/>
      <c r="D12" s="85"/>
      <c r="E12" s="85" t="s">
        <v>302</v>
      </c>
      <c r="F12" s="85"/>
      <c r="G12" s="85"/>
      <c r="H12" s="85"/>
    </row>
    <row r="13" spans="1:26" x14ac:dyDescent="0.3">
      <c r="A13" s="85" t="s">
        <v>169</v>
      </c>
      <c r="B13" s="85"/>
      <c r="C13" s="85"/>
      <c r="D13" s="85"/>
      <c r="E13" s="85" t="s">
        <v>28</v>
      </c>
      <c r="F13" s="85"/>
      <c r="G13" s="85"/>
      <c r="H13" s="85"/>
      <c r="S13" s="53" t="s">
        <v>175</v>
      </c>
      <c r="T13" s="53" t="s">
        <v>185</v>
      </c>
      <c r="U13" s="53" t="s">
        <v>170</v>
      </c>
      <c r="V13" s="53" t="s">
        <v>190</v>
      </c>
      <c r="W13" s="53" t="s">
        <v>208</v>
      </c>
      <c r="X13"/>
      <c r="Y13" t="s">
        <v>190</v>
      </c>
      <c r="Z13" t="e">
        <f ca="1">OFFSET($S$13,1,MATCH($G20,$S$13:$W$13,0)-1,15,1)</f>
        <v>#VALUE!</v>
      </c>
    </row>
    <row r="14" spans="1:26" ht="32.25" customHeight="1" x14ac:dyDescent="0.3">
      <c r="A14" s="75" t="s">
        <v>276</v>
      </c>
      <c r="B14" s="75"/>
      <c r="C14" s="75"/>
      <c r="D14" s="75"/>
      <c r="E14" s="77" t="s">
        <v>336</v>
      </c>
      <c r="F14" s="172"/>
      <c r="G14" s="172"/>
      <c r="H14" s="172"/>
      <c r="S14" s="53" t="s">
        <v>176</v>
      </c>
      <c r="T14" s="53" t="s">
        <v>183</v>
      </c>
      <c r="U14" s="53" t="s">
        <v>205</v>
      </c>
      <c r="V14" s="53" t="s">
        <v>191</v>
      </c>
      <c r="W14" s="53" t="s">
        <v>209</v>
      </c>
      <c r="X14"/>
      <c r="Y14"/>
      <c r="Z14"/>
    </row>
    <row r="15" spans="1:26" x14ac:dyDescent="0.3">
      <c r="A15" s="75" t="s">
        <v>8</v>
      </c>
      <c r="B15" s="75"/>
      <c r="C15" s="75"/>
      <c r="D15" s="75"/>
      <c r="E15" s="77" t="s">
        <v>303</v>
      </c>
      <c r="F15" s="85"/>
      <c r="G15" s="85"/>
      <c r="H15" s="85"/>
      <c r="I15" s="211" t="e">
        <f ca="1">OFFSET($D$5,1,MATCH($J13,$D$5:$H$5,0)-1,15,1)</f>
        <v>#N/A</v>
      </c>
      <c r="J15" s="212"/>
      <c r="K15" s="212"/>
      <c r="L15" s="212"/>
      <c r="M15" s="212"/>
      <c r="N15" s="212"/>
      <c r="O15" s="212"/>
      <c r="P15" s="212"/>
      <c r="S15" s="53" t="s">
        <v>177</v>
      </c>
      <c r="T15" s="53" t="s">
        <v>184</v>
      </c>
      <c r="U15" s="53" t="s">
        <v>206</v>
      </c>
      <c r="V15" s="53" t="s">
        <v>192</v>
      </c>
      <c r="W15" s="53" t="s">
        <v>222</v>
      </c>
      <c r="X15"/>
      <c r="Y15"/>
      <c r="Z15"/>
    </row>
    <row r="16" spans="1:26" ht="36.75" customHeight="1" x14ac:dyDescent="0.3">
      <c r="A16" s="88" t="s">
        <v>9</v>
      </c>
      <c r="B16" s="88"/>
      <c r="C16" s="88" t="str">
        <f>CONCATENATE((IF(OR(E9="",E9="NA"),"",E9)),", ",(IF(OR(A17="",A17="NA"),"",A17)),".",(IF(OR(C17="",C17="NA"),"",C17)),", near ",(IF(OR(C22="",C22="NA"),"",C22)),", ",(IF(OR(C19="",C19="NA"),"",C19)),", ",(IF(OR(C18="",C18="NA"),"",C18)),", ",(IF(OR(G19="",G19="NA"),"",G19)),", ",(IF(OR(C20="",C20="NA"),"",C20)),", ",(IF(OR(C21="",C21="NA"),"",C21)),", ",(IF(OR(G20="",G20="NA"),"",G20))," - ",(IF(OR(G21="",G21="NA"),"",G21)),".")</f>
        <v>J B Opera, Survey No.102/3/A/3/B/2, near Balaji Splendour, Internal Rd, Adaigaon, Adai, New Panvel, Panvel, Raigad - 410206.</v>
      </c>
      <c r="D16" s="88"/>
      <c r="E16" s="88"/>
      <c r="F16" s="88"/>
      <c r="G16" s="88"/>
      <c r="H16" s="88"/>
      <c r="S16" s="53" t="s">
        <v>178</v>
      </c>
      <c r="T16" s="53" t="s">
        <v>186</v>
      </c>
      <c r="U16" s="53" t="s">
        <v>207</v>
      </c>
      <c r="V16" s="53" t="s">
        <v>193</v>
      </c>
      <c r="W16" s="53" t="s">
        <v>210</v>
      </c>
      <c r="X16"/>
      <c r="Y16"/>
      <c r="Z16"/>
    </row>
    <row r="17" spans="1:26" x14ac:dyDescent="0.3">
      <c r="A17" s="77" t="s">
        <v>311</v>
      </c>
      <c r="B17" s="77"/>
      <c r="C17" s="77" t="s">
        <v>304</v>
      </c>
      <c r="D17" s="77"/>
      <c r="E17" s="77"/>
      <c r="F17" s="77"/>
      <c r="G17" s="77"/>
      <c r="H17" s="77"/>
      <c r="S17" s="53" t="s">
        <v>179</v>
      </c>
      <c r="T17" s="53" t="s">
        <v>187</v>
      </c>
      <c r="U17" s="53" t="s">
        <v>170</v>
      </c>
      <c r="V17" s="53" t="s">
        <v>194</v>
      </c>
      <c r="W17" s="53" t="s">
        <v>211</v>
      </c>
      <c r="X17"/>
      <c r="Y17"/>
      <c r="Z17"/>
    </row>
    <row r="18" spans="1:26" ht="15.75" customHeight="1" x14ac:dyDescent="0.3">
      <c r="A18" s="77" t="s">
        <v>159</v>
      </c>
      <c r="B18" s="77"/>
      <c r="C18" s="77" t="s">
        <v>308</v>
      </c>
      <c r="D18" s="77"/>
      <c r="E18" s="77"/>
      <c r="F18" s="77"/>
      <c r="G18" s="77"/>
      <c r="H18" s="77"/>
      <c r="S18" s="53" t="s">
        <v>180</v>
      </c>
      <c r="T18" s="53" t="s">
        <v>185</v>
      </c>
      <c r="U18" s="53"/>
      <c r="V18" s="53" t="s">
        <v>195</v>
      </c>
      <c r="W18" s="53" t="s">
        <v>212</v>
      </c>
      <c r="X18"/>
      <c r="Y18"/>
      <c r="Z18"/>
    </row>
    <row r="19" spans="1:26" ht="15.75" customHeight="1" x14ac:dyDescent="0.3">
      <c r="A19" s="88" t="s">
        <v>10</v>
      </c>
      <c r="B19" s="88"/>
      <c r="C19" s="85" t="s">
        <v>338</v>
      </c>
      <c r="D19" s="85"/>
      <c r="E19" s="88" t="s">
        <v>70</v>
      </c>
      <c r="F19" s="88"/>
      <c r="G19" s="77" t="s">
        <v>305</v>
      </c>
      <c r="H19" s="77"/>
      <c r="S19" s="53" t="s">
        <v>181</v>
      </c>
      <c r="T19" s="53" t="s">
        <v>188</v>
      </c>
      <c r="U19" s="53"/>
      <c r="V19" s="53" t="s">
        <v>196</v>
      </c>
      <c r="W19" s="53" t="s">
        <v>213</v>
      </c>
      <c r="X19"/>
      <c r="Y19"/>
      <c r="Z19"/>
    </row>
    <row r="20" spans="1:26" x14ac:dyDescent="0.3">
      <c r="A20" s="85" t="s">
        <v>12</v>
      </c>
      <c r="B20" s="85"/>
      <c r="C20" s="77" t="s">
        <v>309</v>
      </c>
      <c r="D20" s="77"/>
      <c r="E20" s="77" t="s">
        <v>11</v>
      </c>
      <c r="F20" s="77"/>
      <c r="G20" s="171" t="s">
        <v>190</v>
      </c>
      <c r="H20" s="171"/>
      <c r="S20" s="53" t="s">
        <v>182</v>
      </c>
      <c r="T20" s="53" t="s">
        <v>189</v>
      </c>
      <c r="U20" s="53"/>
      <c r="V20" s="53" t="s">
        <v>197</v>
      </c>
      <c r="W20" s="53" t="s">
        <v>214</v>
      </c>
      <c r="X20"/>
      <c r="Y20"/>
      <c r="Z20"/>
    </row>
    <row r="21" spans="1:26" x14ac:dyDescent="0.3">
      <c r="A21" s="85" t="s">
        <v>71</v>
      </c>
      <c r="B21" s="85"/>
      <c r="C21" s="77" t="s">
        <v>192</v>
      </c>
      <c r="D21" s="77"/>
      <c r="E21" s="77" t="s">
        <v>13</v>
      </c>
      <c r="F21" s="77"/>
      <c r="G21" s="77">
        <v>410206</v>
      </c>
      <c r="H21" s="77"/>
      <c r="S21" s="53"/>
      <c r="T21" s="53"/>
      <c r="U21" s="53"/>
      <c r="V21" s="53" t="s">
        <v>198</v>
      </c>
      <c r="W21" s="53" t="s">
        <v>215</v>
      </c>
      <c r="X21"/>
      <c r="Y21"/>
      <c r="Z21"/>
    </row>
    <row r="22" spans="1:26" ht="32.25" customHeight="1" x14ac:dyDescent="0.3">
      <c r="A22" s="85" t="s">
        <v>118</v>
      </c>
      <c r="B22" s="85"/>
      <c r="C22" s="77" t="s">
        <v>310</v>
      </c>
      <c r="D22" s="77"/>
      <c r="E22" s="77" t="s">
        <v>14</v>
      </c>
      <c r="F22" s="77"/>
      <c r="G22" s="77" t="s">
        <v>312</v>
      </c>
      <c r="H22" s="77"/>
      <c r="S22" s="53"/>
      <c r="T22" s="53"/>
      <c r="U22" s="53"/>
      <c r="V22" s="53" t="s">
        <v>199</v>
      </c>
      <c r="W22" s="53" t="s">
        <v>216</v>
      </c>
      <c r="X22"/>
      <c r="Y22"/>
      <c r="Z22"/>
    </row>
    <row r="23" spans="1:26" ht="15" customHeight="1" x14ac:dyDescent="0.3">
      <c r="A23" s="88" t="s">
        <v>73</v>
      </c>
      <c r="B23" s="88"/>
      <c r="C23" s="88"/>
      <c r="D23" s="88"/>
      <c r="E23" s="85" t="s">
        <v>15</v>
      </c>
      <c r="F23" s="85"/>
      <c r="G23" s="85"/>
      <c r="H23" s="85"/>
      <c r="S23" s="53"/>
      <c r="T23" s="53"/>
      <c r="U23" s="53"/>
      <c r="V23" s="53" t="s">
        <v>200</v>
      </c>
      <c r="W23" s="53" t="s">
        <v>217</v>
      </c>
      <c r="X23"/>
      <c r="Y23"/>
      <c r="Z23"/>
    </row>
    <row r="24" spans="1:26" ht="18.75" customHeight="1" x14ac:dyDescent="0.3">
      <c r="A24" s="88"/>
      <c r="B24" s="88"/>
      <c r="C24" s="88"/>
      <c r="D24" s="88"/>
      <c r="E24" s="85"/>
      <c r="F24" s="85"/>
      <c r="G24" s="85"/>
      <c r="H24" s="85"/>
      <c r="S24" s="53"/>
      <c r="T24" s="53"/>
      <c r="U24" s="53"/>
      <c r="V24" s="53" t="s">
        <v>201</v>
      </c>
      <c r="W24" s="53" t="s">
        <v>218</v>
      </c>
      <c r="X24"/>
      <c r="Y24"/>
      <c r="Z24"/>
    </row>
    <row r="25" spans="1:26" ht="15" customHeight="1" x14ac:dyDescent="0.3">
      <c r="A25" s="88" t="s">
        <v>16</v>
      </c>
      <c r="B25" s="88"/>
      <c r="C25" s="88"/>
      <c r="D25" s="88"/>
      <c r="E25" s="77" t="s">
        <v>17</v>
      </c>
      <c r="F25" s="77"/>
      <c r="G25" s="77"/>
      <c r="H25" s="77"/>
      <c r="S25" s="53"/>
      <c r="T25" s="53"/>
      <c r="U25" s="53"/>
      <c r="V25" s="53" t="s">
        <v>202</v>
      </c>
      <c r="W25" s="53" t="s">
        <v>219</v>
      </c>
      <c r="X25"/>
      <c r="Y25"/>
      <c r="Z25"/>
    </row>
    <row r="26" spans="1:26" ht="15" customHeight="1" x14ac:dyDescent="0.3">
      <c r="A26" s="75" t="s">
        <v>18</v>
      </c>
      <c r="B26" s="75"/>
      <c r="C26" s="75"/>
      <c r="D26" s="75"/>
      <c r="E26" s="77" t="str">
        <f>IF(AND(G20="Mumbai"),"Upper Class","Middle Class")</f>
        <v>Middle Class</v>
      </c>
      <c r="F26" s="77"/>
      <c r="G26" s="77"/>
      <c r="H26" s="77"/>
      <c r="S26" s="53"/>
      <c r="T26" s="53"/>
      <c r="U26" s="53"/>
      <c r="V26" s="53" t="s">
        <v>203</v>
      </c>
      <c r="W26" s="53" t="s">
        <v>220</v>
      </c>
      <c r="X26"/>
      <c r="Y26"/>
      <c r="Z26"/>
    </row>
    <row r="27" spans="1:26" x14ac:dyDescent="0.3">
      <c r="A27" s="75" t="s">
        <v>19</v>
      </c>
      <c r="B27" s="75"/>
      <c r="C27" s="75"/>
      <c r="D27" s="75"/>
      <c r="E27" s="77" t="s">
        <v>20</v>
      </c>
      <c r="F27" s="77"/>
      <c r="G27" s="77"/>
      <c r="H27" s="77"/>
      <c r="S27" s="53"/>
      <c r="T27" s="53"/>
      <c r="U27" s="53"/>
      <c r="V27" s="53" t="s">
        <v>204</v>
      </c>
      <c r="W27" s="53" t="s">
        <v>221</v>
      </c>
      <c r="X27"/>
      <c r="Y27"/>
      <c r="Z27"/>
    </row>
    <row r="28" spans="1:26" ht="15.75" customHeight="1" x14ac:dyDescent="0.3">
      <c r="A28" s="75" t="s">
        <v>21</v>
      </c>
      <c r="B28" s="75"/>
      <c r="C28" s="75"/>
      <c r="D28" s="75"/>
      <c r="E28" s="77" t="str">
        <f>IF(AND(G20="Mumbai"),"Developed","Developing")</f>
        <v>Developing</v>
      </c>
      <c r="F28" s="77"/>
      <c r="G28" s="77"/>
      <c r="H28" s="77"/>
    </row>
    <row r="29" spans="1:26" x14ac:dyDescent="0.3">
      <c r="A29" s="75" t="s">
        <v>22</v>
      </c>
      <c r="B29" s="75"/>
      <c r="C29" s="75"/>
      <c r="D29" s="75"/>
      <c r="E29" s="77" t="s">
        <v>23</v>
      </c>
      <c r="F29" s="77"/>
      <c r="G29" s="77"/>
      <c r="H29" s="77"/>
    </row>
    <row r="30" spans="1:26" ht="15.75" customHeight="1" x14ac:dyDescent="0.3">
      <c r="A30" s="75" t="s">
        <v>78</v>
      </c>
      <c r="B30" s="75"/>
      <c r="C30" s="75"/>
      <c r="D30" s="75"/>
      <c r="E30" s="77" t="s">
        <v>79</v>
      </c>
      <c r="F30" s="77"/>
      <c r="G30" s="77"/>
      <c r="H30" s="77"/>
    </row>
    <row r="31" spans="1:26" ht="15" customHeight="1" x14ac:dyDescent="0.3">
      <c r="A31" s="75" t="s">
        <v>30</v>
      </c>
      <c r="B31" s="75"/>
      <c r="C31" s="75"/>
      <c r="D31" s="75"/>
      <c r="E31" s="7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77"/>
      <c r="G31" s="77"/>
      <c r="H31" s="77"/>
    </row>
    <row r="32" spans="1:26" ht="15.75" customHeight="1" x14ac:dyDescent="0.3">
      <c r="A32" s="75" t="s">
        <v>90</v>
      </c>
      <c r="B32" s="75"/>
      <c r="C32" s="75"/>
      <c r="D32" s="75"/>
      <c r="E32" s="77" t="s">
        <v>31</v>
      </c>
      <c r="F32" s="77"/>
      <c r="G32" s="77"/>
      <c r="H32" s="77"/>
    </row>
    <row r="33" spans="1:19" s="22" customFormat="1" x14ac:dyDescent="0.3">
      <c r="A33" s="170" t="s">
        <v>91</v>
      </c>
      <c r="B33" s="170"/>
      <c r="C33" s="167" t="s">
        <v>171</v>
      </c>
      <c r="D33" s="168"/>
      <c r="E33" s="169"/>
      <c r="F33" s="167" t="s">
        <v>29</v>
      </c>
      <c r="G33" s="168"/>
      <c r="H33" s="169"/>
      <c r="S33" s="22" t="e">
        <f ca="1">OFFSET($S$13,1,MATCH($G20,$S$13:$W$13,0)-1,15,1)</f>
        <v>#VALUE!</v>
      </c>
    </row>
    <row r="34" spans="1:19" s="22" customFormat="1" x14ac:dyDescent="0.3">
      <c r="A34" s="149" t="s">
        <v>24</v>
      </c>
      <c r="B34" s="149" t="s">
        <v>28</v>
      </c>
      <c r="C34" s="150" t="s">
        <v>314</v>
      </c>
      <c r="D34" s="151"/>
      <c r="E34" s="152"/>
      <c r="F34" s="150" t="s">
        <v>317</v>
      </c>
      <c r="G34" s="151"/>
      <c r="H34" s="152"/>
    </row>
    <row r="35" spans="1:19" x14ac:dyDescent="0.3">
      <c r="A35" s="149" t="s">
        <v>25</v>
      </c>
      <c r="B35" s="149" t="s">
        <v>28</v>
      </c>
      <c r="C35" s="150" t="s">
        <v>315</v>
      </c>
      <c r="D35" s="151"/>
      <c r="E35" s="152"/>
      <c r="F35" s="150" t="s">
        <v>317</v>
      </c>
      <c r="G35" s="151"/>
      <c r="H35" s="152"/>
    </row>
    <row r="36" spans="1:19" s="22" customFormat="1" x14ac:dyDescent="0.3">
      <c r="A36" s="149" t="s">
        <v>27</v>
      </c>
      <c r="B36" s="149" t="s">
        <v>28</v>
      </c>
      <c r="C36" s="150" t="s">
        <v>313</v>
      </c>
      <c r="D36" s="151"/>
      <c r="E36" s="152"/>
      <c r="F36" s="150" t="s">
        <v>318</v>
      </c>
      <c r="G36" s="151"/>
      <c r="H36" s="152"/>
    </row>
    <row r="37" spans="1:19" x14ac:dyDescent="0.3">
      <c r="A37" s="149" t="s">
        <v>26</v>
      </c>
      <c r="B37" s="149" t="s">
        <v>28</v>
      </c>
      <c r="C37" s="150" t="s">
        <v>316</v>
      </c>
      <c r="D37" s="151"/>
      <c r="E37" s="152"/>
      <c r="F37" s="150" t="s">
        <v>319</v>
      </c>
      <c r="G37" s="151"/>
      <c r="H37" s="152"/>
    </row>
    <row r="38" spans="1:19" x14ac:dyDescent="0.3">
      <c r="A38" s="75" t="s">
        <v>277</v>
      </c>
      <c r="B38" s="75"/>
      <c r="C38" s="75"/>
      <c r="D38" s="75"/>
      <c r="E38" s="75"/>
      <c r="F38" s="75"/>
      <c r="G38" s="75"/>
      <c r="H38" s="75"/>
    </row>
    <row r="39" spans="1:19" ht="15.75" customHeight="1" x14ac:dyDescent="0.3">
      <c r="A39" s="75" t="s">
        <v>162</v>
      </c>
      <c r="B39" s="75"/>
      <c r="C39" s="127" t="s">
        <v>306</v>
      </c>
      <c r="D39" s="127"/>
      <c r="E39" s="127"/>
      <c r="F39" s="127"/>
      <c r="G39" s="127"/>
      <c r="H39" s="127"/>
    </row>
    <row r="40" spans="1:19" x14ac:dyDescent="0.3">
      <c r="A40" s="75" t="s">
        <v>158</v>
      </c>
      <c r="B40" s="75"/>
      <c r="C40" s="76" t="s">
        <v>307</v>
      </c>
      <c r="D40" s="77"/>
      <c r="E40" s="77"/>
      <c r="F40" s="77"/>
      <c r="G40" s="77"/>
      <c r="H40" s="77"/>
    </row>
    <row r="41" spans="1:19" x14ac:dyDescent="0.3">
      <c r="A41" s="127" t="s">
        <v>32</v>
      </c>
      <c r="B41" s="127"/>
      <c r="C41" s="127"/>
      <c r="D41" s="127"/>
      <c r="E41" s="127"/>
      <c r="F41" s="127"/>
      <c r="G41" s="127"/>
      <c r="H41" s="127"/>
    </row>
    <row r="42" spans="1:19" x14ac:dyDescent="0.3">
      <c r="A42" s="75" t="s">
        <v>33</v>
      </c>
      <c r="B42" s="75"/>
      <c r="C42" s="75"/>
      <c r="D42" s="75"/>
      <c r="E42" s="153">
        <v>3535.1</v>
      </c>
      <c r="F42" s="153"/>
      <c r="G42" s="153"/>
      <c r="H42" s="153"/>
      <c r="I42" s="153">
        <v>3535.1</v>
      </c>
      <c r="J42" s="153"/>
      <c r="K42" s="153"/>
      <c r="L42" s="153"/>
    </row>
    <row r="43" spans="1:19" x14ac:dyDescent="0.3">
      <c r="A43" s="75" t="s">
        <v>34</v>
      </c>
      <c r="B43" s="75"/>
      <c r="C43" s="75"/>
      <c r="D43" s="75"/>
      <c r="E43" s="165">
        <v>0.7</v>
      </c>
      <c r="F43" s="165"/>
      <c r="G43" s="165"/>
      <c r="H43" s="165"/>
      <c r="I43" s="165">
        <f>3535.1/I42</f>
        <v>1</v>
      </c>
      <c r="J43" s="165"/>
      <c r="K43" s="165"/>
      <c r="L43" s="165"/>
    </row>
    <row r="44" spans="1:19" x14ac:dyDescent="0.3">
      <c r="A44" s="75" t="s">
        <v>35</v>
      </c>
      <c r="B44" s="75"/>
      <c r="C44" s="75"/>
      <c r="D44" s="75"/>
      <c r="E44" s="165">
        <f>E46/E42-E43</f>
        <v>0.20512856779157596</v>
      </c>
      <c r="F44" s="165"/>
      <c r="G44" s="165"/>
      <c r="H44" s="165"/>
      <c r="I44" s="165">
        <f>I46/I42-I43</f>
        <v>0</v>
      </c>
      <c r="J44" s="165"/>
      <c r="K44" s="165"/>
      <c r="L44" s="165"/>
    </row>
    <row r="45" spans="1:19" x14ac:dyDescent="0.3">
      <c r="A45" s="75" t="s">
        <v>36</v>
      </c>
      <c r="B45" s="75"/>
      <c r="C45" s="75"/>
      <c r="D45" s="75"/>
      <c r="E45" s="165">
        <f>E43+E44</f>
        <v>0.90512856779157591</v>
      </c>
      <c r="F45" s="165"/>
      <c r="G45" s="165"/>
      <c r="H45" s="165"/>
      <c r="I45" s="165">
        <f>I43+I44</f>
        <v>1</v>
      </c>
      <c r="J45" s="165"/>
      <c r="K45" s="165"/>
      <c r="L45" s="165"/>
    </row>
    <row r="46" spans="1:19" x14ac:dyDescent="0.3">
      <c r="A46" s="75" t="s">
        <v>89</v>
      </c>
      <c r="B46" s="75"/>
      <c r="C46" s="75"/>
      <c r="D46" s="75"/>
      <c r="E46" s="166">
        <v>3199.72</v>
      </c>
      <c r="F46" s="166"/>
      <c r="G46" s="166"/>
      <c r="H46" s="166"/>
      <c r="I46" s="166">
        <f>1463.796+2071.304</f>
        <v>3535.1000000000004</v>
      </c>
      <c r="J46" s="166"/>
      <c r="K46" s="166"/>
      <c r="L46" s="166"/>
    </row>
    <row r="47" spans="1:19" x14ac:dyDescent="0.3">
      <c r="A47" s="85" t="s">
        <v>37</v>
      </c>
      <c r="B47" s="85"/>
      <c r="C47" s="85"/>
      <c r="D47" s="85"/>
      <c r="E47" s="85" t="s">
        <v>335</v>
      </c>
      <c r="F47" s="85"/>
      <c r="G47" s="85"/>
      <c r="H47" s="85"/>
      <c r="I47" s="85" t="s">
        <v>335</v>
      </c>
      <c r="J47" s="85"/>
      <c r="K47" s="85"/>
      <c r="L47" s="85"/>
    </row>
    <row r="48" spans="1:19" x14ac:dyDescent="0.3">
      <c r="A48" s="127" t="s">
        <v>38</v>
      </c>
      <c r="B48" s="127"/>
      <c r="C48" s="127"/>
      <c r="D48" s="127"/>
      <c r="E48" s="127"/>
      <c r="F48" s="127"/>
      <c r="G48" s="127"/>
      <c r="H48" s="127"/>
    </row>
    <row r="49" spans="1:24" ht="33.75" customHeight="1" x14ac:dyDescent="0.3">
      <c r="A49" s="109" t="s">
        <v>147</v>
      </c>
      <c r="B49" s="110"/>
      <c r="C49" s="111" t="s">
        <v>268</v>
      </c>
      <c r="D49" s="112"/>
      <c r="E49" s="112"/>
      <c r="F49" s="112"/>
      <c r="G49" s="112"/>
      <c r="H49" s="113"/>
      <c r="R49" t="s">
        <v>250</v>
      </c>
      <c r="S49" t="s">
        <v>170</v>
      </c>
      <c r="T49" t="s">
        <v>175</v>
      </c>
      <c r="U49" t="s">
        <v>190</v>
      </c>
      <c r="V49" t="s">
        <v>185</v>
      </c>
    </row>
    <row r="50" spans="1:24" ht="32.25" customHeight="1" x14ac:dyDescent="0.3">
      <c r="A50" s="109" t="s">
        <v>39</v>
      </c>
      <c r="B50" s="110"/>
      <c r="C50" s="109" t="s">
        <v>342</v>
      </c>
      <c r="D50" s="121"/>
      <c r="E50" s="110"/>
      <c r="F50" s="18" t="s">
        <v>40</v>
      </c>
      <c r="G50" s="122">
        <v>45539</v>
      </c>
      <c r="H50" s="110"/>
      <c r="I50" s="109" t="s">
        <v>320</v>
      </c>
      <c r="J50" s="121"/>
      <c r="K50" s="110"/>
      <c r="L50" s="18" t="s">
        <v>40</v>
      </c>
      <c r="M50" s="122">
        <v>44763</v>
      </c>
      <c r="N50" s="110"/>
      <c r="R50"/>
      <c r="S50" t="s">
        <v>251</v>
      </c>
      <c r="T50" t="s">
        <v>256</v>
      </c>
      <c r="U50" t="s">
        <v>267</v>
      </c>
      <c r="V50" t="s">
        <v>272</v>
      </c>
    </row>
    <row r="51" spans="1:24" ht="32.25" customHeight="1" x14ac:dyDescent="0.3">
      <c r="A51" s="109" t="s">
        <v>41</v>
      </c>
      <c r="B51" s="110"/>
      <c r="C51" s="109" t="str">
        <f>C50</f>
        <v>CIDCO/NAINA/Panvel/Adai/BP-00554/ACC/2024/0543</v>
      </c>
      <c r="D51" s="121"/>
      <c r="E51" s="110"/>
      <c r="F51" s="18" t="s">
        <v>40</v>
      </c>
      <c r="G51" s="122">
        <f>G50</f>
        <v>45539</v>
      </c>
      <c r="H51" s="110"/>
      <c r="I51" s="109" t="str">
        <f>I50</f>
        <v>CIDCO/NAINA/Panvel/Adai/
BP-00554/CC/2022/0223</v>
      </c>
      <c r="J51" s="121"/>
      <c r="K51" s="110"/>
      <c r="L51" s="18" t="s">
        <v>40</v>
      </c>
      <c r="M51" s="122">
        <f>M50</f>
        <v>44763</v>
      </c>
      <c r="N51" s="110"/>
      <c r="R51"/>
      <c r="S51" t="s">
        <v>252</v>
      </c>
      <c r="T51" t="s">
        <v>257</v>
      </c>
      <c r="U51" t="s">
        <v>265</v>
      </c>
      <c r="V51" t="s">
        <v>273</v>
      </c>
    </row>
    <row r="52" spans="1:24" s="23" customFormat="1" ht="34.5" customHeight="1" x14ac:dyDescent="0.3">
      <c r="A52" s="123" t="s">
        <v>151</v>
      </c>
      <c r="B52" s="124"/>
      <c r="C52" s="109" t="s">
        <v>342</v>
      </c>
      <c r="D52" s="121"/>
      <c r="E52" s="110"/>
      <c r="F52" s="18" t="s">
        <v>40</v>
      </c>
      <c r="G52" s="122">
        <f>G51</f>
        <v>45539</v>
      </c>
      <c r="H52" s="110"/>
      <c r="I52" s="109" t="s">
        <v>320</v>
      </c>
      <c r="J52" s="121"/>
      <c r="K52" s="110"/>
      <c r="L52" s="18" t="s">
        <v>40</v>
      </c>
      <c r="M52" s="122">
        <f>M51</f>
        <v>44763</v>
      </c>
      <c r="N52" s="110"/>
      <c r="R52"/>
      <c r="S52" t="s">
        <v>253</v>
      </c>
      <c r="T52" t="s">
        <v>258</v>
      </c>
      <c r="U52" t="s">
        <v>255</v>
      </c>
      <c r="V52" t="s">
        <v>274</v>
      </c>
    </row>
    <row r="53" spans="1:24" s="23" customFormat="1" ht="33.75" customHeight="1" x14ac:dyDescent="0.3">
      <c r="A53" s="125"/>
      <c r="B53" s="126"/>
      <c r="C53" s="109" t="s">
        <v>352</v>
      </c>
      <c r="D53" s="121"/>
      <c r="E53" s="121"/>
      <c r="F53" s="121"/>
      <c r="G53" s="121"/>
      <c r="H53" s="110"/>
      <c r="I53" s="109" t="s">
        <v>321</v>
      </c>
      <c r="J53" s="121"/>
      <c r="K53" s="121"/>
      <c r="L53" s="121"/>
      <c r="M53" s="121"/>
      <c r="N53" s="110"/>
      <c r="R53"/>
      <c r="S53" t="s">
        <v>254</v>
      </c>
      <c r="T53" t="s">
        <v>261</v>
      </c>
      <c r="U53" t="s">
        <v>268</v>
      </c>
    </row>
    <row r="54" spans="1:24" s="23" customFormat="1" hidden="1" x14ac:dyDescent="0.3">
      <c r="A54" s="117" t="s">
        <v>278</v>
      </c>
      <c r="B54" s="118"/>
      <c r="C54" s="109" t="str">
        <f>C53</f>
        <v>Total Builtup Area = 3199.72 Sq.M
No. of Residential Unit Proposed = 63 Nos.</v>
      </c>
      <c r="D54" s="121"/>
      <c r="E54" s="110"/>
      <c r="F54" s="18" t="s">
        <v>40</v>
      </c>
      <c r="G54" s="109"/>
      <c r="H54" s="110"/>
      <c r="R54"/>
      <c r="S54" t="s">
        <v>253</v>
      </c>
      <c r="T54" t="s">
        <v>258</v>
      </c>
      <c r="U54" t="s">
        <v>255</v>
      </c>
      <c r="V54" t="s">
        <v>274</v>
      </c>
    </row>
    <row r="55" spans="1:24" s="23" customFormat="1" ht="32.25" hidden="1" customHeight="1" x14ac:dyDescent="0.3">
      <c r="A55" s="119"/>
      <c r="B55" s="120"/>
      <c r="C55" s="208"/>
      <c r="D55" s="209"/>
      <c r="E55" s="209"/>
      <c r="F55" s="209"/>
      <c r="G55" s="209"/>
      <c r="H55" s="210"/>
      <c r="R55"/>
      <c r="S55" t="s">
        <v>255</v>
      </c>
      <c r="T55" t="s">
        <v>259</v>
      </c>
      <c r="U55" t="s">
        <v>269</v>
      </c>
      <c r="V55" s="21"/>
      <c r="W55" s="21"/>
      <c r="X55" s="21"/>
    </row>
    <row r="56" spans="1:24" s="23" customFormat="1" ht="34.5" hidden="1" customHeight="1" x14ac:dyDescent="0.3">
      <c r="A56" s="117" t="s">
        <v>279</v>
      </c>
      <c r="B56" s="118"/>
      <c r="C56" s="109">
        <f>C55</f>
        <v>0</v>
      </c>
      <c r="D56" s="121"/>
      <c r="E56" s="110"/>
      <c r="F56" s="18" t="s">
        <v>40</v>
      </c>
      <c r="G56" s="109">
        <f>G55</f>
        <v>0</v>
      </c>
      <c r="H56" s="110"/>
      <c r="R56"/>
      <c r="S56" s="21"/>
      <c r="T56" t="s">
        <v>260</v>
      </c>
      <c r="U56" t="s">
        <v>270</v>
      </c>
      <c r="V56" s="21"/>
      <c r="W56" s="21"/>
      <c r="X56" s="21"/>
    </row>
    <row r="57" spans="1:24" s="23" customFormat="1" ht="41.25" hidden="1" customHeight="1" x14ac:dyDescent="0.3">
      <c r="A57" s="119"/>
      <c r="B57" s="120"/>
      <c r="C57" s="109"/>
      <c r="D57" s="121"/>
      <c r="E57" s="121"/>
      <c r="F57" s="121"/>
      <c r="G57" s="121"/>
      <c r="H57" s="110"/>
      <c r="R57"/>
      <c r="S57" s="21"/>
      <c r="T57" t="s">
        <v>262</v>
      </c>
      <c r="U57" t="s">
        <v>271</v>
      </c>
      <c r="V57" s="21"/>
      <c r="W57" s="21"/>
      <c r="X57" s="21"/>
    </row>
    <row r="58" spans="1:24" s="23" customFormat="1" ht="15.75" hidden="1" customHeight="1" x14ac:dyDescent="0.3">
      <c r="A58" s="117" t="s">
        <v>280</v>
      </c>
      <c r="B58" s="118"/>
      <c r="C58" s="109">
        <f>C57</f>
        <v>0</v>
      </c>
      <c r="D58" s="121"/>
      <c r="E58" s="110"/>
      <c r="F58" s="18" t="s">
        <v>40</v>
      </c>
      <c r="G58" s="109">
        <f>G57</f>
        <v>0</v>
      </c>
      <c r="H58" s="110"/>
      <c r="R58"/>
      <c r="S58" s="21"/>
      <c r="T58" t="s">
        <v>263</v>
      </c>
      <c r="U58" s="21" t="s">
        <v>294</v>
      </c>
      <c r="V58" s="21"/>
      <c r="W58" s="21"/>
      <c r="X58" s="21"/>
    </row>
    <row r="59" spans="1:24" s="23" customFormat="1" ht="33.75" hidden="1" customHeight="1" x14ac:dyDescent="0.3">
      <c r="A59" s="119"/>
      <c r="B59" s="120"/>
      <c r="C59" s="109"/>
      <c r="D59" s="121"/>
      <c r="E59" s="121"/>
      <c r="F59" s="121"/>
      <c r="G59" s="121"/>
      <c r="H59" s="110"/>
      <c r="R59"/>
      <c r="S59" s="21"/>
      <c r="T59" t="s">
        <v>264</v>
      </c>
      <c r="U59" s="21"/>
      <c r="V59" s="21"/>
      <c r="W59" s="21"/>
      <c r="X59" s="21"/>
    </row>
    <row r="60" spans="1:24" x14ac:dyDescent="0.3">
      <c r="A60" s="214" t="s">
        <v>42</v>
      </c>
      <c r="B60" s="215"/>
      <c r="C60" s="214" t="s">
        <v>101</v>
      </c>
      <c r="D60" s="216"/>
      <c r="E60" s="215"/>
      <c r="F60" s="45" t="s">
        <v>40</v>
      </c>
      <c r="G60" s="143" t="s">
        <v>28</v>
      </c>
      <c r="H60" s="144"/>
      <c r="R60"/>
      <c r="T60" t="s">
        <v>266</v>
      </c>
    </row>
    <row r="61" spans="1:24" x14ac:dyDescent="0.3">
      <c r="A61" s="142" t="s">
        <v>44</v>
      </c>
      <c r="B61" s="142"/>
      <c r="C61" s="142"/>
      <c r="D61" s="142"/>
      <c r="E61" s="142"/>
      <c r="F61" s="142"/>
      <c r="G61" s="142"/>
      <c r="H61" s="142"/>
      <c r="T61" t="s">
        <v>275</v>
      </c>
    </row>
    <row r="62" spans="1:24" x14ac:dyDescent="0.3">
      <c r="A62" s="88" t="s">
        <v>88</v>
      </c>
      <c r="B62" s="88"/>
      <c r="C62" s="88"/>
      <c r="D62" s="166">
        <f>E46</f>
        <v>3199.72</v>
      </c>
      <c r="E62" s="75"/>
      <c r="F62" s="75"/>
      <c r="G62" s="75"/>
      <c r="H62" s="75"/>
      <c r="I62" s="75">
        <f>1463.796</f>
        <v>1463.796</v>
      </c>
      <c r="J62" s="75"/>
      <c r="K62" s="75"/>
      <c r="L62" s="75"/>
      <c r="M62" s="75"/>
      <c r="R62"/>
    </row>
    <row r="63" spans="1:24" x14ac:dyDescent="0.3">
      <c r="A63" s="77" t="s">
        <v>45</v>
      </c>
      <c r="B63" s="85"/>
      <c r="C63" s="85"/>
      <c r="D63" s="85" t="s">
        <v>348</v>
      </c>
      <c r="E63" s="85"/>
      <c r="F63" s="85"/>
      <c r="G63" s="85"/>
      <c r="H63" s="85"/>
      <c r="I63" s="85" t="s">
        <v>334</v>
      </c>
      <c r="J63" s="85"/>
      <c r="K63" s="85"/>
      <c r="L63" s="85"/>
      <c r="M63" s="85"/>
      <c r="R63"/>
    </row>
    <row r="64" spans="1:24" x14ac:dyDescent="0.3">
      <c r="A64" s="129" t="s">
        <v>46</v>
      </c>
      <c r="B64" s="130"/>
      <c r="C64" s="131"/>
      <c r="D64" s="87" t="s">
        <v>344</v>
      </c>
      <c r="E64" s="128"/>
      <c r="F64" s="128"/>
      <c r="G64" s="128"/>
      <c r="H64" s="128"/>
      <c r="I64" s="87" t="s">
        <v>343</v>
      </c>
      <c r="J64" s="128"/>
      <c r="K64" s="128"/>
      <c r="L64" s="128"/>
      <c r="M64" s="128"/>
      <c r="R64"/>
    </row>
    <row r="65" spans="1:19" ht="15.75" customHeight="1" x14ac:dyDescent="0.3">
      <c r="A65" s="129" t="s">
        <v>86</v>
      </c>
      <c r="B65" s="130"/>
      <c r="C65" s="130"/>
      <c r="D65" s="77" t="s">
        <v>344</v>
      </c>
      <c r="E65" s="85"/>
      <c r="F65" s="85"/>
      <c r="G65" s="85"/>
      <c r="H65" s="85"/>
      <c r="I65" s="77" t="s">
        <v>344</v>
      </c>
      <c r="J65" s="85"/>
      <c r="K65" s="85"/>
      <c r="L65" s="85"/>
      <c r="M65" s="85"/>
      <c r="R65"/>
    </row>
    <row r="66" spans="1:19" ht="15.75" hidden="1" customHeight="1" x14ac:dyDescent="0.3">
      <c r="A66" s="135"/>
      <c r="B66" s="136"/>
      <c r="C66" s="136"/>
      <c r="D66" s="139" t="s">
        <v>322</v>
      </c>
      <c r="E66" s="140"/>
      <c r="F66" s="140"/>
      <c r="G66" s="140"/>
      <c r="H66" s="141"/>
      <c r="R66"/>
    </row>
    <row r="67" spans="1:19" ht="15.75" hidden="1" customHeight="1" x14ac:dyDescent="0.3">
      <c r="A67" s="137"/>
      <c r="B67" s="138"/>
      <c r="C67" s="138"/>
      <c r="D67" s="132" t="s">
        <v>166</v>
      </c>
      <c r="E67" s="133"/>
      <c r="F67" s="133"/>
      <c r="G67" s="133"/>
      <c r="H67" s="134"/>
      <c r="S67"/>
    </row>
    <row r="68" spans="1:19" ht="15.75" customHeight="1" x14ac:dyDescent="0.3">
      <c r="A68" s="75" t="s">
        <v>43</v>
      </c>
      <c r="B68" s="75"/>
      <c r="C68" s="75"/>
      <c r="D68" s="154" t="s">
        <v>323</v>
      </c>
      <c r="E68" s="154"/>
      <c r="F68" s="154"/>
      <c r="G68" s="154"/>
      <c r="H68" s="154"/>
      <c r="J68" s="25"/>
      <c r="K68" s="24"/>
      <c r="N68" s="24"/>
      <c r="S68"/>
    </row>
    <row r="69" spans="1:19" ht="15.75" customHeight="1" x14ac:dyDescent="0.3">
      <c r="A69" s="75" t="s">
        <v>84</v>
      </c>
      <c r="B69" s="75"/>
      <c r="C69" s="75"/>
      <c r="D69" s="164" t="str">
        <f>(IF(G60="NA","60 Years After Completion",IF(G60&lt;&gt;"NA",""&amp;60-ROUNDDOWN((E3-G60)/360,0)&amp;" Years"," ")))</f>
        <v>60 Years After Completion</v>
      </c>
      <c r="E69" s="164"/>
      <c r="F69" s="164"/>
      <c r="G69" s="164"/>
      <c r="H69" s="164"/>
      <c r="N69" s="24"/>
      <c r="S69"/>
    </row>
    <row r="70" spans="1:19" ht="15.75" customHeight="1" x14ac:dyDescent="0.3">
      <c r="A70" s="75" t="s">
        <v>85</v>
      </c>
      <c r="B70" s="75"/>
      <c r="C70" s="75"/>
      <c r="D70" s="88" t="s">
        <v>23</v>
      </c>
      <c r="E70" s="88"/>
      <c r="F70" s="88"/>
      <c r="G70" s="88"/>
      <c r="H70" s="88"/>
      <c r="J70" s="26"/>
      <c r="K70" s="26"/>
      <c r="S70"/>
    </row>
    <row r="71" spans="1:19" ht="32.25" customHeight="1" x14ac:dyDescent="0.3">
      <c r="A71" s="85" t="s">
        <v>324</v>
      </c>
      <c r="B71" s="85"/>
      <c r="C71" s="85"/>
      <c r="D71" s="77" t="s">
        <v>339</v>
      </c>
      <c r="E71" s="77"/>
      <c r="F71" s="77"/>
      <c r="G71" s="77"/>
      <c r="H71" s="77"/>
      <c r="S71"/>
    </row>
    <row r="72" spans="1:19" x14ac:dyDescent="0.3">
      <c r="A72" s="88" t="s">
        <v>144</v>
      </c>
      <c r="B72" s="88"/>
      <c r="C72" s="88"/>
      <c r="D72" s="88" t="s">
        <v>28</v>
      </c>
      <c r="E72" s="88"/>
      <c r="F72" s="88"/>
      <c r="G72" s="88"/>
      <c r="H72" s="88"/>
      <c r="I72" s="27"/>
      <c r="J72" s="27"/>
      <c r="K72" s="27"/>
      <c r="L72" s="27"/>
      <c r="M72" s="27"/>
      <c r="N72" s="27"/>
    </row>
    <row r="73" spans="1:19" ht="15.75" customHeight="1" x14ac:dyDescent="0.3">
      <c r="A73" s="217" t="s">
        <v>83</v>
      </c>
      <c r="B73" s="217"/>
      <c r="C73" s="217"/>
      <c r="D73" s="87" t="str">
        <f ca="1">(IF(G79&gt;95%,"Nothing",IF(G79&gt;0%,"Cement, Aggregate, Steel, etc",IF(G79=0%,"Work not yet Started"))))</f>
        <v>Cement, Aggregate, Steel, etc</v>
      </c>
      <c r="E73" s="87"/>
      <c r="F73" s="87"/>
      <c r="G73" s="87"/>
      <c r="H73" s="87"/>
      <c r="J73" s="26"/>
      <c r="S73"/>
    </row>
    <row r="74" spans="1:19" ht="33.75" customHeight="1" thickBot="1" x14ac:dyDescent="0.35">
      <c r="A74" s="86" t="s">
        <v>114</v>
      </c>
      <c r="B74" s="86"/>
      <c r="C74" s="86"/>
      <c r="D74" s="87" t="str">
        <f ca="1">(IF(D73="Nothing","Yes",IF(D73="Cement, Aggregate, Steel, etc","Under Construction",IF(D73="Work not yet Started","Work not yet Started"))))</f>
        <v>Under Construction</v>
      </c>
      <c r="E74" s="87"/>
      <c r="F74" s="87" t="str">
        <f ca="1">(IF(D73="Nothing","Yes",IF(D73="Cement, Aggregate, Steel, etc","Under Construction",IF(D73="Work not yet Started","Work not yet Started"))))</f>
        <v>Under Construction</v>
      </c>
      <c r="G74" s="87"/>
      <c r="H74" s="87"/>
      <c r="S74"/>
    </row>
    <row r="75" spans="1:19" ht="15.75" customHeight="1" x14ac:dyDescent="0.3">
      <c r="A75" s="91" t="s">
        <v>136</v>
      </c>
      <c r="B75" s="92"/>
      <c r="C75" s="93" t="str">
        <f>D65</f>
        <v>Wing A &amp; B = G + 1st to 7th Floor</v>
      </c>
      <c r="D75" s="94"/>
      <c r="E75" s="94"/>
      <c r="F75" s="94"/>
      <c r="G75" s="94"/>
      <c r="H75" s="95"/>
      <c r="I75" s="48" t="str">
        <f ca="1">IF(D88=100%,"All work Completed. Possession granted to the Building.",IF(D87=100%,"All work Completed, Waiting for OC",I76&amp;""&amp;I77&amp;""&amp;J76&amp;""&amp;J75&amp;" "&amp;J77))</f>
        <v>Excavation, Plinth, RCC Slab, Brickwork Completed, External Plaster upto 2 Floor Completed</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2 Floor</v>
      </c>
      <c r="S75"/>
    </row>
    <row r="76" spans="1:19" x14ac:dyDescent="0.3">
      <c r="A76" s="16" t="s">
        <v>138</v>
      </c>
      <c r="B76" s="46">
        <f>IF(AND(ISNUMBER(SEARCH("1B",C75))),1,IF(AND(ISNUMBER(SEARCH("2B",C75))),2,IF(AND(ISNUMBER(SEARCH("3B",C75))),3,IF(AND(ISNUMBER(SEARCH("4B",C75))),4,IF(ISNUMBER(SEARCH("5B",C75)),5,0)))))</f>
        <v>0</v>
      </c>
      <c r="C76" s="46" t="s">
        <v>69</v>
      </c>
      <c r="D76" s="46">
        <v>1</v>
      </c>
      <c r="E76" s="46" t="s">
        <v>68</v>
      </c>
      <c r="F76" s="46">
        <v>0</v>
      </c>
      <c r="G76" s="46" t="s">
        <v>77</v>
      </c>
      <c r="H76" s="17">
        <f ca="1">--TRIM(RIGHT(SUBSTITUTE(LEFT(C75,_xlfn.AGGREGATE(16,6,FIND({0,1,2,3,4,5,6,7,8,9},C75,ROW(INDIRECT("1:"&amp;LEN(C75)))),1))," ",REPT(" ",LEN(C75))),LEN(C75)))</f>
        <v>7</v>
      </c>
      <c r="I76" s="50" t="str">
        <f ca="1">IF(D79=100%,"Excavation","")&amp;IF(D80=100%,", Plinth","")&amp;IF(D81=100%,", RCC Slab","")&amp;IF(D82=100%,", Brickwork","")&amp;IF(D83=100%,", Internal Plaster","")&amp;IF(D84=100%,", External Plaster","")&amp;IF(D85=100%,", Flooring","")&amp;IF(D86=100%,", Painting","")&amp;IF(D87=100%,", Building common Amenities","")</f>
        <v>Excavation, Plinth, RCC Slab, Brickwork</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2.4" customHeight="1" x14ac:dyDescent="0.3">
      <c r="A77" s="89" t="s">
        <v>87</v>
      </c>
      <c r="B77" s="90"/>
      <c r="C77" s="101" t="str">
        <f ca="1">I75</f>
        <v>Excavation, Plinth, RCC Slab, Brickwork Completed, External Plaster upto 2 Floor Completed</v>
      </c>
      <c r="D77" s="101"/>
      <c r="E77" s="101"/>
      <c r="F77" s="101"/>
      <c r="G77" s="101"/>
      <c r="H77" s="102"/>
      <c r="I77" s="50" t="str">
        <f ca="1">IF(I76&lt;&gt;""," Completed","")</f>
        <v xml:space="preserve"> Completed</v>
      </c>
      <c r="J77" s="51" t="str">
        <f ca="1">IF(J75&lt;&gt;"","Completed","")</f>
        <v>Completed</v>
      </c>
      <c r="S77"/>
    </row>
    <row r="78" spans="1:19" ht="15.75" customHeight="1" x14ac:dyDescent="0.3">
      <c r="A78" s="82" t="s">
        <v>47</v>
      </c>
      <c r="B78" s="83"/>
      <c r="C78" s="66" t="s">
        <v>135</v>
      </c>
      <c r="D78" s="66" t="s">
        <v>80</v>
      </c>
      <c r="E78" s="84" t="s">
        <v>82</v>
      </c>
      <c r="F78" s="84"/>
      <c r="G78" s="84" t="s">
        <v>81</v>
      </c>
      <c r="H78" s="100"/>
      <c r="I78" s="13" t="s">
        <v>137</v>
      </c>
      <c r="J78" s="28">
        <f ca="1">H76*25%</f>
        <v>1.75</v>
      </c>
      <c r="S78"/>
    </row>
    <row r="79" spans="1:19" x14ac:dyDescent="0.3">
      <c r="A79" s="82" t="s">
        <v>124</v>
      </c>
      <c r="B79" s="83"/>
      <c r="C79" s="66">
        <f ca="1">J80</f>
        <v>7</v>
      </c>
      <c r="D79" s="67">
        <f ca="1">((100/H76)*C79)/100</f>
        <v>1</v>
      </c>
      <c r="E79" s="155">
        <f ca="1">(((C80/H76*10)+(40/(D76+F76+H76)*C81)+(7.5/(H76)*C82)+(7.5/(H76)*C83)+(10/H76*C84)+(10/H76*C85)+(5/H76*C86)+(5/H76*C87)+(5/H76*C88))/100)</f>
        <v>0.60357142857142854</v>
      </c>
      <c r="F79" s="156"/>
      <c r="G79" s="155">
        <f ca="1">((((C79/H76)*20)+((C80/H76)*25)+(30/(H76+F76+D76)*C81)+(5/H76*C82)+(5/H76*C83)+(5/H76*C84)+(5/H76*C85)+(0/H76*C86)+(0/H76*C87)+(5/H76*C88))/100)</f>
        <v>0.81428571428571428</v>
      </c>
      <c r="H79" s="161"/>
      <c r="I79" s="13" t="s">
        <v>96</v>
      </c>
      <c r="J79" s="29">
        <f ca="1">H76*50%</f>
        <v>3.5</v>
      </c>
    </row>
    <row r="80" spans="1:19" x14ac:dyDescent="0.3">
      <c r="A80" s="82" t="s">
        <v>48</v>
      </c>
      <c r="B80" s="83"/>
      <c r="C80" s="66">
        <f ca="1">J88</f>
        <v>7</v>
      </c>
      <c r="D80" s="67">
        <f ca="1">((100/H76)*C80)/100</f>
        <v>1</v>
      </c>
      <c r="E80" s="157"/>
      <c r="F80" s="158"/>
      <c r="G80" s="157"/>
      <c r="H80" s="162"/>
      <c r="I80" s="13" t="s">
        <v>97</v>
      </c>
      <c r="J80" s="29">
        <f ca="1">H76</f>
        <v>7</v>
      </c>
      <c r="S80"/>
    </row>
    <row r="81" spans="1:19" ht="15.75" customHeight="1" x14ac:dyDescent="0.3">
      <c r="A81" s="82" t="s">
        <v>125</v>
      </c>
      <c r="B81" s="83"/>
      <c r="C81" s="66">
        <v>8</v>
      </c>
      <c r="D81" s="67">
        <f ca="1">((100/(D76+F76+H76))*C81)/100</f>
        <v>1</v>
      </c>
      <c r="E81" s="157"/>
      <c r="F81" s="158"/>
      <c r="G81" s="157"/>
      <c r="H81" s="162"/>
      <c r="I81" s="13" t="s">
        <v>98</v>
      </c>
      <c r="J81" s="30">
        <f ca="1">(IF(B76&gt;1,(H76/(B76+2)),H76/4))</f>
        <v>1.75</v>
      </c>
      <c r="S81"/>
    </row>
    <row r="82" spans="1:19" ht="15.75" customHeight="1" x14ac:dyDescent="0.3">
      <c r="A82" s="82" t="s">
        <v>132</v>
      </c>
      <c r="B82" s="83" t="s">
        <v>126</v>
      </c>
      <c r="C82" s="66">
        <v>7</v>
      </c>
      <c r="D82" s="67">
        <f ca="1">((100/H76)*C82)/100</f>
        <v>1</v>
      </c>
      <c r="E82" s="157"/>
      <c r="F82" s="158"/>
      <c r="G82" s="157"/>
      <c r="H82" s="162"/>
      <c r="I82" s="13" t="s">
        <v>99</v>
      </c>
      <c r="J82" s="30">
        <f ca="1">(IF(B76&gt;1,(H76/(B76+2)+J81),H76/4+J81))</f>
        <v>3.5</v>
      </c>
    </row>
    <row r="83" spans="1:19" ht="15.75" customHeight="1" x14ac:dyDescent="0.3">
      <c r="A83" s="82" t="s">
        <v>133</v>
      </c>
      <c r="B83" s="83" t="s">
        <v>126</v>
      </c>
      <c r="C83" s="66">
        <v>0</v>
      </c>
      <c r="D83" s="67">
        <f ca="1">((100/H76)*C83)/100</f>
        <v>0</v>
      </c>
      <c r="E83" s="157"/>
      <c r="F83" s="158"/>
      <c r="G83" s="157"/>
      <c r="H83" s="162"/>
      <c r="I83" s="13" t="s">
        <v>142</v>
      </c>
      <c r="J83" s="30">
        <f>(IF(B76&gt;1,(H76/(B76+2)+J82),0))</f>
        <v>0</v>
      </c>
    </row>
    <row r="84" spans="1:19" ht="15" customHeight="1" x14ac:dyDescent="0.3">
      <c r="A84" s="82" t="s">
        <v>131</v>
      </c>
      <c r="B84" s="83" t="s">
        <v>128</v>
      </c>
      <c r="C84" s="66">
        <v>2</v>
      </c>
      <c r="D84" s="67">
        <f ca="1">((100/(H76))*C84)/100</f>
        <v>0.28571428571428575</v>
      </c>
      <c r="E84" s="157"/>
      <c r="F84" s="158"/>
      <c r="G84" s="157"/>
      <c r="H84" s="162"/>
      <c r="I84" s="13" t="s">
        <v>139</v>
      </c>
      <c r="J84" s="30">
        <f>(IF(B76&gt;2,(H76/(B76+2)+J83),0))</f>
        <v>0</v>
      </c>
    </row>
    <row r="85" spans="1:19" ht="15.75" customHeight="1" x14ac:dyDescent="0.3">
      <c r="A85" s="82" t="s">
        <v>127</v>
      </c>
      <c r="B85" s="83" t="s">
        <v>127</v>
      </c>
      <c r="C85" s="66">
        <v>0</v>
      </c>
      <c r="D85" s="67">
        <f ca="1">((100/H76)*C85)/100</f>
        <v>0</v>
      </c>
      <c r="E85" s="157"/>
      <c r="F85" s="158"/>
      <c r="G85" s="157"/>
      <c r="H85" s="162"/>
      <c r="I85" s="13" t="s">
        <v>140</v>
      </c>
      <c r="J85" s="31">
        <f>(IF(B76&gt;3,(H76/(B76+2)+J84),0))</f>
        <v>0</v>
      </c>
    </row>
    <row r="86" spans="1:19" ht="15.75" customHeight="1" x14ac:dyDescent="0.3">
      <c r="A86" s="82" t="s">
        <v>134</v>
      </c>
      <c r="B86" s="83"/>
      <c r="C86" s="66">
        <v>0</v>
      </c>
      <c r="D86" s="67">
        <f ca="1">((100/H76)*C86)/100</f>
        <v>0</v>
      </c>
      <c r="E86" s="157"/>
      <c r="F86" s="158"/>
      <c r="G86" s="157"/>
      <c r="H86" s="162"/>
      <c r="I86" s="13" t="s">
        <v>141</v>
      </c>
      <c r="J86" s="30">
        <f>(IF(B76&gt;4,(H76/(B76+2)+J85),0))</f>
        <v>0</v>
      </c>
    </row>
    <row r="87" spans="1:19" ht="15.75" customHeight="1" x14ac:dyDescent="0.3">
      <c r="A87" s="82" t="s">
        <v>129</v>
      </c>
      <c r="B87" s="83" t="s">
        <v>129</v>
      </c>
      <c r="C87" s="66">
        <v>0</v>
      </c>
      <c r="D87" s="67">
        <f ca="1">((100/(H76))*C87)/100</f>
        <v>0</v>
      </c>
      <c r="E87" s="157"/>
      <c r="F87" s="158"/>
      <c r="G87" s="157"/>
      <c r="H87" s="162"/>
      <c r="I87" s="13" t="s">
        <v>143</v>
      </c>
      <c r="J87" s="30">
        <f ca="1">(IF(B76=1,(H76/(B76+3)+J82),IF(B76=0,(H76/4+J82),IF(B76&gt;1,0))))</f>
        <v>5.25</v>
      </c>
    </row>
    <row r="88" spans="1:19" ht="16.2" thickBot="1" x14ac:dyDescent="0.35">
      <c r="A88" s="96" t="s">
        <v>130</v>
      </c>
      <c r="B88" s="97"/>
      <c r="C88" s="68">
        <v>0</v>
      </c>
      <c r="D88" s="69">
        <f ca="1">((100/(H76))*C88)/100</f>
        <v>0</v>
      </c>
      <c r="E88" s="159"/>
      <c r="F88" s="160"/>
      <c r="G88" s="159"/>
      <c r="H88" s="163"/>
      <c r="I88" s="15" t="s">
        <v>100</v>
      </c>
      <c r="J88" s="32">
        <f ca="1">(IF(B76&gt;1.5,(H76/(B76+2)+J82+MAX(0,J83-J82)+MAX(0,J84-J83)+MAX(0,J85-J84)+MAX(0,J86-J85)+MAX(0,J87-J86)),IF(B76=1,(H76/(B76+3)+J87),IF(B76=0,H76/4+J87))))</f>
        <v>7</v>
      </c>
    </row>
    <row r="89" spans="1:19" ht="15.75" hidden="1" customHeight="1" x14ac:dyDescent="0.3">
      <c r="A89" s="91" t="s">
        <v>136</v>
      </c>
      <c r="B89" s="92"/>
      <c r="C89" s="93" t="str">
        <f>D66</f>
        <v>B Wing = G + 1st to 4th Floor</v>
      </c>
      <c r="D89" s="94"/>
      <c r="E89" s="94"/>
      <c r="F89" s="94"/>
      <c r="G89" s="94"/>
      <c r="H89" s="95"/>
      <c r="I89" s="48" t="str">
        <f ca="1">IF(D102=100%,"All work Completed. Possession granted to the Building.",IF(D101=100%,"All work Completed, Waiting for OC",I90&amp;""&amp;I91&amp;""&amp;J90&amp;""&amp;J89&amp;" "&amp;J91))</f>
        <v xml:space="preserve">Excavation Completed0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row>
    <row r="90" spans="1:19" hidden="1" x14ac:dyDescent="0.3">
      <c r="A90" s="16" t="s">
        <v>138</v>
      </c>
      <c r="B90" s="46">
        <f>IF(AND(ISNUMBER(SEARCH("1B",C89))),1,IF(AND(ISNUMBER(SEARCH("2B",C89))),2,IF(AND(ISNUMBER(SEARCH("3B",C89))),3,IF(AND(ISNUMBER(SEARCH("4B",C89))),4,IF(ISNUMBER(SEARCH("5B",C89)),5,0)))))</f>
        <v>0</v>
      </c>
      <c r="C90" s="46" t="s">
        <v>69</v>
      </c>
      <c r="D90" s="46">
        <v>1</v>
      </c>
      <c r="E90" s="46" t="s">
        <v>68</v>
      </c>
      <c r="F90" s="14">
        <v>0</v>
      </c>
      <c r="G90" s="47" t="s">
        <v>77</v>
      </c>
      <c r="H90" s="17">
        <f ca="1">--TRIM(RIGHT(SUBSTITUTE(LEFT(C89,_xlfn.AGGREGATE(16,6,FIND({0,1,2,3,4,5,6,7,8,9},C89,ROW(INDIRECT("1:"&amp;LEN(C89)))),1))," ",REPT(" ",LEN(C89))),LEN(C89)))</f>
        <v>4</v>
      </c>
      <c r="I90" s="50" t="str">
        <f ca="1">IF(D93=100%,"Excavation","")&amp;IF(D94=100%,", Plinth","")&amp;IF(D95=100%,", RCC Slab","")&amp;IF(D96=100%,", Brickwork","")&amp;IF(D97=100%,", Internal Plaster","")&amp;IF(D98=100%,", External Plaster","")&amp;IF(D99=100%,", Flooring","")&amp;IF(D100=100%,", Painting","")&amp;IF(D101=100%,", Building common Amenities","")</f>
        <v>Excavation</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0</v>
      </c>
    </row>
    <row r="91" spans="1:19" hidden="1" x14ac:dyDescent="0.3">
      <c r="A91" s="89" t="s">
        <v>87</v>
      </c>
      <c r="B91" s="90"/>
      <c r="C91" s="101" t="str">
        <f ca="1">(IF($G$60="NA",I89,"All work Completed. OC Received."))</f>
        <v xml:space="preserve">Excavation Completed0 </v>
      </c>
      <c r="D91" s="101"/>
      <c r="E91" s="101"/>
      <c r="F91" s="101"/>
      <c r="G91" s="101"/>
      <c r="H91" s="102"/>
      <c r="I91" s="50" t="str">
        <f ca="1">IF(I90&lt;&gt;""," Completed","")</f>
        <v xml:space="preserve"> Completed</v>
      </c>
      <c r="J91" s="51" t="str">
        <f ca="1">IF(J89&lt;&gt;"","Completed","")</f>
        <v/>
      </c>
    </row>
    <row r="92" spans="1:19" ht="15.75" hidden="1" customHeight="1" x14ac:dyDescent="0.3">
      <c r="A92" s="82" t="s">
        <v>47</v>
      </c>
      <c r="B92" s="83"/>
      <c r="C92" s="43" t="s">
        <v>135</v>
      </c>
      <c r="D92" s="43" t="s">
        <v>80</v>
      </c>
      <c r="E92" s="83" t="s">
        <v>82</v>
      </c>
      <c r="F92" s="83"/>
      <c r="G92" s="83" t="s">
        <v>81</v>
      </c>
      <c r="H92" s="99"/>
      <c r="I92" s="13" t="s">
        <v>137</v>
      </c>
      <c r="J92" s="28">
        <f ca="1">H90*25%</f>
        <v>1</v>
      </c>
    </row>
    <row r="93" spans="1:19" hidden="1" x14ac:dyDescent="0.3">
      <c r="A93" s="82" t="s">
        <v>124</v>
      </c>
      <c r="B93" s="83"/>
      <c r="C93" s="60">
        <f ca="1">J94</f>
        <v>4</v>
      </c>
      <c r="D93" s="19">
        <f ca="1">((100/H90)*C93)/100</f>
        <v>1</v>
      </c>
      <c r="E93" s="103">
        <f ca="1">(((C94/H90*10)+(40/(D90+F90+H90)*C95)+(7.5/(H90)*C96)+(7.5/(H90)*C97)+(10/H90*C98)+(10/H90*C99)+(5/H90*C100)+(5/H90*C101)+(5/H90*C102))/100)</f>
        <v>0.47499999999999998</v>
      </c>
      <c r="F93" s="104"/>
      <c r="G93" s="103">
        <f ca="1">((((C93/H90)*20)+((C94/H90)*25)+(30/(H90+F90+D90)*C95)+(5/H90*C96)+(5/H90*C97)+(5/H90*C98)+(5/H90*C99)+(0/H90*C100)+(0/H90*C101)+(5/H90*C102))/100)</f>
        <v>1.3875</v>
      </c>
      <c r="H93" s="114"/>
      <c r="I93" s="13" t="s">
        <v>96</v>
      </c>
      <c r="J93" s="29">
        <f ca="1">H90*50%</f>
        <v>2</v>
      </c>
    </row>
    <row r="94" spans="1:19" hidden="1" x14ac:dyDescent="0.3">
      <c r="A94" s="82" t="s">
        <v>48</v>
      </c>
      <c r="B94" s="83"/>
      <c r="C94" s="61">
        <v>19</v>
      </c>
      <c r="D94" s="19">
        <f ca="1">((100/H90)*C94)/100</f>
        <v>4.75</v>
      </c>
      <c r="E94" s="105"/>
      <c r="F94" s="106"/>
      <c r="G94" s="105"/>
      <c r="H94" s="115"/>
      <c r="I94" s="13" t="s">
        <v>97</v>
      </c>
      <c r="J94" s="29">
        <f ca="1">H90</f>
        <v>4</v>
      </c>
    </row>
    <row r="95" spans="1:19" ht="15.75" hidden="1" customHeight="1" x14ac:dyDescent="0.3">
      <c r="A95" s="82" t="s">
        <v>125</v>
      </c>
      <c r="B95" s="83"/>
      <c r="C95" s="43">
        <v>0</v>
      </c>
      <c r="D95" s="19">
        <f ca="1">((100/(D90+F90+H90))*C95)/100</f>
        <v>0</v>
      </c>
      <c r="E95" s="105"/>
      <c r="F95" s="106"/>
      <c r="G95" s="105"/>
      <c r="H95" s="115"/>
      <c r="I95" s="13" t="s">
        <v>98</v>
      </c>
      <c r="J95" s="30">
        <f ca="1">(IF(B90&gt;1,(H90/(B90+2)),H90/4))</f>
        <v>1</v>
      </c>
    </row>
    <row r="96" spans="1:19" ht="15.75" hidden="1" customHeight="1" x14ac:dyDescent="0.3">
      <c r="A96" s="82" t="s">
        <v>132</v>
      </c>
      <c r="B96" s="83" t="s">
        <v>126</v>
      </c>
      <c r="C96" s="43">
        <v>0</v>
      </c>
      <c r="D96" s="19">
        <f ca="1">((100/H90)*C96)/100</f>
        <v>0</v>
      </c>
      <c r="E96" s="105"/>
      <c r="F96" s="106"/>
      <c r="G96" s="105"/>
      <c r="H96" s="115"/>
      <c r="I96" s="13" t="s">
        <v>99</v>
      </c>
      <c r="J96" s="30">
        <f ca="1">(IF(B90&gt;1,(H90/(B90+2)+J95),H90/4+J95))</f>
        <v>2</v>
      </c>
    </row>
    <row r="97" spans="1:10" ht="15.75" hidden="1" customHeight="1" x14ac:dyDescent="0.3">
      <c r="A97" s="82" t="s">
        <v>133</v>
      </c>
      <c r="B97" s="83" t="s">
        <v>126</v>
      </c>
      <c r="C97" s="43">
        <v>0</v>
      </c>
      <c r="D97" s="19">
        <f ca="1">((100/H90)*C97)/100</f>
        <v>0</v>
      </c>
      <c r="E97" s="105"/>
      <c r="F97" s="106"/>
      <c r="G97" s="105"/>
      <c r="H97" s="115"/>
      <c r="I97" s="13" t="s">
        <v>142</v>
      </c>
      <c r="J97" s="30">
        <f>(IF(B90&gt;1,(H90/(B90+2)+J96),0))</f>
        <v>0</v>
      </c>
    </row>
    <row r="98" spans="1:10" ht="15" hidden="1" customHeight="1" x14ac:dyDescent="0.3">
      <c r="A98" s="82" t="s">
        <v>131</v>
      </c>
      <c r="B98" s="83" t="s">
        <v>128</v>
      </c>
      <c r="C98" s="43">
        <v>0</v>
      </c>
      <c r="D98" s="19">
        <f ca="1">((100/(H90))*C98)/100</f>
        <v>0</v>
      </c>
      <c r="E98" s="105"/>
      <c r="F98" s="106"/>
      <c r="G98" s="105"/>
      <c r="H98" s="115"/>
      <c r="I98" s="13" t="s">
        <v>139</v>
      </c>
      <c r="J98" s="30">
        <f>(IF(B90&gt;2,(H90/(B90+2)+J97),0))</f>
        <v>0</v>
      </c>
    </row>
    <row r="99" spans="1:10" ht="15.75" hidden="1" customHeight="1" x14ac:dyDescent="0.3">
      <c r="A99" s="82" t="s">
        <v>127</v>
      </c>
      <c r="B99" s="83" t="s">
        <v>127</v>
      </c>
      <c r="C99" s="43">
        <v>0</v>
      </c>
      <c r="D99" s="19">
        <f ca="1">((100/H90)*C99)/100</f>
        <v>0</v>
      </c>
      <c r="E99" s="105"/>
      <c r="F99" s="106"/>
      <c r="G99" s="105"/>
      <c r="H99" s="115"/>
      <c r="I99" s="13" t="s">
        <v>140</v>
      </c>
      <c r="J99" s="31">
        <f>(IF(B90&gt;3,(H90/(B90+2)+J98),0))</f>
        <v>0</v>
      </c>
    </row>
    <row r="100" spans="1:10" ht="15.75" hidden="1" customHeight="1" x14ac:dyDescent="0.3">
      <c r="A100" s="82" t="s">
        <v>134</v>
      </c>
      <c r="B100" s="83"/>
      <c r="C100" s="43">
        <v>0</v>
      </c>
      <c r="D100" s="19">
        <f ca="1">((100/H90)*C100)/100</f>
        <v>0</v>
      </c>
      <c r="E100" s="105"/>
      <c r="F100" s="106"/>
      <c r="G100" s="105"/>
      <c r="H100" s="115"/>
      <c r="I100" s="13" t="s">
        <v>141</v>
      </c>
      <c r="J100" s="30">
        <f>(IF(B90&gt;4,(H90/(B90+2)+J99),0))</f>
        <v>0</v>
      </c>
    </row>
    <row r="101" spans="1:10" ht="15.75" hidden="1" customHeight="1" x14ac:dyDescent="0.3">
      <c r="A101" s="82" t="s">
        <v>129</v>
      </c>
      <c r="B101" s="83" t="s">
        <v>129</v>
      </c>
      <c r="C101" s="43">
        <v>0</v>
      </c>
      <c r="D101" s="19">
        <f ca="1">((100/(H90))*C101)/100</f>
        <v>0</v>
      </c>
      <c r="E101" s="105"/>
      <c r="F101" s="106"/>
      <c r="G101" s="105"/>
      <c r="H101" s="115"/>
      <c r="I101" s="13" t="s">
        <v>143</v>
      </c>
      <c r="J101" s="30">
        <f ca="1">(IF(B90=1,(H90/(B90+3)+J96),IF(B90=0,(H90/4+J96),IF(B90&gt;1,0))))</f>
        <v>3</v>
      </c>
    </row>
    <row r="102" spans="1:10" ht="16.2" hidden="1" thickBot="1" x14ac:dyDescent="0.35">
      <c r="A102" s="96" t="s">
        <v>130</v>
      </c>
      <c r="B102" s="97"/>
      <c r="C102" s="44">
        <v>0</v>
      </c>
      <c r="D102" s="20">
        <f ca="1">((100/(H90))*C102)/100</f>
        <v>0</v>
      </c>
      <c r="E102" s="107"/>
      <c r="F102" s="108"/>
      <c r="G102" s="107"/>
      <c r="H102" s="116"/>
      <c r="I102" s="15" t="s">
        <v>100</v>
      </c>
      <c r="J102" s="32">
        <f ca="1">(IF(B90&gt;1.5,(H90/(B90+2)+J96+MAX(0,J97-J96)+MAX(0,J98-J97)+MAX(0,J99-J98)+MAX(0,J100-J99)+MAX(0,J101-J100)),IF(B90=1,(H90/(B90+3)+J101),IF(B90=0,H90/4+J101))))</f>
        <v>4</v>
      </c>
    </row>
    <row r="103" spans="1:10" ht="15.75" hidden="1" customHeight="1" x14ac:dyDescent="0.3">
      <c r="A103" s="91" t="s">
        <v>136</v>
      </c>
      <c r="B103" s="92"/>
      <c r="C103" s="93" t="str">
        <f>D67</f>
        <v>C Wing = 1B + G + 1st to 20th Floor</v>
      </c>
      <c r="D103" s="94"/>
      <c r="E103" s="94"/>
      <c r="F103" s="94"/>
      <c r="G103" s="94"/>
      <c r="H103" s="95"/>
      <c r="I103" s="48" t="str">
        <f ca="1">IF(D116=100%,"All work Completed. Possession granted to the Building.",IF(D115=100%,"All work Completed, Waiting for OC",I104&amp;""&amp;I105&amp;""&amp;J104&amp;""&amp;J103&amp;" "&amp;J105))</f>
        <v xml:space="preserve">Excavation, Plinth, RCC Slab Completed </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row>
    <row r="104" spans="1:10" hidden="1" x14ac:dyDescent="0.3">
      <c r="A104" s="16" t="s">
        <v>138</v>
      </c>
      <c r="B104" s="46">
        <f>IF(AND(ISNUMBER(SEARCH("1B",C103))),1,IF(AND(ISNUMBER(SEARCH("2B",C103))),2,IF(AND(ISNUMBER(SEARCH("3B",C103))),3,IF(AND(ISNUMBER(SEARCH("4B",C103))),4,IF(ISNUMBER(SEARCH("5B",C103)),5,0)))))</f>
        <v>1</v>
      </c>
      <c r="C104" s="46" t="s">
        <v>69</v>
      </c>
      <c r="D104" s="46">
        <v>1</v>
      </c>
      <c r="E104" s="46" t="s">
        <v>68</v>
      </c>
      <c r="F104" s="14">
        <v>0</v>
      </c>
      <c r="G104" s="47" t="s">
        <v>77</v>
      </c>
      <c r="H104" s="17">
        <f ca="1">--TRIM(RIGHT(SUBSTITUTE(LEFT(C103,_xlfn.AGGREGATE(16,6,FIND({0,1,2,3,4,5,6,7,8,9},C103,ROW(INDIRECT("1:"&amp;LEN(C103)))),1))," ",REPT(" ",LEN(C103))),LEN(C103)))</f>
        <v>20</v>
      </c>
      <c r="I104" s="50" t="str">
        <f ca="1">IF(D107=100%,"Excavation","")&amp;IF(D108=100%,", Plinth","")&amp;IF(D109=100%,", RCC Slab","")&amp;IF(D110=100%,", Brickwork","")&amp;IF(D111=100%,", Internal Plaster","")&amp;IF(D112=100%,", External Plaster","")&amp;IF(D113=100%,", Flooring","")&amp;IF(D114=100%,", Painting","")&amp;IF(D115=100%,", Building common Amenities","")</f>
        <v>Excavation, Plinth, RCC Slab</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idden="1" x14ac:dyDescent="0.3">
      <c r="A105" s="89" t="s">
        <v>87</v>
      </c>
      <c r="B105" s="90"/>
      <c r="C105" s="101" t="str">
        <f ca="1">(IF($G$60="NA",I103,"All work Completed. OC Received."))</f>
        <v xml:space="preserve">Excavation, Plinth, RCC Slab Completed </v>
      </c>
      <c r="D105" s="101"/>
      <c r="E105" s="101"/>
      <c r="F105" s="101"/>
      <c r="G105" s="101"/>
      <c r="H105" s="102"/>
      <c r="I105" s="50" t="str">
        <f ca="1">IF(I104&lt;&gt;""," Completed","")</f>
        <v xml:space="preserve"> Completed</v>
      </c>
      <c r="J105" s="51" t="str">
        <f ca="1">IF(J103&lt;&gt;"","Completed","")</f>
        <v/>
      </c>
    </row>
    <row r="106" spans="1:10" ht="15.75" hidden="1" customHeight="1" x14ac:dyDescent="0.3">
      <c r="A106" s="82" t="s">
        <v>47</v>
      </c>
      <c r="B106" s="83"/>
      <c r="C106" s="43" t="s">
        <v>135</v>
      </c>
      <c r="D106" s="43" t="s">
        <v>80</v>
      </c>
      <c r="E106" s="83" t="s">
        <v>82</v>
      </c>
      <c r="F106" s="83"/>
      <c r="G106" s="83" t="s">
        <v>81</v>
      </c>
      <c r="H106" s="99"/>
      <c r="I106" s="13" t="s">
        <v>137</v>
      </c>
      <c r="J106" s="28">
        <f ca="1">H104*25%</f>
        <v>5</v>
      </c>
    </row>
    <row r="107" spans="1:10" hidden="1" x14ac:dyDescent="0.3">
      <c r="A107" s="82" t="s">
        <v>124</v>
      </c>
      <c r="B107" s="83"/>
      <c r="C107" s="43">
        <f ca="1">J108</f>
        <v>20</v>
      </c>
      <c r="D107" s="19">
        <f ca="1">((100/H104)*C107)/100</f>
        <v>1</v>
      </c>
      <c r="E107" s="103">
        <f ca="1">(((C108/H104*10)+(40/(D104+F104+H104)*C109)+(7.5/(H104)*C110)+(7.5/(H104)*C111)+(10/H104*C112)+(10/H104*C113)+(5/H104*C114)+(5/H104*C115)+(5/H104*C116))/100)</f>
        <v>0.5</v>
      </c>
      <c r="F107" s="104"/>
      <c r="G107" s="103">
        <f ca="1">((((C107/H104)*20)+((C108/H104)*25)+(30/(H104+F104+D104)*C109)+(5/H104*C110)+(5/H104*C111)+(5/H104*C112)+(5/H104*C113)+(0/H104*C114)+(0/H104*C115)+(5/H104*C116))/100)</f>
        <v>0.75</v>
      </c>
      <c r="H107" s="114"/>
      <c r="I107" s="13" t="s">
        <v>96</v>
      </c>
      <c r="J107" s="29">
        <f ca="1">H104*50%</f>
        <v>10</v>
      </c>
    </row>
    <row r="108" spans="1:10" hidden="1" x14ac:dyDescent="0.3">
      <c r="A108" s="82" t="s">
        <v>48</v>
      </c>
      <c r="B108" s="83"/>
      <c r="C108" s="43">
        <f ca="1">J116</f>
        <v>20</v>
      </c>
      <c r="D108" s="19">
        <f ca="1">((100/H104)*C108)/100</f>
        <v>1</v>
      </c>
      <c r="E108" s="105"/>
      <c r="F108" s="106"/>
      <c r="G108" s="105"/>
      <c r="H108" s="115"/>
      <c r="I108" s="13" t="s">
        <v>97</v>
      </c>
      <c r="J108" s="29">
        <f ca="1">H104</f>
        <v>20</v>
      </c>
    </row>
    <row r="109" spans="1:10" ht="15.75" hidden="1" customHeight="1" x14ac:dyDescent="0.3">
      <c r="A109" s="82" t="s">
        <v>125</v>
      </c>
      <c r="B109" s="83"/>
      <c r="C109" s="43">
        <f ca="1">D104+H104</f>
        <v>21</v>
      </c>
      <c r="D109" s="19">
        <f ca="1">((100/(D104+F104+H104))*C109)/100</f>
        <v>1</v>
      </c>
      <c r="E109" s="105"/>
      <c r="F109" s="106"/>
      <c r="G109" s="105"/>
      <c r="H109" s="115"/>
      <c r="I109" s="13" t="s">
        <v>98</v>
      </c>
      <c r="J109" s="30">
        <f ca="1">(IF(B104&gt;1,(H104/(B104+2)),H104/4))</f>
        <v>5</v>
      </c>
    </row>
    <row r="110" spans="1:10" ht="15.75" hidden="1" customHeight="1" x14ac:dyDescent="0.3">
      <c r="A110" s="82" t="s">
        <v>132</v>
      </c>
      <c r="B110" s="83" t="s">
        <v>126</v>
      </c>
      <c r="C110" s="43">
        <v>0</v>
      </c>
      <c r="D110" s="19">
        <f ca="1">((100/H104)*C110)/100</f>
        <v>0</v>
      </c>
      <c r="E110" s="105"/>
      <c r="F110" s="106"/>
      <c r="G110" s="105"/>
      <c r="H110" s="115"/>
      <c r="I110" s="13" t="s">
        <v>99</v>
      </c>
      <c r="J110" s="30">
        <f ca="1">(IF(B104&gt;1,(H104/(B104+2)+J109),H104/4+J109))</f>
        <v>10</v>
      </c>
    </row>
    <row r="111" spans="1:10" ht="15.75" hidden="1" customHeight="1" x14ac:dyDescent="0.3">
      <c r="A111" s="82" t="s">
        <v>133</v>
      </c>
      <c r="B111" s="83" t="s">
        <v>126</v>
      </c>
      <c r="C111" s="43">
        <v>0</v>
      </c>
      <c r="D111" s="19">
        <f ca="1">((100/H104)*C111)/100</f>
        <v>0</v>
      </c>
      <c r="E111" s="105"/>
      <c r="F111" s="106"/>
      <c r="G111" s="105"/>
      <c r="H111" s="115"/>
      <c r="I111" s="13" t="s">
        <v>142</v>
      </c>
      <c r="J111" s="30">
        <f>(IF(B104&gt;1,(H104/(B104+2)+J110),0))</f>
        <v>0</v>
      </c>
    </row>
    <row r="112" spans="1:10" ht="15" hidden="1" customHeight="1" x14ac:dyDescent="0.3">
      <c r="A112" s="82" t="s">
        <v>131</v>
      </c>
      <c r="B112" s="83" t="s">
        <v>128</v>
      </c>
      <c r="C112" s="43">
        <v>0</v>
      </c>
      <c r="D112" s="19">
        <f ca="1">((100/(H104))*C112)/100</f>
        <v>0</v>
      </c>
      <c r="E112" s="105"/>
      <c r="F112" s="106"/>
      <c r="G112" s="105"/>
      <c r="H112" s="115"/>
      <c r="I112" s="13" t="s">
        <v>139</v>
      </c>
      <c r="J112" s="30">
        <f>(IF(B104&gt;2,(H104/(B104+2)+J111),0))</f>
        <v>0</v>
      </c>
    </row>
    <row r="113" spans="1:19" ht="15.75" hidden="1" customHeight="1" x14ac:dyDescent="0.3">
      <c r="A113" s="82" t="s">
        <v>127</v>
      </c>
      <c r="B113" s="83" t="s">
        <v>127</v>
      </c>
      <c r="C113" s="43">
        <v>0</v>
      </c>
      <c r="D113" s="19">
        <f ca="1">((100/H104)*C113)/100</f>
        <v>0</v>
      </c>
      <c r="E113" s="105"/>
      <c r="F113" s="106"/>
      <c r="G113" s="105"/>
      <c r="H113" s="115"/>
      <c r="I113" s="13" t="s">
        <v>140</v>
      </c>
      <c r="J113" s="31">
        <f>(IF(B104&gt;3,(H104/(B104+2)+J112),0))</f>
        <v>0</v>
      </c>
    </row>
    <row r="114" spans="1:19" ht="15.75" hidden="1" customHeight="1" x14ac:dyDescent="0.3">
      <c r="A114" s="82" t="s">
        <v>134</v>
      </c>
      <c r="B114" s="83"/>
      <c r="C114" s="43">
        <v>0</v>
      </c>
      <c r="D114" s="19">
        <f ca="1">((100/H104)*C114)/100</f>
        <v>0</v>
      </c>
      <c r="E114" s="105"/>
      <c r="F114" s="106"/>
      <c r="G114" s="105"/>
      <c r="H114" s="115"/>
      <c r="I114" s="13" t="s">
        <v>141</v>
      </c>
      <c r="J114" s="30">
        <f>(IF(B104&gt;4,(H104/(B104+2)+J113),0))</f>
        <v>0</v>
      </c>
    </row>
    <row r="115" spans="1:19" ht="15.75" hidden="1" customHeight="1" x14ac:dyDescent="0.3">
      <c r="A115" s="82" t="s">
        <v>129</v>
      </c>
      <c r="B115" s="83" t="s">
        <v>129</v>
      </c>
      <c r="C115" s="43">
        <v>0</v>
      </c>
      <c r="D115" s="19">
        <f ca="1">((100/(H104))*C115)/100</f>
        <v>0</v>
      </c>
      <c r="E115" s="105"/>
      <c r="F115" s="106"/>
      <c r="G115" s="105"/>
      <c r="H115" s="115"/>
      <c r="I115" s="13" t="s">
        <v>143</v>
      </c>
      <c r="J115" s="30">
        <f ca="1">(IF(B104=1,(H104/(B104+3)+J110),IF(B104=0,(H104/4+J110),IF(B104&gt;1,0))))</f>
        <v>15</v>
      </c>
    </row>
    <row r="116" spans="1:19" ht="16.2" hidden="1" thickBot="1" x14ac:dyDescent="0.35">
      <c r="A116" s="96" t="s">
        <v>130</v>
      </c>
      <c r="B116" s="97"/>
      <c r="C116" s="44">
        <v>0</v>
      </c>
      <c r="D116" s="20">
        <f ca="1">((100/(H104))*C116)/100</f>
        <v>0</v>
      </c>
      <c r="E116" s="107"/>
      <c r="F116" s="108"/>
      <c r="G116" s="107"/>
      <c r="H116" s="116"/>
      <c r="I116" s="15" t="s">
        <v>100</v>
      </c>
      <c r="J116" s="32">
        <f ca="1">(IF(B104&gt;1.5,(H104/(B104+2)+J110+MAX(0,J111-J110)+MAX(0,J112-J111)+MAX(0,J113-J112)+MAX(0,J114-J113)+MAX(0,J115-J114)),IF(B104=1,(H104/(B104+3)+J115),IF(B104=0,H104/4+J115))))</f>
        <v>20</v>
      </c>
    </row>
    <row r="117" spans="1:19" ht="15.75" hidden="1" customHeight="1" x14ac:dyDescent="0.3">
      <c r="A117" s="91" t="s">
        <v>136</v>
      </c>
      <c r="B117" s="92"/>
      <c r="C117" s="93" t="s">
        <v>361</v>
      </c>
      <c r="D117" s="94"/>
      <c r="E117" s="94"/>
      <c r="F117" s="94"/>
      <c r="G117" s="94"/>
      <c r="H117" s="95"/>
      <c r="I117" s="48" t="str">
        <f ca="1">IF(D130=100%,"All work Completed. Possession granted to the Building.",IF(D129=100%,"All work Completed, Waiting for OC",I118&amp;""&amp;I119&amp;""&amp;J118&amp;""&amp;J117&amp;" "&amp;J119))</f>
        <v>Excavation, Plinth, RCC Slab, Brickwork Completed, External Plaster upto 2 Floor Completed</v>
      </c>
      <c r="J117" s="49" t="str">
        <f ca="1">(IF(C123=(D118+F118+H118),"",IF(C123&gt;0,", RCC upto "&amp;C123&amp;" Slab","")))&amp;(IF(C124=H118,"",IF(C124&gt;0,", Brickwork upto "&amp;C124&amp;" Floor","")))&amp;(IF(C125=H118,"",IF(C125&gt;0,", Internal Plaster upto "&amp;C125&amp;" Floor","")))&amp;(IF(C126=H118,"",IF(C126&gt;0,", External Plaster upto "&amp;C126&amp;" Floor","")))&amp;(IF(C127=H118,"",IF(C127&gt;0,", Flooring upto "&amp;C127&amp;" Floor","")))&amp;(IF(C128=H118,"",IF(C128&gt;0,", Painting upto "&amp;C128&amp;" Floor","")))&amp;(IF(C129=H118,"",IF(C129&gt;0,", Finishing upto "&amp;C129&amp;" Floor","")))&amp;(IF(C130=H118,"",IF(C130&gt;0,", Possession upto "&amp;C130&amp;" Floor","")))</f>
        <v>, External Plaster upto 2 Floor</v>
      </c>
      <c r="S117"/>
    </row>
    <row r="118" spans="1:19" hidden="1" x14ac:dyDescent="0.3">
      <c r="A118" s="16" t="s">
        <v>138</v>
      </c>
      <c r="B118" s="46">
        <f>IF(AND(ISNUMBER(SEARCH("1B",C117))),1,IF(AND(ISNUMBER(SEARCH("2B",C117))),2,IF(AND(ISNUMBER(SEARCH("3B",C117))),3,IF(AND(ISNUMBER(SEARCH("4B",C117))),4,IF(ISNUMBER(SEARCH("5B",C117)),5,0)))))</f>
        <v>0</v>
      </c>
      <c r="C118" s="46" t="s">
        <v>69</v>
      </c>
      <c r="D118" s="46">
        <v>1</v>
      </c>
      <c r="E118" s="46" t="s">
        <v>68</v>
      </c>
      <c r="F118" s="46">
        <v>0</v>
      </c>
      <c r="G118" s="46" t="s">
        <v>77</v>
      </c>
      <c r="H118" s="17">
        <f ca="1">--TRIM(RIGHT(SUBSTITUTE(LEFT(C117,_xlfn.AGGREGATE(16,6,FIND({0,1,2,3,4,5,6,7,8,9},C117,ROW(INDIRECT("1:"&amp;LEN(C117)))),1))," ",REPT(" ",LEN(C117))),LEN(C117)))</f>
        <v>7</v>
      </c>
      <c r="I118" s="50" t="str">
        <f ca="1">IF(D121=100%,"Excavation","")&amp;IF(D122=100%,", Plinth","")&amp;IF(D123=100%,", RCC Slab","")&amp;IF(D124=100%,", Brickwork","")&amp;IF(D125=100%,", Internal Plaster","")&amp;IF(D126=100%,", External Plaster","")&amp;IF(D127=100%,", Flooring","")&amp;IF(D128=100%,", Painting","")&amp;IF(D129=100%,", Building common Amenities","")</f>
        <v>Excavation, Plinth, RCC Slab, Brickwork</v>
      </c>
      <c r="J118" s="51" t="str">
        <f ca="1">(IF(C121=0,"Work not yet Started.",IF(D121=25%,"Piling work in process",IF(D121=50%,"Excavation work in process",IF(D121=100%,"","0")))))&amp;(IF(C122=0%,"",IF(C122=J123,", Footing work is process",IF(C122=J124,", Footing work Completed",IF(C122=J125,", 1st Basement Completed",IF(C122=J126,", 1st &amp; 2nd Basement Completed",IF(C122=J127,", 1st to 3rd Basement Completed",IF(C122=J128,", 1st to 4th Basement Completed",IF(C122=J129,", Plinth work is process",IF(C122=J130,"","0"))))))))))</f>
        <v/>
      </c>
      <c r="S118"/>
    </row>
    <row r="119" spans="1:19" ht="31.8" hidden="1" customHeight="1" x14ac:dyDescent="0.3">
      <c r="A119" s="89" t="s">
        <v>87</v>
      </c>
      <c r="B119" s="90"/>
      <c r="C119" s="101" t="str">
        <f ca="1">I117</f>
        <v>Excavation, Plinth, RCC Slab, Brickwork Completed, External Plaster upto 2 Floor Completed</v>
      </c>
      <c r="D119" s="101"/>
      <c r="E119" s="101"/>
      <c r="F119" s="101"/>
      <c r="G119" s="101"/>
      <c r="H119" s="102"/>
      <c r="I119" s="50" t="str">
        <f ca="1">IF(I118&lt;&gt;""," Completed","")</f>
        <v xml:space="preserve"> Completed</v>
      </c>
      <c r="J119" s="51" t="str">
        <f ca="1">IF(J117&lt;&gt;"","Completed","")</f>
        <v>Completed</v>
      </c>
      <c r="S119"/>
    </row>
    <row r="120" spans="1:19" ht="15.75" hidden="1" customHeight="1" x14ac:dyDescent="0.3">
      <c r="A120" s="82" t="s">
        <v>47</v>
      </c>
      <c r="B120" s="83"/>
      <c r="C120" s="66" t="s">
        <v>135</v>
      </c>
      <c r="D120" s="66" t="s">
        <v>80</v>
      </c>
      <c r="E120" s="84" t="s">
        <v>82</v>
      </c>
      <c r="F120" s="84"/>
      <c r="G120" s="84" t="s">
        <v>81</v>
      </c>
      <c r="H120" s="100"/>
      <c r="I120" s="13" t="s">
        <v>137</v>
      </c>
      <c r="J120" s="28">
        <f ca="1">H118*25%</f>
        <v>1.75</v>
      </c>
      <c r="S120"/>
    </row>
    <row r="121" spans="1:19" hidden="1" x14ac:dyDescent="0.3">
      <c r="A121" s="82" t="s">
        <v>124</v>
      </c>
      <c r="B121" s="83"/>
      <c r="C121" s="66">
        <f ca="1">J122</f>
        <v>7</v>
      </c>
      <c r="D121" s="67">
        <f ca="1">((100/H118)*C121)/100</f>
        <v>1</v>
      </c>
      <c r="E121" s="155">
        <f ca="1">(((C122/H118*10)+(40/(D118+F118+H118)*C123)+(7.5/(H118)*C124)+(7.5/(H118)*C125)+(10/H118*C126)+(10/H118*C127)+(5/H118*C128)+(5/H118*C129)+(5/H118*C130))/100)</f>
        <v>0.60357142857142854</v>
      </c>
      <c r="F121" s="156"/>
      <c r="G121" s="155">
        <f ca="1">((((C121/H118)*20)+((C122/H118)*25)+(30/(H118+F118+D118)*C123)+(5/H118*C124)+(5/H118*C125)+(5/H118*C126)+(5/H118*C127)+(0/H118*C128)+(0/H118*C129)+(5/H118*C130))/100)</f>
        <v>0.81428571428571428</v>
      </c>
      <c r="H121" s="161"/>
      <c r="I121" s="13" t="s">
        <v>96</v>
      </c>
      <c r="J121" s="29">
        <f ca="1">H118*50%</f>
        <v>3.5</v>
      </c>
    </row>
    <row r="122" spans="1:19" hidden="1" x14ac:dyDescent="0.3">
      <c r="A122" s="82" t="s">
        <v>48</v>
      </c>
      <c r="B122" s="83"/>
      <c r="C122" s="66">
        <f ca="1">J130</f>
        <v>7</v>
      </c>
      <c r="D122" s="67">
        <f ca="1">((100/H118)*C122)/100</f>
        <v>1</v>
      </c>
      <c r="E122" s="157"/>
      <c r="F122" s="158"/>
      <c r="G122" s="157"/>
      <c r="H122" s="162"/>
      <c r="I122" s="13" t="s">
        <v>97</v>
      </c>
      <c r="J122" s="29">
        <f ca="1">H118</f>
        <v>7</v>
      </c>
      <c r="S122"/>
    </row>
    <row r="123" spans="1:19" ht="15.75" hidden="1" customHeight="1" x14ac:dyDescent="0.3">
      <c r="A123" s="82" t="s">
        <v>125</v>
      </c>
      <c r="B123" s="83"/>
      <c r="C123" s="66">
        <v>8</v>
      </c>
      <c r="D123" s="67">
        <f ca="1">((100/(D118+F118+H118))*C123)/100</f>
        <v>1</v>
      </c>
      <c r="E123" s="157"/>
      <c r="F123" s="158"/>
      <c r="G123" s="157"/>
      <c r="H123" s="162"/>
      <c r="I123" s="13" t="s">
        <v>98</v>
      </c>
      <c r="J123" s="30">
        <f ca="1">(IF(B118&gt;1,(H118/(B118+2)),H118/4))</f>
        <v>1.75</v>
      </c>
      <c r="S123"/>
    </row>
    <row r="124" spans="1:19" ht="15.75" hidden="1" customHeight="1" x14ac:dyDescent="0.3">
      <c r="A124" s="82" t="s">
        <v>132</v>
      </c>
      <c r="B124" s="83" t="s">
        <v>126</v>
      </c>
      <c r="C124" s="66">
        <v>7</v>
      </c>
      <c r="D124" s="67">
        <f ca="1">((100/H118)*C124)/100</f>
        <v>1</v>
      </c>
      <c r="E124" s="157"/>
      <c r="F124" s="158"/>
      <c r="G124" s="157"/>
      <c r="H124" s="162"/>
      <c r="I124" s="13" t="s">
        <v>99</v>
      </c>
      <c r="J124" s="30">
        <f ca="1">(IF(B118&gt;1,(H118/(B118+2)+J123),H118/4+J123))</f>
        <v>3.5</v>
      </c>
    </row>
    <row r="125" spans="1:19" ht="15.75" hidden="1" customHeight="1" x14ac:dyDescent="0.3">
      <c r="A125" s="82" t="s">
        <v>133</v>
      </c>
      <c r="B125" s="83" t="s">
        <v>126</v>
      </c>
      <c r="C125" s="66">
        <v>0</v>
      </c>
      <c r="D125" s="67">
        <f ca="1">((100/H118)*C125)/100</f>
        <v>0</v>
      </c>
      <c r="E125" s="157"/>
      <c r="F125" s="158"/>
      <c r="G125" s="157"/>
      <c r="H125" s="162"/>
      <c r="I125" s="13" t="s">
        <v>142</v>
      </c>
      <c r="J125" s="30">
        <f>(IF(B118&gt;1,(H118/(B118+2)+J124),0))</f>
        <v>0</v>
      </c>
    </row>
    <row r="126" spans="1:19" ht="15" hidden="1" customHeight="1" x14ac:dyDescent="0.3">
      <c r="A126" s="82" t="s">
        <v>131</v>
      </c>
      <c r="B126" s="83" t="s">
        <v>128</v>
      </c>
      <c r="C126" s="66">
        <v>2</v>
      </c>
      <c r="D126" s="67">
        <f ca="1">((100/(H118))*C126)/100</f>
        <v>0.28571428571428575</v>
      </c>
      <c r="E126" s="157"/>
      <c r="F126" s="158"/>
      <c r="G126" s="157"/>
      <c r="H126" s="162"/>
      <c r="I126" s="13" t="s">
        <v>139</v>
      </c>
      <c r="J126" s="30">
        <f>(IF(B118&gt;2,(H118/(B118+2)+J125),0))</f>
        <v>0</v>
      </c>
    </row>
    <row r="127" spans="1:19" ht="15.75" hidden="1" customHeight="1" x14ac:dyDescent="0.3">
      <c r="A127" s="82" t="s">
        <v>127</v>
      </c>
      <c r="B127" s="83" t="s">
        <v>127</v>
      </c>
      <c r="C127" s="66">
        <v>0</v>
      </c>
      <c r="D127" s="67">
        <f ca="1">((100/H118)*C127)/100</f>
        <v>0</v>
      </c>
      <c r="E127" s="157"/>
      <c r="F127" s="158"/>
      <c r="G127" s="157"/>
      <c r="H127" s="162"/>
      <c r="I127" s="13" t="s">
        <v>140</v>
      </c>
      <c r="J127" s="31">
        <f>(IF(B118&gt;3,(H118/(B118+2)+J126),0))</f>
        <v>0</v>
      </c>
    </row>
    <row r="128" spans="1:19" ht="15.75" hidden="1" customHeight="1" x14ac:dyDescent="0.3">
      <c r="A128" s="82" t="s">
        <v>134</v>
      </c>
      <c r="B128" s="83"/>
      <c r="C128" s="66">
        <v>0</v>
      </c>
      <c r="D128" s="67">
        <f ca="1">((100/H118)*C128)/100</f>
        <v>0</v>
      </c>
      <c r="E128" s="157"/>
      <c r="F128" s="158"/>
      <c r="G128" s="157"/>
      <c r="H128" s="162"/>
      <c r="I128" s="13" t="s">
        <v>141</v>
      </c>
      <c r="J128" s="30">
        <f>(IF(B118&gt;4,(H118/(B118+2)+J127),0))</f>
        <v>0</v>
      </c>
    </row>
    <row r="129" spans="1:22" ht="15.75" hidden="1" customHeight="1" x14ac:dyDescent="0.3">
      <c r="A129" s="82" t="s">
        <v>129</v>
      </c>
      <c r="B129" s="83" t="s">
        <v>129</v>
      </c>
      <c r="C129" s="66">
        <v>0</v>
      </c>
      <c r="D129" s="67">
        <f ca="1">((100/(H118))*C129)/100</f>
        <v>0</v>
      </c>
      <c r="E129" s="157"/>
      <c r="F129" s="158"/>
      <c r="G129" s="157"/>
      <c r="H129" s="162"/>
      <c r="I129" s="13" t="s">
        <v>143</v>
      </c>
      <c r="J129" s="30">
        <f ca="1">(IF(B118=1,(H118/(B118+3)+J124),IF(B118=0,(H118/4+J124),IF(B118&gt;1,0))))</f>
        <v>5.25</v>
      </c>
    </row>
    <row r="130" spans="1:22" ht="16.2" hidden="1" thickBot="1" x14ac:dyDescent="0.35">
      <c r="A130" s="96" t="s">
        <v>130</v>
      </c>
      <c r="B130" s="97"/>
      <c r="C130" s="68">
        <v>0</v>
      </c>
      <c r="D130" s="69">
        <f ca="1">((100/(H118))*C130)/100</f>
        <v>0</v>
      </c>
      <c r="E130" s="159"/>
      <c r="F130" s="160"/>
      <c r="G130" s="159"/>
      <c r="H130" s="163"/>
      <c r="I130" s="15" t="s">
        <v>100</v>
      </c>
      <c r="J130" s="32">
        <f ca="1">(IF(B118&gt;1.5,(H118/(B118+2)+J124+MAX(0,J125-J124)+MAX(0,J126-J125)+MAX(0,J127-J126)+MAX(0,J128-J127)+MAX(0,J129-J128)),IF(B118=1,(H118/(B118+3)+J129),IF(B118=0,H118/4+J129))))</f>
        <v>7</v>
      </c>
    </row>
    <row r="131" spans="1:22" x14ac:dyDescent="0.3">
      <c r="A131" s="147" t="s">
        <v>153</v>
      </c>
      <c r="B131" s="147"/>
      <c r="C131" s="147"/>
      <c r="D131" s="147"/>
      <c r="E131" s="147"/>
      <c r="F131" s="190" t="s">
        <v>157</v>
      </c>
      <c r="G131" s="190"/>
      <c r="H131" s="190"/>
      <c r="R131" t="s">
        <v>250</v>
      </c>
      <c r="S131" t="s">
        <v>170</v>
      </c>
      <c r="T131" t="s">
        <v>175</v>
      </c>
      <c r="U131" t="s">
        <v>190</v>
      </c>
      <c r="V131" t="s">
        <v>185</v>
      </c>
    </row>
    <row r="132" spans="1:22" x14ac:dyDescent="0.3">
      <c r="A132" s="75" t="s">
        <v>155</v>
      </c>
      <c r="B132" s="75"/>
      <c r="C132" s="75"/>
      <c r="D132" s="75"/>
      <c r="E132" s="75"/>
      <c r="F132" s="148">
        <v>5800</v>
      </c>
      <c r="G132" s="148"/>
      <c r="H132" s="148"/>
      <c r="I132" s="22" t="s">
        <v>360</v>
      </c>
      <c r="J132" s="22"/>
      <c r="R132"/>
      <c r="S132">
        <v>800000</v>
      </c>
      <c r="T132">
        <v>150000</v>
      </c>
      <c r="U132">
        <v>100000</v>
      </c>
      <c r="V132">
        <v>100000</v>
      </c>
    </row>
    <row r="133" spans="1:22" hidden="1" x14ac:dyDescent="0.3">
      <c r="A133" s="75" t="s">
        <v>154</v>
      </c>
      <c r="B133" s="75"/>
      <c r="C133" s="75"/>
      <c r="D133" s="75"/>
      <c r="E133" s="75"/>
      <c r="F133" s="148"/>
      <c r="G133" s="148"/>
      <c r="H133" s="148"/>
      <c r="R133"/>
      <c r="S133">
        <v>900000</v>
      </c>
      <c r="T133">
        <v>200000</v>
      </c>
      <c r="U133">
        <v>150000</v>
      </c>
      <c r="V133">
        <v>150000</v>
      </c>
    </row>
    <row r="134" spans="1:22" hidden="1" x14ac:dyDescent="0.3">
      <c r="A134" s="75" t="s">
        <v>156</v>
      </c>
      <c r="B134" s="75"/>
      <c r="C134" s="75"/>
      <c r="D134" s="75"/>
      <c r="E134" s="75"/>
      <c r="F134" s="148"/>
      <c r="G134" s="148"/>
      <c r="H134" s="148"/>
      <c r="R134"/>
      <c r="S134">
        <v>1000000</v>
      </c>
      <c r="T134">
        <v>250000</v>
      </c>
      <c r="U134">
        <v>200000</v>
      </c>
      <c r="V134">
        <v>200000</v>
      </c>
    </row>
    <row r="135" spans="1:22" s="33" customFormat="1" hidden="1" x14ac:dyDescent="0.3">
      <c r="A135" s="75" t="s">
        <v>172</v>
      </c>
      <c r="B135" s="75"/>
      <c r="C135" s="75"/>
      <c r="D135" s="75"/>
      <c r="E135" s="75"/>
      <c r="F135" s="148"/>
      <c r="G135" s="148"/>
      <c r="H135" s="148"/>
      <c r="R135"/>
      <c r="S135">
        <v>1100000</v>
      </c>
      <c r="T135">
        <v>300000</v>
      </c>
      <c r="U135">
        <v>250000</v>
      </c>
      <c r="V135" s="23">
        <v>250000</v>
      </c>
    </row>
    <row r="136" spans="1:22" s="33" customFormat="1" hidden="1" x14ac:dyDescent="0.3">
      <c r="A136" s="75" t="s">
        <v>92</v>
      </c>
      <c r="B136" s="75"/>
      <c r="C136" s="75"/>
      <c r="D136" s="75"/>
      <c r="E136" s="75"/>
      <c r="F136" s="148"/>
      <c r="G136" s="148"/>
      <c r="H136" s="148"/>
      <c r="R136"/>
      <c r="S136">
        <v>1200000</v>
      </c>
      <c r="T136">
        <v>350000</v>
      </c>
      <c r="U136">
        <v>300000</v>
      </c>
      <c r="V136">
        <v>300000</v>
      </c>
    </row>
    <row r="137" spans="1:22" s="33" customFormat="1" hidden="1" x14ac:dyDescent="0.3">
      <c r="A137" s="75" t="s">
        <v>93</v>
      </c>
      <c r="B137" s="75"/>
      <c r="C137" s="75"/>
      <c r="D137" s="75"/>
      <c r="E137" s="75"/>
      <c r="F137" s="148"/>
      <c r="G137" s="148"/>
      <c r="H137" s="148"/>
      <c r="R137"/>
      <c r="S137">
        <v>1300000</v>
      </c>
      <c r="T137">
        <v>400000</v>
      </c>
      <c r="U137">
        <v>350000</v>
      </c>
      <c r="V137" s="23">
        <v>400000</v>
      </c>
    </row>
    <row r="138" spans="1:22" s="33" customFormat="1" hidden="1" x14ac:dyDescent="0.3">
      <c r="A138" s="75" t="s">
        <v>94</v>
      </c>
      <c r="B138" s="75"/>
      <c r="C138" s="75"/>
      <c r="D138" s="75"/>
      <c r="E138" s="75"/>
      <c r="F138" s="148"/>
      <c r="G138" s="148"/>
      <c r="H138" s="148"/>
      <c r="R138"/>
      <c r="S138">
        <v>1400000</v>
      </c>
      <c r="T138">
        <v>500000</v>
      </c>
      <c r="U138">
        <v>400000</v>
      </c>
      <c r="V138"/>
    </row>
    <row r="139" spans="1:22" s="33" customFormat="1" x14ac:dyDescent="0.3">
      <c r="A139" s="75" t="s">
        <v>340</v>
      </c>
      <c r="B139" s="75"/>
      <c r="C139" s="75"/>
      <c r="D139" s="75"/>
      <c r="E139" s="75"/>
      <c r="F139" s="148">
        <v>200000</v>
      </c>
      <c r="G139" s="148"/>
      <c r="H139" s="148"/>
      <c r="R139"/>
      <c r="S139">
        <v>1500000</v>
      </c>
      <c r="T139">
        <v>600000</v>
      </c>
      <c r="U139">
        <v>500000</v>
      </c>
      <c r="V139" s="23"/>
    </row>
    <row r="140" spans="1:22" s="33" customFormat="1" x14ac:dyDescent="0.3">
      <c r="A140" s="75" t="s">
        <v>341</v>
      </c>
      <c r="B140" s="75"/>
      <c r="C140" s="75"/>
      <c r="D140" s="75"/>
      <c r="E140" s="75"/>
      <c r="F140" s="148">
        <v>50000</v>
      </c>
      <c r="G140" s="148"/>
      <c r="H140" s="148"/>
      <c r="R140"/>
      <c r="S140">
        <v>1600000</v>
      </c>
      <c r="T140">
        <v>700000</v>
      </c>
      <c r="U140">
        <v>600000</v>
      </c>
      <c r="V140"/>
    </row>
    <row r="141" spans="1:22" s="33" customFormat="1" hidden="1" x14ac:dyDescent="0.3">
      <c r="A141" s="75" t="s">
        <v>95</v>
      </c>
      <c r="B141" s="75"/>
      <c r="C141" s="75"/>
      <c r="D141" s="75"/>
      <c r="E141" s="75"/>
      <c r="F141" s="148"/>
      <c r="G141" s="148"/>
      <c r="H141" s="148"/>
      <c r="R141"/>
      <c r="S141">
        <v>1700000</v>
      </c>
      <c r="T141">
        <v>800000</v>
      </c>
      <c r="U141"/>
      <c r="V141" s="23"/>
    </row>
    <row r="142" spans="1:22" x14ac:dyDescent="0.3">
      <c r="A142" s="75" t="s">
        <v>49</v>
      </c>
      <c r="B142" s="75"/>
      <c r="C142" s="75"/>
      <c r="D142" s="75"/>
      <c r="E142" s="75"/>
      <c r="F142" s="179">
        <v>300000</v>
      </c>
      <c r="G142" s="179"/>
      <c r="H142" s="179"/>
      <c r="R142"/>
      <c r="S142">
        <v>1800000</v>
      </c>
      <c r="T142">
        <v>900000</v>
      </c>
      <c r="U142"/>
    </row>
    <row r="143" spans="1:22" s="34" customFormat="1" x14ac:dyDescent="0.3">
      <c r="A143" s="127" t="s">
        <v>50</v>
      </c>
      <c r="B143" s="127"/>
      <c r="C143" s="127"/>
      <c r="D143" s="127"/>
      <c r="E143" s="127"/>
      <c r="F143" s="148">
        <f>F132*0.8</f>
        <v>4640</v>
      </c>
      <c r="G143" s="148"/>
      <c r="H143" s="148"/>
      <c r="R143" s="21"/>
      <c r="S143" s="21"/>
      <c r="T143">
        <v>1000000</v>
      </c>
      <c r="U143"/>
      <c r="V143" s="21"/>
    </row>
    <row r="144" spans="1:22" s="35" customFormat="1" ht="15.75" hidden="1" customHeight="1" x14ac:dyDescent="0.3">
      <c r="A144" s="178" t="s">
        <v>72</v>
      </c>
      <c r="B144" s="178"/>
      <c r="C144" s="178"/>
      <c r="D144" s="178"/>
      <c r="E144" s="178"/>
      <c r="F144" s="178"/>
      <c r="G144" s="178"/>
      <c r="H144" s="178"/>
      <c r="R144"/>
      <c r="S144" s="21"/>
      <c r="T144"/>
      <c r="U144"/>
      <c r="V144" s="21"/>
    </row>
    <row r="145" spans="1:22" s="35" customFormat="1" ht="15.75" hidden="1" customHeight="1" x14ac:dyDescent="0.3">
      <c r="A145" s="184" t="s">
        <v>51</v>
      </c>
      <c r="B145" s="184"/>
      <c r="C145" s="198" t="s">
        <v>75</v>
      </c>
      <c r="D145" s="198"/>
      <c r="E145" s="192" t="s">
        <v>52</v>
      </c>
      <c r="F145" s="192"/>
      <c r="G145" s="184" t="s">
        <v>53</v>
      </c>
      <c r="H145" s="184"/>
      <c r="R145"/>
      <c r="S145" s="21"/>
      <c r="T145"/>
      <c r="U145" s="21"/>
      <c r="V145" s="21"/>
    </row>
    <row r="146" spans="1:22" s="35" customFormat="1" hidden="1" x14ac:dyDescent="0.3">
      <c r="A146" s="183" t="s">
        <v>333</v>
      </c>
      <c r="B146" s="183"/>
      <c r="C146" s="80"/>
      <c r="D146" s="80"/>
      <c r="E146" s="81"/>
      <c r="F146" s="81"/>
      <c r="G146" s="145"/>
      <c r="H146" s="145"/>
      <c r="R146"/>
      <c r="S146" s="21"/>
      <c r="T146"/>
      <c r="U146" s="21"/>
      <c r="V146" s="21"/>
    </row>
    <row r="147" spans="1:22" s="35" customFormat="1" hidden="1" x14ac:dyDescent="0.3">
      <c r="A147" s="183"/>
      <c r="B147" s="183"/>
      <c r="C147" s="80"/>
      <c r="D147" s="80"/>
      <c r="E147" s="81"/>
      <c r="F147" s="81"/>
      <c r="G147" s="145"/>
      <c r="H147" s="145"/>
      <c r="R147"/>
      <c r="S147" s="21"/>
      <c r="T147"/>
      <c r="U147" s="21"/>
      <c r="V147" s="21"/>
    </row>
    <row r="148" spans="1:22" s="35" customFormat="1" hidden="1" x14ac:dyDescent="0.3">
      <c r="A148" s="178" t="s">
        <v>146</v>
      </c>
      <c r="B148" s="178"/>
      <c r="C148" s="198"/>
      <c r="D148" s="198"/>
      <c r="E148" s="192"/>
      <c r="F148" s="192"/>
      <c r="G148" s="184"/>
      <c r="H148" s="184"/>
      <c r="R148"/>
      <c r="S148" s="21"/>
      <c r="T148"/>
      <c r="U148" s="21"/>
      <c r="V148" s="21"/>
    </row>
    <row r="149" spans="1:22" s="35" customFormat="1" x14ac:dyDescent="0.3">
      <c r="A149" s="178" t="s">
        <v>67</v>
      </c>
      <c r="B149" s="178"/>
      <c r="C149" s="178"/>
      <c r="D149" s="178"/>
      <c r="E149" s="178"/>
      <c r="F149" s="178"/>
      <c r="G149" s="178"/>
      <c r="H149" s="178"/>
      <c r="T149"/>
    </row>
    <row r="150" spans="1:22" s="35" customFormat="1" ht="15.75" customHeight="1" x14ac:dyDescent="0.3">
      <c r="A150" s="184" t="s">
        <v>51</v>
      </c>
      <c r="B150" s="184"/>
      <c r="C150" s="198" t="s">
        <v>75</v>
      </c>
      <c r="D150" s="198"/>
      <c r="E150" s="192" t="s">
        <v>52</v>
      </c>
      <c r="F150" s="192"/>
      <c r="G150" s="184" t="s">
        <v>53</v>
      </c>
      <c r="H150" s="184"/>
      <c r="T150"/>
    </row>
    <row r="151" spans="1:22" s="35" customFormat="1" x14ac:dyDescent="0.3">
      <c r="A151" s="183" t="s">
        <v>328</v>
      </c>
      <c r="B151" s="183"/>
      <c r="C151" s="146">
        <f>COUNT(D170:D172)*4+COUNT(D174:D176)*3</f>
        <v>21</v>
      </c>
      <c r="D151" s="146"/>
      <c r="E151" s="146">
        <f t="shared" ref="E151" si="0">SUM(F170:F172)*4+SUM(F174:F176)*3</f>
        <v>11029.601699999999</v>
      </c>
      <c r="F151" s="146"/>
      <c r="G151" s="146">
        <f>SUM(H170:H172)*4+SUM(H174:H176)*3</f>
        <v>17580</v>
      </c>
      <c r="H151" s="146"/>
      <c r="I151" s="74" t="s">
        <v>347</v>
      </c>
      <c r="T151"/>
    </row>
    <row r="152" spans="1:22" s="35" customFormat="1" ht="16.2" thickBot="1" x14ac:dyDescent="0.35">
      <c r="A152" s="183" t="s">
        <v>329</v>
      </c>
      <c r="B152" s="183"/>
      <c r="C152" s="146">
        <f>COUNT(D180:D185)*4+COUNT(D187:D192)*3</f>
        <v>42</v>
      </c>
      <c r="D152" s="146"/>
      <c r="E152" s="146">
        <f t="shared" ref="E152" si="1">SUM(F180:F185)*4+SUM(F187:F192)*3</f>
        <v>15983.571240000001</v>
      </c>
      <c r="F152" s="146"/>
      <c r="G152" s="146">
        <f>SUM(H180:H185)*4+SUM(H187:H192)*3</f>
        <v>25620</v>
      </c>
      <c r="H152" s="146"/>
      <c r="I152" s="74" t="s">
        <v>347</v>
      </c>
      <c r="T152"/>
    </row>
    <row r="153" spans="1:22" s="35" customFormat="1" ht="16.2" hidden="1" thickBot="1" x14ac:dyDescent="0.35">
      <c r="A153" s="98" t="s">
        <v>146</v>
      </c>
      <c r="B153" s="98"/>
      <c r="C153" s="202"/>
      <c r="D153" s="202"/>
      <c r="E153" s="225"/>
      <c r="F153" s="225"/>
      <c r="G153" s="226"/>
      <c r="H153" s="226"/>
      <c r="T153"/>
    </row>
    <row r="154" spans="1:22" s="35" customFormat="1" ht="16.2" thickBot="1" x14ac:dyDescent="0.35">
      <c r="A154" s="227" t="s">
        <v>163</v>
      </c>
      <c r="B154" s="228"/>
      <c r="C154" s="193">
        <f>SUM(C151:D152)</f>
        <v>63</v>
      </c>
      <c r="D154" s="194"/>
      <c r="E154" s="193">
        <f t="shared" ref="E154" si="2">SUM(E151:F152)</f>
        <v>27013.17294</v>
      </c>
      <c r="F154" s="194"/>
      <c r="G154" s="193">
        <f t="shared" ref="G154" si="3">SUM(G151:H152)</f>
        <v>43200</v>
      </c>
      <c r="H154" s="194"/>
      <c r="T154"/>
    </row>
    <row r="155" spans="1:22" s="34" customFormat="1" x14ac:dyDescent="0.3">
      <c r="A155" s="190" t="s">
        <v>54</v>
      </c>
      <c r="B155" s="190"/>
      <c r="C155" s="190"/>
      <c r="D155" s="190"/>
      <c r="E155" s="190"/>
      <c r="F155" s="190"/>
      <c r="G155" s="190"/>
      <c r="H155" s="190"/>
      <c r="T155" s="35"/>
    </row>
    <row r="156" spans="1:22" x14ac:dyDescent="0.3">
      <c r="A156" s="213" t="s">
        <v>325</v>
      </c>
      <c r="B156" s="213"/>
      <c r="C156" s="213"/>
      <c r="D156" s="213"/>
      <c r="E156" s="213"/>
      <c r="F156" s="213"/>
      <c r="G156" s="213"/>
      <c r="H156" s="213"/>
      <c r="T156" s="35"/>
    </row>
    <row r="157" spans="1:22" ht="47.25" hidden="1" customHeight="1" x14ac:dyDescent="0.3">
      <c r="A157" s="78" t="s">
        <v>116</v>
      </c>
      <c r="B157" s="78" t="s">
        <v>173</v>
      </c>
      <c r="C157" s="78" t="s">
        <v>55</v>
      </c>
      <c r="D157" s="195" t="s">
        <v>228</v>
      </c>
      <c r="E157" s="223" t="s">
        <v>152</v>
      </c>
      <c r="F157" s="78" t="s">
        <v>56</v>
      </c>
      <c r="G157" s="223" t="s">
        <v>57</v>
      </c>
      <c r="H157" s="65" t="s">
        <v>145</v>
      </c>
      <c r="T157" s="35"/>
    </row>
    <row r="158" spans="1:22" s="37" customFormat="1" hidden="1" x14ac:dyDescent="0.3">
      <c r="A158" s="79"/>
      <c r="B158" s="79"/>
      <c r="C158" s="79"/>
      <c r="D158" s="196"/>
      <c r="E158" s="224"/>
      <c r="F158" s="79"/>
      <c r="G158" s="224"/>
      <c r="H158" s="55">
        <v>0.45</v>
      </c>
      <c r="T158" s="35"/>
    </row>
    <row r="159" spans="1:22" s="37" customFormat="1" hidden="1" x14ac:dyDescent="0.3">
      <c r="A159" s="180" t="s">
        <v>115</v>
      </c>
      <c r="B159" s="181"/>
      <c r="C159" s="181"/>
      <c r="D159" s="181"/>
      <c r="E159" s="181"/>
      <c r="F159" s="181"/>
      <c r="G159" s="181"/>
      <c r="H159" s="182"/>
      <c r="J159" s="36"/>
      <c r="T159" s="35"/>
    </row>
    <row r="160" spans="1:22" s="37" customFormat="1" ht="15.75" hidden="1" customHeight="1" x14ac:dyDescent="0.3">
      <c r="A160" s="188">
        <v>1</v>
      </c>
      <c r="B160" s="189"/>
      <c r="C160" s="42"/>
      <c r="D160" s="42">
        <v>0</v>
      </c>
      <c r="E160" s="42">
        <v>0</v>
      </c>
      <c r="F160" s="42">
        <f>D160+(IF(E160&lt;201,E160,IF(E160&lt;301,E160/2,E160/3)))</f>
        <v>0</v>
      </c>
      <c r="G160" s="42">
        <v>0</v>
      </c>
      <c r="H160" s="42">
        <f>(F160+(IF(G160&lt;101,G160,IF(G160&lt;201,G160/2,IF(G160&lt;=301,G160/3,G160/4)))))*(($H$158)+1)</f>
        <v>0</v>
      </c>
      <c r="I160" s="36"/>
      <c r="L160" s="222"/>
      <c r="M160" s="222"/>
      <c r="N160" s="36"/>
      <c r="T160" s="35"/>
    </row>
    <row r="161" spans="1:20" s="37" customFormat="1" ht="15.75" hidden="1" customHeight="1" x14ac:dyDescent="0.3">
      <c r="A161" s="188">
        <f>A160+1</f>
        <v>2</v>
      </c>
      <c r="B161" s="189"/>
      <c r="C161" s="42"/>
      <c r="D161" s="42"/>
      <c r="E161" s="42">
        <v>0</v>
      </c>
      <c r="F161" s="42">
        <f t="shared" ref="F161:F163" si="4">D161+(IF(E161&lt;201,E161,IF(E161&lt;301,E161/2,E161/3)))</f>
        <v>0</v>
      </c>
      <c r="G161" s="42">
        <v>0</v>
      </c>
      <c r="H161" s="42">
        <f t="shared" ref="H161:H163" si="5">(F161+(IF(G161&lt;101,G161,IF(G161&lt;201,G161/2,IF(G161&lt;=301,G161/3,G161/4)))))*(($H$158)+1)</f>
        <v>0</v>
      </c>
      <c r="I161" s="36"/>
      <c r="L161" s="222"/>
      <c r="M161" s="222"/>
      <c r="N161" s="36"/>
      <c r="T161" s="34"/>
    </row>
    <row r="162" spans="1:20" s="37" customFormat="1" ht="15.75" hidden="1" customHeight="1" x14ac:dyDescent="0.3">
      <c r="A162" s="188">
        <f>A161+1</f>
        <v>3</v>
      </c>
      <c r="B162" s="189"/>
      <c r="C162" s="42"/>
      <c r="D162" s="42"/>
      <c r="E162" s="42">
        <v>0</v>
      </c>
      <c r="F162" s="42">
        <f t="shared" si="4"/>
        <v>0</v>
      </c>
      <c r="G162" s="42">
        <v>0</v>
      </c>
      <c r="H162" s="42">
        <f t="shared" si="5"/>
        <v>0</v>
      </c>
      <c r="I162" s="36"/>
      <c r="L162" s="222"/>
      <c r="M162" s="222"/>
      <c r="N162" s="36"/>
      <c r="T162" s="21"/>
    </row>
    <row r="163" spans="1:20" s="37" customFormat="1" ht="15.75" hidden="1" customHeight="1" x14ac:dyDescent="0.3">
      <c r="A163" s="188">
        <f>A162+1</f>
        <v>4</v>
      </c>
      <c r="B163" s="189"/>
      <c r="C163" s="42"/>
      <c r="D163" s="42"/>
      <c r="E163" s="42">
        <v>0</v>
      </c>
      <c r="F163" s="42">
        <f t="shared" si="4"/>
        <v>0</v>
      </c>
      <c r="G163" s="42">
        <v>0</v>
      </c>
      <c r="H163" s="42">
        <f t="shared" si="5"/>
        <v>0</v>
      </c>
      <c r="I163" s="36"/>
      <c r="L163" s="222"/>
      <c r="M163" s="222"/>
      <c r="N163" s="36"/>
      <c r="T163" s="21"/>
    </row>
    <row r="164" spans="1:20" s="37" customFormat="1" hidden="1" x14ac:dyDescent="0.3">
      <c r="A164" s="188"/>
      <c r="B164" s="191"/>
      <c r="C164" s="191"/>
      <c r="D164" s="191"/>
      <c r="E164" s="191"/>
      <c r="F164" s="191"/>
      <c r="G164" s="191"/>
      <c r="H164" s="189"/>
      <c r="I164" s="36"/>
      <c r="N164" s="36"/>
    </row>
    <row r="165" spans="1:20" ht="31.2" x14ac:dyDescent="0.3">
      <c r="A165" s="206" t="s">
        <v>117</v>
      </c>
      <c r="B165" s="78" t="s">
        <v>174</v>
      </c>
      <c r="C165" s="78" t="s">
        <v>55</v>
      </c>
      <c r="D165" s="200" t="s">
        <v>330</v>
      </c>
      <c r="E165" s="200" t="s">
        <v>350</v>
      </c>
      <c r="F165" s="200" t="s">
        <v>56</v>
      </c>
      <c r="G165" s="185" t="s">
        <v>57</v>
      </c>
      <c r="H165" s="70" t="s">
        <v>332</v>
      </c>
      <c r="I165" s="36"/>
      <c r="T165" s="37"/>
    </row>
    <row r="166" spans="1:20" s="37" customFormat="1" x14ac:dyDescent="0.3">
      <c r="A166" s="207"/>
      <c r="B166" s="79"/>
      <c r="C166" s="79"/>
      <c r="D166" s="201"/>
      <c r="E166" s="201"/>
      <c r="F166" s="201"/>
      <c r="G166" s="186"/>
      <c r="H166" s="71">
        <v>0.6</v>
      </c>
      <c r="I166" s="36"/>
    </row>
    <row r="167" spans="1:20" s="37" customFormat="1" x14ac:dyDescent="0.3">
      <c r="A167" s="180" t="s">
        <v>328</v>
      </c>
      <c r="B167" s="181"/>
      <c r="C167" s="181"/>
      <c r="D167" s="181"/>
      <c r="E167" s="181"/>
      <c r="F167" s="181"/>
      <c r="G167" s="181"/>
      <c r="H167" s="182"/>
      <c r="J167" s="36"/>
    </row>
    <row r="168" spans="1:20" s="37" customFormat="1" x14ac:dyDescent="0.3">
      <c r="A168" s="180" t="s">
        <v>357</v>
      </c>
      <c r="B168" s="181"/>
      <c r="C168" s="181"/>
      <c r="D168" s="181"/>
      <c r="E168" s="181"/>
      <c r="F168" s="181"/>
      <c r="G168" s="181"/>
      <c r="H168" s="182"/>
      <c r="J168" s="36"/>
      <c r="N168" s="42">
        <v>10.763999999999999</v>
      </c>
    </row>
    <row r="169" spans="1:20" s="37" customFormat="1" x14ac:dyDescent="0.3">
      <c r="A169" s="180" t="s">
        <v>326</v>
      </c>
      <c r="B169" s="181"/>
      <c r="C169" s="181"/>
      <c r="D169" s="181"/>
      <c r="E169" s="181"/>
      <c r="F169" s="181"/>
      <c r="G169" s="181"/>
      <c r="H169" s="182"/>
      <c r="J169" s="36"/>
    </row>
    <row r="170" spans="1:20" s="37" customFormat="1" ht="15.75" customHeight="1" x14ac:dyDescent="0.3">
      <c r="A170" s="188">
        <v>1</v>
      </c>
      <c r="B170" s="189"/>
      <c r="C170" s="42" t="s">
        <v>345</v>
      </c>
      <c r="D170" s="42">
        <f>(60.719)*10.764</f>
        <v>653.57931599999995</v>
      </c>
      <c r="E170" s="42">
        <f>(1*(5.15+2.3+2.85))*10.764</f>
        <v>110.86920000000001</v>
      </c>
      <c r="F170" s="42">
        <f>D170+E170</f>
        <v>764.44851599999993</v>
      </c>
      <c r="G170" s="42">
        <v>0</v>
      </c>
      <c r="H170" s="42">
        <v>1225</v>
      </c>
      <c r="I170" s="36">
        <f>3.68*2.75+2.25*2+3.25*2.75+1.2*0.9+1.35*1+0.9*2.4+0.4*1</f>
        <v>28.547500000000003</v>
      </c>
      <c r="J170" s="37">
        <f>H170/F170</f>
        <v>1.6024623952569752</v>
      </c>
      <c r="L170" s="73"/>
      <c r="M170" s="72"/>
      <c r="N170" s="36"/>
    </row>
    <row r="171" spans="1:20" s="37" customFormat="1" ht="15.75" customHeight="1" x14ac:dyDescent="0.3">
      <c r="A171" s="188">
        <f>A170+1</f>
        <v>2</v>
      </c>
      <c r="B171" s="189"/>
      <c r="C171" s="42" t="s">
        <v>327</v>
      </c>
      <c r="D171" s="42">
        <f>(30.228)*10.764</f>
        <v>325.37419199999999</v>
      </c>
      <c r="E171" s="42">
        <f>(1*(2.3+2.85))*10.764</f>
        <v>55.434600000000003</v>
      </c>
      <c r="F171" s="42">
        <f>D171+E171</f>
        <v>380.80879199999998</v>
      </c>
      <c r="G171" s="42">
        <v>0</v>
      </c>
      <c r="H171" s="42">
        <v>610</v>
      </c>
      <c r="I171" s="36">
        <f>3.66*2.75+2.25*2+3.25*2.75+1.2*0.9+1.35*1+1*2+0.45*1</f>
        <v>28.382500000000004</v>
      </c>
      <c r="J171" s="37">
        <f t="shared" ref="J171:J176" si="6">H171/F171</f>
        <v>1.6018537723257189</v>
      </c>
      <c r="L171" s="73"/>
      <c r="M171" s="72"/>
      <c r="N171" s="36"/>
    </row>
    <row r="172" spans="1:20" s="37" customFormat="1" ht="15.75" customHeight="1" x14ac:dyDescent="0.3">
      <c r="A172" s="188">
        <f>A171+1</f>
        <v>3</v>
      </c>
      <c r="B172" s="189"/>
      <c r="C172" s="42" t="s">
        <v>327</v>
      </c>
      <c r="D172" s="42">
        <f>(30.228)*10.764</f>
        <v>325.37419199999999</v>
      </c>
      <c r="E172" s="42">
        <f>(1*(2.3+2.7))*10.764</f>
        <v>53.819999999999993</v>
      </c>
      <c r="F172" s="42">
        <f>D172+E172</f>
        <v>379.19419199999999</v>
      </c>
      <c r="G172" s="42">
        <v>0</v>
      </c>
      <c r="H172" s="42">
        <v>610</v>
      </c>
      <c r="I172" s="36"/>
      <c r="J172" s="37">
        <f t="shared" si="6"/>
        <v>1.6086744282201453</v>
      </c>
      <c r="L172" s="73"/>
      <c r="M172" s="72"/>
      <c r="N172" s="36"/>
    </row>
    <row r="173" spans="1:20" s="37" customFormat="1" x14ac:dyDescent="0.3">
      <c r="A173" s="180" t="s">
        <v>346</v>
      </c>
      <c r="B173" s="181"/>
      <c r="C173" s="181"/>
      <c r="D173" s="181"/>
      <c r="E173" s="181"/>
      <c r="F173" s="181"/>
      <c r="G173" s="181"/>
      <c r="H173" s="182"/>
      <c r="J173" s="37" t="e">
        <f t="shared" si="6"/>
        <v>#DIV/0!</v>
      </c>
    </row>
    <row r="174" spans="1:20" s="37" customFormat="1" ht="15.75" customHeight="1" x14ac:dyDescent="0.3">
      <c r="A174" s="188">
        <v>1</v>
      </c>
      <c r="B174" s="189"/>
      <c r="C174" s="42" t="s">
        <v>345</v>
      </c>
      <c r="D174" s="42">
        <f>(60.719)*10.764</f>
        <v>653.57931599999995</v>
      </c>
      <c r="E174" s="42">
        <f>(1*(2.7+2.85+5.15+2.85+2.3))*10.764</f>
        <v>170.60939999999999</v>
      </c>
      <c r="F174" s="42">
        <f>D174+E174</f>
        <v>824.18871599999989</v>
      </c>
      <c r="G174" s="42">
        <v>0</v>
      </c>
      <c r="H174" s="42">
        <v>1300</v>
      </c>
      <c r="I174" s="36">
        <f>3.68*2.75+2.25*2+3.25*2.75+1.2*0.9+1.35*1+0.9*2.4+0.4*1</f>
        <v>28.547500000000003</v>
      </c>
      <c r="J174" s="37">
        <f t="shared" si="6"/>
        <v>1.5773086609450744</v>
      </c>
      <c r="L174" s="73"/>
      <c r="M174" s="72"/>
      <c r="N174" s="36"/>
    </row>
    <row r="175" spans="1:20" s="37" customFormat="1" ht="15.75" customHeight="1" x14ac:dyDescent="0.3">
      <c r="A175" s="188">
        <f>A174+1</f>
        <v>2</v>
      </c>
      <c r="B175" s="189"/>
      <c r="C175" s="42" t="s">
        <v>327</v>
      </c>
      <c r="D175" s="42">
        <f>(30.228)*10.764</f>
        <v>325.37419199999999</v>
      </c>
      <c r="E175" s="42">
        <f>(1*(2.85+2.3+2.85))*10.764</f>
        <v>86.111999999999995</v>
      </c>
      <c r="F175" s="42">
        <f>D175+E175</f>
        <v>411.48619199999996</v>
      </c>
      <c r="G175" s="42">
        <v>0</v>
      </c>
      <c r="H175" s="42">
        <v>650</v>
      </c>
      <c r="I175" s="36">
        <f>3.66*2.75+2.25*2+3.25*2.75+1.2*0.9+1.35*1+1*2+0.45*1</f>
        <v>28.382500000000004</v>
      </c>
      <c r="J175" s="37">
        <f t="shared" si="6"/>
        <v>1.5796398825455609</v>
      </c>
      <c r="L175" s="73"/>
      <c r="M175" s="72"/>
      <c r="N175" s="36"/>
    </row>
    <row r="176" spans="1:20" s="37" customFormat="1" ht="15.75" customHeight="1" x14ac:dyDescent="0.3">
      <c r="A176" s="188">
        <f>A175+1</f>
        <v>3</v>
      </c>
      <c r="B176" s="189"/>
      <c r="C176" s="42" t="s">
        <v>327</v>
      </c>
      <c r="D176" s="42">
        <f>(30.228)*10.764</f>
        <v>325.37419199999999</v>
      </c>
      <c r="E176" s="42">
        <f>(1*(2.7+2.3+2.7))*10.764</f>
        <v>82.882800000000003</v>
      </c>
      <c r="F176" s="42">
        <f>D176+E176</f>
        <v>408.25699199999997</v>
      </c>
      <c r="G176" s="42">
        <v>0</v>
      </c>
      <c r="H176" s="42">
        <v>650</v>
      </c>
      <c r="I176" s="36"/>
      <c r="J176" s="37">
        <f t="shared" si="6"/>
        <v>1.5921343975414388</v>
      </c>
      <c r="L176" s="73"/>
      <c r="M176" s="72"/>
      <c r="N176" s="36"/>
    </row>
    <row r="177" spans="1:20" s="37" customFormat="1" x14ac:dyDescent="0.3">
      <c r="A177" s="180" t="s">
        <v>329</v>
      </c>
      <c r="B177" s="181"/>
      <c r="C177" s="181"/>
      <c r="D177" s="181"/>
      <c r="E177" s="181"/>
      <c r="F177" s="181"/>
      <c r="G177" s="181"/>
      <c r="H177" s="182"/>
      <c r="J177" s="36"/>
      <c r="L177" s="73"/>
    </row>
    <row r="178" spans="1:20" s="37" customFormat="1" x14ac:dyDescent="0.3">
      <c r="A178" s="180" t="s">
        <v>356</v>
      </c>
      <c r="B178" s="181"/>
      <c r="C178" s="181"/>
      <c r="D178" s="181"/>
      <c r="E178" s="181"/>
      <c r="F178" s="181"/>
      <c r="G178" s="181"/>
      <c r="H178" s="182"/>
      <c r="J178" s="36"/>
      <c r="L178" s="73"/>
    </row>
    <row r="179" spans="1:20" s="37" customFormat="1" x14ac:dyDescent="0.3">
      <c r="A179" s="180" t="s">
        <v>326</v>
      </c>
      <c r="B179" s="181"/>
      <c r="C179" s="181"/>
      <c r="D179" s="181"/>
      <c r="E179" s="181"/>
      <c r="F179" s="181"/>
      <c r="G179" s="181"/>
      <c r="H179" s="182"/>
      <c r="J179" s="36"/>
      <c r="L179" s="73"/>
    </row>
    <row r="180" spans="1:20" s="37" customFormat="1" ht="15.75" customHeight="1" x14ac:dyDescent="0.3">
      <c r="A180" s="188">
        <v>1</v>
      </c>
      <c r="B180" s="189"/>
      <c r="C180" s="42" t="s">
        <v>327</v>
      </c>
      <c r="D180" s="42">
        <f>(30.228)*10.764</f>
        <v>325.37419199999999</v>
      </c>
      <c r="E180" s="42">
        <f>(1*(2.225+2.925))*10.764</f>
        <v>55.434600000000003</v>
      </c>
      <c r="F180" s="42">
        <f>D180+E180</f>
        <v>380.80879199999998</v>
      </c>
      <c r="G180" s="42">
        <v>0</v>
      </c>
      <c r="H180" s="42">
        <v>610</v>
      </c>
      <c r="I180" s="36">
        <f>3600000/H180</f>
        <v>5901.6393442622948</v>
      </c>
      <c r="J180" s="37">
        <f>H180/F180</f>
        <v>1.6018537723257189</v>
      </c>
      <c r="K180" s="37">
        <f>610</f>
        <v>610</v>
      </c>
      <c r="L180" s="73">
        <f t="shared" ref="L180:L185" si="7">K180/F180</f>
        <v>1.6018537723257189</v>
      </c>
      <c r="M180" s="72"/>
      <c r="N180" s="36"/>
    </row>
    <row r="181" spans="1:20" s="37" customFormat="1" ht="15.75" customHeight="1" x14ac:dyDescent="0.3">
      <c r="A181" s="188">
        <f>A180+1</f>
        <v>2</v>
      </c>
      <c r="B181" s="189"/>
      <c r="C181" s="42" t="s">
        <v>327</v>
      </c>
      <c r="D181" s="42">
        <f>(30.228)*10.764</f>
        <v>325.37419199999999</v>
      </c>
      <c r="E181" s="42">
        <f>(1*(2.225+2.925))*10.764</f>
        <v>55.434600000000003</v>
      </c>
      <c r="F181" s="42">
        <f>D181+E181</f>
        <v>380.80879199999998</v>
      </c>
      <c r="G181" s="42">
        <v>0</v>
      </c>
      <c r="H181" s="42">
        <v>610</v>
      </c>
      <c r="I181" s="36">
        <f>4000000/H181</f>
        <v>6557.377049180328</v>
      </c>
      <c r="J181" s="37">
        <f>H181/F181</f>
        <v>1.6018537723257189</v>
      </c>
      <c r="K181" s="37">
        <f>610</f>
        <v>610</v>
      </c>
      <c r="L181" s="73">
        <f t="shared" si="7"/>
        <v>1.6018537723257189</v>
      </c>
      <c r="M181" s="72"/>
      <c r="N181" s="36"/>
    </row>
    <row r="182" spans="1:20" s="37" customFormat="1" ht="15.75" customHeight="1" x14ac:dyDescent="0.3">
      <c r="A182" s="188">
        <f>A181+1</f>
        <v>3</v>
      </c>
      <c r="B182" s="189"/>
      <c r="C182" s="42" t="s">
        <v>327</v>
      </c>
      <c r="D182" s="42">
        <f>(30.234)*10.764</f>
        <v>325.43877600000002</v>
      </c>
      <c r="E182" s="42">
        <f>(1*(2.3+2.85))*10.764</f>
        <v>55.434600000000003</v>
      </c>
      <c r="F182" s="42">
        <f>D182+E182</f>
        <v>380.87337600000001</v>
      </c>
      <c r="G182" s="42">
        <v>0</v>
      </c>
      <c r="H182" s="42">
        <v>610</v>
      </c>
      <c r="I182" s="36">
        <f>3600000+250000</f>
        <v>3850000</v>
      </c>
      <c r="J182" s="37">
        <f t="shared" ref="J182:J185" si="8">H182/F182</f>
        <v>1.6015821489186999</v>
      </c>
      <c r="K182" s="37">
        <f>610</f>
        <v>610</v>
      </c>
      <c r="L182" s="73">
        <f t="shared" si="7"/>
        <v>1.6015821489186999</v>
      </c>
      <c r="M182" s="72"/>
      <c r="N182" s="36"/>
    </row>
    <row r="183" spans="1:20" s="37" customFormat="1" ht="15.75" customHeight="1" x14ac:dyDescent="0.3">
      <c r="A183" s="188">
        <f>A182+1</f>
        <v>4</v>
      </c>
      <c r="B183" s="189"/>
      <c r="C183" s="42" t="s">
        <v>327</v>
      </c>
      <c r="D183" s="42">
        <f>(30.234)*10.764</f>
        <v>325.43877600000002</v>
      </c>
      <c r="E183" s="42">
        <f>(1*(2.225+2.775))*10.764</f>
        <v>53.819999999999993</v>
      </c>
      <c r="F183" s="42">
        <f>D183+E183</f>
        <v>379.25877600000001</v>
      </c>
      <c r="G183" s="42">
        <v>0</v>
      </c>
      <c r="H183" s="42">
        <v>610</v>
      </c>
      <c r="I183" s="36">
        <f>3600000+250000</f>
        <v>3850000</v>
      </c>
      <c r="J183" s="37">
        <f>H183/F183</f>
        <v>1.608400486954058</v>
      </c>
      <c r="K183" s="37">
        <f>610</f>
        <v>610</v>
      </c>
      <c r="L183" s="73">
        <f t="shared" si="7"/>
        <v>1.608400486954058</v>
      </c>
      <c r="M183" s="72"/>
      <c r="N183" s="36"/>
      <c r="T183" s="21"/>
    </row>
    <row r="184" spans="1:20" s="37" customFormat="1" ht="15.75" customHeight="1" x14ac:dyDescent="0.3">
      <c r="A184" s="188">
        <f t="shared" ref="A184:A185" si="9">A183+1</f>
        <v>5</v>
      </c>
      <c r="B184" s="189"/>
      <c r="C184" s="42" t="s">
        <v>327</v>
      </c>
      <c r="D184" s="42">
        <f t="shared" ref="D184:D188" si="10">(30.228)*10.764</f>
        <v>325.37419199999999</v>
      </c>
      <c r="E184" s="42">
        <f>(1*(2.225+2.925))*10.764</f>
        <v>55.434600000000003</v>
      </c>
      <c r="F184" s="42">
        <f t="shared" ref="F184:F185" si="11">D184+E184</f>
        <v>380.80879199999998</v>
      </c>
      <c r="G184" s="42">
        <v>0</v>
      </c>
      <c r="H184" s="42">
        <v>610</v>
      </c>
      <c r="I184" s="36">
        <f>3950000/H184</f>
        <v>6475.4098360655735</v>
      </c>
      <c r="J184" s="37">
        <f t="shared" si="8"/>
        <v>1.6018537723257189</v>
      </c>
      <c r="K184" s="37">
        <f>610</f>
        <v>610</v>
      </c>
      <c r="L184" s="73">
        <f t="shared" si="7"/>
        <v>1.6018537723257189</v>
      </c>
      <c r="M184" s="72"/>
      <c r="N184" s="36"/>
      <c r="T184" s="21"/>
    </row>
    <row r="185" spans="1:20" s="37" customFormat="1" ht="15.75" customHeight="1" x14ac:dyDescent="0.3">
      <c r="A185" s="188">
        <f t="shared" si="9"/>
        <v>6</v>
      </c>
      <c r="B185" s="189"/>
      <c r="C185" s="42" t="s">
        <v>327</v>
      </c>
      <c r="D185" s="42">
        <f t="shared" si="10"/>
        <v>325.37419199999999</v>
      </c>
      <c r="E185" s="42">
        <f>(1*(2.225+2.925))*10.764</f>
        <v>55.434600000000003</v>
      </c>
      <c r="F185" s="42">
        <f t="shared" si="11"/>
        <v>380.80879199999998</v>
      </c>
      <c r="G185" s="42">
        <v>0</v>
      </c>
      <c r="H185" s="42">
        <v>610</v>
      </c>
      <c r="I185" s="36">
        <f t="shared" ref="I185" si="12">4000000/H185</f>
        <v>6557.377049180328</v>
      </c>
      <c r="J185" s="37">
        <f t="shared" si="8"/>
        <v>1.6018537723257189</v>
      </c>
      <c r="K185" s="37">
        <f>610</f>
        <v>610</v>
      </c>
      <c r="L185" s="73">
        <f t="shared" si="7"/>
        <v>1.6018537723257189</v>
      </c>
      <c r="M185" s="72"/>
      <c r="N185" s="36"/>
      <c r="T185" s="21"/>
    </row>
    <row r="186" spans="1:20" s="37" customFormat="1" x14ac:dyDescent="0.3">
      <c r="A186" s="180" t="s">
        <v>346</v>
      </c>
      <c r="B186" s="181"/>
      <c r="C186" s="181"/>
      <c r="D186" s="181"/>
      <c r="E186" s="181"/>
      <c r="F186" s="181"/>
      <c r="G186" s="181"/>
      <c r="H186" s="182"/>
      <c r="J186" s="36"/>
      <c r="L186" s="73"/>
    </row>
    <row r="187" spans="1:20" s="37" customFormat="1" ht="15.75" customHeight="1" x14ac:dyDescent="0.3">
      <c r="A187" s="188">
        <v>1</v>
      </c>
      <c r="B187" s="189"/>
      <c r="C187" s="42" t="s">
        <v>327</v>
      </c>
      <c r="D187" s="42">
        <f t="shared" si="10"/>
        <v>325.37419199999999</v>
      </c>
      <c r="E187" s="42">
        <f>(1*(2.225+2.925))*10.764</f>
        <v>55.434600000000003</v>
      </c>
      <c r="F187" s="42">
        <f>D187+E187</f>
        <v>380.80879199999998</v>
      </c>
      <c r="G187" s="42">
        <v>0</v>
      </c>
      <c r="H187" s="42">
        <v>610</v>
      </c>
      <c r="I187" s="36">
        <f>3600000/H187</f>
        <v>5901.6393442622948</v>
      </c>
      <c r="J187" s="37">
        <f>H187/F187</f>
        <v>1.6018537723257189</v>
      </c>
      <c r="K187" s="37">
        <f>610</f>
        <v>610</v>
      </c>
      <c r="L187" s="73">
        <f t="shared" ref="L187:L192" si="13">K187/F187</f>
        <v>1.6018537723257189</v>
      </c>
      <c r="M187" s="72"/>
      <c r="N187" s="36"/>
    </row>
    <row r="188" spans="1:20" s="37" customFormat="1" ht="15.75" customHeight="1" x14ac:dyDescent="0.3">
      <c r="A188" s="188">
        <f>A187+1</f>
        <v>2</v>
      </c>
      <c r="B188" s="189"/>
      <c r="C188" s="42" t="s">
        <v>327</v>
      </c>
      <c r="D188" s="42">
        <f t="shared" si="10"/>
        <v>325.37419199999999</v>
      </c>
      <c r="E188" s="42">
        <f>(1*(2.225+2.925))*10.764</f>
        <v>55.434600000000003</v>
      </c>
      <c r="F188" s="42">
        <f>D188+E188</f>
        <v>380.80879199999998</v>
      </c>
      <c r="G188" s="42">
        <v>0</v>
      </c>
      <c r="H188" s="42">
        <v>610</v>
      </c>
      <c r="I188" s="36">
        <f>4000000/H188</f>
        <v>6557.377049180328</v>
      </c>
      <c r="J188" s="37">
        <f>H188/F188</f>
        <v>1.6018537723257189</v>
      </c>
      <c r="K188" s="37">
        <f>610</f>
        <v>610</v>
      </c>
      <c r="L188" s="73">
        <f t="shared" si="13"/>
        <v>1.6018537723257189</v>
      </c>
      <c r="M188" s="72"/>
      <c r="N188" s="36"/>
    </row>
    <row r="189" spans="1:20" s="37" customFormat="1" ht="15.75" customHeight="1" x14ac:dyDescent="0.3">
      <c r="A189" s="188">
        <f>A188+1</f>
        <v>3</v>
      </c>
      <c r="B189" s="189"/>
      <c r="C189" s="42" t="s">
        <v>327</v>
      </c>
      <c r="D189" s="42">
        <f t="shared" ref="D189:D190" si="14">(30.234)*10.764</f>
        <v>325.43877600000002</v>
      </c>
      <c r="E189" s="42">
        <f>(1*(2.3+2.85))*10.764</f>
        <v>55.434600000000003</v>
      </c>
      <c r="F189" s="42">
        <f>D189+E189</f>
        <v>380.87337600000001</v>
      </c>
      <c r="G189" s="42">
        <v>0</v>
      </c>
      <c r="H189" s="42">
        <v>610</v>
      </c>
      <c r="I189" s="36">
        <f>3600000+250000</f>
        <v>3850000</v>
      </c>
      <c r="J189" s="37">
        <f t="shared" ref="J189:J192" si="15">H189/F189</f>
        <v>1.6015821489186999</v>
      </c>
      <c r="K189" s="37">
        <f>610</f>
        <v>610</v>
      </c>
      <c r="L189" s="73">
        <f t="shared" si="13"/>
        <v>1.6015821489186999</v>
      </c>
      <c r="M189" s="72"/>
      <c r="N189" s="36"/>
    </row>
    <row r="190" spans="1:20" s="37" customFormat="1" ht="15.75" customHeight="1" x14ac:dyDescent="0.3">
      <c r="A190" s="188">
        <f>A189+1</f>
        <v>4</v>
      </c>
      <c r="B190" s="189"/>
      <c r="C190" s="42" t="s">
        <v>327</v>
      </c>
      <c r="D190" s="42">
        <f t="shared" si="14"/>
        <v>325.43877600000002</v>
      </c>
      <c r="E190" s="42">
        <f>(1*(2.225+2.775))*10.764</f>
        <v>53.819999999999993</v>
      </c>
      <c r="F190" s="42">
        <f>D190+E190</f>
        <v>379.25877600000001</v>
      </c>
      <c r="G190" s="42">
        <v>0</v>
      </c>
      <c r="H190" s="42">
        <v>610</v>
      </c>
      <c r="I190" s="36">
        <f>3600000+250000</f>
        <v>3850000</v>
      </c>
      <c r="J190" s="37">
        <f t="shared" si="15"/>
        <v>1.608400486954058</v>
      </c>
      <c r="K190" s="37">
        <f>610</f>
        <v>610</v>
      </c>
      <c r="L190" s="73">
        <f t="shared" si="13"/>
        <v>1.608400486954058</v>
      </c>
      <c r="M190" s="72"/>
      <c r="N190" s="36"/>
      <c r="T190" s="21"/>
    </row>
    <row r="191" spans="1:20" s="37" customFormat="1" ht="15.75" customHeight="1" x14ac:dyDescent="0.3">
      <c r="A191" s="188">
        <f t="shared" ref="A191:A192" si="16">A190+1</f>
        <v>5</v>
      </c>
      <c r="B191" s="189"/>
      <c r="C191" s="42" t="s">
        <v>327</v>
      </c>
      <c r="D191" s="42">
        <f t="shared" ref="D191:D192" si="17">(30.228)*10.764</f>
        <v>325.37419199999999</v>
      </c>
      <c r="E191" s="42">
        <f>(1*(2.225+2.925))*10.764</f>
        <v>55.434600000000003</v>
      </c>
      <c r="F191" s="42">
        <f t="shared" ref="F191:F192" si="18">D191+E191</f>
        <v>380.80879199999998</v>
      </c>
      <c r="G191" s="42">
        <v>0</v>
      </c>
      <c r="H191" s="42">
        <v>610</v>
      </c>
      <c r="I191" s="36">
        <f>3950000/H191</f>
        <v>6475.4098360655735</v>
      </c>
      <c r="J191" s="37">
        <f t="shared" si="15"/>
        <v>1.6018537723257189</v>
      </c>
      <c r="K191" s="37">
        <f>610</f>
        <v>610</v>
      </c>
      <c r="L191" s="73">
        <f t="shared" si="13"/>
        <v>1.6018537723257189</v>
      </c>
      <c r="M191" s="72"/>
      <c r="N191" s="36"/>
      <c r="T191" s="21"/>
    </row>
    <row r="192" spans="1:20" s="37" customFormat="1" ht="15.75" customHeight="1" x14ac:dyDescent="0.3">
      <c r="A192" s="188">
        <f t="shared" si="16"/>
        <v>6</v>
      </c>
      <c r="B192" s="189"/>
      <c r="C192" s="42" t="s">
        <v>327</v>
      </c>
      <c r="D192" s="42">
        <f t="shared" si="17"/>
        <v>325.37419199999999</v>
      </c>
      <c r="E192" s="42">
        <f>(1*(2.225+2.925))*10.764</f>
        <v>55.434600000000003</v>
      </c>
      <c r="F192" s="42">
        <f t="shared" si="18"/>
        <v>380.80879199999998</v>
      </c>
      <c r="G192" s="42">
        <v>0</v>
      </c>
      <c r="H192" s="42">
        <v>610</v>
      </c>
      <c r="I192" s="36">
        <f t="shared" ref="I192" si="19">4000000/H192</f>
        <v>6557.377049180328</v>
      </c>
      <c r="J192" s="37">
        <f t="shared" si="15"/>
        <v>1.6018537723257189</v>
      </c>
      <c r="K192" s="37">
        <f>610</f>
        <v>610</v>
      </c>
      <c r="L192" s="73">
        <f t="shared" si="13"/>
        <v>1.6018537723257189</v>
      </c>
      <c r="M192" s="72"/>
      <c r="N192" s="36"/>
      <c r="T192" s="21"/>
    </row>
    <row r="193" spans="1:20" s="35" customFormat="1" x14ac:dyDescent="0.3">
      <c r="A193" s="221" t="s">
        <v>65</v>
      </c>
      <c r="B193" s="221"/>
      <c r="C193" s="221"/>
      <c r="D193" s="221"/>
      <c r="E193" s="221"/>
      <c r="F193" s="221"/>
      <c r="G193" s="221"/>
      <c r="H193" s="221"/>
      <c r="T193" s="37"/>
    </row>
    <row r="194" spans="1:20" s="35" customFormat="1" x14ac:dyDescent="0.3">
      <c r="A194" s="54">
        <v>1</v>
      </c>
      <c r="B194" s="220" t="s">
        <v>362</v>
      </c>
      <c r="C194" s="220"/>
      <c r="D194" s="220"/>
      <c r="E194" s="220"/>
      <c r="F194" s="220"/>
      <c r="G194" s="220"/>
      <c r="H194" s="220"/>
      <c r="I194" s="218" t="s">
        <v>331</v>
      </c>
      <c r="J194" s="219"/>
      <c r="K194" s="219"/>
      <c r="L194" s="219"/>
      <c r="M194" s="219"/>
      <c r="T194" s="37"/>
    </row>
    <row r="195" spans="1:20" s="35" customFormat="1" x14ac:dyDescent="0.3">
      <c r="A195" s="54">
        <f>A194+1</f>
        <v>2</v>
      </c>
      <c r="B195" s="197" t="str">
        <f>(IF(H165="Saleable area Loading :","We have considered Saleable area of Flats as per our Calculation.","We considered Saleable area of Flat as per Builder area Sheet."))</f>
        <v>We considered Saleable area of Flat as per Builder area Sheet.</v>
      </c>
      <c r="C195" s="197"/>
      <c r="D195" s="197"/>
      <c r="E195" s="197"/>
      <c r="F195" s="197"/>
      <c r="G195" s="197"/>
      <c r="H195" s="197"/>
      <c r="T195" s="37"/>
    </row>
    <row r="196" spans="1:20" s="35" customFormat="1" hidden="1" x14ac:dyDescent="0.3">
      <c r="A196" s="54">
        <f t="shared" ref="A196:A205" si="20">A195+1</f>
        <v>3</v>
      </c>
      <c r="B196" s="197" t="str">
        <f>(IF(H157="Saleable area Loading :","We have considered Saleable area of Commercial as per our Calculation.","We considered Saleable area of Commercial as per Builder area Sheet."))</f>
        <v>We have considered Saleable area of Commercial as per our Calculation.</v>
      </c>
      <c r="C196" s="197"/>
      <c r="D196" s="197"/>
      <c r="E196" s="197"/>
      <c r="F196" s="197"/>
      <c r="G196" s="197"/>
      <c r="H196" s="197"/>
      <c r="T196" s="37"/>
    </row>
    <row r="197" spans="1:20" s="35" customFormat="1" x14ac:dyDescent="0.3">
      <c r="A197" s="54">
        <f t="shared" si="20"/>
        <v>4</v>
      </c>
      <c r="B197" s="187" t="s">
        <v>119</v>
      </c>
      <c r="C197" s="187"/>
      <c r="D197" s="187"/>
      <c r="E197" s="187"/>
      <c r="F197" s="187"/>
      <c r="G197" s="187"/>
      <c r="H197" s="187"/>
      <c r="T197" s="37"/>
    </row>
    <row r="198" spans="1:20" s="35" customFormat="1" x14ac:dyDescent="0.3">
      <c r="A198" s="54">
        <f t="shared" si="20"/>
        <v>5</v>
      </c>
      <c r="B198" s="187" t="s">
        <v>351</v>
      </c>
      <c r="C198" s="187"/>
      <c r="D198" s="187"/>
      <c r="E198" s="187"/>
      <c r="F198" s="187"/>
      <c r="G198" s="187"/>
      <c r="H198" s="187"/>
      <c r="T198" s="37"/>
    </row>
    <row r="199" spans="1:20" s="35" customFormat="1" x14ac:dyDescent="0.3">
      <c r="A199" s="54">
        <f t="shared" si="20"/>
        <v>6</v>
      </c>
      <c r="B199" s="187" t="s">
        <v>148</v>
      </c>
      <c r="C199" s="187"/>
      <c r="D199" s="187"/>
      <c r="E199" s="187"/>
      <c r="F199" s="187"/>
      <c r="G199" s="187"/>
      <c r="H199" s="187"/>
    </row>
    <row r="200" spans="1:20" s="35" customFormat="1" x14ac:dyDescent="0.3">
      <c r="A200" s="54">
        <f t="shared" si="20"/>
        <v>7</v>
      </c>
      <c r="B200" s="187" t="s">
        <v>120</v>
      </c>
      <c r="C200" s="187"/>
      <c r="D200" s="187"/>
      <c r="E200" s="187"/>
      <c r="F200" s="187"/>
      <c r="G200" s="187"/>
      <c r="H200" s="187"/>
    </row>
    <row r="201" spans="1:20" s="35" customFormat="1" ht="34.5" customHeight="1" x14ac:dyDescent="0.3">
      <c r="A201" s="54">
        <f t="shared" si="20"/>
        <v>8</v>
      </c>
      <c r="B201" s="187" t="s">
        <v>150</v>
      </c>
      <c r="C201" s="187"/>
      <c r="D201" s="187"/>
      <c r="E201" s="187"/>
      <c r="F201" s="187"/>
      <c r="G201" s="187"/>
      <c r="H201" s="187"/>
    </row>
    <row r="202" spans="1:20" s="35" customFormat="1" x14ac:dyDescent="0.3">
      <c r="A202" s="54">
        <f t="shared" si="20"/>
        <v>9</v>
      </c>
      <c r="B202" s="187" t="s">
        <v>121</v>
      </c>
      <c r="C202" s="187"/>
      <c r="D202" s="187"/>
      <c r="E202" s="187"/>
      <c r="F202" s="187"/>
      <c r="G202" s="187"/>
      <c r="H202" s="187"/>
    </row>
    <row r="203" spans="1:20" s="35" customFormat="1" x14ac:dyDescent="0.3">
      <c r="A203" s="54">
        <f t="shared" si="20"/>
        <v>10</v>
      </c>
      <c r="B203" s="197" t="s">
        <v>353</v>
      </c>
      <c r="C203" s="197"/>
      <c r="D203" s="197"/>
      <c r="E203" s="197"/>
      <c r="F203" s="197"/>
      <c r="G203" s="197"/>
      <c r="H203" s="197"/>
    </row>
    <row r="204" spans="1:20" s="35" customFormat="1" x14ac:dyDescent="0.3">
      <c r="A204" s="54">
        <f t="shared" si="20"/>
        <v>11</v>
      </c>
      <c r="B204" s="197" t="s">
        <v>354</v>
      </c>
      <c r="C204" s="197"/>
      <c r="D204" s="197"/>
      <c r="E204" s="197"/>
      <c r="F204" s="197"/>
      <c r="G204" s="197"/>
      <c r="H204" s="197"/>
    </row>
    <row r="205" spans="1:20" s="35" customFormat="1" ht="61.5" customHeight="1" x14ac:dyDescent="0.3">
      <c r="A205" s="54">
        <f t="shared" si="20"/>
        <v>12</v>
      </c>
      <c r="B205" s="197" t="s">
        <v>359</v>
      </c>
      <c r="C205" s="197"/>
      <c r="D205" s="197"/>
      <c r="E205" s="197"/>
      <c r="F205" s="197"/>
      <c r="G205" s="197"/>
      <c r="H205" s="197"/>
      <c r="I205" s="35">
        <f>35+7+21</f>
        <v>63</v>
      </c>
    </row>
    <row r="206" spans="1:20" s="35" customFormat="1" hidden="1" x14ac:dyDescent="0.3">
      <c r="A206" s="54" t="s">
        <v>149</v>
      </c>
      <c r="B206" s="203" t="s">
        <v>229</v>
      </c>
      <c r="C206" s="204"/>
      <c r="D206" s="204"/>
      <c r="E206" s="204"/>
      <c r="F206" s="204"/>
      <c r="G206" s="204"/>
      <c r="H206" s="205"/>
    </row>
    <row r="207" spans="1:20" s="35" customFormat="1" ht="32.25" hidden="1" customHeight="1" x14ac:dyDescent="0.3">
      <c r="A207" s="54" t="s">
        <v>149</v>
      </c>
      <c r="B207" s="203" t="s">
        <v>337</v>
      </c>
      <c r="C207" s="204"/>
      <c r="D207" s="204"/>
      <c r="E207" s="204"/>
      <c r="F207" s="204"/>
      <c r="G207" s="204"/>
      <c r="H207" s="205"/>
    </row>
    <row r="208" spans="1:20" x14ac:dyDescent="0.3">
      <c r="A208" s="142" t="s">
        <v>58</v>
      </c>
      <c r="B208" s="142"/>
      <c r="C208" s="142"/>
      <c r="D208" s="142"/>
      <c r="E208" s="142"/>
      <c r="F208" s="142"/>
      <c r="G208" s="142"/>
      <c r="H208" s="142"/>
      <c r="T208" s="35"/>
    </row>
    <row r="209" spans="1:20" x14ac:dyDescent="0.3">
      <c r="A209" s="75" t="s">
        <v>59</v>
      </c>
      <c r="B209" s="75"/>
      <c r="C209" s="75"/>
      <c r="D209" s="75"/>
      <c r="E209" s="75"/>
      <c r="F209" s="75"/>
      <c r="G209" s="75"/>
      <c r="H209" s="75"/>
      <c r="T209" s="35"/>
    </row>
    <row r="210" spans="1:20" ht="15.75" customHeight="1" x14ac:dyDescent="0.3">
      <c r="A210" s="199" t="s">
        <v>60</v>
      </c>
      <c r="B210" s="199"/>
      <c r="C210" s="199"/>
      <c r="D210" s="199"/>
      <c r="E210" s="199"/>
      <c r="F210" s="199"/>
      <c r="G210" s="199"/>
      <c r="H210" s="199"/>
      <c r="T210" s="35"/>
    </row>
    <row r="211" spans="1:20" x14ac:dyDescent="0.3">
      <c r="A211" s="75" t="s">
        <v>61</v>
      </c>
      <c r="B211" s="75"/>
      <c r="C211" s="75"/>
      <c r="D211" s="75"/>
      <c r="E211" s="75"/>
      <c r="F211" s="75"/>
      <c r="G211" s="75"/>
      <c r="H211" s="75"/>
      <c r="T211" s="35"/>
    </row>
    <row r="212" spans="1:20" x14ac:dyDescent="0.3">
      <c r="A212" s="75" t="s">
        <v>62</v>
      </c>
      <c r="B212" s="75"/>
      <c r="C212" s="75"/>
      <c r="D212" s="75"/>
      <c r="E212" s="75"/>
      <c r="F212" s="75"/>
      <c r="G212" s="75"/>
      <c r="H212" s="75"/>
      <c r="T212" s="35"/>
    </row>
    <row r="213" spans="1:20" hidden="1" x14ac:dyDescent="0.3">
      <c r="A213" s="75" t="s">
        <v>122</v>
      </c>
      <c r="B213" s="75"/>
      <c r="C213" s="75"/>
      <c r="D213" s="75"/>
      <c r="E213" s="75"/>
      <c r="F213" s="75"/>
      <c r="G213" s="75"/>
      <c r="H213" s="75"/>
      <c r="T213" s="35"/>
    </row>
    <row r="214" spans="1:20" ht="33.9" hidden="1" customHeight="1" x14ac:dyDescent="0.3">
      <c r="A214" s="88" t="s">
        <v>123</v>
      </c>
      <c r="B214" s="88"/>
      <c r="C214" s="88"/>
      <c r="D214" s="88"/>
      <c r="E214" s="88"/>
      <c r="F214" s="88"/>
      <c r="G214" s="88"/>
      <c r="H214" s="88"/>
    </row>
    <row r="215" spans="1:20" x14ac:dyDescent="0.3">
      <c r="A215" s="177" t="s">
        <v>74</v>
      </c>
      <c r="B215" s="177"/>
      <c r="C215" s="177" t="s">
        <v>349</v>
      </c>
      <c r="D215" s="177"/>
      <c r="E215" s="177" t="s">
        <v>102</v>
      </c>
      <c r="F215" s="177"/>
      <c r="G215" s="177" t="s">
        <v>363</v>
      </c>
      <c r="H215" s="177"/>
    </row>
    <row r="216" spans="1:20" x14ac:dyDescent="0.3">
      <c r="A216" s="176" t="s">
        <v>76</v>
      </c>
      <c r="B216" s="176"/>
      <c r="C216" s="176"/>
      <c r="D216" s="176"/>
      <c r="E216" s="176"/>
      <c r="F216" s="176"/>
      <c r="G216" s="176"/>
      <c r="H216" s="176"/>
    </row>
    <row r="217" spans="1:20" x14ac:dyDescent="0.3">
      <c r="A217" s="176"/>
      <c r="B217" s="176"/>
      <c r="C217" s="176"/>
      <c r="D217" s="176"/>
      <c r="E217" s="176"/>
      <c r="F217" s="176"/>
      <c r="G217" s="176"/>
      <c r="H217" s="176"/>
    </row>
    <row r="218" spans="1:20" x14ac:dyDescent="0.3">
      <c r="A218" s="176"/>
      <c r="B218" s="176"/>
      <c r="C218" s="176"/>
      <c r="D218" s="176"/>
      <c r="E218" s="176"/>
      <c r="F218" s="176"/>
      <c r="G218" s="176"/>
      <c r="H218" s="176"/>
    </row>
    <row r="219" spans="1:20" x14ac:dyDescent="0.3">
      <c r="A219" s="176"/>
      <c r="B219" s="176"/>
      <c r="C219" s="176"/>
      <c r="D219" s="176"/>
      <c r="E219" s="176"/>
      <c r="F219" s="176"/>
      <c r="G219" s="176"/>
      <c r="H219" s="176"/>
    </row>
    <row r="220" spans="1:20" x14ac:dyDescent="0.3">
      <c r="A220" s="38" t="s">
        <v>63</v>
      </c>
      <c r="B220" s="39"/>
      <c r="C220" s="39"/>
      <c r="D220" s="38" t="str">
        <f>E9</f>
        <v>J B Opera</v>
      </c>
      <c r="F220" s="39"/>
      <c r="G220" s="39"/>
      <c r="H220" s="39"/>
    </row>
    <row r="221" spans="1:20" x14ac:dyDescent="0.3">
      <c r="A221" s="39"/>
      <c r="B221" s="39"/>
      <c r="C221" s="39"/>
      <c r="D221" s="39"/>
      <c r="E221" s="39"/>
      <c r="F221" s="39"/>
      <c r="G221" s="39"/>
      <c r="H221" s="39"/>
    </row>
    <row r="222" spans="1:20" x14ac:dyDescent="0.3">
      <c r="A222" s="39"/>
      <c r="B222" s="39"/>
      <c r="C222" s="39"/>
      <c r="D222" s="39"/>
      <c r="E222" s="39"/>
      <c r="F222" s="39"/>
      <c r="G222" s="39"/>
      <c r="H222" s="39"/>
    </row>
    <row r="223" spans="1:20" ht="15" customHeight="1" x14ac:dyDescent="0.3"/>
    <row r="263" spans="1:8" x14ac:dyDescent="0.3">
      <c r="A263" s="38" t="s">
        <v>358</v>
      </c>
      <c r="B263" s="39"/>
      <c r="C263" s="39"/>
      <c r="D263" s="38"/>
      <c r="F263" s="39"/>
      <c r="G263" s="39"/>
      <c r="H263" s="39"/>
    </row>
    <row r="264" spans="1:8" x14ac:dyDescent="0.3">
      <c r="A264" s="39"/>
      <c r="B264" s="39"/>
      <c r="C264" s="39"/>
      <c r="D264" s="39"/>
      <c r="E264" s="39"/>
      <c r="F264" s="39"/>
      <c r="G264" s="39"/>
      <c r="H264" s="39"/>
    </row>
    <row r="265" spans="1:8" x14ac:dyDescent="0.3">
      <c r="A265" s="39"/>
      <c r="B265" s="39"/>
      <c r="C265" s="39"/>
      <c r="D265" s="39"/>
      <c r="E265" s="39"/>
      <c r="F265" s="39"/>
      <c r="G265" s="39"/>
      <c r="H265" s="39"/>
    </row>
    <row r="266" spans="1:8" ht="15" customHeight="1" x14ac:dyDescent="0.3"/>
    <row r="306" spans="1:8" x14ac:dyDescent="0.3">
      <c r="A306" s="38" t="s">
        <v>358</v>
      </c>
      <c r="B306" s="39"/>
      <c r="C306" s="39"/>
      <c r="D306" s="38"/>
      <c r="F306" s="39"/>
      <c r="G306" s="39"/>
      <c r="H306" s="39"/>
    </row>
    <row r="307" spans="1:8" x14ac:dyDescent="0.3">
      <c r="A307" s="39"/>
      <c r="B307" s="39"/>
      <c r="C307" s="39"/>
      <c r="D307" s="39"/>
      <c r="E307" s="39"/>
      <c r="F307" s="39"/>
      <c r="G307" s="39"/>
      <c r="H307" s="39"/>
    </row>
    <row r="308" spans="1:8" x14ac:dyDescent="0.3">
      <c r="A308" s="39"/>
      <c r="B308" s="39"/>
      <c r="C308" s="39"/>
      <c r="D308" s="39"/>
      <c r="E308" s="39"/>
      <c r="F308" s="39"/>
      <c r="G308" s="39"/>
      <c r="H308" s="39"/>
    </row>
    <row r="309" spans="1:8" ht="15" customHeight="1" x14ac:dyDescent="0.3"/>
    <row r="349" spans="1:1" x14ac:dyDescent="0.3">
      <c r="A349" s="41" t="s">
        <v>160</v>
      </c>
    </row>
    <row r="392" spans="1:1" x14ac:dyDescent="0.3">
      <c r="A392" s="41" t="s">
        <v>64</v>
      </c>
    </row>
  </sheetData>
  <mergeCells count="392">
    <mergeCell ref="A125:B125"/>
    <mergeCell ref="A126:B126"/>
    <mergeCell ref="A127:B127"/>
    <mergeCell ref="A128:B128"/>
    <mergeCell ref="A129:B129"/>
    <mergeCell ref="A130:B130"/>
    <mergeCell ref="A174:B174"/>
    <mergeCell ref="A175:B175"/>
    <mergeCell ref="A176:B176"/>
    <mergeCell ref="A192:B192"/>
    <mergeCell ref="F165:F166"/>
    <mergeCell ref="A160:B160"/>
    <mergeCell ref="A154:B154"/>
    <mergeCell ref="C154:D154"/>
    <mergeCell ref="E154:F154"/>
    <mergeCell ref="C157:C158"/>
    <mergeCell ref="B165:B166"/>
    <mergeCell ref="I62:M62"/>
    <mergeCell ref="I63:M63"/>
    <mergeCell ref="I64:M64"/>
    <mergeCell ref="I65:M65"/>
    <mergeCell ref="L163:M163"/>
    <mergeCell ref="L162:M162"/>
    <mergeCell ref="L161:M161"/>
    <mergeCell ref="L160:M160"/>
    <mergeCell ref="A173:H173"/>
    <mergeCell ref="C151:D151"/>
    <mergeCell ref="E151:F151"/>
    <mergeCell ref="G151:H151"/>
    <mergeCell ref="A132:E132"/>
    <mergeCell ref="A103:B103"/>
    <mergeCell ref="C103:H103"/>
    <mergeCell ref="A159:H159"/>
    <mergeCell ref="E157:E158"/>
    <mergeCell ref="A93:B93"/>
    <mergeCell ref="A155:H155"/>
    <mergeCell ref="G157:G158"/>
    <mergeCell ref="A136:E136"/>
    <mergeCell ref="E153:F153"/>
    <mergeCell ref="A141:E141"/>
    <mergeCell ref="G153:H153"/>
    <mergeCell ref="M50:N50"/>
    <mergeCell ref="I51:K51"/>
    <mergeCell ref="M51:N51"/>
    <mergeCell ref="I52:K52"/>
    <mergeCell ref="M52:N52"/>
    <mergeCell ref="I53:N53"/>
    <mergeCell ref="I42:L42"/>
    <mergeCell ref="I43:L43"/>
    <mergeCell ref="I44:L44"/>
    <mergeCell ref="I45:L45"/>
    <mergeCell ref="I46:L46"/>
    <mergeCell ref="I47:L47"/>
    <mergeCell ref="C50:E50"/>
    <mergeCell ref="B206:H206"/>
    <mergeCell ref="I194:M194"/>
    <mergeCell ref="A168:H168"/>
    <mergeCell ref="A167:H167"/>
    <mergeCell ref="A177:H177"/>
    <mergeCell ref="A178:H178"/>
    <mergeCell ref="A179:H179"/>
    <mergeCell ref="A180:B180"/>
    <mergeCell ref="A181:B181"/>
    <mergeCell ref="A188:B188"/>
    <mergeCell ref="A189:B189"/>
    <mergeCell ref="A171:B171"/>
    <mergeCell ref="A172:B172"/>
    <mergeCell ref="A191:B191"/>
    <mergeCell ref="B205:H205"/>
    <mergeCell ref="B202:H202"/>
    <mergeCell ref="B200:H200"/>
    <mergeCell ref="B194:H194"/>
    <mergeCell ref="B195:H195"/>
    <mergeCell ref="B203:H203"/>
    <mergeCell ref="B198:H198"/>
    <mergeCell ref="A193:H193"/>
    <mergeCell ref="I50:K50"/>
    <mergeCell ref="C55:H55"/>
    <mergeCell ref="I15:P15"/>
    <mergeCell ref="F141:H141"/>
    <mergeCell ref="F139:H139"/>
    <mergeCell ref="A156:H156"/>
    <mergeCell ref="G145:H145"/>
    <mergeCell ref="A140:E140"/>
    <mergeCell ref="A161:B161"/>
    <mergeCell ref="A60:B60"/>
    <mergeCell ref="C60:E60"/>
    <mergeCell ref="D62:H62"/>
    <mergeCell ref="F140:H140"/>
    <mergeCell ref="E145:F145"/>
    <mergeCell ref="A145:B145"/>
    <mergeCell ref="A147:B147"/>
    <mergeCell ref="C150:D150"/>
    <mergeCell ref="D72:H72"/>
    <mergeCell ref="A73:C73"/>
    <mergeCell ref="E43:H43"/>
    <mergeCell ref="A43:D43"/>
    <mergeCell ref="A89:B89"/>
    <mergeCell ref="C89:H89"/>
    <mergeCell ref="A84:B84"/>
    <mergeCell ref="A50:B50"/>
    <mergeCell ref="A213:H213"/>
    <mergeCell ref="A210:H210"/>
    <mergeCell ref="A187:B187"/>
    <mergeCell ref="A150:B150"/>
    <mergeCell ref="D165:D166"/>
    <mergeCell ref="E165:E166"/>
    <mergeCell ref="A97:B97"/>
    <mergeCell ref="A98:B98"/>
    <mergeCell ref="A99:B99"/>
    <mergeCell ref="A113:B113"/>
    <mergeCell ref="F132:H132"/>
    <mergeCell ref="G146:H146"/>
    <mergeCell ref="A116:B116"/>
    <mergeCell ref="F138:H138"/>
    <mergeCell ref="C145:D145"/>
    <mergeCell ref="C153:D153"/>
    <mergeCell ref="A169:H169"/>
    <mergeCell ref="B207:H207"/>
    <mergeCell ref="A182:B182"/>
    <mergeCell ref="A183:B183"/>
    <mergeCell ref="A184:B184"/>
    <mergeCell ref="A185:B185"/>
    <mergeCell ref="B199:H199"/>
    <mergeCell ref="A165:A166"/>
    <mergeCell ref="A209:H209"/>
    <mergeCell ref="F131:H131"/>
    <mergeCell ref="F136:H136"/>
    <mergeCell ref="A170:B170"/>
    <mergeCell ref="A163:B163"/>
    <mergeCell ref="A162:B162"/>
    <mergeCell ref="A137:E137"/>
    <mergeCell ref="F137:H137"/>
    <mergeCell ref="A139:E139"/>
    <mergeCell ref="F134:H134"/>
    <mergeCell ref="A138:E138"/>
    <mergeCell ref="A164:H164"/>
    <mergeCell ref="E150:F150"/>
    <mergeCell ref="G154:H154"/>
    <mergeCell ref="F133:H133"/>
    <mergeCell ref="A133:E133"/>
    <mergeCell ref="D157:D158"/>
    <mergeCell ref="B196:H196"/>
    <mergeCell ref="A148:B148"/>
    <mergeCell ref="C148:D148"/>
    <mergeCell ref="E148:F148"/>
    <mergeCell ref="G148:H148"/>
    <mergeCell ref="A152:B152"/>
    <mergeCell ref="B204:H204"/>
    <mergeCell ref="A216:H219"/>
    <mergeCell ref="A215:B215"/>
    <mergeCell ref="E215:F215"/>
    <mergeCell ref="C215:D215"/>
    <mergeCell ref="G215:H215"/>
    <mergeCell ref="A144:H144"/>
    <mergeCell ref="A142:E142"/>
    <mergeCell ref="F142:H142"/>
    <mergeCell ref="A143:E143"/>
    <mergeCell ref="F143:H143"/>
    <mergeCell ref="A186:H186"/>
    <mergeCell ref="A151:B151"/>
    <mergeCell ref="A146:B146"/>
    <mergeCell ref="A211:H211"/>
    <mergeCell ref="A149:H149"/>
    <mergeCell ref="A214:H214"/>
    <mergeCell ref="A212:H212"/>
    <mergeCell ref="A208:H208"/>
    <mergeCell ref="G150:H150"/>
    <mergeCell ref="C165:C166"/>
    <mergeCell ref="G165:G166"/>
    <mergeCell ref="B197:H197"/>
    <mergeCell ref="B201:H201"/>
    <mergeCell ref="A190:B19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57:H57"/>
    <mergeCell ref="C59:H59"/>
    <mergeCell ref="A91:B91"/>
    <mergeCell ref="C147:D147"/>
    <mergeCell ref="E147:F147"/>
    <mergeCell ref="G147:H147"/>
    <mergeCell ref="C152:D152"/>
    <mergeCell ref="E152:F152"/>
    <mergeCell ref="G152:H152"/>
    <mergeCell ref="A112:B112"/>
    <mergeCell ref="A115:B115"/>
    <mergeCell ref="A134:E134"/>
    <mergeCell ref="A131:E131"/>
    <mergeCell ref="F135:H135"/>
    <mergeCell ref="A117:B117"/>
    <mergeCell ref="C117:H117"/>
    <mergeCell ref="A119:B119"/>
    <mergeCell ref="C119:H119"/>
    <mergeCell ref="A120:B120"/>
    <mergeCell ref="E120:F120"/>
    <mergeCell ref="G120:H120"/>
    <mergeCell ref="A121:B121"/>
    <mergeCell ref="E121:F130"/>
    <mergeCell ref="G121:H130"/>
    <mergeCell ref="A122:B122"/>
    <mergeCell ref="A123:B123"/>
    <mergeCell ref="A124:B124"/>
    <mergeCell ref="A39:B39"/>
    <mergeCell ref="C39:H39"/>
    <mergeCell ref="A46:D46"/>
    <mergeCell ref="A47:D47"/>
    <mergeCell ref="A48:H48"/>
    <mergeCell ref="D64:H64"/>
    <mergeCell ref="A64:C64"/>
    <mergeCell ref="A85:B85"/>
    <mergeCell ref="A45:D45"/>
    <mergeCell ref="A81:B81"/>
    <mergeCell ref="D67:H67"/>
    <mergeCell ref="C52:E52"/>
    <mergeCell ref="A65:C67"/>
    <mergeCell ref="D65:H65"/>
    <mergeCell ref="D66:H66"/>
    <mergeCell ref="C51:E51"/>
    <mergeCell ref="G50:H50"/>
    <mergeCell ref="G52:H52"/>
    <mergeCell ref="A51:B51"/>
    <mergeCell ref="A61:H61"/>
    <mergeCell ref="A62:C62"/>
    <mergeCell ref="A63:C63"/>
    <mergeCell ref="D63:H63"/>
    <mergeCell ref="G60:H60"/>
    <mergeCell ref="A49:B49"/>
    <mergeCell ref="C49:H49"/>
    <mergeCell ref="A108:B108"/>
    <mergeCell ref="A109:B109"/>
    <mergeCell ref="G93:H102"/>
    <mergeCell ref="A94:B94"/>
    <mergeCell ref="A95:B95"/>
    <mergeCell ref="A96:B96"/>
    <mergeCell ref="A54:B55"/>
    <mergeCell ref="C54:E54"/>
    <mergeCell ref="G54:H54"/>
    <mergeCell ref="A56:B57"/>
    <mergeCell ref="C56:E56"/>
    <mergeCell ref="G56:H56"/>
    <mergeCell ref="A58:B59"/>
    <mergeCell ref="C58:E58"/>
    <mergeCell ref="G58:H58"/>
    <mergeCell ref="G51:H51"/>
    <mergeCell ref="A52:B53"/>
    <mergeCell ref="C53:H53"/>
    <mergeCell ref="A70:C70"/>
    <mergeCell ref="D70:H70"/>
    <mergeCell ref="C77:H77"/>
    <mergeCell ref="A86:B86"/>
    <mergeCell ref="G106:H106"/>
    <mergeCell ref="A105:B105"/>
    <mergeCell ref="A78:B78"/>
    <mergeCell ref="A79:B79"/>
    <mergeCell ref="G78:H78"/>
    <mergeCell ref="A114:B114"/>
    <mergeCell ref="C105:H105"/>
    <mergeCell ref="A106:B106"/>
    <mergeCell ref="E92:F92"/>
    <mergeCell ref="G92:H92"/>
    <mergeCell ref="A110:B110"/>
    <mergeCell ref="A111:B111"/>
    <mergeCell ref="E93:F102"/>
    <mergeCell ref="A100:B100"/>
    <mergeCell ref="A101:B101"/>
    <mergeCell ref="E106:F106"/>
    <mergeCell ref="E107:F116"/>
    <mergeCell ref="C91:H91"/>
    <mergeCell ref="A40:B40"/>
    <mergeCell ref="C40:H40"/>
    <mergeCell ref="F157:F158"/>
    <mergeCell ref="C146:D146"/>
    <mergeCell ref="E146:F146"/>
    <mergeCell ref="B157:B158"/>
    <mergeCell ref="A157:A158"/>
    <mergeCell ref="A80:B80"/>
    <mergeCell ref="A82:B82"/>
    <mergeCell ref="E78:F78"/>
    <mergeCell ref="A71:C71"/>
    <mergeCell ref="D71:H71"/>
    <mergeCell ref="A74:C74"/>
    <mergeCell ref="D74:H74"/>
    <mergeCell ref="A72:C72"/>
    <mergeCell ref="D73:H73"/>
    <mergeCell ref="A135:E135"/>
    <mergeCell ref="A77:B77"/>
    <mergeCell ref="A75:B75"/>
    <mergeCell ref="C75:H75"/>
    <mergeCell ref="A83:B83"/>
    <mergeCell ref="A102:B102"/>
    <mergeCell ref="A107:B107"/>
    <mergeCell ref="A153:B153"/>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57:E158" xr:uid="{00000000-0002-0000-0000-000003000000}">
      <formula1>"Attached Loft area,Attached Otla area,Attached Mezzanine area"</formula1>
    </dataValidation>
    <dataValidation type="list" allowBlank="1" showInputMessage="1" showErrorMessage="1" sqref="G215:H215" xr:uid="{00000000-0002-0000-0000-000004000000}">
      <formula1>"Saurav Panse, Kunal Kadam,Pranita Mhatre,Shruti Fule,Pooja Kawale,Neha Dhokale,Shruti Tathare, Hitakshi Mhatre, Sachin Sawant"</formula1>
    </dataValidation>
    <dataValidation type="list" allowBlank="1" showInputMessage="1" showErrorMessage="1" sqref="F131:H131" xr:uid="{00000000-0002-0000-0000-000005000000}">
      <formula1>"On Saleable Area,On Builtup Area,On Carpet Area,On Plot Area"</formula1>
    </dataValidation>
    <dataValidation type="list" allowBlank="1" showInputMessage="1" showErrorMessage="1" sqref="F142:H142" xr:uid="{00000000-0002-0000-0000-000006000000}">
      <formula1>OFFSET($S$131,1,MATCH($G20,$S$131:$W$131,0)-1,15,1)</formula1>
    </dataValidation>
    <dataValidation type="list" allowBlank="1" showInputMessage="1" showErrorMessage="1" sqref="B157:B158" xr:uid="{00000000-0002-0000-0000-000007000000}">
      <formula1>"Shop No. (Sale Plan),Sale / Rehab,Sale / Mhada"</formula1>
    </dataValidation>
    <dataValidation type="list" allowBlank="1" showInputMessage="1" showErrorMessage="1" sqref="B165:B166"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65:E166" xr:uid="{00000000-0002-0000-0000-00000B000000}">
      <formula1>"Chajja + Enclosed Balcony + Balcony Area, Fungible area,Balcony Area,Chajja Area,Cornice Area,AP Area,WS Area"</formula1>
    </dataValidation>
    <dataValidation type="list" allowBlank="1" showInputMessage="1" showErrorMessage="1" sqref="H158 H16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whole" allowBlank="1" showInputMessage="1" showErrorMessage="1" sqref="C84 C126" xr:uid="{00000000-0002-0000-0000-00000F000000}">
      <formula1>0</formula1>
      <formula2>H76</formula2>
    </dataValidation>
    <dataValidation type="list" allowBlank="1" showInputMessage="1" showErrorMessage="1" sqref="H157 H165" xr:uid="{00000000-0002-0000-0000-000010000000}">
      <formula1>"Saleable area Loading :,Builder Saleable Area"</formula1>
    </dataValidation>
    <dataValidation type="list" allowBlank="1" showInputMessage="1" showErrorMessage="1" sqref="D157:D158 D165:D166" xr:uid="{00000000-0002-0000-0000-000011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scale="99" fitToHeight="0" orientation="portrait" r:id="rId2"/>
  <headerFooter>
    <oddHeader>&amp;C&amp;G</oddHeader>
    <oddFooter>&amp;L&amp;"Times New Roman,Bold"&amp;12Ref No: &amp;F&amp;C&amp;G&amp;R&amp;"Times New Roman,Bold"&amp;12&amp;P</oddFooter>
  </headerFooter>
  <rowBreaks count="6" manualBreakCount="6">
    <brk id="74" max="7" man="1"/>
    <brk id="219" max="16383" man="1"/>
    <brk id="262" max="16383" man="1"/>
    <brk id="305" max="7" man="1"/>
    <brk id="348" max="16383" man="1"/>
    <brk id="39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29" t="s">
        <v>103</v>
      </c>
      <c r="C3" s="229"/>
      <c r="D3" s="229"/>
      <c r="E3" s="229"/>
      <c r="F3" s="229"/>
      <c r="G3" s="229"/>
      <c r="H3" s="229"/>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175</v>
      </c>
      <c r="E4" s="53" t="s">
        <v>185</v>
      </c>
      <c r="F4" s="53" t="s">
        <v>170</v>
      </c>
      <c r="G4" s="53" t="s">
        <v>190</v>
      </c>
      <c r="H4" s="53" t="s">
        <v>208</v>
      </c>
      <c r="J4" t="s">
        <v>190</v>
      </c>
      <c r="K4" t="s">
        <v>206</v>
      </c>
    </row>
    <row r="5" spans="2:11" x14ac:dyDescent="0.3">
      <c r="B5" s="52"/>
      <c r="C5" s="52"/>
      <c r="D5" s="53" t="s">
        <v>176</v>
      </c>
      <c r="E5" s="53" t="s">
        <v>183</v>
      </c>
      <c r="F5" s="53" t="s">
        <v>205</v>
      </c>
      <c r="G5" s="53" t="s">
        <v>191</v>
      </c>
      <c r="H5" s="53" t="s">
        <v>209</v>
      </c>
    </row>
    <row r="6" spans="2:11" x14ac:dyDescent="0.3">
      <c r="B6" s="52"/>
      <c r="C6" s="52"/>
      <c r="D6" s="53" t="s">
        <v>177</v>
      </c>
      <c r="E6" s="53" t="s">
        <v>184</v>
      </c>
      <c r="F6" s="53" t="s">
        <v>206</v>
      </c>
      <c r="G6" s="53" t="s">
        <v>192</v>
      </c>
      <c r="H6" s="53" t="s">
        <v>222</v>
      </c>
    </row>
    <row r="7" spans="2:11" x14ac:dyDescent="0.3">
      <c r="B7" s="52"/>
      <c r="C7" s="52"/>
      <c r="D7" s="53" t="s">
        <v>178</v>
      </c>
      <c r="E7" s="53" t="s">
        <v>186</v>
      </c>
      <c r="F7" s="53" t="s">
        <v>207</v>
      </c>
      <c r="G7" s="53" t="s">
        <v>193</v>
      </c>
      <c r="H7" s="53" t="s">
        <v>210</v>
      </c>
    </row>
    <row r="8" spans="2:11" x14ac:dyDescent="0.3">
      <c r="B8" s="52"/>
      <c r="C8" s="52"/>
      <c r="D8" s="53" t="s">
        <v>179</v>
      </c>
      <c r="E8" s="53" t="s">
        <v>187</v>
      </c>
      <c r="F8" s="53"/>
      <c r="G8" s="53" t="s">
        <v>194</v>
      </c>
      <c r="H8" s="53" t="s">
        <v>211</v>
      </c>
    </row>
    <row r="9" spans="2:11" x14ac:dyDescent="0.3">
      <c r="B9" s="52"/>
      <c r="C9" s="52"/>
      <c r="D9" s="53" t="s">
        <v>180</v>
      </c>
      <c r="E9" s="53" t="s">
        <v>185</v>
      </c>
      <c r="F9" s="53"/>
      <c r="G9" s="53" t="s">
        <v>195</v>
      </c>
      <c r="H9" s="53" t="s">
        <v>212</v>
      </c>
    </row>
    <row r="10" spans="2:11" x14ac:dyDescent="0.3">
      <c r="B10" s="52"/>
      <c r="C10" s="52"/>
      <c r="D10" s="53" t="s">
        <v>181</v>
      </c>
      <c r="E10" s="53" t="s">
        <v>188</v>
      </c>
      <c r="F10" s="53"/>
      <c r="G10" s="53" t="s">
        <v>196</v>
      </c>
      <c r="H10" s="53" t="s">
        <v>213</v>
      </c>
    </row>
    <row r="11" spans="2:11" x14ac:dyDescent="0.3">
      <c r="B11" s="52"/>
      <c r="C11" s="52"/>
      <c r="D11" s="53" t="s">
        <v>182</v>
      </c>
      <c r="E11" s="53" t="s">
        <v>189</v>
      </c>
      <c r="F11" s="53"/>
      <c r="G11" s="53" t="s">
        <v>197</v>
      </c>
      <c r="H11" s="53" t="s">
        <v>214</v>
      </c>
    </row>
    <row r="12" spans="2:11" x14ac:dyDescent="0.3">
      <c r="B12" s="52"/>
      <c r="C12" s="52"/>
      <c r="D12" s="53"/>
      <c r="E12" s="53"/>
      <c r="F12" s="53"/>
      <c r="G12" s="53" t="s">
        <v>198</v>
      </c>
      <c r="H12" s="53" t="s">
        <v>215</v>
      </c>
    </row>
    <row r="13" spans="2:11" x14ac:dyDescent="0.3">
      <c r="B13" s="52"/>
      <c r="C13" s="52"/>
      <c r="D13" s="53"/>
      <c r="E13" s="53"/>
      <c r="F13" s="53"/>
      <c r="G13" s="53" t="s">
        <v>199</v>
      </c>
      <c r="H13" s="53" t="s">
        <v>216</v>
      </c>
    </row>
    <row r="14" spans="2:11" x14ac:dyDescent="0.3">
      <c r="B14" s="52"/>
      <c r="C14" s="52"/>
      <c r="D14" s="53"/>
      <c r="E14" s="53"/>
      <c r="F14" s="53"/>
      <c r="G14" s="53" t="s">
        <v>200</v>
      </c>
      <c r="H14" s="53" t="s">
        <v>217</v>
      </c>
    </row>
    <row r="15" spans="2:11" x14ac:dyDescent="0.3">
      <c r="B15" s="52"/>
      <c r="C15" s="52"/>
      <c r="D15" s="53"/>
      <c r="E15" s="53"/>
      <c r="F15" s="53"/>
      <c r="G15" s="53" t="s">
        <v>201</v>
      </c>
      <c r="H15" s="53" t="s">
        <v>218</v>
      </c>
    </row>
    <row r="16" spans="2:11" x14ac:dyDescent="0.3">
      <c r="B16" s="52"/>
      <c r="C16" s="52"/>
      <c r="D16" s="53"/>
      <c r="E16" s="53"/>
      <c r="F16" s="53"/>
      <c r="G16" s="53" t="s">
        <v>202</v>
      </c>
      <c r="H16" s="53" t="s">
        <v>219</v>
      </c>
    </row>
    <row r="17" spans="2:8" x14ac:dyDescent="0.3">
      <c r="B17" s="52"/>
      <c r="C17" s="52"/>
      <c r="D17" s="53"/>
      <c r="E17" s="53"/>
      <c r="F17" s="53"/>
      <c r="G17" s="53" t="s">
        <v>203</v>
      </c>
      <c r="H17" s="53" t="s">
        <v>220</v>
      </c>
    </row>
    <row r="18" spans="2:8" x14ac:dyDescent="0.3">
      <c r="B18" s="52"/>
      <c r="C18" s="52"/>
      <c r="D18" s="53"/>
      <c r="E18" s="53"/>
      <c r="F18" s="53"/>
      <c r="G18" s="53" t="s">
        <v>204</v>
      </c>
      <c r="H18" s="53" t="s">
        <v>221</v>
      </c>
    </row>
    <row r="24" spans="2:8" x14ac:dyDescent="0.3">
      <c r="C24" t="s">
        <v>167</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167</v>
      </c>
    </row>
    <row r="33" spans="3:11" x14ac:dyDescent="0.3">
      <c r="J33">
        <v>1</v>
      </c>
      <c r="K33">
        <v>2</v>
      </c>
    </row>
    <row r="34" spans="3:11" x14ac:dyDescent="0.3">
      <c r="C34" s="56" t="s">
        <v>233</v>
      </c>
      <c r="D34" s="53" t="s">
        <v>231</v>
      </c>
      <c r="E34" s="53" t="s">
        <v>236</v>
      </c>
      <c r="F34" s="53" t="s">
        <v>234</v>
      </c>
      <c r="G34" s="53" t="s">
        <v>235</v>
      </c>
      <c r="H34" s="53" t="s">
        <v>237</v>
      </c>
      <c r="J34" t="s">
        <v>190</v>
      </c>
      <c r="K34" t="s">
        <v>206</v>
      </c>
    </row>
    <row r="35" spans="3:11" x14ac:dyDescent="0.3">
      <c r="C35" s="52" t="s">
        <v>232</v>
      </c>
      <c r="D35" s="53" t="s">
        <v>168</v>
      </c>
      <c r="E35" s="53" t="s">
        <v>241</v>
      </c>
      <c r="F35" s="53" t="s">
        <v>243</v>
      </c>
      <c r="G35" s="53" t="s">
        <v>245</v>
      </c>
      <c r="H35" s="53"/>
    </row>
    <row r="36" spans="3:11" x14ac:dyDescent="0.3">
      <c r="C36" s="52"/>
      <c r="D36" s="53" t="s">
        <v>238</v>
      </c>
      <c r="E36" s="53" t="s">
        <v>242</v>
      </c>
      <c r="F36" s="53" t="s">
        <v>244</v>
      </c>
      <c r="G36" s="53" t="s">
        <v>246</v>
      </c>
      <c r="H36" s="53"/>
    </row>
    <row r="37" spans="3:11" x14ac:dyDescent="0.3">
      <c r="C37" s="52"/>
      <c r="D37" s="53" t="s">
        <v>239</v>
      </c>
      <c r="E37" s="53"/>
      <c r="F37" s="53"/>
      <c r="G37" s="53" t="s">
        <v>247</v>
      </c>
      <c r="H37" s="53"/>
    </row>
    <row r="38" spans="3:11" x14ac:dyDescent="0.3">
      <c r="C38" s="52"/>
      <c r="D38" s="53" t="s">
        <v>240</v>
      </c>
      <c r="E38" s="53"/>
      <c r="F38" s="53"/>
      <c r="G38" s="53" t="s">
        <v>247</v>
      </c>
      <c r="H38" s="53"/>
    </row>
    <row r="39" spans="3:11" x14ac:dyDescent="0.3">
      <c r="C39" s="52"/>
      <c r="D39" s="53"/>
      <c r="E39" s="53"/>
      <c r="F39" s="53"/>
      <c r="G39" s="53" t="s">
        <v>248</v>
      </c>
      <c r="H39" s="53"/>
    </row>
    <row r="40" spans="3:11" x14ac:dyDescent="0.3">
      <c r="C40" s="52"/>
      <c r="D40" s="53"/>
      <c r="E40" s="53"/>
      <c r="F40" s="53"/>
      <c r="G40" s="53" t="s">
        <v>249</v>
      </c>
      <c r="H40" s="53"/>
    </row>
    <row r="41" spans="3:11" x14ac:dyDescent="0.3">
      <c r="C41" s="52"/>
      <c r="D41" s="53"/>
      <c r="E41" s="53"/>
      <c r="F41" s="53"/>
      <c r="G41" s="53"/>
      <c r="H41" s="53"/>
    </row>
    <row r="43" spans="3:11" x14ac:dyDescent="0.3">
      <c r="C43" t="s">
        <v>250</v>
      </c>
    </row>
    <row r="44" spans="3:11" x14ac:dyDescent="0.3">
      <c r="C44" t="s">
        <v>170</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175</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190</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185</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6"/>
  <sheetViews>
    <sheetView topLeftCell="A6" workbookViewId="0">
      <selection activeCell="C14" sqref="C14"/>
    </sheetView>
  </sheetViews>
  <sheetFormatPr defaultRowHeight="14.4" x14ac:dyDescent="0.3"/>
  <cols>
    <col min="2" max="2" width="3" bestFit="1" customWidth="1"/>
    <col min="3" max="3" width="130" customWidth="1"/>
  </cols>
  <sheetData>
    <row r="2" spans="2:3" ht="15" customHeight="1" x14ac:dyDescent="0.3">
      <c r="B2" s="57">
        <v>1</v>
      </c>
      <c r="C2" s="59" t="s">
        <v>281</v>
      </c>
    </row>
    <row r="3" spans="2:3" x14ac:dyDescent="0.3">
      <c r="B3" s="57">
        <v>2</v>
      </c>
      <c r="C3" s="58" t="s">
        <v>282</v>
      </c>
    </row>
    <row r="4" spans="2:3" x14ac:dyDescent="0.3">
      <c r="B4" s="57">
        <v>3</v>
      </c>
      <c r="C4" s="57" t="s">
        <v>283</v>
      </c>
    </row>
    <row r="5" spans="2:3" x14ac:dyDescent="0.3">
      <c r="B5" s="57">
        <v>4</v>
      </c>
      <c r="C5" s="58" t="s">
        <v>284</v>
      </c>
    </row>
    <row r="6" spans="2:3" x14ac:dyDescent="0.3">
      <c r="B6" s="57">
        <v>5</v>
      </c>
      <c r="C6" s="57" t="s">
        <v>285</v>
      </c>
    </row>
    <row r="7" spans="2:3" ht="28.8" x14ac:dyDescent="0.3">
      <c r="B7" s="57">
        <v>6</v>
      </c>
      <c r="C7" s="58" t="s">
        <v>286</v>
      </c>
    </row>
    <row r="8" spans="2:3" ht="72" x14ac:dyDescent="0.3">
      <c r="B8" s="57">
        <v>7</v>
      </c>
      <c r="C8" s="58" t="s">
        <v>287</v>
      </c>
    </row>
    <row r="9" spans="2:3" x14ac:dyDescent="0.3">
      <c r="B9" s="57">
        <v>8</v>
      </c>
      <c r="C9" s="57" t="s">
        <v>288</v>
      </c>
    </row>
    <row r="10" spans="2:3" x14ac:dyDescent="0.3">
      <c r="B10" s="57">
        <v>9</v>
      </c>
      <c r="C10" s="57" t="s">
        <v>289</v>
      </c>
    </row>
    <row r="11" spans="2:3" x14ac:dyDescent="0.3">
      <c r="B11" s="57">
        <v>10</v>
      </c>
      <c r="C11" s="57" t="s">
        <v>290</v>
      </c>
    </row>
    <row r="12" spans="2:3" x14ac:dyDescent="0.3">
      <c r="B12" s="57">
        <v>11</v>
      </c>
      <c r="C12" s="57" t="s">
        <v>291</v>
      </c>
    </row>
    <row r="13" spans="2:3" x14ac:dyDescent="0.3">
      <c r="B13" s="57">
        <v>12</v>
      </c>
      <c r="C13" s="57" t="s">
        <v>292</v>
      </c>
    </row>
    <row r="14" spans="2:3" x14ac:dyDescent="0.3">
      <c r="B14" s="57">
        <v>13</v>
      </c>
      <c r="C14" s="57" t="s">
        <v>293</v>
      </c>
    </row>
    <row r="15" spans="2:3" x14ac:dyDescent="0.3">
      <c r="B15" s="57">
        <v>14</v>
      </c>
      <c r="C15" s="57" t="s">
        <v>283</v>
      </c>
    </row>
    <row r="16" spans="2:3" x14ac:dyDescent="0.3">
      <c r="B16" s="57">
        <v>15</v>
      </c>
      <c r="C16" s="57" t="s">
        <v>295</v>
      </c>
    </row>
    <row r="17" spans="2:3" ht="31.5" customHeight="1" x14ac:dyDescent="0.3">
      <c r="B17" s="62">
        <v>16</v>
      </c>
      <c r="C17" s="64" t="s">
        <v>296</v>
      </c>
    </row>
    <row r="18" spans="2:3" x14ac:dyDescent="0.3">
      <c r="B18" s="63">
        <v>17</v>
      </c>
      <c r="C18" s="64" t="s">
        <v>297</v>
      </c>
    </row>
    <row r="19" spans="2:3" x14ac:dyDescent="0.3">
      <c r="B19" s="62">
        <v>18</v>
      </c>
      <c r="C19" s="57" t="s">
        <v>298</v>
      </c>
    </row>
    <row r="20" spans="2:3" x14ac:dyDescent="0.3">
      <c r="B20" s="63">
        <v>19</v>
      </c>
      <c r="C20" s="57"/>
    </row>
    <row r="21" spans="2:3" x14ac:dyDescent="0.3">
      <c r="B21" s="57">
        <v>20</v>
      </c>
      <c r="C21" s="57"/>
    </row>
    <row r="22" spans="2:3" x14ac:dyDescent="0.3">
      <c r="B22" s="57"/>
      <c r="C22" s="57"/>
    </row>
    <row r="23" spans="2:3" x14ac:dyDescent="0.3">
      <c r="B23" s="57"/>
      <c r="C23" s="57"/>
    </row>
    <row r="24" spans="2:3" x14ac:dyDescent="0.3">
      <c r="B24" s="57"/>
      <c r="C24" s="57"/>
    </row>
    <row r="25" spans="2:3" x14ac:dyDescent="0.3">
      <c r="B25" s="57"/>
      <c r="C25" s="57"/>
    </row>
    <row r="26" spans="2:3" x14ac:dyDescent="0.3">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2025-07-21T13:03:58Z</cp:lastPrinted>
  <dcterms:created xsi:type="dcterms:W3CDTF">2019-07-16T09:29:46Z</dcterms:created>
  <dcterms:modified xsi:type="dcterms:W3CDTF">2025-09-13T14:17:16Z</dcterms:modified>
</cp:coreProperties>
</file>