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codeName="ThisWorkbook"/>
  <mc:AlternateContent xmlns:mc="http://schemas.openxmlformats.org/markup-compatibility/2006">
    <mc:Choice Requires="x15">
      <x15ac:absPath xmlns:x15ac="http://schemas.microsoft.com/office/spreadsheetml/2010/11/ac" url="D:\Kunal\Sept 25\Axis\Dump\"/>
    </mc:Choice>
  </mc:AlternateContent>
  <xr:revisionPtr revIDLastSave="0" documentId="13_ncr:1_{CA35DA6E-4112-4A82-A19E-8BA7B56CE68C}" xr6:coauthVersionLast="47" xr6:coauthVersionMax="47" xr10:uidLastSave="{00000000-0000-0000-0000-000000000000}"/>
  <bookViews>
    <workbookView xWindow="-108" yWindow="-108" windowWidth="23256" windowHeight="12456" tabRatio="725" xr2:uid="{00000000-000D-0000-FFFF-FFFF00000000}"/>
  </bookViews>
  <sheets>
    <sheet name="Report" sheetId="1" r:id="rId1"/>
    <sheet name="valuation" sheetId="5" r:id="rId2"/>
    <sheet name="Research" sheetId="4" r:id="rId3"/>
    <sheet name="Remarks" sheetId="6" r:id="rId4"/>
    <sheet name="Area Calculation" sheetId="7" r:id="rId5"/>
  </sheets>
  <definedNames>
    <definedName name="_xlnm.Print_Area" localSheetId="0">Report!$A$1:$H$268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11" i="1" l="1"/>
  <c r="E119" i="1"/>
  <c r="D119" i="1"/>
  <c r="E118" i="1"/>
  <c r="D118" i="1"/>
  <c r="E117" i="1"/>
  <c r="D117" i="1"/>
  <c r="E116" i="1"/>
  <c r="D116" i="1"/>
  <c r="E114" i="1"/>
  <c r="E113" i="1"/>
  <c r="E112" i="1"/>
  <c r="E111" i="1"/>
  <c r="D114" i="1"/>
  <c r="D113" i="1"/>
  <c r="D112" i="1"/>
  <c r="D111" i="1"/>
  <c r="C95" i="1" s="1"/>
  <c r="C96" i="1" s="1"/>
  <c r="J110" i="1"/>
  <c r="I111" i="1"/>
  <c r="F102" i="1" l="1"/>
  <c r="H102" i="1" s="1"/>
  <c r="E31" i="1" l="1"/>
  <c r="E26" i="1"/>
  <c r="L38" i="7" l="1"/>
  <c r="I38" i="7"/>
  <c r="E38" i="7"/>
  <c r="L37" i="7"/>
  <c r="I37" i="7"/>
  <c r="E37" i="7"/>
  <c r="L32" i="7"/>
  <c r="I32" i="7"/>
  <c r="E32" i="7"/>
  <c r="L31" i="7"/>
  <c r="I31" i="7"/>
  <c r="E31" i="7"/>
  <c r="L27" i="7"/>
  <c r="I27" i="7"/>
  <c r="E27" i="7"/>
  <c r="L26" i="7"/>
  <c r="I26" i="7"/>
  <c r="E26" i="7"/>
  <c r="L25" i="7"/>
  <c r="I25" i="7"/>
  <c r="E25" i="7"/>
  <c r="L41" i="7"/>
  <c r="I41" i="7"/>
  <c r="E41" i="7"/>
  <c r="L40" i="7"/>
  <c r="I40" i="7"/>
  <c r="E40" i="7"/>
  <c r="L39" i="7"/>
  <c r="I39" i="7"/>
  <c r="E39" i="7"/>
  <c r="L36" i="7"/>
  <c r="I36" i="7"/>
  <c r="E36" i="7"/>
  <c r="L35" i="7"/>
  <c r="I35" i="7"/>
  <c r="E35" i="7"/>
  <c r="L34" i="7"/>
  <c r="I34" i="7"/>
  <c r="E34" i="7"/>
  <c r="L33" i="7"/>
  <c r="I33" i="7"/>
  <c r="E33" i="7"/>
  <c r="L30" i="7"/>
  <c r="I30" i="7"/>
  <c r="E30" i="7"/>
  <c r="L29" i="7"/>
  <c r="I29" i="7"/>
  <c r="E29" i="7"/>
  <c r="L28" i="7"/>
  <c r="I28" i="7"/>
  <c r="E28" i="7"/>
  <c r="L24" i="7"/>
  <c r="I24" i="7"/>
  <c r="E24" i="7"/>
  <c r="L23" i="7"/>
  <c r="I23" i="7"/>
  <c r="E23" i="7"/>
  <c r="L22" i="7"/>
  <c r="I22" i="7"/>
  <c r="E22" i="7"/>
  <c r="L21" i="7"/>
  <c r="I21" i="7"/>
  <c r="E21" i="7"/>
  <c r="L20" i="7"/>
  <c r="I20" i="7"/>
  <c r="E20" i="7"/>
  <c r="L19" i="7"/>
  <c r="I19" i="7"/>
  <c r="E19" i="7"/>
  <c r="L18" i="7"/>
  <c r="I18" i="7"/>
  <c r="E18" i="7"/>
  <c r="L17" i="7"/>
  <c r="I17" i="7"/>
  <c r="E17" i="7"/>
  <c r="L16" i="7"/>
  <c r="I16" i="7"/>
  <c r="E16" i="7"/>
  <c r="L15" i="7"/>
  <c r="I15" i="7"/>
  <c r="E15" i="7"/>
  <c r="L14" i="7"/>
  <c r="I14" i="7"/>
  <c r="E14" i="7"/>
  <c r="L13" i="7"/>
  <c r="I13" i="7"/>
  <c r="E13" i="7"/>
  <c r="L12" i="7"/>
  <c r="I12" i="7"/>
  <c r="E12" i="7"/>
  <c r="L11" i="7"/>
  <c r="I11" i="7"/>
  <c r="E11" i="7"/>
  <c r="L10" i="7"/>
  <c r="I10" i="7"/>
  <c r="E10" i="7"/>
  <c r="L9" i="7"/>
  <c r="I9" i="7"/>
  <c r="E9" i="7"/>
  <c r="L8" i="7"/>
  <c r="I8" i="7"/>
  <c r="E8" i="7"/>
  <c r="L7" i="7"/>
  <c r="I7" i="7"/>
  <c r="E7" i="7"/>
  <c r="L6" i="7"/>
  <c r="I6" i="7"/>
  <c r="E6" i="7"/>
  <c r="E42" i="7" l="1"/>
  <c r="L42" i="7"/>
  <c r="K42" i="7" s="1"/>
  <c r="I42" i="7"/>
  <c r="H42" i="7" s="1"/>
  <c r="D42" i="7"/>
  <c r="E44" i="7" l="1"/>
  <c r="D44" i="7"/>
  <c r="B122" i="1"/>
  <c r="F103" i="1" l="1"/>
  <c r="H103" i="1" s="1"/>
  <c r="F104" i="1"/>
  <c r="H104" i="1" s="1"/>
  <c r="F105" i="1"/>
  <c r="H105" i="1" s="1"/>
  <c r="S33" i="1" l="1"/>
  <c r="F11" i="5" l="1"/>
  <c r="G11" i="5" s="1"/>
  <c r="F10" i="5"/>
  <c r="G10" i="5" s="1"/>
  <c r="F9" i="5"/>
  <c r="G9" i="5" s="1"/>
  <c r="F8" i="5"/>
  <c r="G8" i="5" s="1"/>
  <c r="F7" i="5"/>
  <c r="G7" i="5" s="1"/>
  <c r="F6" i="5"/>
  <c r="G6" i="5" s="1"/>
  <c r="F5" i="5"/>
  <c r="G5" i="5" s="1"/>
  <c r="G12" i="5" s="1"/>
  <c r="D141" i="1"/>
  <c r="F119" i="1"/>
  <c r="H119" i="1" s="1"/>
  <c r="F118" i="1"/>
  <c r="H118" i="1" s="1"/>
  <c r="F117" i="1"/>
  <c r="H117" i="1" s="1"/>
  <c r="F116" i="1"/>
  <c r="H116" i="1" s="1"/>
  <c r="F114" i="1"/>
  <c r="F113" i="1"/>
  <c r="F112" i="1"/>
  <c r="F111" i="1"/>
  <c r="A111" i="1"/>
  <c r="A112" i="1" s="1"/>
  <c r="A113" i="1" s="1"/>
  <c r="A114" i="1" s="1"/>
  <c r="A103" i="1"/>
  <c r="A104" i="1" s="1"/>
  <c r="A105" i="1" s="1"/>
  <c r="F92" i="1"/>
  <c r="C69" i="1"/>
  <c r="B70" i="1" s="1"/>
  <c r="D58" i="1"/>
  <c r="G51" i="1"/>
  <c r="G52" i="1" s="1"/>
  <c r="C51" i="1"/>
  <c r="C52" i="1" s="1"/>
  <c r="E44" i="1"/>
  <c r="E45" i="1" s="1"/>
  <c r="E28" i="1"/>
  <c r="C16" i="1"/>
  <c r="I15" i="1"/>
  <c r="Z13" i="1"/>
  <c r="E8" i="1"/>
  <c r="E3" i="1"/>
  <c r="D63" i="1" s="1"/>
  <c r="A116" i="1"/>
  <c r="H70" i="1"/>
  <c r="E95" i="1" l="1"/>
  <c r="E96" i="1" s="1"/>
  <c r="H111" i="1"/>
  <c r="J111" i="1"/>
  <c r="H113" i="1"/>
  <c r="J113" i="1"/>
  <c r="H114" i="1"/>
  <c r="J114" i="1"/>
  <c r="H112" i="1"/>
  <c r="J112" i="1"/>
  <c r="J69" i="1"/>
  <c r="J71" i="1" s="1"/>
  <c r="J72" i="1"/>
  <c r="J73" i="1"/>
  <c r="J74" i="1"/>
  <c r="C73" i="1" s="1"/>
  <c r="D77" i="1"/>
  <c r="D79" i="1"/>
  <c r="D78" i="1"/>
  <c r="D82" i="1"/>
  <c r="D76" i="1"/>
  <c r="D81" i="1"/>
  <c r="D75" i="1"/>
  <c r="D80" i="1"/>
  <c r="J75" i="1"/>
  <c r="A117" i="1"/>
  <c r="G95" i="1" l="1"/>
  <c r="G96" i="1" s="1"/>
  <c r="D73" i="1"/>
  <c r="J79" i="1"/>
  <c r="J77" i="1"/>
  <c r="J78" i="1"/>
  <c r="J76" i="1"/>
  <c r="J81" i="1" s="1"/>
  <c r="J82" i="1" s="1"/>
  <c r="C74" i="1" s="1"/>
  <c r="J80" i="1"/>
  <c r="A118" i="1"/>
  <c r="J70" i="1" l="1"/>
  <c r="E73" i="1"/>
  <c r="D74" i="1"/>
  <c r="G73" i="1"/>
  <c r="D67" i="1" s="1"/>
  <c r="A119" i="1"/>
  <c r="I70" i="1" l="1"/>
  <c r="I71" i="1" s="1"/>
  <c r="I69" i="1" s="1"/>
  <c r="C71" i="1" s="1"/>
  <c r="F68" i="1"/>
  <c r="D6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Sachin</author>
    <author>SACHIN</author>
  </authors>
  <commentList>
    <comment ref="E12" authorId="0" shapeId="0" xr:uid="{00000000-0006-0000-0000-000001000000}">
      <text>
        <r>
          <rPr>
            <b/>
            <sz val="9"/>
            <color indexed="81"/>
            <rFont val="Tahoma"/>
            <family val="2"/>
          </rPr>
          <t>Sachin:</t>
        </r>
        <r>
          <rPr>
            <sz val="9"/>
            <color indexed="81"/>
            <rFont val="Tahoma"/>
            <family val="2"/>
          </rPr>
          <t xml:space="preserve">
Building No. 
Tower No.
Wing 
Bunglow No., etc</t>
        </r>
      </text>
    </comment>
    <comment ref="E13" authorId="0" shapeId="0" xr:uid="{00000000-0006-0000-0000-000002000000}">
      <text>
        <r>
          <rPr>
            <b/>
            <sz val="9"/>
            <color indexed="81"/>
            <rFont val="Tahoma"/>
            <family val="2"/>
          </rPr>
          <t>Sachin:</t>
        </r>
        <r>
          <rPr>
            <sz val="9"/>
            <color indexed="81"/>
            <rFont val="Tahoma"/>
            <family val="2"/>
          </rPr>
          <t xml:space="preserve">
If exisiting Building is provided write it or else
NA</t>
        </r>
      </text>
    </comment>
    <comment ref="C55" authorId="1" shapeId="0" xr:uid="{00000000-0006-0000-0000-000003000000}">
      <text>
        <r>
          <rPr>
            <b/>
            <sz val="9"/>
            <color indexed="81"/>
            <rFont val="Tahoma"/>
            <family val="2"/>
          </rPr>
          <t>SACHIN:</t>
        </r>
        <r>
          <rPr>
            <sz val="9"/>
            <color indexed="81"/>
            <rFont val="Tahoma"/>
            <family val="2"/>
          </rPr>
          <t xml:space="preserve">
Height from AMSL</t>
        </r>
      </text>
    </comment>
    <comment ref="D58" authorId="0" shapeId="0" xr:uid="{00000000-0006-0000-0000-000004000000}">
      <text>
        <r>
          <rPr>
            <b/>
            <sz val="9"/>
            <color indexed="81"/>
            <rFont val="Tahoma"/>
            <family val="2"/>
          </rPr>
          <t>Sachin:</t>
        </r>
        <r>
          <rPr>
            <sz val="9"/>
            <color indexed="81"/>
            <rFont val="Tahoma"/>
            <family val="2"/>
          </rPr>
          <t xml:space="preserve">
If multiple building in project or complex just mention builtup of required building</t>
        </r>
      </text>
    </comment>
    <comment ref="F85" authorId="1" shapeId="0" xr:uid="{00000000-0006-0000-0000-000005000000}">
      <text>
        <r>
          <rPr>
            <b/>
            <sz val="9"/>
            <color indexed="81"/>
            <rFont val="Tahoma"/>
            <family val="2"/>
          </rPr>
          <t>SACHIN:</t>
        </r>
        <r>
          <rPr>
            <sz val="9"/>
            <color indexed="81"/>
            <rFont val="Tahoma"/>
            <family val="2"/>
          </rPr>
          <t xml:space="preserve">
Other charges should be given on basis of location amenties builder type n should not exceed above 12 lakhs or 8% of flat value</t>
        </r>
      </text>
    </comment>
    <comment ref="H108" authorId="1" shapeId="0" xr:uid="{00000000-0006-0000-0000-000006000000}">
      <text>
        <r>
          <rPr>
            <b/>
            <sz val="9"/>
            <color indexed="81"/>
            <rFont val="Tahoma"/>
            <family val="2"/>
          </rPr>
          <t>SACHIN:</t>
        </r>
        <r>
          <rPr>
            <sz val="9"/>
            <color indexed="81"/>
            <rFont val="Tahoma"/>
            <family val="2"/>
          </rPr>
          <t xml:space="preserve">
Give loading of 50% for A Category</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SACHIN</author>
  </authors>
  <commentList>
    <comment ref="C9" authorId="0" shapeId="0" xr:uid="{00000000-0006-0000-0300-000001000000}">
      <text>
        <r>
          <rPr>
            <b/>
            <sz val="9"/>
            <color indexed="81"/>
            <rFont val="Tahoma"/>
            <family val="2"/>
          </rPr>
          <t>SACHIN:</t>
        </r>
        <r>
          <rPr>
            <sz val="9"/>
            <color indexed="81"/>
            <rFont val="Tahoma"/>
            <family val="2"/>
          </rPr>
          <t xml:space="preserve">
If banker changes the rate</t>
        </r>
      </text>
    </comment>
    <comment ref="C10" authorId="0" shapeId="0" xr:uid="{00000000-0006-0000-0300-000002000000}">
      <text>
        <r>
          <rPr>
            <b/>
            <sz val="9"/>
            <color indexed="81"/>
            <rFont val="Tahoma"/>
            <family val="2"/>
          </rPr>
          <t>SACHIN:</t>
        </r>
        <r>
          <rPr>
            <sz val="9"/>
            <color indexed="81"/>
            <rFont val="Tahoma"/>
            <family val="2"/>
          </rPr>
          <t xml:space="preserve">
If we change the rate</t>
        </r>
      </text>
    </comment>
  </commentList>
</comments>
</file>

<file path=xl/sharedStrings.xml><?xml version="1.0" encoding="utf-8"?>
<sst xmlns="http://schemas.openxmlformats.org/spreadsheetml/2006/main" count="569" uniqueCount="386">
  <si>
    <t xml:space="preserve">Valuation Report </t>
  </si>
  <si>
    <t>Date:</t>
  </si>
  <si>
    <t>CPC Name:</t>
  </si>
  <si>
    <t>Date Of Property Visit</t>
  </si>
  <si>
    <t>Name of the builder group</t>
  </si>
  <si>
    <t>Name of the builder company</t>
  </si>
  <si>
    <t>Name of the Project</t>
  </si>
  <si>
    <t>Name / No of the Building</t>
  </si>
  <si>
    <t>RERA No.</t>
  </si>
  <si>
    <t xml:space="preserve">Project location details       </t>
  </si>
  <si>
    <t>Road</t>
  </si>
  <si>
    <t>District</t>
  </si>
  <si>
    <t>City</t>
  </si>
  <si>
    <t>Pin Code</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</si>
  <si>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</si>
  <si>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</si>
  <si>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</si>
  <si>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</si>
  <si>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</si>
  <si>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</si>
  <si>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</si>
  <si>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</si>
  <si>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</si>
  <si>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</si>
  <si>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</si>
  <si>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</si>
  <si>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</si>
  <si>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</si>
  <si>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</si>
  <si>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</si>
  <si>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</si>
  <si>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</si>
  <si>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</si>
  <si>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</si>
  <si>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</si>
  <si>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</si>
  <si>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</si>
  <si>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</si>
  <si>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</si>
  <si>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</si>
  <si>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</si>
  <si>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 xml:space="preserve">O. Certificate No.: </t>
  </si>
  <si>
    <t>Expected Completion</t>
  </si>
  <si>
    <t>Building wise Construction details</t>
  </si>
  <si>
    <t>Approved no of units</t>
  </si>
  <si>
    <t>Approved no of Floors</t>
  </si>
  <si>
    <t>Type of Work</t>
  </si>
  <si>
    <t>Plinth</t>
  </si>
  <si>
    <t xml:space="preserve">Recommended rate of Parking </t>
  </si>
  <si>
    <t>Distressed valuation of the Property</t>
  </si>
  <si>
    <t>Building &amp; Wing</t>
  </si>
  <si>
    <t>Total Carpet Area</t>
  </si>
  <si>
    <t>Total Saleable Area</t>
  </si>
  <si>
    <t>Building details Floor Wise</t>
  </si>
  <si>
    <t>Description</t>
  </si>
  <si>
    <t>Gross Carpet area</t>
  </si>
  <si>
    <t>Attached Terrace area</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</si>
  <si>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</si>
  <si>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</si>
  <si>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</si>
  <si>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</si>
  <si>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</si>
  <si>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 xml:space="preserve">PHOTOGRAPHS OF PROPERTY : 
</t>
  </si>
  <si>
    <t>Google Map :</t>
  </si>
  <si>
    <t xml:space="preserve">Remarks:  </t>
  </si>
  <si>
    <t>Flat</t>
  </si>
  <si>
    <t>Residential Area Details :</t>
  </si>
  <si>
    <t>Podium</t>
  </si>
  <si>
    <t>Ground</t>
  </si>
  <si>
    <t>Locality/Village</t>
  </si>
  <si>
    <t>Taluka</t>
  </si>
  <si>
    <t>Accessibility to the Project from the City: (Proximity to civic amenities like school, hospital, market, etc.)</t>
  </si>
  <si>
    <t>Inspected By :</t>
  </si>
  <si>
    <t>No. of Units</t>
  </si>
  <si>
    <t>Authorized Signatory
Name &amp; Seal of the agency</t>
  </si>
  <si>
    <t>Floors</t>
  </si>
  <si>
    <t>Type of Structure</t>
  </si>
  <si>
    <t>RCC Frame Structure</t>
  </si>
  <si>
    <t>Complition %</t>
  </si>
  <si>
    <t>Disbursement %</t>
  </si>
  <si>
    <t>Progress %</t>
  </si>
  <si>
    <t xml:space="preserve">Material laying at Site: </t>
  </si>
  <si>
    <t>Projected life of the structure</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</si>
  <si>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</si>
  <si>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</si>
  <si>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</si>
  <si>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</si>
  <si>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</si>
  <si>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</si>
  <si>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</si>
  <si>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</si>
  <si>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</si>
  <si>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</si>
  <si>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</si>
  <si>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</si>
  <si>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</si>
  <si>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</si>
  <si>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</si>
  <si>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</si>
  <si>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</si>
  <si>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completed</t>
  </si>
  <si>
    <t>NA
Approved upto : NA</t>
  </si>
  <si>
    <t>Report By :</t>
  </si>
  <si>
    <t>Market Research Data</t>
  </si>
  <si>
    <t>Source</t>
  </si>
  <si>
    <t>Distance from proposed property</t>
  </si>
  <si>
    <t>Net Carpet</t>
  </si>
  <si>
    <t>Market Value</t>
  </si>
  <si>
    <t>Magic Brick</t>
  </si>
  <si>
    <t>99 Acres</t>
  </si>
  <si>
    <t>Average</t>
  </si>
  <si>
    <t xml:space="preserve">Valuation Adopted </t>
  </si>
  <si>
    <t>Saleable Area</t>
  </si>
  <si>
    <t>Rate on Saleable</t>
  </si>
  <si>
    <t xml:space="preserve">Wheather the construction is as per approved Building plan : </t>
  </si>
  <si>
    <t>Ground Floor</t>
  </si>
  <si>
    <t>01 Building</t>
  </si>
  <si>
    <t>Nearby Landmark</t>
  </si>
  <si>
    <t>We considered Carpet area as per Approved Plan.</t>
  </si>
  <si>
    <t>We have considered rate by verifying it from market inquire.</t>
  </si>
  <si>
    <t>Car parking is subjected to authentic documentation.</t>
  </si>
  <si>
    <t>5) Gross carpet area =  Net Carpet area + Fungible area.</t>
  </si>
  <si>
    <t>6) Fungible Area= Enclosed Balcony + Flower Bed + Covered Balcony + Service Slab + Duct + Chajja + Wheather Shed area.</t>
  </si>
  <si>
    <t>Excavation</t>
  </si>
  <si>
    <t>RCC (Including podiums)</t>
  </si>
  <si>
    <t>Brickwork &amp; Internal Plaster</t>
  </si>
  <si>
    <t>Flooring &amp; Fitting</t>
  </si>
  <si>
    <t>External Plaster &amp; Plumbing</t>
  </si>
  <si>
    <t>Building Common Amenities</t>
  </si>
  <si>
    <t>Possession</t>
  </si>
  <si>
    <t>Ext. Plaster &amp; Plumbing</t>
  </si>
  <si>
    <t>Brickwork</t>
  </si>
  <si>
    <t>Internal Plaster</t>
  </si>
  <si>
    <t>Painting &amp; Wooden</t>
  </si>
  <si>
    <t>Slab/Floor</t>
  </si>
  <si>
    <t>Construction details:</t>
  </si>
  <si>
    <t>Piling Work in process</t>
  </si>
  <si>
    <t>Basement</t>
  </si>
  <si>
    <t>Basement 2</t>
  </si>
  <si>
    <t>Basement 3</t>
  </si>
  <si>
    <t>Basement 4</t>
  </si>
  <si>
    <t>Basement 1</t>
  </si>
  <si>
    <t>Plinth in process</t>
  </si>
  <si>
    <t xml:space="preserve">Violations Observed if any : </t>
  </si>
  <si>
    <t>Saleable area Loading :</t>
  </si>
  <si>
    <t>Total</t>
  </si>
  <si>
    <t>Name of Municipal Corporation/Authority</t>
  </si>
  <si>
    <t>We have considered proposed No. of Floor for Stage Calculation.</t>
  </si>
  <si>
    <t>*</t>
  </si>
  <si>
    <t xml:space="preserve">Commencement-CC No
Valid Up to: </t>
  </si>
  <si>
    <t>Attached Loft area</t>
  </si>
  <si>
    <t xml:space="preserve">Recommended Rates of the Property : </t>
  </si>
  <si>
    <t>Recommended rate of the Flat Per Sq. Ft.</t>
  </si>
  <si>
    <t>On Saleable Area</t>
  </si>
  <si>
    <t>Location Link</t>
  </si>
  <si>
    <t>Locality</t>
  </si>
  <si>
    <t>Layout :</t>
  </si>
  <si>
    <t>Office No. 1031, Wing J, Akshar Business Park, Plot No. 03 Sector 25, Near APMC Market, Vashi, Navi Mumbai, Maharashtra 400703 TEL: 022-46090378/79/80                                                                       
E mail : vsjcapf@gmail.com. Web site : www.vsjadon.com</t>
  </si>
  <si>
    <t>Latitude, Longitude</t>
  </si>
  <si>
    <t>Provided Contact Details (Name &amp; Contact No.)</t>
  </si>
  <si>
    <t>Site Person - Contact Details (Name &amp; Contact No.)</t>
  </si>
  <si>
    <t>Approved Plans, CC, Sale Plans, Builder Saleable Area, Cost Sheet, Airport Noc, Railway Noc, OC</t>
  </si>
  <si>
    <t>Axis Goregaon</t>
  </si>
  <si>
    <t>Name / No of the Existing Building</t>
  </si>
  <si>
    <t>Mumbai</t>
  </si>
  <si>
    <t>As per Layout</t>
  </si>
  <si>
    <t>Shop No. (Sale Plan)</t>
  </si>
  <si>
    <t>Flat No. (Sale Plan)</t>
  </si>
  <si>
    <t xml:space="preserve">Thane </t>
  </si>
  <si>
    <t>Thane</t>
  </si>
  <si>
    <t>Shahpur</t>
  </si>
  <si>
    <t>Kalyan</t>
  </si>
  <si>
    <t>Bhiwandi</t>
  </si>
  <si>
    <t>Ulhasnagar</t>
  </si>
  <si>
    <t>Ambernath</t>
  </si>
  <si>
    <t>Murbad</t>
  </si>
  <si>
    <t>Mokhada</t>
  </si>
  <si>
    <t>Talasari</t>
  </si>
  <si>
    <t>Palghar</t>
  </si>
  <si>
    <t>Vasai</t>
  </si>
  <si>
    <t>Vikramgad</t>
  </si>
  <si>
    <t>Dahanu</t>
  </si>
  <si>
    <t>Wada</t>
  </si>
  <si>
    <t>Raigad</t>
  </si>
  <si>
    <t>Alibag</t>
  </si>
  <si>
    <t>Panvel</t>
  </si>
  <si>
    <t>Uran</t>
  </si>
  <si>
    <t>Karjat</t>
  </si>
  <si>
    <t>Khalapur</t>
  </si>
  <si>
    <t>Pen</t>
  </si>
  <si>
    <t>Sudhagad</t>
  </si>
  <si>
    <t>Mahad</t>
  </si>
  <si>
    <t>Roha</t>
  </si>
  <si>
    <t>Mangaon</t>
  </si>
  <si>
    <t>Poladpur</t>
  </si>
  <si>
    <t>Mahasala</t>
  </si>
  <si>
    <t>Shriwardhan</t>
  </si>
  <si>
    <t>Murud</t>
  </si>
  <si>
    <t>Andheri</t>
  </si>
  <si>
    <t>Borivali</t>
  </si>
  <si>
    <t>Kurla</t>
  </si>
  <si>
    <t>Pune</t>
  </si>
  <si>
    <t>Pune City</t>
  </si>
  <si>
    <t>Khed</t>
  </si>
  <si>
    <t>Baramati</t>
  </si>
  <si>
    <t>Junnar</t>
  </si>
  <si>
    <t>Shirur</t>
  </si>
  <si>
    <t>Indapur</t>
  </si>
  <si>
    <t>Daund</t>
  </si>
  <si>
    <t>Mawal</t>
  </si>
  <si>
    <t>Ambegaon</t>
  </si>
  <si>
    <t>Purandhar</t>
  </si>
  <si>
    <t>Bhor</t>
  </si>
  <si>
    <t>Mulshi</t>
  </si>
  <si>
    <t>Velhe</t>
  </si>
  <si>
    <t>Haveli</t>
  </si>
  <si>
    <t>Approved Plans, CC</t>
  </si>
  <si>
    <t>Approved Plans, CC, Sale Plans</t>
  </si>
  <si>
    <t>Approved Plans, CC, Sale Plans, Builder Saleable Area</t>
  </si>
  <si>
    <t>Approved Plans, CC, Sale Plans, Builder Saleable Area, Cost Sheet,</t>
  </si>
  <si>
    <t>Approved Plans, CC, Builder Saleable Area,</t>
  </si>
  <si>
    <t>Carpet area</t>
  </si>
  <si>
    <t>Bank Name:</t>
  </si>
  <si>
    <t>Axis Bank</t>
  </si>
  <si>
    <t>Branch</t>
  </si>
  <si>
    <t>Bank</t>
  </si>
  <si>
    <t>Cent Bank</t>
  </si>
  <si>
    <t>Indiabulls Housing Finance Ltd</t>
  </si>
  <si>
    <t>PNB Housing Finance Limited</t>
  </si>
  <si>
    <t>ABFHL</t>
  </si>
  <si>
    <t>Axis Thane</t>
  </si>
  <si>
    <t>Axis Sanpada</t>
  </si>
  <si>
    <t>Axis Badlapur</t>
  </si>
  <si>
    <t>PNB Thane</t>
  </si>
  <si>
    <t>PNB Borivali</t>
  </si>
  <si>
    <t>Cent Kalyan</t>
  </si>
  <si>
    <t>Cent Belapur</t>
  </si>
  <si>
    <t>IBHF Kalyan</t>
  </si>
  <si>
    <t>IBHF Badlapur</t>
  </si>
  <si>
    <t>IBHF Vashi</t>
  </si>
  <si>
    <t>IBHF Thane</t>
  </si>
  <si>
    <t>IBHF Andheri</t>
  </si>
  <si>
    <t>Authorites</t>
  </si>
  <si>
    <t>Slum Rehabilitation Authority (SRA)</t>
  </si>
  <si>
    <t>Municipal Corporation of Greater Mumbai (MCGM)</t>
  </si>
  <si>
    <t>Maharashtra Housing and Area Development Authority(MHADA)</t>
  </si>
  <si>
    <t>Mumbai Metropolitan Region Development Authority (MMRDA)</t>
  </si>
  <si>
    <t>Maharashtra State Road Development Corporation Limited (MSRDC)</t>
  </si>
  <si>
    <t>Navi Mumbai Municipal Corporation (NMMC)</t>
  </si>
  <si>
    <t>Thane Muncipal Cooperation (TMC)</t>
  </si>
  <si>
    <t>Kalyan Dombivli Municipal Corporation (KMDC)</t>
  </si>
  <si>
    <t>Kulgoan Badlapur Municipal Council</t>
  </si>
  <si>
    <t>Town Planning Thane</t>
  </si>
  <si>
    <t>Ambernath Municipal Council (AMC)</t>
  </si>
  <si>
    <t>Ulhasnagar Municipal Corporation</t>
  </si>
  <si>
    <t>Nagar Rachana Ani Mulya Nirdharan Vibhag Thane</t>
  </si>
  <si>
    <t>Bhiwandi Nizampur City Municipal Corporation</t>
  </si>
  <si>
    <t>City and Industrial Development Corporation (CIDCO)</t>
  </si>
  <si>
    <t>Maharashtra Industrial Development Corporation (MIDC)</t>
  </si>
  <si>
    <t>Panvel Municipal Corporation</t>
  </si>
  <si>
    <t>Navi Mumbai Airport Influence Notified Area (NAINA)</t>
  </si>
  <si>
    <t>Pen Municipal Council</t>
  </si>
  <si>
    <t>Raigad Zilha Parishad</t>
  </si>
  <si>
    <t>Roha Municipal Council</t>
  </si>
  <si>
    <t>Vasai-Virar City Municipal Corporation. (VVCMC)</t>
  </si>
  <si>
    <t>Collector Of Palghar</t>
  </si>
  <si>
    <t>Town Planner, Palghar</t>
  </si>
  <si>
    <t>Mira-Bhayandar Municipal Corporation</t>
  </si>
  <si>
    <t>Documents Provided</t>
  </si>
  <si>
    <t>Does the boundaries at site match, as mentioned in the Documentation: NA</t>
  </si>
  <si>
    <t xml:space="preserve">Airport Noc No
Valid Up to: </t>
  </si>
  <si>
    <t xml:space="preserve">As per RERA, completion period of project Yashwant Height is expired on 30/06/2021 but still project is under construction.
</t>
  </si>
  <si>
    <t>Validity of CC is expired on 31/01/2021. Please provide latest CC.</t>
  </si>
  <si>
    <t>Construction work is same as last visit but work is in process at the time of visit. (Slow Speed)</t>
  </si>
  <si>
    <t>As per CRZ Norms, The said plot is coming under list of plots affected by CRZ. Ref Letter No. CIDCO/PLNG/ACP(BP)/2021/895/E-19416 Date : 09/03/2021.</t>
  </si>
  <si>
    <t>Construction work has increased from last visit but no active work was found during site visit</t>
  </si>
  <si>
    <t>As per Approved Floor plan, Wing A consist of 62 units ( Rehab = 40 units &amp; Sale = 22 Units),  but which unit no should be considered as rehab or sale is not mentioned in Approved plan.</t>
  </si>
  <si>
    <t>If stage is not identifibale due to external Visit,
1. Confirm with visitor that internal visit was possible or not, if internal visit possible ask visitor to to revisit
2. If internal visit not possible in category A Builders, if stage is not possible to increase mention below remark Since internal visit were not permitted, we were unable to determine building progress from an external visit; so, we are maintaining the same progress as in the previous report (dtd.    )
3. If Stage is identifiable increase the stage. Mention internal visit is not allowed in Remark</t>
  </si>
  <si>
    <r>
      <t xml:space="preserve">Recommended Rates / Other charges of the Property have been revised on </t>
    </r>
    <r>
      <rPr>
        <b/>
        <sz val="11"/>
        <color rgb="FF000000"/>
        <rFont val="Calibri"/>
        <family val="2"/>
      </rPr>
      <t>23/10/2023</t>
    </r>
    <r>
      <rPr>
        <sz val="11"/>
        <color rgb="FF000000"/>
        <rFont val="Calibri"/>
        <family val="2"/>
      </rPr>
      <t>.</t>
    </r>
  </si>
  <si>
    <t>Other charges/ Rate has been revised as per market inquiry (on 12/10/2023)</t>
  </si>
  <si>
    <t>Cementry of Hindu, Muslim, &amp; Christian Religion is located in 150 to 200m from project</t>
  </si>
  <si>
    <t>There is a road on the west side of the project, and a creek is next to the other side of the road.</t>
  </si>
  <si>
    <t>We have updated revised approved plans &amp; CC (on 15/12/2022).</t>
  </si>
  <si>
    <t>High Tension lines are passing through project (name)</t>
  </si>
  <si>
    <t>Collector Of Raigad</t>
  </si>
  <si>
    <t>As the project is redevelopement project but rehab statement or rehab flats is not mentioned approved layout plan &amp; floor plan.</t>
  </si>
  <si>
    <t>Construction work was stopped since visit 04/12/2017, but during 07/10/2021 site visit some construction activity was seen on site (Single room flooring work was seen)</t>
  </si>
  <si>
    <t>Builder is selling Bare Shell Office units</t>
  </si>
  <si>
    <t>We did not consider the terrace area attached to the 1st floor flats because it was not shown in the approved plans. However, it was shown in the sale plan.</t>
  </si>
  <si>
    <t>Since the project has received first CC on 17/01/2020, But construction work of Wing A is not yet started. Please provide revised approved CC for Wing A.</t>
  </si>
  <si>
    <t xml:space="preserve">Floor No </t>
  </si>
  <si>
    <t>Discription</t>
  </si>
  <si>
    <t>Carpet</t>
  </si>
  <si>
    <t>Fungible</t>
  </si>
  <si>
    <t>Terrace</t>
  </si>
  <si>
    <t>L</t>
  </si>
  <si>
    <t>W</t>
  </si>
  <si>
    <t>A</t>
  </si>
  <si>
    <t>Hall</t>
  </si>
  <si>
    <t>CB</t>
  </si>
  <si>
    <t>kitch</t>
  </si>
  <si>
    <t>FB</t>
  </si>
  <si>
    <t>Bed1</t>
  </si>
  <si>
    <t>Bed2</t>
  </si>
  <si>
    <t>Bed3</t>
  </si>
  <si>
    <t>Bed4</t>
  </si>
  <si>
    <t>DB</t>
  </si>
  <si>
    <t>toilet2</t>
  </si>
  <si>
    <t>toilet3</t>
  </si>
  <si>
    <t>passage1</t>
  </si>
  <si>
    <t>passage3</t>
  </si>
  <si>
    <t>passage4</t>
  </si>
  <si>
    <t>toilet4</t>
  </si>
  <si>
    <t>passage2</t>
  </si>
  <si>
    <t>Servant room</t>
  </si>
  <si>
    <t>Balcony</t>
  </si>
  <si>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xml:space="preserve"> A wing is a rehab wing, and B wing is a sale wing. The same letter is attached below.</t>
    </r>
  </si>
  <si>
    <r>
      <t xml:space="preserve">A sale or rehab statement is not provided along with approved floor plans. But as per a letter provided by the Bank Official on </t>
    </r>
    <r>
      <rPr>
        <b/>
        <sz val="11"/>
        <color rgb="FF000000"/>
        <rFont val="Calibri"/>
        <family val="2"/>
      </rPr>
      <t>whatsapp</t>
    </r>
    <r>
      <rPr>
        <sz val="11"/>
        <color rgb="FF000000"/>
        <rFont val="Calibri"/>
        <family val="2"/>
      </rPr>
      <t>, 5 shops &amp; 6 Flats are Rehab Flats. The same letter is attached below.</t>
    </r>
  </si>
  <si>
    <t>As Flat No. 201, 202, 203 &amp; 204 consists of large terrace area but dimension of that area is not mentioned. Therefore we have not considered terrace area for that flat.</t>
  </si>
  <si>
    <t>Electric Lines are passing above the project</t>
  </si>
  <si>
    <t>High tension lines are passing nearby project Project Name. Please provide Power Noc.</t>
  </si>
  <si>
    <t>We have release report on the basis of other vendor report.</t>
  </si>
  <si>
    <t>As per the last site visit dtd. 06/03/2024, internal visit was not allowed. Hence, the construction percentage given in the report was as per site met person i.e. 1st slab completed.
As per the visit dtd 10/06/2024, we have observed that only plinth work is completed. But higher construction stage is already given in last report i.e. 1st slab completed Hence, we are maintaining the same construction percentage as of previous report.</t>
  </si>
  <si>
    <t>Recommended Rates / Other charges of the Property (Commercial) have been revised on 23/10/2023 on basis of Cost sheet provided to us on mail by bank official, which is attached below</t>
  </si>
  <si>
    <t>As building have received First CC on 08/05/2015 still building is still under construction.</t>
  </si>
  <si>
    <t>Provided plans doesnot consist of Owner &amp; Architect Signature, 
We are releasing report after verbel discussion with Bank Officials about above Query.</t>
  </si>
  <si>
    <t>We have not drafted Unit No. 4, Office No. 107, 207, 307 &amp; 407 due to improper dimentions n shape of that unit.</t>
  </si>
  <si>
    <t>We are releasing report on MIDC Approved plans &amp; Combined Approval Letter.</t>
  </si>
  <si>
    <t>As the project is redevelopement project but rehab statement or rehab flats is not mentioned approved layout plan &amp; floor plan. But builder rehab tenant list is provided on mail by bank officials which is attached below</t>
  </si>
  <si>
    <t>Sammaan Capital</t>
  </si>
  <si>
    <t>SCL Kalyan</t>
  </si>
  <si>
    <t>SCL Badlapur</t>
  </si>
  <si>
    <t>SCL Vashi</t>
  </si>
  <si>
    <t>SCL Thane</t>
  </si>
  <si>
    <t>SCL Andheri</t>
  </si>
  <si>
    <t>SCL Borivali</t>
  </si>
  <si>
    <t>SCL Virar</t>
  </si>
  <si>
    <t>As per Approved Floor Plan, In C to E wing on Ground floor Shop No. 19 &amp; 20 are merged into single shop.</t>
  </si>
  <si>
    <t>Rajbai Infra</t>
  </si>
  <si>
    <t>Magnus</t>
  </si>
  <si>
    <t>Jitendra Patel -  9820981024</t>
  </si>
  <si>
    <t>Not registered on RERA</t>
  </si>
  <si>
    <t>Plot No</t>
  </si>
  <si>
    <t>B112 &amp; Sector No. 8</t>
  </si>
  <si>
    <t>Kharkopar</t>
  </si>
  <si>
    <t>Internal Road</t>
  </si>
  <si>
    <t>Kharkopar West</t>
  </si>
  <si>
    <t>Ulwe</t>
  </si>
  <si>
    <t>18.9670685,73.0100472</t>
  </si>
  <si>
    <t>https://maps.app.goo.gl/HntiiqdCt1kbZNFZ8</t>
  </si>
  <si>
    <t>Ganesh Krupa Building</t>
  </si>
  <si>
    <t>1.4 KM from Kharkopar Railway Station</t>
  </si>
  <si>
    <t>As per Site</t>
  </si>
  <si>
    <t>As per Title</t>
  </si>
  <si>
    <t>11m Internal Road</t>
  </si>
  <si>
    <t>Plot No. B111</t>
  </si>
  <si>
    <t>Plot No. B113 &amp; B114</t>
  </si>
  <si>
    <t>Ope Plot</t>
  </si>
  <si>
    <t>CIDCO/BP-18093/TPO(NM &amp; K)2022/11316</t>
  </si>
  <si>
    <t>Gr. + 1st to 7th Floor (BUA - 1171.45 sqmt)</t>
  </si>
  <si>
    <t xml:space="preserve">G + 1st to 7th Floor
</t>
  </si>
  <si>
    <t>G + 1st to 7th Floor</t>
  </si>
  <si>
    <t>As per RERA - Not registered</t>
  </si>
  <si>
    <t xml:space="preserve">Details of Residential in Building   </t>
  </si>
  <si>
    <t>Ground Floor for Entrance Lobby &amp; Parking</t>
  </si>
  <si>
    <t>1st Floor</t>
  </si>
  <si>
    <t>1BHK</t>
  </si>
  <si>
    <t>1RK</t>
  </si>
  <si>
    <t>2nd to 7th Floor</t>
  </si>
  <si>
    <t>Enclosed Balcony Area</t>
  </si>
  <si>
    <t>RERA Carpet area</t>
  </si>
  <si>
    <r>
      <t xml:space="preserve">Shop No.
</t>
    </r>
    <r>
      <rPr>
        <b/>
        <sz val="11"/>
        <rFont val="Times New Roman"/>
        <family val="1"/>
      </rPr>
      <t>(Approved Plan)</t>
    </r>
  </si>
  <si>
    <r>
      <t xml:space="preserve">Flat No.
</t>
    </r>
    <r>
      <rPr>
        <b/>
        <sz val="11"/>
        <rFont val="Times New Roman"/>
        <family val="1"/>
      </rPr>
      <t>(Approved Plan)</t>
    </r>
  </si>
  <si>
    <t>None</t>
  </si>
  <si>
    <t>Flats - 28</t>
  </si>
  <si>
    <r>
      <t xml:space="preserve">Proposed Amenities :                                                                                                                                                                                                                         </t>
    </r>
    <r>
      <rPr>
        <b/>
        <sz val="12"/>
        <rFont val="Times New Roman"/>
        <family val="1"/>
      </rPr>
      <t xml:space="preserve">                                               </t>
    </r>
  </si>
  <si>
    <t xml:space="preserve">Construction work is in process at the time of Visit.
</t>
  </si>
  <si>
    <t>We considered Gross carpet area = Net carpet + Enclose balcony.</t>
  </si>
  <si>
    <t>Flats</t>
  </si>
  <si>
    <t xml:space="preserve">As per discussion with Bank Officials, Due to plot area size less than 500sqm and therefore it is not registered on RERA Site
</t>
  </si>
  <si>
    <t xml:space="preserve">Valid upto Dated </t>
  </si>
  <si>
    <t>NAVI/WEST/B/123121/645631</t>
  </si>
  <si>
    <t>Site Elevation = 8.14M
Permissible Top Elevation = 54.5M</t>
  </si>
  <si>
    <t>Approved Plans, CC, Cost Sheet, Title Certificate, Airport Noc</t>
  </si>
  <si>
    <t>Kunal Kadam</t>
  </si>
  <si>
    <t>Mayur Ranvare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</si>
</sst>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64" formatCode="0.0"/>
    <numFmt numFmtId="165" formatCode="_(* #,##0.00_);_(* \(#,##0.00\);_(* &quot;-&quot;??_);_(@_)"/>
    <numFmt numFmtId="166" formatCode="_(* #,##0_);_(* \(#,##0\);_(* &quot;-&quot;??_);_(@_)"/>
    <numFmt numFmtId="167" formatCode="_ * #,##0_ ;_ * \-#,##0_ ;_ * &quot;-&quot;??_ ;_ @_ "/>
    <numFmt numFmtId="168" formatCode="0.000"/>
  </numFmts>
  <fonts count="29"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0"/>
      <name val="Arial"/>
      <family val="2"/>
    </font>
    <font>
      <sz val="11"/>
      <color rgb="FF000000"/>
      <name val="Calibri"/>
      <family val="2"/>
    </font>
    <font>
      <sz val="10"/>
      <color theme="1"/>
      <name val="Times New Roman"/>
      <family val="1"/>
    </font>
    <font>
      <sz val="11"/>
      <name val="Calibri"/>
      <family val="2"/>
    </font>
    <font>
      <sz val="11"/>
      <color theme="0"/>
      <name val="Calibri"/>
      <family val="2"/>
    </font>
    <font>
      <u/>
      <sz val="11"/>
      <color theme="10"/>
      <name val="Calibri"/>
      <family val="2"/>
    </font>
    <font>
      <sz val="9"/>
      <color indexed="81"/>
      <name val="Tahoma"/>
      <family val="2"/>
    </font>
    <font>
      <b/>
      <sz val="9"/>
      <color indexed="81"/>
      <name val="Tahoma"/>
      <family val="2"/>
    </font>
    <font>
      <b/>
      <sz val="11"/>
      <color rgb="FF000000"/>
      <name val="Calibri"/>
      <family val="2"/>
    </font>
    <font>
      <b/>
      <sz val="11"/>
      <name val="Times New Roman"/>
      <family val="1"/>
    </font>
  </fonts>
  <fills count="6">
    <fill>
      <patternFill patternType="none"/>
    </fill>
    <fill>
      <patternFill patternType="gray125"/>
    </fill>
    <fill>
      <patternFill patternType="solid">
        <fgColor rgb="FFFFFF0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9" tint="0.7999816888943144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11">
    <xf numFmtId="0" fontId="0" fillId="0" borderId="0"/>
    <xf numFmtId="0" fontId="3" fillId="0" borderId="0"/>
    <xf numFmtId="0" fontId="4" fillId="0" borderId="0"/>
    <xf numFmtId="0" fontId="2" fillId="0" borderId="0"/>
    <xf numFmtId="0" fontId="4" fillId="0" borderId="0"/>
    <xf numFmtId="0" fontId="1" fillId="0" borderId="0"/>
    <xf numFmtId="165" fontId="4" fillId="0" borderId="0" applyFont="0" applyFill="0" applyBorder="0" applyAlignment="0" applyProtection="0"/>
    <xf numFmtId="0" fontId="19" fillId="0" borderId="0"/>
    <xf numFmtId="9" fontId="20" fillId="0" borderId="0" applyFont="0" applyFill="0" applyBorder="0" applyAlignment="0" applyProtection="0"/>
    <xf numFmtId="43" fontId="20" fillId="0" borderId="0" applyFont="0" applyFill="0" applyBorder="0" applyAlignment="0" applyProtection="0"/>
    <xf numFmtId="0" fontId="24" fillId="0" borderId="0" applyNumberFormat="0" applyFill="0" applyBorder="0" applyAlignment="0" applyProtection="0"/>
  </cellStyleXfs>
  <cellXfs count="200">
    <xf numFmtId="0" fontId="0" fillId="0" borderId="0" xfId="0"/>
    <xf numFmtId="0" fontId="4" fillId="0" borderId="0" xfId="4"/>
    <xf numFmtId="0" fontId="1" fillId="0" borderId="0" xfId="5"/>
    <xf numFmtId="0" fontId="8" fillId="0" borderId="1" xfId="5" applyFont="1" applyBorder="1" applyAlignment="1">
      <alignment horizontal="center" vertical="top" wrapText="1"/>
    </xf>
    <xf numFmtId="0" fontId="18" fillId="0" borderId="0" xfId="4" applyFont="1"/>
    <xf numFmtId="0" fontId="1" fillId="0" borderId="1" xfId="5" applyBorder="1" applyAlignment="1">
      <alignment horizontal="center" vertical="center"/>
    </xf>
    <xf numFmtId="0" fontId="1" fillId="0" borderId="1" xfId="5" applyBorder="1" applyAlignment="1">
      <alignment horizontal="left" vertical="center"/>
    </xf>
    <xf numFmtId="1" fontId="1" fillId="0" borderId="1" xfId="5" applyNumberFormat="1" applyBorder="1" applyAlignment="1">
      <alignment horizontal="center" vertical="center"/>
    </xf>
    <xf numFmtId="166" fontId="1" fillId="0" borderId="1" xfId="6" applyNumberFormat="1" applyFont="1" applyBorder="1" applyAlignment="1">
      <alignment horizontal="right" vertical="center"/>
    </xf>
    <xf numFmtId="0" fontId="1" fillId="0" borderId="1" xfId="5" applyBorder="1" applyAlignment="1">
      <alignment horizontal="left" vertical="center" wrapText="1"/>
    </xf>
    <xf numFmtId="0" fontId="8" fillId="0" borderId="1" xfId="5" applyFont="1" applyBorder="1" applyAlignment="1">
      <alignment horizontal="center" vertical="center"/>
    </xf>
    <xf numFmtId="1" fontId="17" fillId="0" borderId="1" xfId="5" applyNumberFormat="1" applyFont="1" applyBorder="1" applyAlignment="1">
      <alignment horizontal="center" vertical="center"/>
    </xf>
    <xf numFmtId="0" fontId="4" fillId="0" borderId="1" xfId="4" applyBorder="1" applyAlignment="1">
      <alignment horizontal="center" vertical="center"/>
    </xf>
    <xf numFmtId="0" fontId="16" fillId="0" borderId="0" xfId="0" applyFont="1" applyProtection="1">
      <protection hidden="1"/>
    </xf>
    <xf numFmtId="0" fontId="16" fillId="0" borderId="11" xfId="0" applyFont="1" applyBorder="1" applyProtection="1">
      <protection hidden="1"/>
    </xf>
    <xf numFmtId="0" fontId="11" fillId="0" borderId="4" xfId="1" applyFont="1" applyBorder="1" applyAlignment="1" applyProtection="1">
      <alignment horizontal="center" vertical="top"/>
      <protection locked="0"/>
    </xf>
    <xf numFmtId="0" fontId="11" fillId="0" borderId="5" xfId="1" applyFont="1" applyBorder="1" applyAlignment="1" applyProtection="1">
      <alignment horizontal="center" vertical="top"/>
      <protection locked="0"/>
    </xf>
    <xf numFmtId="0" fontId="5" fillId="0" borderId="1" xfId="1" applyFont="1" applyBorder="1" applyAlignment="1" applyProtection="1">
      <alignment vertical="top" wrapText="1"/>
      <protection locked="0"/>
    </xf>
    <xf numFmtId="0" fontId="6" fillId="0" borderId="0" xfId="1" applyFont="1"/>
    <xf numFmtId="0" fontId="14" fillId="0" borderId="0" xfId="1" applyFont="1"/>
    <xf numFmtId="0" fontId="11" fillId="0" borderId="0" xfId="1" applyFont="1"/>
    <xf numFmtId="1" fontId="6" fillId="0" borderId="0" xfId="1" applyNumberFormat="1" applyFont="1"/>
    <xf numFmtId="14" fontId="6" fillId="0" borderId="0" xfId="1" applyNumberFormat="1" applyFont="1"/>
    <xf numFmtId="0" fontId="6" fillId="0" borderId="0" xfId="1" applyFont="1" applyProtection="1">
      <protection hidden="1"/>
    </xf>
    <xf numFmtId="0" fontId="21" fillId="0" borderId="0" xfId="1" applyFont="1"/>
    <xf numFmtId="0" fontId="6" fillId="0" borderId="10" xfId="1" applyFont="1" applyBorder="1"/>
    <xf numFmtId="0" fontId="16" fillId="0" borderId="10" xfId="0" applyFont="1" applyBorder="1" applyProtection="1">
      <protection hidden="1"/>
    </xf>
    <xf numFmtId="1" fontId="0" fillId="0" borderId="10" xfId="0" applyNumberFormat="1" applyBorder="1"/>
    <xf numFmtId="1" fontId="0" fillId="0" borderId="10" xfId="0" applyNumberFormat="1" applyBorder="1" applyAlignment="1">
      <alignment horizontal="right"/>
    </xf>
    <xf numFmtId="1" fontId="0" fillId="0" borderId="12" xfId="0" applyNumberFormat="1" applyBorder="1"/>
    <xf numFmtId="0" fontId="15" fillId="0" borderId="0" xfId="1" applyFont="1"/>
    <xf numFmtId="0" fontId="5" fillId="0" borderId="0" xfId="2" applyFont="1"/>
    <xf numFmtId="0" fontId="6" fillId="0" borderId="0" xfId="0" applyFont="1" applyAlignment="1">
      <alignment horizontal="center" vertical="center"/>
    </xf>
    <xf numFmtId="1" fontId="6" fillId="0" borderId="0" xfId="1" applyNumberFormat="1" applyFont="1" applyAlignment="1">
      <alignment horizontal="center" vertical="center"/>
    </xf>
    <xf numFmtId="0" fontId="6" fillId="0" borderId="0" xfId="1" applyFont="1" applyAlignment="1">
      <alignment horizontal="center" vertical="center"/>
    </xf>
    <xf numFmtId="0" fontId="7" fillId="0" borderId="0" xfId="1" applyFont="1" applyAlignment="1" applyProtection="1">
      <alignment vertical="top"/>
      <protection locked="0"/>
    </xf>
    <xf numFmtId="0" fontId="7" fillId="0" borderId="0" xfId="1" applyFont="1" applyAlignment="1" applyProtection="1">
      <alignment vertical="top" wrapText="1"/>
      <protection locked="0"/>
    </xf>
    <xf numFmtId="0" fontId="6" fillId="0" borderId="0" xfId="1" applyFont="1" applyProtection="1">
      <protection locked="0"/>
    </xf>
    <xf numFmtId="0" fontId="9" fillId="0" borderId="0" xfId="1" applyFont="1" applyProtection="1">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5" fillId="0" borderId="1" xfId="0" applyNumberFormat="1" applyFont="1" applyBorder="1" applyAlignment="1" applyProtection="1">
      <alignment horizontal="center" vertical="center" wrapText="1"/>
      <protection locked="0"/>
    </xf>
    <xf numFmtId="0" fontId="22" fillId="2" borderId="30" xfId="0" applyFont="1" applyFill="1" applyBorder="1"/>
    <xf numFmtId="0" fontId="23" fillId="0" borderId="31" xfId="0" applyFont="1" applyBorder="1"/>
    <xf numFmtId="0" fontId="23" fillId="0" borderId="1" xfId="0" applyFont="1" applyBorder="1"/>
    <xf numFmtId="0" fontId="23" fillId="0" borderId="5" xfId="0" applyFont="1" applyBorder="1"/>
    <xf numFmtId="0" fontId="11" fillId="0" borderId="1" xfId="1" applyFont="1" applyBorder="1" applyAlignment="1" applyProtection="1">
      <alignment horizontal="center" vertical="top"/>
      <protection locked="0"/>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center"/>
    </xf>
    <xf numFmtId="0" fontId="0" fillId="0" borderId="1" xfId="0" applyBorder="1"/>
    <xf numFmtId="0" fontId="0" fillId="0" borderId="1" xfId="0" applyBorder="1" applyAlignment="1">
      <alignment wrapText="1"/>
    </xf>
    <xf numFmtId="0" fontId="0" fillId="0" borderId="1" xfId="0" applyBorder="1" applyAlignment="1">
      <alignment horizontal="left" vertical="top" wrapText="1"/>
    </xf>
    <xf numFmtId="0" fontId="0" fillId="0" borderId="25" xfId="0" applyBorder="1"/>
    <xf numFmtId="0" fontId="0" fillId="0" borderId="8" xfId="0" applyBorder="1"/>
    <xf numFmtId="0" fontId="0" fillId="0" borderId="1" xfId="0" applyBorder="1" applyAlignment="1">
      <alignment vertical="top" wrapText="1"/>
    </xf>
    <xf numFmtId="0" fontId="0" fillId="2" borderId="1" xfId="0" applyFill="1" applyBorder="1" applyAlignment="1">
      <alignment horizontal="center" vertical="center"/>
    </xf>
    <xf numFmtId="0" fontId="0" fillId="0" borderId="2" xfId="0" applyBorder="1" applyAlignment="1">
      <alignment horizontal="center" vertical="center"/>
    </xf>
    <xf numFmtId="0" fontId="8" fillId="0" borderId="1" xfId="0" applyFont="1" applyBorder="1" applyAlignment="1">
      <alignment horizontal="center" vertical="center"/>
    </xf>
    <xf numFmtId="0" fontId="0" fillId="5" borderId="1"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0" fillId="0" borderId="1" xfId="0" applyBorder="1" applyAlignment="1">
      <alignment horizontal="left" vertical="top"/>
    </xf>
    <xf numFmtId="0" fontId="0" fillId="0" borderId="0" xfId="0" applyAlignment="1">
      <alignment horizontal="left" vertical="top"/>
    </xf>
    <xf numFmtId="0" fontId="0" fillId="0" borderId="8" xfId="0" applyBorder="1" applyAlignment="1">
      <alignment horizontal="left" vertical="top"/>
    </xf>
    <xf numFmtId="0" fontId="11" fillId="0" borderId="1" xfId="1" applyFont="1" applyBorder="1"/>
    <xf numFmtId="0" fontId="6" fillId="0" borderId="1" xfId="1" applyFont="1" applyBorder="1"/>
    <xf numFmtId="0" fontId="0" fillId="0" borderId="8" xfId="0" applyBorder="1" applyAlignment="1">
      <alignment vertical="top"/>
    </xf>
    <xf numFmtId="0" fontId="0" fillId="0" borderId="25" xfId="0" applyBorder="1" applyAlignment="1">
      <alignment horizontal="center" vertical="top"/>
    </xf>
    <xf numFmtId="168" fontId="6" fillId="0" borderId="0" xfId="1" applyNumberFormat="1" applyFont="1" applyAlignment="1">
      <alignment horizontal="center" vertical="center"/>
    </xf>
    <xf numFmtId="1" fontId="12" fillId="0" borderId="3" xfId="1" applyNumberFormat="1" applyFont="1" applyBorder="1" applyAlignment="1" applyProtection="1">
      <alignment horizontal="center" vertical="top" wrapText="1"/>
      <protection locked="0"/>
    </xf>
    <xf numFmtId="9" fontId="12" fillId="0" borderId="16" xfId="8" applyFont="1" applyFill="1" applyBorder="1" applyAlignment="1" applyProtection="1">
      <alignment horizontal="center" vertical="top" wrapText="1"/>
      <protection locked="0"/>
    </xf>
    <xf numFmtId="1" fontId="11" fillId="0" borderId="1" xfId="1" applyNumberFormat="1" applyFont="1" applyBorder="1" applyAlignment="1" applyProtection="1">
      <alignment horizontal="center" vertical="center" wrapText="1"/>
      <protection locked="0"/>
    </xf>
    <xf numFmtId="1" fontId="6" fillId="0" borderId="1" xfId="1" applyNumberFormat="1" applyFont="1" applyBorder="1" applyAlignment="1">
      <alignment horizontal="center" vertical="center"/>
    </xf>
    <xf numFmtId="0" fontId="11" fillId="0" borderId="1" xfId="1" applyFont="1" applyBorder="1" applyAlignment="1" applyProtection="1">
      <alignment horizontal="center" vertical="top" wrapText="1"/>
      <protection locked="0"/>
    </xf>
    <xf numFmtId="9" fontId="11" fillId="0" borderId="1" xfId="8" applyFont="1" applyFill="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9" fontId="11" fillId="0" borderId="7" xfId="8" applyFont="1" applyFill="1" applyBorder="1" applyAlignment="1" applyProtection="1">
      <alignment horizontal="center" vertical="top" wrapText="1"/>
      <protection locked="0"/>
    </xf>
    <xf numFmtId="0" fontId="11" fillId="0" borderId="6" xfId="1" applyFont="1" applyBorder="1" applyAlignment="1" applyProtection="1">
      <alignment horizontal="center" vertical="top" wrapText="1"/>
      <protection locked="0"/>
    </xf>
    <xf numFmtId="0" fontId="11" fillId="0" borderId="7" xfId="1" applyFont="1" applyBorder="1" applyAlignment="1" applyProtection="1">
      <alignment horizontal="center" vertical="top" wrapText="1"/>
      <protection locked="0"/>
    </xf>
    <xf numFmtId="0" fontId="11" fillId="0" borderId="4" xfId="1" applyFont="1" applyBorder="1" applyAlignment="1" applyProtection="1">
      <alignment horizontal="center" vertical="top" wrapText="1"/>
      <protection locked="0"/>
    </xf>
    <xf numFmtId="0" fontId="11" fillId="0" borderId="1" xfId="1" applyFont="1" applyBorder="1" applyAlignment="1" applyProtection="1">
      <alignment horizontal="center" vertical="top" wrapText="1"/>
      <protection locked="0"/>
    </xf>
    <xf numFmtId="0" fontId="5" fillId="0" borderId="1" xfId="1" applyFont="1" applyBorder="1" applyAlignment="1" applyProtection="1">
      <alignment horizontal="left" vertical="top" wrapText="1"/>
      <protection locked="0"/>
    </xf>
    <xf numFmtId="14" fontId="5" fillId="0" borderId="8" xfId="1" applyNumberFormat="1" applyFont="1" applyBorder="1" applyAlignment="1" applyProtection="1">
      <alignment horizontal="left" vertical="top" wrapText="1"/>
      <protection locked="0"/>
    </xf>
    <xf numFmtId="14" fontId="5" fillId="0" borderId="9" xfId="1" applyNumberFormat="1" applyFont="1" applyBorder="1" applyAlignment="1" applyProtection="1">
      <alignment horizontal="left" vertical="top" wrapText="1"/>
      <protection locked="0"/>
    </xf>
    <xf numFmtId="0" fontId="6" fillId="0" borderId="25" xfId="1" applyFont="1" applyBorder="1" applyAlignment="1">
      <alignment horizontal="center"/>
    </xf>
    <xf numFmtId="0" fontId="6" fillId="0" borderId="0" xfId="1" applyFont="1" applyAlignment="1">
      <alignment horizontal="center"/>
    </xf>
    <xf numFmtId="164" fontId="5" fillId="0" borderId="1" xfId="1" applyNumberFormat="1" applyFont="1" applyBorder="1" applyAlignment="1" applyProtection="1">
      <alignment horizontal="left" vertical="top"/>
      <protection locked="0"/>
    </xf>
    <xf numFmtId="0" fontId="5" fillId="0" borderId="1" xfId="1" applyFont="1" applyBorder="1" applyAlignment="1" applyProtection="1">
      <alignment horizontal="left" vertical="top"/>
      <protection locked="0"/>
    </xf>
    <xf numFmtId="0" fontId="5" fillId="0" borderId="8"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5" fillId="0" borderId="21" xfId="1" applyFont="1" applyBorder="1" applyAlignment="1" applyProtection="1">
      <alignment horizontal="left" vertical="top" wrapText="1"/>
      <protection locked="0"/>
    </xf>
    <xf numFmtId="0" fontId="11" fillId="0" borderId="1" xfId="1" applyFont="1" applyBorder="1" applyAlignment="1" applyProtection="1">
      <alignment horizontal="left" vertical="top" wrapText="1"/>
      <protection locked="0"/>
    </xf>
    <xf numFmtId="0" fontId="11" fillId="0" borderId="1" xfId="1" applyFont="1" applyBorder="1" applyAlignment="1" applyProtection="1">
      <alignment horizontal="left"/>
      <protection locked="0"/>
    </xf>
    <xf numFmtId="0" fontId="11" fillId="0" borderId="1" xfId="1" applyFont="1" applyBorder="1" applyAlignment="1" applyProtection="1">
      <alignment horizontal="left" vertical="top"/>
      <protection locked="0"/>
    </xf>
    <xf numFmtId="167" fontId="11" fillId="0" borderId="1" xfId="9" applyNumberFormat="1" applyFont="1" applyFill="1" applyBorder="1" applyAlignment="1" applyProtection="1">
      <alignment horizontal="left" vertical="top"/>
      <protection locked="0"/>
    </xf>
    <xf numFmtId="1" fontId="9" fillId="0" borderId="1" xfId="0" applyNumberFormat="1" applyFont="1" applyBorder="1" applyAlignment="1" applyProtection="1">
      <alignment horizontal="center" vertical="center"/>
      <protection locked="0"/>
    </xf>
    <xf numFmtId="0" fontId="12" fillId="0" borderId="1" xfId="1" applyFont="1" applyBorder="1" applyAlignment="1" applyProtection="1">
      <alignment horizontal="center" vertical="top"/>
      <protection locked="0"/>
    </xf>
    <xf numFmtId="1" fontId="11" fillId="0" borderId="8" xfId="1" applyNumberFormat="1" applyFont="1" applyBorder="1" applyAlignment="1" applyProtection="1">
      <alignment horizontal="center" vertical="center" wrapText="1"/>
      <protection locked="0"/>
    </xf>
    <xf numFmtId="1" fontId="11" fillId="0" borderId="9" xfId="1" applyNumberFormat="1" applyFont="1" applyBorder="1" applyAlignment="1" applyProtection="1">
      <alignment horizontal="center" vertical="center" wrapText="1"/>
      <protection locked="0"/>
    </xf>
    <xf numFmtId="0" fontId="7" fillId="0" borderId="8" xfId="1" applyFont="1" applyBorder="1" applyAlignment="1" applyProtection="1">
      <alignment horizontal="left" vertical="top" wrapText="1"/>
      <protection locked="0"/>
    </xf>
    <xf numFmtId="0" fontId="7" fillId="0" borderId="9" xfId="1" applyFont="1" applyBorder="1" applyAlignment="1" applyProtection="1">
      <alignment horizontal="left" vertical="top" wrapText="1"/>
      <protection locked="0"/>
    </xf>
    <xf numFmtId="0" fontId="7" fillId="0" borderId="21" xfId="1" applyFont="1" applyBorder="1" applyAlignment="1" applyProtection="1">
      <alignment horizontal="left" vertical="top" wrapText="1"/>
      <protection locked="0"/>
    </xf>
    <xf numFmtId="0" fontId="9" fillId="0" borderId="1" xfId="0" applyFont="1" applyBorder="1" applyAlignment="1" applyProtection="1">
      <alignment horizontal="center" vertical="center"/>
      <protection locked="0"/>
    </xf>
    <xf numFmtId="14" fontId="7" fillId="0" borderId="8" xfId="1" applyNumberFormat="1" applyFont="1" applyBorder="1" applyAlignment="1" applyProtection="1">
      <alignment horizontal="left" vertical="top"/>
      <protection locked="0"/>
    </xf>
    <xf numFmtId="14" fontId="7" fillId="0" borderId="9" xfId="1" applyNumberFormat="1" applyFont="1" applyBorder="1" applyAlignment="1" applyProtection="1">
      <alignment horizontal="left" vertical="top"/>
      <protection locked="0"/>
    </xf>
    <xf numFmtId="0" fontId="11" fillId="0" borderId="3" xfId="1" applyFont="1" applyBorder="1" applyAlignment="1" applyProtection="1">
      <alignment horizontal="left" vertical="top" wrapText="1"/>
      <protection locked="0"/>
    </xf>
    <xf numFmtId="0" fontId="11" fillId="0" borderId="5" xfId="1" applyFont="1" applyBorder="1" applyAlignment="1" applyProtection="1">
      <alignment horizontal="center" vertical="top" wrapText="1"/>
      <protection locked="0"/>
    </xf>
    <xf numFmtId="0" fontId="7" fillId="0" borderId="16" xfId="1" applyFont="1" applyBorder="1" applyAlignment="1" applyProtection="1">
      <alignment horizontal="center" vertical="top"/>
      <protection locked="0"/>
    </xf>
    <xf numFmtId="0" fontId="12" fillId="0" borderId="1" xfId="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7" fillId="0" borderId="1" xfId="1" applyFont="1" applyBorder="1" applyAlignment="1" applyProtection="1">
      <alignment horizontal="left" vertical="top"/>
      <protection locked="0"/>
    </xf>
    <xf numFmtId="1" fontId="7" fillId="0" borderId="1" xfId="1" applyNumberFormat="1" applyFont="1" applyBorder="1" applyAlignment="1" applyProtection="1">
      <alignment horizontal="center" vertical="center" wrapText="1"/>
      <protection locked="0"/>
    </xf>
    <xf numFmtId="1" fontId="5" fillId="0" borderId="1" xfId="0"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center" vertical="center" wrapText="1"/>
      <protection locked="0"/>
    </xf>
    <xf numFmtId="1" fontId="12" fillId="0" borderId="17" xfId="1" applyNumberFormat="1" applyFont="1" applyBorder="1" applyAlignment="1" applyProtection="1">
      <alignment horizontal="center" vertical="top" wrapText="1"/>
      <protection locked="0"/>
    </xf>
    <xf numFmtId="1" fontId="12" fillId="0" borderId="19" xfId="1" applyNumberFormat="1" applyFont="1" applyBorder="1" applyAlignment="1" applyProtection="1">
      <alignment horizontal="center" vertical="top" wrapText="1"/>
      <protection locked="0"/>
    </xf>
    <xf numFmtId="1" fontId="12" fillId="0" borderId="3" xfId="1" applyNumberFormat="1" applyFont="1" applyBorder="1" applyAlignment="1" applyProtection="1">
      <alignment horizontal="center" vertical="top" wrapText="1"/>
      <protection locked="0"/>
    </xf>
    <xf numFmtId="1" fontId="12" fillId="0" borderId="16" xfId="1" applyNumberFormat="1" applyFont="1" applyBorder="1" applyAlignment="1" applyProtection="1">
      <alignment horizontal="center" vertical="top" wrapText="1"/>
      <protection locked="0"/>
    </xf>
    <xf numFmtId="1" fontId="7" fillId="0" borderId="8" xfId="0" applyNumberFormat="1" applyFont="1" applyBorder="1" applyAlignment="1" applyProtection="1">
      <alignment vertical="top" wrapText="1"/>
      <protection locked="0"/>
    </xf>
    <xf numFmtId="1" fontId="7" fillId="0" borderId="21" xfId="0" applyNumberFormat="1" applyFont="1" applyBorder="1" applyAlignment="1" applyProtection="1">
      <alignment vertical="top" wrapText="1"/>
      <protection locked="0"/>
    </xf>
    <xf numFmtId="1" fontId="7" fillId="0" borderId="9" xfId="0" applyNumberFormat="1" applyFont="1" applyBorder="1" applyAlignment="1" applyProtection="1">
      <alignment vertical="top" wrapText="1"/>
      <protection locked="0"/>
    </xf>
    <xf numFmtId="1" fontId="12" fillId="0" borderId="8" xfId="0" applyNumberFormat="1" applyFont="1" applyBorder="1" applyAlignment="1" applyProtection="1">
      <alignment vertical="top" wrapText="1"/>
      <protection locked="0"/>
    </xf>
    <xf numFmtId="1" fontId="12" fillId="0" borderId="21" xfId="0" applyNumberFormat="1" applyFont="1" applyBorder="1" applyAlignment="1" applyProtection="1">
      <alignment vertical="top" wrapText="1"/>
      <protection locked="0"/>
    </xf>
    <xf numFmtId="1" fontId="12" fillId="0" borderId="9" xfId="0" applyNumberFormat="1" applyFont="1" applyBorder="1" applyAlignment="1" applyProtection="1">
      <alignment vertical="top" wrapText="1"/>
      <protection locked="0"/>
    </xf>
    <xf numFmtId="0" fontId="5" fillId="0" borderId="1" xfId="1" applyFont="1" applyBorder="1" applyAlignment="1" applyProtection="1">
      <alignment vertical="top"/>
      <protection locked="0"/>
    </xf>
    <xf numFmtId="1" fontId="5"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1" fontId="7" fillId="0" borderId="1" xfId="0" applyNumberFormat="1" applyFont="1" applyBorder="1" applyAlignment="1" applyProtection="1">
      <alignment horizontal="center" vertical="top" wrapText="1"/>
      <protection locked="0"/>
    </xf>
    <xf numFmtId="1" fontId="5" fillId="0" borderId="8" xfId="1" applyNumberFormat="1" applyFont="1" applyBorder="1" applyAlignment="1" applyProtection="1">
      <alignment horizontal="center" vertical="center" wrapText="1"/>
      <protection locked="0"/>
    </xf>
    <xf numFmtId="1" fontId="5" fillId="0" borderId="9" xfId="1" applyNumberFormat="1" applyFont="1" applyBorder="1" applyAlignment="1" applyProtection="1">
      <alignment horizontal="center" vertical="center" wrapText="1"/>
      <protection locked="0"/>
    </xf>
    <xf numFmtId="0" fontId="10" fillId="0" borderId="1" xfId="1" applyFont="1" applyBorder="1" applyAlignment="1" applyProtection="1">
      <alignment horizontal="center" vertical="top" wrapText="1"/>
      <protection locked="0"/>
    </xf>
    <xf numFmtId="0" fontId="7" fillId="0" borderId="1" xfId="1" applyFont="1" applyBorder="1" applyAlignment="1" applyProtection="1">
      <alignment horizontal="center" vertical="top"/>
      <protection locked="0"/>
    </xf>
    <xf numFmtId="0" fontId="12" fillId="0" borderId="1" xfId="1" applyFont="1" applyBorder="1" applyAlignment="1" applyProtection="1">
      <alignment horizontal="left" vertical="top"/>
      <protection locked="0"/>
    </xf>
    <xf numFmtId="14" fontId="11" fillId="0" borderId="1" xfId="1" applyNumberFormat="1" applyFont="1" applyBorder="1" applyAlignment="1" applyProtection="1">
      <alignment horizontal="left" vertical="top"/>
      <protection locked="0"/>
    </xf>
    <xf numFmtId="0" fontId="7" fillId="0" borderId="16" xfId="1" applyFont="1" applyBorder="1" applyAlignment="1" applyProtection="1">
      <alignment horizontal="left" vertical="top"/>
      <protection locked="0"/>
    </xf>
    <xf numFmtId="0" fontId="11" fillId="0" borderId="1" xfId="1" applyFont="1" applyBorder="1" applyAlignment="1" applyProtection="1">
      <alignment horizontal="center"/>
      <protection locked="0"/>
    </xf>
    <xf numFmtId="0" fontId="12" fillId="0" borderId="1" xfId="1" applyFont="1" applyBorder="1" applyAlignment="1" applyProtection="1">
      <alignment horizontal="center"/>
      <protection locked="0"/>
    </xf>
    <xf numFmtId="0" fontId="11" fillId="0" borderId="17" xfId="1" applyFont="1" applyBorder="1" applyAlignment="1" applyProtection="1">
      <alignment horizontal="left" vertical="top" wrapText="1"/>
      <protection locked="0"/>
    </xf>
    <xf numFmtId="0" fontId="11" fillId="0" borderId="24" xfId="1" applyFont="1" applyBorder="1" applyAlignment="1" applyProtection="1">
      <alignment horizontal="left" vertical="top" wrapText="1"/>
      <protection locked="0"/>
    </xf>
    <xf numFmtId="0" fontId="12" fillId="0" borderId="4" xfId="1" applyFont="1" applyBorder="1" applyAlignment="1" applyProtection="1">
      <alignment horizontal="left" vertical="top"/>
      <protection locked="0"/>
    </xf>
    <xf numFmtId="0" fontId="12" fillId="0" borderId="22" xfId="1" applyFont="1" applyBorder="1" applyAlignment="1" applyProtection="1">
      <alignment horizontal="left" vertical="top" wrapText="1"/>
      <protection locked="0"/>
    </xf>
    <xf numFmtId="0" fontId="12" fillId="0" borderId="15" xfId="1" applyFont="1" applyBorder="1" applyAlignment="1" applyProtection="1">
      <alignment horizontal="left" vertical="top" wrapText="1"/>
      <protection locked="0"/>
    </xf>
    <xf numFmtId="0" fontId="12" fillId="0" borderId="13" xfId="1" applyFont="1" applyBorder="1" applyAlignment="1" applyProtection="1">
      <alignment horizontal="left" vertical="top" wrapText="1"/>
      <protection locked="0"/>
    </xf>
    <xf numFmtId="0" fontId="12" fillId="0" borderId="14" xfId="1" applyFont="1" applyBorder="1" applyAlignment="1" applyProtection="1">
      <alignment horizontal="left" vertical="top" wrapText="1"/>
      <protection locked="0"/>
    </xf>
    <xf numFmtId="0" fontId="12" fillId="0" borderId="23" xfId="1" applyFont="1" applyBorder="1" applyAlignment="1" applyProtection="1">
      <alignment horizontal="left" vertical="top" wrapText="1"/>
      <protection locked="0"/>
    </xf>
    <xf numFmtId="0" fontId="12" fillId="0" borderId="1" xfId="1" applyFont="1" applyBorder="1" applyAlignment="1" applyProtection="1">
      <alignment horizontal="left" vertical="top" wrapText="1"/>
      <protection locked="0"/>
    </xf>
    <xf numFmtId="0" fontId="12" fillId="0" borderId="5" xfId="1" applyFont="1" applyBorder="1" applyAlignment="1" applyProtection="1">
      <alignment horizontal="left" vertical="top" wrapText="1"/>
      <protection locked="0"/>
    </xf>
    <xf numFmtId="0" fontId="5" fillId="0" borderId="3" xfId="1" applyFont="1" applyBorder="1" applyAlignment="1" applyProtection="1">
      <alignment horizontal="left" vertical="top" wrapText="1"/>
      <protection locked="0"/>
    </xf>
    <xf numFmtId="0" fontId="5" fillId="0" borderId="3" xfId="1" applyFont="1" applyBorder="1" applyAlignment="1" applyProtection="1">
      <alignment horizontal="left" vertical="top"/>
      <protection locked="0"/>
    </xf>
    <xf numFmtId="2" fontId="5" fillId="0" borderId="1" xfId="1" applyNumberFormat="1" applyFont="1" applyBorder="1" applyAlignment="1" applyProtection="1">
      <alignment horizontal="left" vertical="top" wrapText="1"/>
      <protection locked="0"/>
    </xf>
    <xf numFmtId="0" fontId="11" fillId="0" borderId="16" xfId="1" applyFont="1" applyBorder="1" applyAlignment="1" applyProtection="1">
      <alignment horizontal="left" vertical="top" wrapText="1"/>
      <protection locked="0"/>
    </xf>
    <xf numFmtId="0" fontId="11" fillId="0" borderId="18" xfId="1" applyFont="1" applyBorder="1" applyAlignment="1" applyProtection="1">
      <alignment horizontal="left" vertical="top" wrapText="1"/>
      <protection locked="0"/>
    </xf>
    <xf numFmtId="0" fontId="11" fillId="0" borderId="19" xfId="1" applyFont="1" applyBorder="1" applyAlignment="1" applyProtection="1">
      <alignment horizontal="left" vertical="top" wrapText="1"/>
      <protection locked="0"/>
    </xf>
    <xf numFmtId="0" fontId="11" fillId="0" borderId="20" xfId="1" applyFont="1" applyBorder="1" applyAlignment="1" applyProtection="1">
      <alignment horizontal="left" vertical="top" wrapText="1"/>
      <protection locked="0"/>
    </xf>
    <xf numFmtId="0" fontId="5" fillId="0" borderId="17" xfId="1" applyFont="1" applyBorder="1" applyAlignment="1" applyProtection="1">
      <alignment horizontal="left" vertical="top" wrapText="1"/>
      <protection locked="0"/>
    </xf>
    <xf numFmtId="0" fontId="5" fillId="0" borderId="18" xfId="1" applyFont="1" applyBorder="1" applyAlignment="1" applyProtection="1">
      <alignment horizontal="left" vertical="top" wrapText="1"/>
      <protection locked="0"/>
    </xf>
    <xf numFmtId="0" fontId="5" fillId="0" borderId="19" xfId="1" applyFont="1" applyBorder="1" applyAlignment="1" applyProtection="1">
      <alignment horizontal="left" vertical="top" wrapText="1"/>
      <protection locked="0"/>
    </xf>
    <xf numFmtId="0" fontId="5" fillId="0" borderId="20" xfId="1" applyFont="1" applyBorder="1" applyAlignment="1" applyProtection="1">
      <alignment horizontal="left" vertical="top" wrapText="1"/>
      <protection locked="0"/>
    </xf>
    <xf numFmtId="1" fontId="11" fillId="0" borderId="1" xfId="1" applyNumberFormat="1" applyFont="1" applyBorder="1" applyAlignment="1" applyProtection="1">
      <alignment horizontal="left" vertical="top" wrapText="1"/>
      <protection locked="0"/>
    </xf>
    <xf numFmtId="0" fontId="11" fillId="0" borderId="8" xfId="1" applyFont="1" applyBorder="1" applyAlignment="1" applyProtection="1">
      <alignment horizontal="left" vertical="top" wrapText="1"/>
      <protection locked="0"/>
    </xf>
    <xf numFmtId="0" fontId="11" fillId="0" borderId="9" xfId="1" applyFont="1" applyBorder="1" applyAlignment="1" applyProtection="1">
      <alignment horizontal="left" vertical="top" wrapText="1"/>
      <protection locked="0"/>
    </xf>
    <xf numFmtId="164" fontId="11" fillId="0" borderId="1" xfId="1" applyNumberFormat="1" applyFont="1" applyBorder="1" applyAlignment="1" applyProtection="1">
      <alignment horizontal="left" vertical="top"/>
      <protection locked="0"/>
    </xf>
    <xf numFmtId="2" fontId="11" fillId="0" borderId="1" xfId="1" applyNumberFormat="1" applyFont="1" applyBorder="1" applyAlignment="1" applyProtection="1">
      <alignment horizontal="left" vertical="top"/>
      <protection locked="0"/>
    </xf>
    <xf numFmtId="0" fontId="11" fillId="0" borderId="3" xfId="1" applyFont="1" applyBorder="1" applyAlignment="1" applyProtection="1">
      <alignment horizontal="left" vertical="top"/>
      <protection locked="0"/>
    </xf>
    <xf numFmtId="0" fontId="12" fillId="0" borderId="8" xfId="1" applyFont="1" applyBorder="1" applyAlignment="1" applyProtection="1">
      <alignment horizontal="left" vertical="top"/>
      <protection locked="0"/>
    </xf>
    <xf numFmtId="0" fontId="12" fillId="0" borderId="21" xfId="1" applyFont="1" applyBorder="1" applyAlignment="1" applyProtection="1">
      <alignment horizontal="left" vertical="top"/>
      <protection locked="0"/>
    </xf>
    <xf numFmtId="0" fontId="12" fillId="0" borderId="9" xfId="1" applyFont="1" applyBorder="1" applyAlignment="1" applyProtection="1">
      <alignment horizontal="left" vertical="top"/>
      <protection locked="0"/>
    </xf>
    <xf numFmtId="1" fontId="6" fillId="0" borderId="1" xfId="0" applyNumberFormat="1" applyFont="1" applyBorder="1" applyAlignment="1" applyProtection="1">
      <alignment horizontal="center" vertical="center"/>
      <protection locked="0"/>
    </xf>
    <xf numFmtId="1" fontId="28" fillId="0" borderId="3" xfId="1" applyNumberFormat="1" applyFont="1" applyBorder="1" applyAlignment="1" applyProtection="1">
      <alignment horizontal="center" vertical="top" wrapText="1"/>
      <protection locked="0"/>
    </xf>
    <xf numFmtId="1" fontId="28" fillId="0" borderId="16" xfId="1" applyNumberFormat="1" applyFont="1" applyBorder="1" applyAlignment="1" applyProtection="1">
      <alignment horizontal="center" vertical="top" wrapText="1"/>
      <protection locked="0"/>
    </xf>
    <xf numFmtId="1" fontId="12" fillId="0" borderId="8" xfId="1" applyNumberFormat="1" applyFont="1" applyBorder="1" applyAlignment="1" applyProtection="1">
      <alignment horizontal="center" vertical="center" wrapText="1"/>
      <protection locked="0"/>
    </xf>
    <xf numFmtId="1" fontId="12" fillId="0" borderId="21" xfId="1" applyNumberFormat="1" applyFont="1" applyBorder="1" applyAlignment="1" applyProtection="1">
      <alignment horizontal="center" vertical="center" wrapText="1"/>
      <protection locked="0"/>
    </xf>
    <xf numFmtId="1" fontId="12" fillId="0" borderId="9" xfId="1" applyNumberFormat="1" applyFont="1" applyBorder="1" applyAlignment="1" applyProtection="1">
      <alignment horizontal="center" vertical="center" wrapText="1"/>
      <protection locked="0"/>
    </xf>
    <xf numFmtId="1" fontId="11" fillId="0" borderId="21" xfId="1"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top" wrapText="1"/>
      <protection locked="0"/>
    </xf>
    <xf numFmtId="0" fontId="6" fillId="0" borderId="0" xfId="1" applyFont="1" applyAlignment="1">
      <alignment horizontal="center" vertical="center"/>
    </xf>
    <xf numFmtId="1" fontId="7" fillId="0" borderId="8"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9" xfId="1" applyNumberFormat="1" applyFont="1" applyBorder="1" applyAlignment="1" applyProtection="1">
      <alignment horizontal="center" vertical="center" wrapText="1"/>
      <protection locked="0"/>
    </xf>
    <xf numFmtId="1" fontId="7" fillId="0" borderId="1" xfId="0" applyNumberFormat="1" applyFont="1" applyBorder="1" applyAlignment="1" applyProtection="1">
      <alignment horizontal="left" vertical="top" wrapText="1"/>
      <protection locked="0"/>
    </xf>
    <xf numFmtId="9" fontId="11" fillId="0" borderId="17" xfId="8" applyFont="1" applyFill="1" applyBorder="1" applyAlignment="1" applyProtection="1">
      <alignment horizontal="center" vertical="center" wrapText="1"/>
      <protection locked="0"/>
    </xf>
    <xf numFmtId="9" fontId="11" fillId="0" borderId="18" xfId="8" applyFont="1" applyFill="1" applyBorder="1" applyAlignment="1" applyProtection="1">
      <alignment horizontal="center" vertical="center" wrapText="1"/>
      <protection locked="0"/>
    </xf>
    <xf numFmtId="9" fontId="11" fillId="0" borderId="25" xfId="8" applyFont="1" applyFill="1" applyBorder="1" applyAlignment="1" applyProtection="1">
      <alignment horizontal="center" vertical="center" wrapText="1"/>
      <protection locked="0"/>
    </xf>
    <xf numFmtId="9" fontId="11" fillId="0" borderId="26" xfId="8" applyFont="1" applyFill="1" applyBorder="1" applyAlignment="1" applyProtection="1">
      <alignment horizontal="center" vertical="center" wrapText="1"/>
      <protection locked="0"/>
    </xf>
    <xf numFmtId="9" fontId="11" fillId="0" borderId="28" xfId="8" applyFont="1" applyFill="1" applyBorder="1" applyAlignment="1" applyProtection="1">
      <alignment horizontal="center" vertical="center" wrapText="1"/>
      <protection locked="0"/>
    </xf>
    <xf numFmtId="9" fontId="11" fillId="0" borderId="29" xfId="8" applyFont="1" applyFill="1" applyBorder="1" applyAlignment="1" applyProtection="1">
      <alignment horizontal="center" vertical="center" wrapText="1"/>
      <protection locked="0"/>
    </xf>
    <xf numFmtId="9" fontId="11" fillId="0" borderId="27" xfId="8" applyFont="1" applyFill="1" applyBorder="1" applyAlignment="1" applyProtection="1">
      <alignment horizontal="center" vertical="center" wrapText="1"/>
      <protection locked="0"/>
    </xf>
    <xf numFmtId="9" fontId="11" fillId="0" borderId="10" xfId="8" applyFont="1" applyFill="1" applyBorder="1" applyAlignment="1" applyProtection="1">
      <alignment horizontal="center" vertical="center" wrapText="1"/>
      <protection locked="0"/>
    </xf>
    <xf numFmtId="9" fontId="11" fillId="0" borderId="12" xfId="8" applyFont="1" applyFill="1" applyBorder="1" applyAlignment="1" applyProtection="1">
      <alignment horizontal="center" vertical="center" wrapText="1"/>
      <protection locked="0"/>
    </xf>
    <xf numFmtId="0" fontId="12" fillId="0" borderId="8" xfId="1" applyFont="1" applyBorder="1" applyAlignment="1" applyProtection="1">
      <alignment horizontal="center" vertical="top"/>
      <protection locked="0"/>
    </xf>
    <xf numFmtId="0" fontId="12" fillId="0" borderId="21" xfId="1" applyFont="1" applyBorder="1" applyAlignment="1" applyProtection="1">
      <alignment horizontal="center" vertical="top"/>
      <protection locked="0"/>
    </xf>
    <xf numFmtId="0" fontId="11" fillId="0" borderId="1" xfId="1" applyFont="1" applyBorder="1" applyAlignment="1" applyProtection="1">
      <alignment horizontal="center" vertical="top"/>
      <protection locked="0"/>
    </xf>
    <xf numFmtId="0" fontId="24" fillId="0" borderId="1" xfId="10" applyFill="1" applyBorder="1" applyAlignment="1" applyProtection="1">
      <alignment horizontal="left" vertical="top" wrapText="1"/>
      <protection locked="0"/>
    </xf>
    <xf numFmtId="0" fontId="8" fillId="0" borderId="1" xfId="5" applyFont="1" applyBorder="1" applyAlignment="1">
      <alignment horizontal="left"/>
    </xf>
    <xf numFmtId="0" fontId="0" fillId="2" borderId="1" xfId="0" applyFill="1" applyBorder="1" applyAlignment="1">
      <alignment horizontal="center" vertical="center" wrapText="1"/>
    </xf>
    <xf numFmtId="0" fontId="8" fillId="4" borderId="1" xfId="0" applyFont="1" applyFill="1" applyBorder="1" applyAlignment="1">
      <alignment horizontal="center" vertical="center"/>
    </xf>
    <xf numFmtId="0" fontId="8" fillId="3" borderId="1" xfId="0" applyFont="1" applyFill="1" applyBorder="1" applyAlignment="1">
      <alignment horizontal="center" vertical="center"/>
    </xf>
    <xf numFmtId="0" fontId="8" fillId="5" borderId="1" xfId="0" applyFont="1" applyFill="1" applyBorder="1" applyAlignment="1">
      <alignment horizontal="center" vertical="center"/>
    </xf>
  </cellXfs>
  <cellStyles count="11">
    <cellStyle name="Comma" xfId="9" builtinId="3"/>
    <cellStyle name="Comma 2" xfId="6" xr:uid="{00000000-0005-0000-0000-000001000000}"/>
    <cellStyle name="Excel Built-in Normal" xfId="2" xr:uid="{00000000-0005-0000-0000-000002000000}"/>
    <cellStyle name="Excel Built-in Normal 2" xfId="4" xr:uid="{00000000-0005-0000-0000-000003000000}"/>
    <cellStyle name="Hyperlink" xfId="10" builtinId="8"/>
    <cellStyle name="Normal" xfId="0" builtinId="0"/>
    <cellStyle name="Normal 2" xfId="3" xr:uid="{00000000-0005-0000-0000-000006000000}"/>
    <cellStyle name="Normal 3" xfId="1" xr:uid="{00000000-0005-0000-0000-000007000000}"/>
    <cellStyle name="Normal 3 3" xfId="7" xr:uid="{00000000-0005-0000-0000-000008000000}"/>
    <cellStyle name="Normal 4"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13" Type="http://schemas.openxmlformats.org/officeDocument/2006/relationships/image" Target="../media/image13.jpeg"/><Relationship Id="rId18" Type="http://schemas.openxmlformats.org/officeDocument/2006/relationships/image" Target="../media/image18.jpg"/><Relationship Id="rId3" Type="http://schemas.openxmlformats.org/officeDocument/2006/relationships/image" Target="../media/image3.png"/><Relationship Id="rId21" Type="http://schemas.openxmlformats.org/officeDocument/2006/relationships/image" Target="../media/image21.jpg"/><Relationship Id="rId7" Type="http://schemas.openxmlformats.org/officeDocument/2006/relationships/image" Target="../media/image7.jpeg"/><Relationship Id="rId12" Type="http://schemas.openxmlformats.org/officeDocument/2006/relationships/image" Target="../media/image12.jpeg"/><Relationship Id="rId17" Type="http://schemas.openxmlformats.org/officeDocument/2006/relationships/image" Target="../media/image17.jpg"/><Relationship Id="rId2" Type="http://schemas.openxmlformats.org/officeDocument/2006/relationships/image" Target="../media/image2.png"/><Relationship Id="rId16" Type="http://schemas.openxmlformats.org/officeDocument/2006/relationships/image" Target="../media/image16.jpeg"/><Relationship Id="rId20" Type="http://schemas.openxmlformats.org/officeDocument/2006/relationships/image" Target="../media/image20.jp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jpeg"/><Relationship Id="rId24" Type="http://schemas.openxmlformats.org/officeDocument/2006/relationships/image" Target="../media/image24.jpg"/><Relationship Id="rId5" Type="http://schemas.openxmlformats.org/officeDocument/2006/relationships/image" Target="../media/image5.png"/><Relationship Id="rId15" Type="http://schemas.openxmlformats.org/officeDocument/2006/relationships/image" Target="../media/image15.jpeg"/><Relationship Id="rId23" Type="http://schemas.openxmlformats.org/officeDocument/2006/relationships/image" Target="../media/image23.jpg"/><Relationship Id="rId10" Type="http://schemas.openxmlformats.org/officeDocument/2006/relationships/image" Target="../media/image10.jpeg"/><Relationship Id="rId19" Type="http://schemas.openxmlformats.org/officeDocument/2006/relationships/image" Target="../media/image19.jpg"/><Relationship Id="rId4" Type="http://schemas.openxmlformats.org/officeDocument/2006/relationships/image" Target="../media/image4.pn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g"/></Relationships>
</file>

<file path=xl/drawings/_rels/drawing2.xml.rels><?xml version="1.0" encoding="UTF-8" standalone="yes"?>
<Relationships xmlns="http://schemas.openxmlformats.org/package/2006/relationships"><Relationship Id="rId1" Type="http://schemas.openxmlformats.org/officeDocument/2006/relationships/image" Target="../media/image27.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drawing1.xml><?xml version="1.0" encoding="utf-8"?>
<xdr:wsDr xmlns:xdr="http://schemas.openxmlformats.org/drawingml/2006/spreadsheetDrawing" xmlns:a="http://schemas.openxmlformats.org/drawingml/2006/main">
  <xdr:twoCellAnchor>
    <xdr:from>
      <xdr:col>4</xdr:col>
      <xdr:colOff>257175</xdr:colOff>
      <xdr:row>261</xdr:row>
      <xdr:rowOff>114300</xdr:rowOff>
    </xdr:from>
    <xdr:to>
      <xdr:col>4</xdr:col>
      <xdr:colOff>266700</xdr:colOff>
      <xdr:row>262</xdr:row>
      <xdr:rowOff>19050</xdr:rowOff>
    </xdr:to>
    <xdr:sp macro="" textlink="">
      <xdr:nvSpPr>
        <xdr:cNvPr id="4" name="Freeform 3">
          <a:extLst>
            <a:ext uri="{FF2B5EF4-FFF2-40B4-BE49-F238E27FC236}">
              <a16:creationId xmlns:a16="http://schemas.microsoft.com/office/drawing/2014/main" id="{00000000-0008-0000-0000-000004000000}"/>
            </a:ext>
          </a:extLst>
        </xdr:cNvPr>
        <xdr:cNvSpPr/>
      </xdr:nvSpPr>
      <xdr:spPr>
        <a:xfrm>
          <a:off x="3581400" y="72790050"/>
          <a:ext cx="9525" cy="104775"/>
        </a:xfrm>
        <a:custGeom>
          <a:avLst/>
          <a:gdLst>
            <a:gd name="connsiteX0" fmla="*/ 0 w 9525"/>
            <a:gd name="connsiteY0" fmla="*/ 0 h 104775"/>
            <a:gd name="connsiteX1" fmla="*/ 9525 w 9525"/>
            <a:gd name="connsiteY1" fmla="*/ 104775 h 104775"/>
          </a:gdLst>
          <a:ahLst/>
          <a:cxnLst>
            <a:cxn ang="0">
              <a:pos x="connsiteX0" y="connsiteY0"/>
            </a:cxn>
            <a:cxn ang="0">
              <a:pos x="connsiteX1" y="connsiteY1"/>
            </a:cxn>
          </a:cxnLst>
          <a:rect l="l" t="t" r="r" b="b"/>
          <a:pathLst>
            <a:path w="9525" h="104775">
              <a:moveTo>
                <a:pt x="0" y="0"/>
              </a:moveTo>
              <a:lnTo>
                <a:pt x="9525" y="104775"/>
              </a:lnTo>
            </a:path>
          </a:pathLst>
        </a:cu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4</xdr:col>
      <xdr:colOff>295275</xdr:colOff>
      <xdr:row>261</xdr:row>
      <xdr:rowOff>161925</xdr:rowOff>
    </xdr:from>
    <xdr:to>
      <xdr:col>4</xdr:col>
      <xdr:colOff>304800</xdr:colOff>
      <xdr:row>261</xdr:row>
      <xdr:rowOff>171450</xdr:rowOff>
    </xdr:to>
    <xdr:cxnSp macro="">
      <xdr:nvCxnSpPr>
        <xdr:cNvPr id="7" name="Straight Connector 6">
          <a:extLst>
            <a:ext uri="{FF2B5EF4-FFF2-40B4-BE49-F238E27FC236}">
              <a16:creationId xmlns:a16="http://schemas.microsoft.com/office/drawing/2014/main" id="{00000000-0008-0000-0000-000007000000}"/>
            </a:ext>
          </a:extLst>
        </xdr:cNvPr>
        <xdr:cNvCxnSpPr/>
      </xdr:nvCxnSpPr>
      <xdr:spPr>
        <a:xfrm flipV="1">
          <a:off x="3619500" y="72837675"/>
          <a:ext cx="9525" cy="9525"/>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323850</xdr:colOff>
      <xdr:row>228</xdr:row>
      <xdr:rowOff>0</xdr:rowOff>
    </xdr:from>
    <xdr:to>
      <xdr:col>7</xdr:col>
      <xdr:colOff>376347</xdr:colOff>
      <xdr:row>266</xdr:row>
      <xdr:rowOff>191490</xdr:rowOff>
    </xdr:to>
    <xdr:grpSp>
      <xdr:nvGrpSpPr>
        <xdr:cNvPr id="13" name="Group 12">
          <a:extLst>
            <a:ext uri="{FF2B5EF4-FFF2-40B4-BE49-F238E27FC236}">
              <a16:creationId xmlns:a16="http://schemas.microsoft.com/office/drawing/2014/main" id="{00000000-0008-0000-0000-00000D000000}"/>
            </a:ext>
          </a:extLst>
        </xdr:cNvPr>
        <xdr:cNvGrpSpPr/>
      </xdr:nvGrpSpPr>
      <xdr:grpSpPr>
        <a:xfrm>
          <a:off x="323850" y="45697140"/>
          <a:ext cx="5782737" cy="7720050"/>
          <a:chOff x="323850" y="66074925"/>
          <a:chExt cx="5634147" cy="7792440"/>
        </a:xfrm>
      </xdr:grpSpPr>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420311" y="66074925"/>
            <a:ext cx="5441223" cy="3960000"/>
          </a:xfrm>
          <a:prstGeom prst="rect">
            <a:avLst/>
          </a:prstGeom>
          <a:ln>
            <a:solidFill>
              <a:schemeClr val="tx1"/>
            </a:solidFill>
          </a:ln>
        </xdr:spPr>
      </xdr:pic>
      <xdr:grpSp>
        <xdr:nvGrpSpPr>
          <xdr:cNvPr id="12" name="Group 11">
            <a:extLst>
              <a:ext uri="{FF2B5EF4-FFF2-40B4-BE49-F238E27FC236}">
                <a16:creationId xmlns:a16="http://schemas.microsoft.com/office/drawing/2014/main" id="{00000000-0008-0000-0000-00000C000000}"/>
              </a:ext>
            </a:extLst>
          </xdr:cNvPr>
          <xdr:cNvGrpSpPr/>
        </xdr:nvGrpSpPr>
        <xdr:grpSpPr>
          <a:xfrm>
            <a:off x="323850" y="70267365"/>
            <a:ext cx="5634147" cy="3600000"/>
            <a:chOff x="323850" y="70267365"/>
            <a:chExt cx="5634147" cy="3600000"/>
          </a:xfrm>
        </xdr:grpSpPr>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323850" y="70267365"/>
              <a:ext cx="5634147" cy="3600000"/>
            </a:xfrm>
            <a:prstGeom prst="rect">
              <a:avLst/>
            </a:prstGeom>
            <a:ln>
              <a:solidFill>
                <a:schemeClr val="tx1"/>
              </a:solidFill>
            </a:ln>
          </xdr:spPr>
        </xdr:pic>
        <xdr:sp macro="" textlink="">
          <xdr:nvSpPr>
            <xdr:cNvPr id="9" name="Freeform 8">
              <a:extLst>
                <a:ext uri="{FF2B5EF4-FFF2-40B4-BE49-F238E27FC236}">
                  <a16:creationId xmlns:a16="http://schemas.microsoft.com/office/drawing/2014/main" id="{00000000-0008-0000-0000-000009000000}"/>
                </a:ext>
              </a:extLst>
            </xdr:cNvPr>
            <xdr:cNvSpPr/>
          </xdr:nvSpPr>
          <xdr:spPr>
            <a:xfrm>
              <a:off x="2876550" y="71513700"/>
              <a:ext cx="1219200" cy="1400175"/>
            </a:xfrm>
            <a:custGeom>
              <a:avLst/>
              <a:gdLst>
                <a:gd name="connsiteX0" fmla="*/ 695325 w 1219200"/>
                <a:gd name="connsiteY0" fmla="*/ 1400175 h 1400175"/>
                <a:gd name="connsiteX1" fmla="*/ 466725 w 1219200"/>
                <a:gd name="connsiteY1" fmla="*/ 381000 h 1400175"/>
                <a:gd name="connsiteX2" fmla="*/ 95250 w 1219200"/>
                <a:gd name="connsiteY2" fmla="*/ 409575 h 1400175"/>
                <a:gd name="connsiteX3" fmla="*/ 0 w 1219200"/>
                <a:gd name="connsiteY3" fmla="*/ 0 h 1400175"/>
                <a:gd name="connsiteX4" fmla="*/ 581025 w 1219200"/>
                <a:gd name="connsiteY4" fmla="*/ 19050 h 1400175"/>
                <a:gd name="connsiteX5" fmla="*/ 1219200 w 1219200"/>
                <a:gd name="connsiteY5" fmla="*/ 457200 h 1400175"/>
                <a:gd name="connsiteX6" fmla="*/ 1190625 w 1219200"/>
                <a:gd name="connsiteY6" fmla="*/ 771525 h 1400175"/>
                <a:gd name="connsiteX7" fmla="*/ 695325 w 1219200"/>
                <a:gd name="connsiteY7" fmla="*/ 1400175 h 140017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Lst>
              <a:rect l="l" t="t" r="r" b="b"/>
              <a:pathLst>
                <a:path w="1219200" h="1400175">
                  <a:moveTo>
                    <a:pt x="695325" y="1400175"/>
                  </a:moveTo>
                  <a:lnTo>
                    <a:pt x="466725" y="381000"/>
                  </a:lnTo>
                  <a:lnTo>
                    <a:pt x="95250" y="409575"/>
                  </a:lnTo>
                  <a:lnTo>
                    <a:pt x="0" y="0"/>
                  </a:lnTo>
                  <a:lnTo>
                    <a:pt x="581025" y="19050"/>
                  </a:lnTo>
                  <a:lnTo>
                    <a:pt x="1219200" y="457200"/>
                  </a:lnTo>
                  <a:lnTo>
                    <a:pt x="1190625" y="771525"/>
                  </a:lnTo>
                  <a:lnTo>
                    <a:pt x="695325" y="1400175"/>
                  </a:lnTo>
                  <a:close/>
                </a:path>
              </a:pathLst>
            </a:custGeom>
            <a:noFill/>
            <a:ln w="38100">
              <a:solidFill>
                <a:srgbClr val="FFFF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grpSp>
    </xdr:grpSp>
    <xdr:clientData/>
  </xdr:twoCellAnchor>
  <xdr:twoCellAnchor>
    <xdr:from>
      <xdr:col>0</xdr:col>
      <xdr:colOff>706755</xdr:colOff>
      <xdr:row>185</xdr:row>
      <xdr:rowOff>160020</xdr:rowOff>
    </xdr:from>
    <xdr:to>
      <xdr:col>7</xdr:col>
      <xdr:colOff>114300</xdr:colOff>
      <xdr:row>222</xdr:row>
      <xdr:rowOff>135451</xdr:rowOff>
    </xdr:to>
    <xdr:grpSp>
      <xdr:nvGrpSpPr>
        <xdr:cNvPr id="22" name="Group 21">
          <a:extLst>
            <a:ext uri="{FF2B5EF4-FFF2-40B4-BE49-F238E27FC236}">
              <a16:creationId xmlns:a16="http://schemas.microsoft.com/office/drawing/2014/main" id="{00000000-0008-0000-0000-000016000000}"/>
            </a:ext>
          </a:extLst>
        </xdr:cNvPr>
        <xdr:cNvGrpSpPr/>
      </xdr:nvGrpSpPr>
      <xdr:grpSpPr>
        <a:xfrm>
          <a:off x="706755" y="37338000"/>
          <a:ext cx="5137785" cy="7305871"/>
          <a:chOff x="485775" y="57340500"/>
          <a:chExt cx="5332501" cy="8109781"/>
        </a:xfrm>
      </xdr:grpSpPr>
      <xdr:grpSp>
        <xdr:nvGrpSpPr>
          <xdr:cNvPr id="18" name="Group 17">
            <a:extLst>
              <a:ext uri="{FF2B5EF4-FFF2-40B4-BE49-F238E27FC236}">
                <a16:creationId xmlns:a16="http://schemas.microsoft.com/office/drawing/2014/main" id="{00000000-0008-0000-0000-000012000000}"/>
              </a:ext>
            </a:extLst>
          </xdr:cNvPr>
          <xdr:cNvGrpSpPr/>
        </xdr:nvGrpSpPr>
        <xdr:grpSpPr>
          <a:xfrm>
            <a:off x="1219509" y="61850281"/>
            <a:ext cx="3865032" cy="3600000"/>
            <a:chOff x="1219509" y="61850281"/>
            <a:chExt cx="3865032" cy="3600000"/>
          </a:xfrm>
        </xdr:grpSpPr>
        <xdr:pic>
          <xdr:nvPicPr>
            <xdr:cNvPr id="11" name="Picture 10">
              <a:extLst>
                <a:ext uri="{FF2B5EF4-FFF2-40B4-BE49-F238E27FC236}">
                  <a16:creationId xmlns:a16="http://schemas.microsoft.com/office/drawing/2014/main" id="{00000000-0008-0000-0000-00000B000000}"/>
                </a:ext>
              </a:extLst>
            </xdr:cNvPr>
            <xdr:cNvPicPr>
              <a:picLocks noChangeAspect="1"/>
            </xdr:cNvPicPr>
          </xdr:nvPicPr>
          <xdr:blipFill rotWithShape="1">
            <a:blip xmlns:r="http://schemas.openxmlformats.org/officeDocument/2006/relationships" r:embed="rId3" cstate="screen">
              <a:extLst>
                <a:ext uri="{28A0092B-C50C-407E-A947-70E740481C1C}">
                  <a14:useLocalDpi xmlns:a14="http://schemas.microsoft.com/office/drawing/2010/main"/>
                </a:ext>
              </a:extLst>
            </a:blip>
            <a:srcRect/>
            <a:stretch/>
          </xdr:blipFill>
          <xdr:spPr>
            <a:xfrm>
              <a:off x="1219509" y="61850281"/>
              <a:ext cx="3865032" cy="3600000"/>
            </a:xfrm>
            <a:prstGeom prst="rect">
              <a:avLst/>
            </a:prstGeom>
            <a:ln>
              <a:solidFill>
                <a:schemeClr val="tx1"/>
              </a:solidFill>
            </a:ln>
          </xdr:spPr>
        </xdr:pic>
        <xdr:cxnSp macro="">
          <xdr:nvCxnSpPr>
            <xdr:cNvPr id="16" name="Straight Arrow Connector 15">
              <a:extLst>
                <a:ext uri="{FF2B5EF4-FFF2-40B4-BE49-F238E27FC236}">
                  <a16:creationId xmlns:a16="http://schemas.microsoft.com/office/drawing/2014/main" id="{00000000-0008-0000-0000-000010000000}"/>
                </a:ext>
              </a:extLst>
            </xdr:cNvPr>
            <xdr:cNvCxnSpPr/>
          </xdr:nvCxnSpPr>
          <xdr:spPr>
            <a:xfrm>
              <a:off x="4905375" y="62865000"/>
              <a:ext cx="0" cy="46672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17" name="TextBox 16">
              <a:extLst>
                <a:ext uri="{FF2B5EF4-FFF2-40B4-BE49-F238E27FC236}">
                  <a16:creationId xmlns:a16="http://schemas.microsoft.com/office/drawing/2014/main" id="{00000000-0008-0000-0000-000011000000}"/>
                </a:ext>
              </a:extLst>
            </xdr:cNvPr>
            <xdr:cNvSpPr txBox="1"/>
          </xdr:nvSpPr>
          <xdr:spPr>
            <a:xfrm>
              <a:off x="4743450" y="63312675"/>
              <a:ext cx="317138"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IN" sz="1600" b="1"/>
                <a:t>N</a:t>
              </a:r>
            </a:p>
          </xdr:txBody>
        </xdr:sp>
      </xdr:grpSp>
      <xdr:grpSp>
        <xdr:nvGrpSpPr>
          <xdr:cNvPr id="21" name="Group 20">
            <a:extLst>
              <a:ext uri="{FF2B5EF4-FFF2-40B4-BE49-F238E27FC236}">
                <a16:creationId xmlns:a16="http://schemas.microsoft.com/office/drawing/2014/main" id="{00000000-0008-0000-0000-000015000000}"/>
              </a:ext>
            </a:extLst>
          </xdr:cNvPr>
          <xdr:cNvGrpSpPr/>
        </xdr:nvGrpSpPr>
        <xdr:grpSpPr>
          <a:xfrm>
            <a:off x="485775" y="57340500"/>
            <a:ext cx="5332501" cy="4320000"/>
            <a:chOff x="485775" y="57340500"/>
            <a:chExt cx="5332501" cy="4320000"/>
          </a:xfrm>
        </xdr:grpSpPr>
        <xdr:pic>
          <xdr:nvPicPr>
            <xdr:cNvPr id="10" name="Picture 9">
              <a:extLst>
                <a:ext uri="{FF2B5EF4-FFF2-40B4-BE49-F238E27FC236}">
                  <a16:creationId xmlns:a16="http://schemas.microsoft.com/office/drawing/2014/main" id="{00000000-0008-0000-0000-00000A000000}"/>
                </a:ext>
              </a:extLst>
            </xdr:cNvPr>
            <xdr:cNvPicPr>
              <a:picLocks noChangeAspect="1"/>
            </xdr:cNvPicPr>
          </xdr:nvPicPr>
          <xdr:blipFill rotWithShape="1">
            <a:blip xmlns:r="http://schemas.openxmlformats.org/officeDocument/2006/relationships" r:embed="rId4" cstate="screen">
              <a:extLst>
                <a:ext uri="{28A0092B-C50C-407E-A947-70E740481C1C}">
                  <a14:useLocalDpi xmlns:a14="http://schemas.microsoft.com/office/drawing/2010/main"/>
                </a:ext>
              </a:extLst>
            </a:blip>
            <a:srcRect/>
            <a:stretch/>
          </xdr:blipFill>
          <xdr:spPr>
            <a:xfrm>
              <a:off x="485775" y="57340500"/>
              <a:ext cx="5332501" cy="4320000"/>
            </a:xfrm>
            <a:prstGeom prst="rect">
              <a:avLst/>
            </a:prstGeom>
            <a:ln>
              <a:solidFill>
                <a:schemeClr val="tx1"/>
              </a:solidFill>
            </a:ln>
          </xdr:spPr>
        </xdr:pic>
        <xdr:cxnSp macro="">
          <xdr:nvCxnSpPr>
            <xdr:cNvPr id="19" name="Straight Arrow Connector 18">
              <a:extLst>
                <a:ext uri="{FF2B5EF4-FFF2-40B4-BE49-F238E27FC236}">
                  <a16:creationId xmlns:a16="http://schemas.microsoft.com/office/drawing/2014/main" id="{00000000-0008-0000-0000-000013000000}"/>
                </a:ext>
              </a:extLst>
            </xdr:cNvPr>
            <xdr:cNvCxnSpPr/>
          </xdr:nvCxnSpPr>
          <xdr:spPr>
            <a:xfrm>
              <a:off x="5248275" y="58035825"/>
              <a:ext cx="0" cy="466725"/>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sp macro="" textlink="">
          <xdr:nvSpPr>
            <xdr:cNvPr id="20" name="TextBox 19">
              <a:extLst>
                <a:ext uri="{FF2B5EF4-FFF2-40B4-BE49-F238E27FC236}">
                  <a16:creationId xmlns:a16="http://schemas.microsoft.com/office/drawing/2014/main" id="{00000000-0008-0000-0000-000014000000}"/>
                </a:ext>
              </a:extLst>
            </xdr:cNvPr>
            <xdr:cNvSpPr txBox="1"/>
          </xdr:nvSpPr>
          <xdr:spPr>
            <a:xfrm>
              <a:off x="5086350" y="58483500"/>
              <a:ext cx="317138"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n-IN" sz="1600" b="1"/>
                <a:t>N</a:t>
              </a:r>
            </a:p>
          </xdr:txBody>
        </xdr:sp>
      </xdr:grpSp>
    </xdr:grpSp>
    <xdr:clientData/>
  </xdr:twoCellAnchor>
  <xdr:twoCellAnchor editAs="oneCell">
    <xdr:from>
      <xdr:col>8</xdr:col>
      <xdr:colOff>342900</xdr:colOff>
      <xdr:row>46</xdr:row>
      <xdr:rowOff>152400</xdr:rowOff>
    </xdr:from>
    <xdr:to>
      <xdr:col>11</xdr:col>
      <xdr:colOff>689646</xdr:colOff>
      <xdr:row>51</xdr:row>
      <xdr:rowOff>285525</xdr:rowOff>
    </xdr:to>
    <xdr:pic>
      <xdr:nvPicPr>
        <xdr:cNvPr id="23" name="Picture 22">
          <a:extLst>
            <a:ext uri="{FF2B5EF4-FFF2-40B4-BE49-F238E27FC236}">
              <a16:creationId xmlns:a16="http://schemas.microsoft.com/office/drawing/2014/main" id="{00000000-0008-0000-0000-000017000000}"/>
            </a:ext>
          </a:extLst>
        </xdr:cNvPr>
        <xdr:cNvPicPr>
          <a:picLocks noChangeAspect="1"/>
        </xdr:cNvPicPr>
      </xdr:nvPicPr>
      <xdr:blipFill rotWithShape="1">
        <a:blip xmlns:r="http://schemas.openxmlformats.org/officeDocument/2006/relationships" r:embed="rId5" cstate="screen">
          <a:extLst>
            <a:ext uri="{28A0092B-C50C-407E-A947-70E740481C1C}">
              <a14:useLocalDpi xmlns:a14="http://schemas.microsoft.com/office/drawing/2010/main"/>
            </a:ext>
          </a:extLst>
        </a:blip>
        <a:srcRect/>
        <a:stretch/>
      </xdr:blipFill>
      <xdr:spPr>
        <a:xfrm>
          <a:off x="6657975" y="10620375"/>
          <a:ext cx="2975646" cy="1800000"/>
        </a:xfrm>
        <a:prstGeom prst="rect">
          <a:avLst/>
        </a:prstGeom>
        <a:ln>
          <a:solidFill>
            <a:schemeClr val="tx1"/>
          </a:solidFill>
        </a:ln>
      </xdr:spPr>
    </xdr:pic>
    <xdr:clientData/>
  </xdr:twoCellAnchor>
  <xdr:twoCellAnchor editAs="oneCell">
    <xdr:from>
      <xdr:col>8</xdr:col>
      <xdr:colOff>933450</xdr:colOff>
      <xdr:row>94</xdr:row>
      <xdr:rowOff>19050</xdr:rowOff>
    </xdr:from>
    <xdr:to>
      <xdr:col>14</xdr:col>
      <xdr:colOff>779437</xdr:colOff>
      <xdr:row>109</xdr:row>
      <xdr:rowOff>18826</xdr:rowOff>
    </xdr:to>
    <xdr:pic>
      <xdr:nvPicPr>
        <xdr:cNvPr id="24" name="Picture 23">
          <a:extLst>
            <a:ext uri="{FF2B5EF4-FFF2-40B4-BE49-F238E27FC236}">
              <a16:creationId xmlns:a16="http://schemas.microsoft.com/office/drawing/2014/main" id="{00000000-0008-0000-0000-000018000000}"/>
            </a:ext>
          </a:extLst>
        </xdr:cNvPr>
        <xdr:cNvPicPr>
          <a:picLocks noChangeAspect="1"/>
        </xdr:cNvPicPr>
      </xdr:nvPicPr>
      <xdr:blipFill rotWithShape="1">
        <a:blip xmlns:r="http://schemas.openxmlformats.org/officeDocument/2006/relationships" r:embed="rId6" cstate="email">
          <a:extLst>
            <a:ext uri="{28A0092B-C50C-407E-A947-70E740481C1C}">
              <a14:useLocalDpi xmlns:a14="http://schemas.microsoft.com/office/drawing/2010/main"/>
            </a:ext>
          </a:extLst>
        </a:blip>
        <a:srcRect/>
        <a:stretch/>
      </xdr:blipFill>
      <xdr:spPr>
        <a:xfrm>
          <a:off x="7248525" y="22240875"/>
          <a:ext cx="5027587" cy="1800000"/>
        </a:xfrm>
        <a:prstGeom prst="rect">
          <a:avLst/>
        </a:prstGeom>
        <a:ln>
          <a:solidFill>
            <a:schemeClr val="tx1"/>
          </a:solidFill>
        </a:ln>
      </xdr:spPr>
    </xdr:pic>
    <xdr:clientData/>
  </xdr:twoCellAnchor>
  <xdr:twoCellAnchor>
    <xdr:from>
      <xdr:col>9</xdr:col>
      <xdr:colOff>250915</xdr:colOff>
      <xdr:row>139</xdr:row>
      <xdr:rowOff>158932</xdr:rowOff>
    </xdr:from>
    <xdr:to>
      <xdr:col>16</xdr:col>
      <xdr:colOff>321671</xdr:colOff>
      <xdr:row>174</xdr:row>
      <xdr:rowOff>131718</xdr:rowOff>
    </xdr:to>
    <xdr:grpSp>
      <xdr:nvGrpSpPr>
        <xdr:cNvPr id="31" name="Group 30">
          <a:extLst>
            <a:ext uri="{FF2B5EF4-FFF2-40B4-BE49-F238E27FC236}">
              <a16:creationId xmlns:a16="http://schemas.microsoft.com/office/drawing/2014/main" id="{00000000-0008-0000-0000-00001F000000}"/>
            </a:ext>
          </a:extLst>
        </xdr:cNvPr>
        <xdr:cNvGrpSpPr/>
      </xdr:nvGrpSpPr>
      <xdr:grpSpPr>
        <a:xfrm>
          <a:off x="7931875" y="29221612"/>
          <a:ext cx="5839096" cy="6899366"/>
          <a:chOff x="-28249" y="287432"/>
          <a:chExt cx="7158075" cy="8576519"/>
        </a:xfrm>
      </xdr:grpSpPr>
      <xdr:pic>
        <xdr:nvPicPr>
          <xdr:cNvPr id="32" name="Picture 31" descr="https://vsjcllp.vsjadon.com/upload/insp-236713-1525.jpg">
            <a:extLst>
              <a:ext uri="{FF2B5EF4-FFF2-40B4-BE49-F238E27FC236}">
                <a16:creationId xmlns:a16="http://schemas.microsoft.com/office/drawing/2014/main" id="{00000000-0008-0000-0000-000020000000}"/>
              </a:ext>
            </a:extLst>
          </xdr:cNvPr>
          <xdr:cNvPicPr>
            <a:picLocks noChangeAspect="1" noChangeArrowheads="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4668662" y="7348351"/>
            <a:ext cx="1134144" cy="151429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3" name="Picture 32" descr="https://vsjcllp.vsjadon.com/upload/insp-236713-843.jpg">
            <a:extLst>
              <a:ext uri="{FF2B5EF4-FFF2-40B4-BE49-F238E27FC236}">
                <a16:creationId xmlns:a16="http://schemas.microsoft.com/office/drawing/2014/main" id="{00000000-0008-0000-0000-000021000000}"/>
              </a:ext>
            </a:extLst>
          </xdr:cNvPr>
          <xdr:cNvPicPr>
            <a:picLocks noChangeAspect="1" noChangeArrowheads="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8249" y="287432"/>
            <a:ext cx="3481656" cy="464866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4" name="Picture 33" descr="https://vsjcllp.vsjadon.com/upload/insp-236713-844.jpg">
            <a:extLst>
              <a:ext uri="{FF2B5EF4-FFF2-40B4-BE49-F238E27FC236}">
                <a16:creationId xmlns:a16="http://schemas.microsoft.com/office/drawing/2014/main" id="{00000000-0008-0000-0000-000022000000}"/>
              </a:ext>
            </a:extLst>
          </xdr:cNvPr>
          <xdr:cNvPicPr>
            <a:picLocks noChangeAspect="1" noChangeArrowheads="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826724" y="5032904"/>
            <a:ext cx="1602471" cy="21396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5" name="Picture 34" descr="https://vsjcllp.vsjadon.com/upload/insp-236713-849.jpg">
            <a:extLst>
              <a:ext uri="{FF2B5EF4-FFF2-40B4-BE49-F238E27FC236}">
                <a16:creationId xmlns:a16="http://schemas.microsoft.com/office/drawing/2014/main" id="{00000000-0008-0000-0000-000023000000}"/>
              </a:ext>
            </a:extLst>
          </xdr:cNvPr>
          <xdr:cNvPicPr>
            <a:picLocks noChangeAspect="1" noChangeArrowheads="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46912" y="7348351"/>
            <a:ext cx="1135121" cy="15156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6" name="Picture 35" descr="https://vsjcllp.vsjadon.com/upload/insp-236713-851.jpg">
            <a:extLst>
              <a:ext uri="{FF2B5EF4-FFF2-40B4-BE49-F238E27FC236}">
                <a16:creationId xmlns:a16="http://schemas.microsoft.com/office/drawing/2014/main" id="{00000000-0008-0000-0000-000024000000}"/>
              </a:ext>
            </a:extLst>
          </xdr:cNvPr>
          <xdr:cNvPicPr>
            <a:picLocks noChangeAspect="1" noChangeArrowheads="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3429195" y="7348351"/>
            <a:ext cx="1134144" cy="151429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7" name="Picture 36" descr="https://vsjcllp.vsjadon.com/upload/insp-236713-861.jpg">
            <a:extLst>
              <a:ext uri="{FF2B5EF4-FFF2-40B4-BE49-F238E27FC236}">
                <a16:creationId xmlns:a16="http://schemas.microsoft.com/office/drawing/2014/main" id="{00000000-0008-0000-0000-000025000000}"/>
              </a:ext>
            </a:extLst>
          </xdr:cNvPr>
          <xdr:cNvPicPr>
            <a:picLocks noChangeAspect="1" noChangeArrowheads="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100673" y="5032904"/>
            <a:ext cx="1602471" cy="21396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8" name="Picture 37" descr="https://vsjcllp.vsjadon.com/upload/insp-236713-862.jpg">
            <a:extLst>
              <a:ext uri="{FF2B5EF4-FFF2-40B4-BE49-F238E27FC236}">
                <a16:creationId xmlns:a16="http://schemas.microsoft.com/office/drawing/2014/main" id="{00000000-0008-0000-0000-000026000000}"/>
              </a:ext>
            </a:extLst>
          </xdr:cNvPr>
          <xdr:cNvPicPr>
            <a:picLocks noChangeAspect="1" noChangeArrowheads="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188542" y="7348351"/>
            <a:ext cx="1134144" cy="1514295"/>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39" name="Picture 38" descr="https://vsjcllp.vsjadon.com/upload/insp-236713-860.jpg">
            <a:extLst>
              <a:ext uri="{FF2B5EF4-FFF2-40B4-BE49-F238E27FC236}">
                <a16:creationId xmlns:a16="http://schemas.microsoft.com/office/drawing/2014/main" id="{00000000-0008-0000-0000-000027000000}"/>
              </a:ext>
            </a:extLst>
          </xdr:cNvPr>
          <xdr:cNvPicPr>
            <a:picLocks noChangeAspect="1" noChangeArrowheads="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5332788" y="5032904"/>
            <a:ext cx="1602471" cy="21396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40" name="Picture 39" descr="https://vsjcllp.vsjadon.com/upload/insp-236713-874.jpg">
            <a:extLst>
              <a:ext uri="{FF2B5EF4-FFF2-40B4-BE49-F238E27FC236}">
                <a16:creationId xmlns:a16="http://schemas.microsoft.com/office/drawing/2014/main" id="{00000000-0008-0000-0000-000028000000}"/>
              </a:ext>
            </a:extLst>
          </xdr:cNvPr>
          <xdr:cNvPicPr>
            <a:picLocks noChangeAspect="1" noChangeArrowheads="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a:stretch>
            <a:fillRect/>
          </a:stretch>
        </xdr:blipFill>
        <xdr:spPr bwMode="auto">
          <a:xfrm>
            <a:off x="3648170" y="287432"/>
            <a:ext cx="3481656" cy="4648664"/>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pic>
        <xdr:nvPicPr>
          <xdr:cNvPr id="51" name="Picture 50" descr="https://vsjcllp.vsjadon.com/upload/insp-236713-880.jpg">
            <a:extLst>
              <a:ext uri="{FF2B5EF4-FFF2-40B4-BE49-F238E27FC236}">
                <a16:creationId xmlns:a16="http://schemas.microsoft.com/office/drawing/2014/main" id="{00000000-0008-0000-0000-000033000000}"/>
              </a:ext>
            </a:extLst>
          </xdr:cNvPr>
          <xdr:cNvPicPr>
            <a:picLocks noChangeAspect="1" noChangeArrowheads="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a:fillRect/>
          </a:stretch>
        </xdr:blipFill>
        <xdr:spPr bwMode="auto">
          <a:xfrm>
            <a:off x="3575799" y="5032904"/>
            <a:ext cx="1602471" cy="2139600"/>
          </a:xfrm>
          <a:prstGeom prst="rect">
            <a:avLst/>
          </a:prstGeom>
          <a:noFill/>
          <a:ln>
            <a:solidFill>
              <a:schemeClr val="tx1"/>
            </a:solidFill>
          </a:ln>
          <a:extLst>
            <a:ext uri="{909E8E84-426E-40DD-AFC4-6F175D3DCCD1}">
              <a14:hiddenFill xmlns:a14="http://schemas.microsoft.com/office/drawing/2010/main">
                <a:solidFill>
                  <a:srgbClr val="FFFFFF"/>
                </a:solidFill>
              </a14:hiddenFill>
            </a:ext>
          </a:extLst>
        </xdr:spPr>
      </xdr:pic>
    </xdr:grpSp>
    <xdr:clientData/>
  </xdr:twoCellAnchor>
  <xdr:twoCellAnchor>
    <xdr:from>
      <xdr:col>0</xdr:col>
      <xdr:colOff>502920</xdr:colOff>
      <xdr:row>141</xdr:row>
      <xdr:rowOff>129540</xdr:rowOff>
    </xdr:from>
    <xdr:to>
      <xdr:col>7</xdr:col>
      <xdr:colOff>144780</xdr:colOff>
      <xdr:row>177</xdr:row>
      <xdr:rowOff>144780</xdr:rowOff>
    </xdr:to>
    <xdr:grpSp>
      <xdr:nvGrpSpPr>
        <xdr:cNvPr id="5" name="Group 4">
          <a:extLst>
            <a:ext uri="{FF2B5EF4-FFF2-40B4-BE49-F238E27FC236}">
              <a16:creationId xmlns:a16="http://schemas.microsoft.com/office/drawing/2014/main" id="{9E79F2D2-B62E-B9EC-CD5E-5F94C8261E83}"/>
            </a:ext>
          </a:extLst>
        </xdr:cNvPr>
        <xdr:cNvGrpSpPr/>
      </xdr:nvGrpSpPr>
      <xdr:grpSpPr>
        <a:xfrm>
          <a:off x="502920" y="29588460"/>
          <a:ext cx="5372100" cy="7139940"/>
          <a:chOff x="29184" y="258083"/>
          <a:chExt cx="5995024" cy="8530994"/>
        </a:xfrm>
      </xdr:grpSpPr>
      <xdr:grpSp>
        <xdr:nvGrpSpPr>
          <xdr:cNvPr id="6" name="Group 5">
            <a:extLst>
              <a:ext uri="{FF2B5EF4-FFF2-40B4-BE49-F238E27FC236}">
                <a16:creationId xmlns:a16="http://schemas.microsoft.com/office/drawing/2014/main" id="{2D3A5073-7D06-5532-B0D1-4088BAB87EF7}"/>
              </a:ext>
            </a:extLst>
          </xdr:cNvPr>
          <xdr:cNvGrpSpPr/>
        </xdr:nvGrpSpPr>
        <xdr:grpSpPr>
          <a:xfrm>
            <a:off x="29184" y="4236720"/>
            <a:ext cx="5995024" cy="2520000"/>
            <a:chOff x="275696" y="4236720"/>
            <a:chExt cx="5995024" cy="2520000"/>
          </a:xfrm>
        </xdr:grpSpPr>
        <xdr:pic>
          <xdr:nvPicPr>
            <xdr:cNvPr id="29" name="Picture 28">
              <a:extLst>
                <a:ext uri="{FF2B5EF4-FFF2-40B4-BE49-F238E27FC236}">
                  <a16:creationId xmlns:a16="http://schemas.microsoft.com/office/drawing/2014/main" id="{E6C04614-43F5-E6BC-5219-726237FEB0E2}"/>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4374814" y="4236720"/>
              <a:ext cx="1895906" cy="2520000"/>
            </a:xfrm>
            <a:prstGeom prst="rect">
              <a:avLst/>
            </a:prstGeom>
            <a:ln>
              <a:solidFill>
                <a:schemeClr val="tx1"/>
              </a:solidFill>
            </a:ln>
          </xdr:spPr>
        </xdr:pic>
        <xdr:pic>
          <xdr:nvPicPr>
            <xdr:cNvPr id="30" name="Picture 29">
              <a:extLst>
                <a:ext uri="{FF2B5EF4-FFF2-40B4-BE49-F238E27FC236}">
                  <a16:creationId xmlns:a16="http://schemas.microsoft.com/office/drawing/2014/main" id="{8956C8D7-117B-5454-4AF3-E3BA248F284B}"/>
                </a:ext>
              </a:extLst>
            </xdr:cNvPr>
            <xdr:cNvPicPr>
              <a:picLocks noChangeAspect="1"/>
            </xdr:cNvPicPr>
          </xdr:nvPicPr>
          <xdr:blipFill>
            <a:blip xmlns:r="http://schemas.openxmlformats.org/officeDocument/2006/relationships" r:embed="rId18" cstate="hqprint">
              <a:extLst>
                <a:ext uri="{28A0092B-C50C-407E-A947-70E740481C1C}">
                  <a14:useLocalDpi xmlns:a14="http://schemas.microsoft.com/office/drawing/2010/main"/>
                </a:ext>
              </a:extLst>
            </a:blip>
            <a:stretch>
              <a:fillRect/>
            </a:stretch>
          </xdr:blipFill>
          <xdr:spPr>
            <a:xfrm>
              <a:off x="2324362" y="4236720"/>
              <a:ext cx="1895906" cy="2520000"/>
            </a:xfrm>
            <a:prstGeom prst="rect">
              <a:avLst/>
            </a:prstGeom>
            <a:ln>
              <a:solidFill>
                <a:schemeClr val="tx1"/>
              </a:solidFill>
            </a:ln>
          </xdr:spPr>
        </xdr:pic>
        <xdr:pic>
          <xdr:nvPicPr>
            <xdr:cNvPr id="41" name="Picture 40">
              <a:extLst>
                <a:ext uri="{FF2B5EF4-FFF2-40B4-BE49-F238E27FC236}">
                  <a16:creationId xmlns:a16="http://schemas.microsoft.com/office/drawing/2014/main" id="{C295E1BF-98B0-C1F2-2835-126ED4B481E9}"/>
                </a:ext>
              </a:extLst>
            </xdr:cNvPr>
            <xdr:cNvPicPr>
              <a:picLocks noChangeAspect="1"/>
            </xdr:cNvPicPr>
          </xdr:nvPicPr>
          <xdr:blipFill>
            <a:blip xmlns:r="http://schemas.openxmlformats.org/officeDocument/2006/relationships" r:embed="rId19" cstate="hqprint">
              <a:extLst>
                <a:ext uri="{28A0092B-C50C-407E-A947-70E740481C1C}">
                  <a14:useLocalDpi xmlns:a14="http://schemas.microsoft.com/office/drawing/2010/main"/>
                </a:ext>
              </a:extLst>
            </a:blip>
            <a:stretch>
              <a:fillRect/>
            </a:stretch>
          </xdr:blipFill>
          <xdr:spPr>
            <a:xfrm>
              <a:off x="275696" y="4236720"/>
              <a:ext cx="1895906" cy="2520000"/>
            </a:xfrm>
            <a:prstGeom prst="rect">
              <a:avLst/>
            </a:prstGeom>
            <a:ln>
              <a:solidFill>
                <a:schemeClr val="tx1"/>
              </a:solidFill>
            </a:ln>
          </xdr:spPr>
        </xdr:pic>
      </xdr:grpSp>
      <xdr:grpSp>
        <xdr:nvGrpSpPr>
          <xdr:cNvPr id="8" name="Group 7">
            <a:extLst>
              <a:ext uri="{FF2B5EF4-FFF2-40B4-BE49-F238E27FC236}">
                <a16:creationId xmlns:a16="http://schemas.microsoft.com/office/drawing/2014/main" id="{DA8D0AB1-0A66-4794-0A80-5B308C757C15}"/>
              </a:ext>
            </a:extLst>
          </xdr:cNvPr>
          <xdr:cNvGrpSpPr/>
        </xdr:nvGrpSpPr>
        <xdr:grpSpPr>
          <a:xfrm>
            <a:off x="70316" y="258083"/>
            <a:ext cx="5912760" cy="3828038"/>
            <a:chOff x="259080" y="258083"/>
            <a:chExt cx="5912760" cy="3828038"/>
          </a:xfrm>
        </xdr:grpSpPr>
        <xdr:pic>
          <xdr:nvPicPr>
            <xdr:cNvPr id="27" name="Picture 26">
              <a:extLst>
                <a:ext uri="{FF2B5EF4-FFF2-40B4-BE49-F238E27FC236}">
                  <a16:creationId xmlns:a16="http://schemas.microsoft.com/office/drawing/2014/main" id="{04E3A7E1-8520-7A47-A90D-EA0DF9913CB2}"/>
                </a:ext>
              </a:extLst>
            </xdr:cNvPr>
            <xdr:cNvPicPr>
              <a:picLocks noChangeAspect="1"/>
            </xdr:cNvPicPr>
          </xdr:nvPicPr>
          <xdr:blipFill>
            <a:blip xmlns:r="http://schemas.openxmlformats.org/officeDocument/2006/relationships" r:embed="rId20" cstate="hqprint">
              <a:extLst>
                <a:ext uri="{28A0092B-C50C-407E-A947-70E740481C1C}">
                  <a14:useLocalDpi xmlns:a14="http://schemas.microsoft.com/office/drawing/2010/main"/>
                </a:ext>
              </a:extLst>
            </a:blip>
            <a:stretch>
              <a:fillRect/>
            </a:stretch>
          </xdr:blipFill>
          <xdr:spPr>
            <a:xfrm>
              <a:off x="3291840" y="258083"/>
              <a:ext cx="2880000" cy="3828038"/>
            </a:xfrm>
            <a:prstGeom prst="rect">
              <a:avLst/>
            </a:prstGeom>
            <a:ln>
              <a:solidFill>
                <a:schemeClr val="tx1"/>
              </a:solidFill>
            </a:ln>
          </xdr:spPr>
        </xdr:pic>
        <xdr:pic>
          <xdr:nvPicPr>
            <xdr:cNvPr id="28" name="Picture 27">
              <a:extLst>
                <a:ext uri="{FF2B5EF4-FFF2-40B4-BE49-F238E27FC236}">
                  <a16:creationId xmlns:a16="http://schemas.microsoft.com/office/drawing/2014/main" id="{2F190D40-BECC-2206-F327-B78D959A73C8}"/>
                </a:ext>
              </a:extLst>
            </xdr:cNvPr>
            <xdr:cNvPicPr>
              <a:picLocks noChangeAspect="1"/>
            </xdr:cNvPicPr>
          </xdr:nvPicPr>
          <xdr:blipFill>
            <a:blip xmlns:r="http://schemas.openxmlformats.org/officeDocument/2006/relationships" r:embed="rId21" cstate="hqprint">
              <a:extLst>
                <a:ext uri="{28A0092B-C50C-407E-A947-70E740481C1C}">
                  <a14:useLocalDpi xmlns:a14="http://schemas.microsoft.com/office/drawing/2010/main"/>
                </a:ext>
              </a:extLst>
            </a:blip>
            <a:stretch>
              <a:fillRect/>
            </a:stretch>
          </xdr:blipFill>
          <xdr:spPr>
            <a:xfrm>
              <a:off x="259080" y="258083"/>
              <a:ext cx="2880000" cy="3828038"/>
            </a:xfrm>
            <a:prstGeom prst="rect">
              <a:avLst/>
            </a:prstGeom>
            <a:ln>
              <a:solidFill>
                <a:schemeClr val="tx1"/>
              </a:solidFill>
            </a:ln>
          </xdr:spPr>
        </xdr:pic>
      </xdr:grpSp>
      <xdr:grpSp>
        <xdr:nvGrpSpPr>
          <xdr:cNvPr id="14" name="Group 13">
            <a:extLst>
              <a:ext uri="{FF2B5EF4-FFF2-40B4-BE49-F238E27FC236}">
                <a16:creationId xmlns:a16="http://schemas.microsoft.com/office/drawing/2014/main" id="{F3FA8547-5575-BCB0-0BA5-3CEEF10E1833}"/>
              </a:ext>
            </a:extLst>
          </xdr:cNvPr>
          <xdr:cNvGrpSpPr/>
        </xdr:nvGrpSpPr>
        <xdr:grpSpPr>
          <a:xfrm>
            <a:off x="328065" y="6989077"/>
            <a:ext cx="5397263" cy="1800000"/>
            <a:chOff x="-217328" y="6989077"/>
            <a:chExt cx="5397263" cy="1800000"/>
          </a:xfrm>
        </xdr:grpSpPr>
        <xdr:pic>
          <xdr:nvPicPr>
            <xdr:cNvPr id="15" name="Picture 14">
              <a:extLst>
                <a:ext uri="{FF2B5EF4-FFF2-40B4-BE49-F238E27FC236}">
                  <a16:creationId xmlns:a16="http://schemas.microsoft.com/office/drawing/2014/main" id="{6AD0B874-BA0C-0D61-9430-4386075FF8AA}"/>
                </a:ext>
              </a:extLst>
            </xdr:cNvPr>
            <xdr:cNvPicPr>
              <a:picLocks noChangeAspect="1"/>
            </xdr:cNvPicPr>
          </xdr:nvPicPr>
          <xdr:blipFill>
            <a:blip xmlns:r="http://schemas.openxmlformats.org/officeDocument/2006/relationships" r:embed="rId22" cstate="hqprint">
              <a:extLst>
                <a:ext uri="{28A0092B-C50C-407E-A947-70E740481C1C}">
                  <a14:useLocalDpi xmlns:a14="http://schemas.microsoft.com/office/drawing/2010/main"/>
                </a:ext>
              </a:extLst>
            </a:blip>
            <a:stretch>
              <a:fillRect/>
            </a:stretch>
          </xdr:blipFill>
          <xdr:spPr>
            <a:xfrm>
              <a:off x="3825716" y="6989077"/>
              <a:ext cx="1354219" cy="1800000"/>
            </a:xfrm>
            <a:prstGeom prst="rect">
              <a:avLst/>
            </a:prstGeom>
            <a:ln>
              <a:solidFill>
                <a:schemeClr val="tx1"/>
              </a:solidFill>
            </a:ln>
          </xdr:spPr>
        </xdr:pic>
        <xdr:pic>
          <xdr:nvPicPr>
            <xdr:cNvPr id="25" name="Picture 24">
              <a:extLst>
                <a:ext uri="{FF2B5EF4-FFF2-40B4-BE49-F238E27FC236}">
                  <a16:creationId xmlns:a16="http://schemas.microsoft.com/office/drawing/2014/main" id="{21A7B523-2B71-5AA0-DB30-75BF65AC6A31}"/>
                </a:ext>
              </a:extLst>
            </xdr:cNvPr>
            <xdr:cNvPicPr>
              <a:picLocks noChangeAspect="1"/>
            </xdr:cNvPicPr>
          </xdr:nvPicPr>
          <xdr:blipFill>
            <a:blip xmlns:r="http://schemas.openxmlformats.org/officeDocument/2006/relationships" r:embed="rId23">
              <a:extLst>
                <a:ext uri="{28A0092B-C50C-407E-A947-70E740481C1C}">
                  <a14:useLocalDpi xmlns:a14="http://schemas.microsoft.com/office/drawing/2010/main"/>
                </a:ext>
              </a:extLst>
            </a:blip>
            <a:stretch>
              <a:fillRect/>
            </a:stretch>
          </xdr:blipFill>
          <xdr:spPr>
            <a:xfrm>
              <a:off x="-217328" y="6989077"/>
              <a:ext cx="2388930" cy="1800000"/>
            </a:xfrm>
            <a:prstGeom prst="rect">
              <a:avLst/>
            </a:prstGeom>
            <a:ln>
              <a:solidFill>
                <a:schemeClr val="tx1"/>
              </a:solidFill>
            </a:ln>
          </xdr:spPr>
        </xdr:pic>
        <xdr:pic>
          <xdr:nvPicPr>
            <xdr:cNvPr id="26" name="Picture 25">
              <a:extLst>
                <a:ext uri="{FF2B5EF4-FFF2-40B4-BE49-F238E27FC236}">
                  <a16:creationId xmlns:a16="http://schemas.microsoft.com/office/drawing/2014/main" id="{8C813C8E-23E6-4BA7-E27A-2D12C77F5452}"/>
                </a:ext>
              </a:extLst>
            </xdr:cNvPr>
            <xdr:cNvPicPr>
              <a:picLocks noChangeAspect="1"/>
            </xdr:cNvPicPr>
          </xdr:nvPicPr>
          <xdr:blipFill>
            <a:blip xmlns:r="http://schemas.openxmlformats.org/officeDocument/2006/relationships" r:embed="rId24" cstate="hqprint">
              <a:extLst>
                <a:ext uri="{28A0092B-C50C-407E-A947-70E740481C1C}">
                  <a14:useLocalDpi xmlns:a14="http://schemas.microsoft.com/office/drawing/2010/main"/>
                </a:ext>
              </a:extLst>
            </a:blip>
            <a:stretch>
              <a:fillRect/>
            </a:stretch>
          </xdr:blipFill>
          <xdr:spPr>
            <a:xfrm>
              <a:off x="2324362" y="6989077"/>
              <a:ext cx="1348594" cy="1800000"/>
            </a:xfrm>
            <a:prstGeom prst="rect">
              <a:avLst/>
            </a:prstGeom>
            <a:ln>
              <a:solidFill>
                <a:schemeClr val="tx1"/>
              </a:solidFill>
            </a:ln>
          </xdr:spPr>
        </xdr:pic>
      </xdr:grp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493058</xdr:colOff>
      <xdr:row>1</xdr:row>
      <xdr:rowOff>168088</xdr:rowOff>
    </xdr:from>
    <xdr:to>
      <xdr:col>14</xdr:col>
      <xdr:colOff>253521</xdr:colOff>
      <xdr:row>24</xdr:row>
      <xdr:rowOff>95382</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36269"/>
        <a:stretch/>
      </xdr:blipFill>
      <xdr:spPr>
        <a:xfrm>
          <a:off x="9905999" y="358588"/>
          <a:ext cx="3256698" cy="43200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ps.app.goo.gl/HntiiqdCt1kbZNFZ8" TargetMode="External"/><Relationship Id="rId6" Type="http://schemas.openxmlformats.org/officeDocument/2006/relationships/comments" Target="../comments1.xm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Z227"/>
  <sheetViews>
    <sheetView tabSelected="1" view="pageBreakPreview" zoomScaleNormal="100" zoomScaleSheetLayoutView="100" zoomScalePageLayoutView="85" workbookViewId="0">
      <selection activeCell="I12" sqref="I12"/>
    </sheetView>
  </sheetViews>
  <sheetFormatPr defaultColWidth="9.109375" defaultRowHeight="15.6" x14ac:dyDescent="0.3"/>
  <cols>
    <col min="1" max="1" width="11.44140625" style="37" customWidth="1"/>
    <col min="2" max="2" width="12" style="37" customWidth="1"/>
    <col min="3" max="3" width="12.6640625" style="37" customWidth="1"/>
    <col min="4" max="4" width="13.6640625" style="37" customWidth="1"/>
    <col min="5" max="5" width="11.6640625" style="37" customWidth="1"/>
    <col min="6" max="6" width="11.109375" style="37" customWidth="1"/>
    <col min="7" max="8" width="11" style="37" customWidth="1"/>
    <col min="9" max="9" width="17.44140625" style="18" customWidth="1"/>
    <col min="10" max="10" width="11.44140625" style="18" customWidth="1"/>
    <col min="11" max="11" width="10.5546875" style="18" bestFit="1" customWidth="1"/>
    <col min="12" max="12" width="13.88671875" style="18" bestFit="1" customWidth="1"/>
    <col min="13" max="13" width="11.88671875" style="18" customWidth="1"/>
    <col min="14" max="14" width="12.5546875" style="18" customWidth="1"/>
    <col min="15" max="15" width="12.109375" style="18" customWidth="1"/>
    <col min="16" max="16" width="11.6640625" style="18" customWidth="1"/>
    <col min="17" max="18" width="9.109375" style="18"/>
    <col min="19" max="19" width="10.88671875" style="18" bestFit="1" customWidth="1"/>
    <col min="20" max="20" width="10.6640625" style="18" customWidth="1"/>
    <col min="21" max="247" width="9.109375" style="18"/>
    <col min="248" max="248" width="8.6640625" style="18" customWidth="1"/>
    <col min="249" max="249" width="9.88671875" style="18" customWidth="1"/>
    <col min="250" max="250" width="14.44140625" style="18" customWidth="1"/>
    <col min="251" max="251" width="7.33203125" style="18" customWidth="1"/>
    <col min="252" max="252" width="5.5546875" style="18" customWidth="1"/>
    <col min="253" max="253" width="9" style="18" customWidth="1"/>
    <col min="254" max="255" width="9.88671875" style="18" customWidth="1"/>
    <col min="256" max="256" width="11.109375" style="18" customWidth="1"/>
    <col min="257" max="257" width="2.88671875" style="18" customWidth="1"/>
    <col min="258" max="258" width="3.5546875" style="18" customWidth="1"/>
    <col min="259" max="503" width="9.109375" style="18"/>
    <col min="504" max="504" width="8.6640625" style="18" customWidth="1"/>
    <col min="505" max="505" width="9.88671875" style="18" customWidth="1"/>
    <col min="506" max="506" width="14.44140625" style="18" customWidth="1"/>
    <col min="507" max="507" width="7.33203125" style="18" customWidth="1"/>
    <col min="508" max="508" width="5.5546875" style="18" customWidth="1"/>
    <col min="509" max="509" width="9" style="18" customWidth="1"/>
    <col min="510" max="511" width="9.88671875" style="18" customWidth="1"/>
    <col min="512" max="512" width="11.109375" style="18" customWidth="1"/>
    <col min="513" max="513" width="2.88671875" style="18" customWidth="1"/>
    <col min="514" max="514" width="3.5546875" style="18" customWidth="1"/>
    <col min="515" max="759" width="9.109375" style="18"/>
    <col min="760" max="760" width="8.6640625" style="18" customWidth="1"/>
    <col min="761" max="761" width="9.88671875" style="18" customWidth="1"/>
    <col min="762" max="762" width="14.44140625" style="18" customWidth="1"/>
    <col min="763" max="763" width="7.33203125" style="18" customWidth="1"/>
    <col min="764" max="764" width="5.5546875" style="18" customWidth="1"/>
    <col min="765" max="765" width="9" style="18" customWidth="1"/>
    <col min="766" max="767" width="9.88671875" style="18" customWidth="1"/>
    <col min="768" max="768" width="11.109375" style="18" customWidth="1"/>
    <col min="769" max="769" width="2.88671875" style="18" customWidth="1"/>
    <col min="770" max="770" width="3.5546875" style="18" customWidth="1"/>
    <col min="771" max="1015" width="9.109375" style="18"/>
    <col min="1016" max="1016" width="8.6640625" style="18" customWidth="1"/>
    <col min="1017" max="1017" width="9.88671875" style="18" customWidth="1"/>
    <col min="1018" max="1018" width="14.44140625" style="18" customWidth="1"/>
    <col min="1019" max="1019" width="7.33203125" style="18" customWidth="1"/>
    <col min="1020" max="1020" width="5.5546875" style="18" customWidth="1"/>
    <col min="1021" max="1021" width="9" style="18" customWidth="1"/>
    <col min="1022" max="1023" width="9.88671875" style="18" customWidth="1"/>
    <col min="1024" max="1024" width="11.109375" style="18" customWidth="1"/>
    <col min="1025" max="1025" width="2.88671875" style="18" customWidth="1"/>
    <col min="1026" max="1026" width="3.5546875" style="18" customWidth="1"/>
    <col min="1027" max="1271" width="9.109375" style="18"/>
    <col min="1272" max="1272" width="8.6640625" style="18" customWidth="1"/>
    <col min="1273" max="1273" width="9.88671875" style="18" customWidth="1"/>
    <col min="1274" max="1274" width="14.44140625" style="18" customWidth="1"/>
    <col min="1275" max="1275" width="7.33203125" style="18" customWidth="1"/>
    <col min="1276" max="1276" width="5.5546875" style="18" customWidth="1"/>
    <col min="1277" max="1277" width="9" style="18" customWidth="1"/>
    <col min="1278" max="1279" width="9.88671875" style="18" customWidth="1"/>
    <col min="1280" max="1280" width="11.109375" style="18" customWidth="1"/>
    <col min="1281" max="1281" width="2.88671875" style="18" customWidth="1"/>
    <col min="1282" max="1282" width="3.5546875" style="18" customWidth="1"/>
    <col min="1283" max="1527" width="9.109375" style="18"/>
    <col min="1528" max="1528" width="8.6640625" style="18" customWidth="1"/>
    <col min="1529" max="1529" width="9.88671875" style="18" customWidth="1"/>
    <col min="1530" max="1530" width="14.44140625" style="18" customWidth="1"/>
    <col min="1531" max="1531" width="7.33203125" style="18" customWidth="1"/>
    <col min="1532" max="1532" width="5.5546875" style="18" customWidth="1"/>
    <col min="1533" max="1533" width="9" style="18" customWidth="1"/>
    <col min="1534" max="1535" width="9.88671875" style="18" customWidth="1"/>
    <col min="1536" max="1536" width="11.109375" style="18" customWidth="1"/>
    <col min="1537" max="1537" width="2.88671875" style="18" customWidth="1"/>
    <col min="1538" max="1538" width="3.5546875" style="18" customWidth="1"/>
    <col min="1539" max="1783" width="9.109375" style="18"/>
    <col min="1784" max="1784" width="8.6640625" style="18" customWidth="1"/>
    <col min="1785" max="1785" width="9.88671875" style="18" customWidth="1"/>
    <col min="1786" max="1786" width="14.44140625" style="18" customWidth="1"/>
    <col min="1787" max="1787" width="7.33203125" style="18" customWidth="1"/>
    <col min="1788" max="1788" width="5.5546875" style="18" customWidth="1"/>
    <col min="1789" max="1789" width="9" style="18" customWidth="1"/>
    <col min="1790" max="1791" width="9.88671875" style="18" customWidth="1"/>
    <col min="1792" max="1792" width="11.109375" style="18" customWidth="1"/>
    <col min="1793" max="1793" width="2.88671875" style="18" customWidth="1"/>
    <col min="1794" max="1794" width="3.5546875" style="18" customWidth="1"/>
    <col min="1795" max="2039" width="9.109375" style="18"/>
    <col min="2040" max="2040" width="8.6640625" style="18" customWidth="1"/>
    <col min="2041" max="2041" width="9.88671875" style="18" customWidth="1"/>
    <col min="2042" max="2042" width="14.44140625" style="18" customWidth="1"/>
    <col min="2043" max="2043" width="7.33203125" style="18" customWidth="1"/>
    <col min="2044" max="2044" width="5.5546875" style="18" customWidth="1"/>
    <col min="2045" max="2045" width="9" style="18" customWidth="1"/>
    <col min="2046" max="2047" width="9.88671875" style="18" customWidth="1"/>
    <col min="2048" max="2048" width="11.109375" style="18" customWidth="1"/>
    <col min="2049" max="2049" width="2.88671875" style="18" customWidth="1"/>
    <col min="2050" max="2050" width="3.5546875" style="18" customWidth="1"/>
    <col min="2051" max="2295" width="9.109375" style="18"/>
    <col min="2296" max="2296" width="8.6640625" style="18" customWidth="1"/>
    <col min="2297" max="2297" width="9.88671875" style="18" customWidth="1"/>
    <col min="2298" max="2298" width="14.44140625" style="18" customWidth="1"/>
    <col min="2299" max="2299" width="7.33203125" style="18" customWidth="1"/>
    <col min="2300" max="2300" width="5.5546875" style="18" customWidth="1"/>
    <col min="2301" max="2301" width="9" style="18" customWidth="1"/>
    <col min="2302" max="2303" width="9.88671875" style="18" customWidth="1"/>
    <col min="2304" max="2304" width="11.109375" style="18" customWidth="1"/>
    <col min="2305" max="2305" width="2.88671875" style="18" customWidth="1"/>
    <col min="2306" max="2306" width="3.5546875" style="18" customWidth="1"/>
    <col min="2307" max="2551" width="9.109375" style="18"/>
    <col min="2552" max="2552" width="8.6640625" style="18" customWidth="1"/>
    <col min="2553" max="2553" width="9.88671875" style="18" customWidth="1"/>
    <col min="2554" max="2554" width="14.44140625" style="18" customWidth="1"/>
    <col min="2555" max="2555" width="7.33203125" style="18" customWidth="1"/>
    <col min="2556" max="2556" width="5.5546875" style="18" customWidth="1"/>
    <col min="2557" max="2557" width="9" style="18" customWidth="1"/>
    <col min="2558" max="2559" width="9.88671875" style="18" customWidth="1"/>
    <col min="2560" max="2560" width="11.109375" style="18" customWidth="1"/>
    <col min="2561" max="2561" width="2.88671875" style="18" customWidth="1"/>
    <col min="2562" max="2562" width="3.5546875" style="18" customWidth="1"/>
    <col min="2563" max="2807" width="9.109375" style="18"/>
    <col min="2808" max="2808" width="8.6640625" style="18" customWidth="1"/>
    <col min="2809" max="2809" width="9.88671875" style="18" customWidth="1"/>
    <col min="2810" max="2810" width="14.44140625" style="18" customWidth="1"/>
    <col min="2811" max="2811" width="7.33203125" style="18" customWidth="1"/>
    <col min="2812" max="2812" width="5.5546875" style="18" customWidth="1"/>
    <col min="2813" max="2813" width="9" style="18" customWidth="1"/>
    <col min="2814" max="2815" width="9.88671875" style="18" customWidth="1"/>
    <col min="2816" max="2816" width="11.109375" style="18" customWidth="1"/>
    <col min="2817" max="2817" width="2.88671875" style="18" customWidth="1"/>
    <col min="2818" max="2818" width="3.5546875" style="18" customWidth="1"/>
    <col min="2819" max="3063" width="9.109375" style="18"/>
    <col min="3064" max="3064" width="8.6640625" style="18" customWidth="1"/>
    <col min="3065" max="3065" width="9.88671875" style="18" customWidth="1"/>
    <col min="3066" max="3066" width="14.44140625" style="18" customWidth="1"/>
    <col min="3067" max="3067" width="7.33203125" style="18" customWidth="1"/>
    <col min="3068" max="3068" width="5.5546875" style="18" customWidth="1"/>
    <col min="3069" max="3069" width="9" style="18" customWidth="1"/>
    <col min="3070" max="3071" width="9.88671875" style="18" customWidth="1"/>
    <col min="3072" max="3072" width="11.109375" style="18" customWidth="1"/>
    <col min="3073" max="3073" width="2.88671875" style="18" customWidth="1"/>
    <col min="3074" max="3074" width="3.5546875" style="18" customWidth="1"/>
    <col min="3075" max="3319" width="9.109375" style="18"/>
    <col min="3320" max="3320" width="8.6640625" style="18" customWidth="1"/>
    <col min="3321" max="3321" width="9.88671875" style="18" customWidth="1"/>
    <col min="3322" max="3322" width="14.44140625" style="18" customWidth="1"/>
    <col min="3323" max="3323" width="7.33203125" style="18" customWidth="1"/>
    <col min="3324" max="3324" width="5.5546875" style="18" customWidth="1"/>
    <col min="3325" max="3325" width="9" style="18" customWidth="1"/>
    <col min="3326" max="3327" width="9.88671875" style="18" customWidth="1"/>
    <col min="3328" max="3328" width="11.109375" style="18" customWidth="1"/>
    <col min="3329" max="3329" width="2.88671875" style="18" customWidth="1"/>
    <col min="3330" max="3330" width="3.5546875" style="18" customWidth="1"/>
    <col min="3331" max="3575" width="9.109375" style="18"/>
    <col min="3576" max="3576" width="8.6640625" style="18" customWidth="1"/>
    <col min="3577" max="3577" width="9.88671875" style="18" customWidth="1"/>
    <col min="3578" max="3578" width="14.44140625" style="18" customWidth="1"/>
    <col min="3579" max="3579" width="7.33203125" style="18" customWidth="1"/>
    <col min="3580" max="3580" width="5.5546875" style="18" customWidth="1"/>
    <col min="3581" max="3581" width="9" style="18" customWidth="1"/>
    <col min="3582" max="3583" width="9.88671875" style="18" customWidth="1"/>
    <col min="3584" max="3584" width="11.109375" style="18" customWidth="1"/>
    <col min="3585" max="3585" width="2.88671875" style="18" customWidth="1"/>
    <col min="3586" max="3586" width="3.5546875" style="18" customWidth="1"/>
    <col min="3587" max="3831" width="9.109375" style="18"/>
    <col min="3832" max="3832" width="8.6640625" style="18" customWidth="1"/>
    <col min="3833" max="3833" width="9.88671875" style="18" customWidth="1"/>
    <col min="3834" max="3834" width="14.44140625" style="18" customWidth="1"/>
    <col min="3835" max="3835" width="7.33203125" style="18" customWidth="1"/>
    <col min="3836" max="3836" width="5.5546875" style="18" customWidth="1"/>
    <col min="3837" max="3837" width="9" style="18" customWidth="1"/>
    <col min="3838" max="3839" width="9.88671875" style="18" customWidth="1"/>
    <col min="3840" max="3840" width="11.109375" style="18" customWidth="1"/>
    <col min="3841" max="3841" width="2.88671875" style="18" customWidth="1"/>
    <col min="3842" max="3842" width="3.5546875" style="18" customWidth="1"/>
    <col min="3843" max="4087" width="9.109375" style="18"/>
    <col min="4088" max="4088" width="8.6640625" style="18" customWidth="1"/>
    <col min="4089" max="4089" width="9.88671875" style="18" customWidth="1"/>
    <col min="4090" max="4090" width="14.44140625" style="18" customWidth="1"/>
    <col min="4091" max="4091" width="7.33203125" style="18" customWidth="1"/>
    <col min="4092" max="4092" width="5.5546875" style="18" customWidth="1"/>
    <col min="4093" max="4093" width="9" style="18" customWidth="1"/>
    <col min="4094" max="4095" width="9.88671875" style="18" customWidth="1"/>
    <col min="4096" max="4096" width="11.109375" style="18" customWidth="1"/>
    <col min="4097" max="4097" width="2.88671875" style="18" customWidth="1"/>
    <col min="4098" max="4098" width="3.5546875" style="18" customWidth="1"/>
    <col min="4099" max="4343" width="9.109375" style="18"/>
    <col min="4344" max="4344" width="8.6640625" style="18" customWidth="1"/>
    <col min="4345" max="4345" width="9.88671875" style="18" customWidth="1"/>
    <col min="4346" max="4346" width="14.44140625" style="18" customWidth="1"/>
    <col min="4347" max="4347" width="7.33203125" style="18" customWidth="1"/>
    <col min="4348" max="4348" width="5.5546875" style="18" customWidth="1"/>
    <col min="4349" max="4349" width="9" style="18" customWidth="1"/>
    <col min="4350" max="4351" width="9.88671875" style="18" customWidth="1"/>
    <col min="4352" max="4352" width="11.109375" style="18" customWidth="1"/>
    <col min="4353" max="4353" width="2.88671875" style="18" customWidth="1"/>
    <col min="4354" max="4354" width="3.5546875" style="18" customWidth="1"/>
    <col min="4355" max="4599" width="9.109375" style="18"/>
    <col min="4600" max="4600" width="8.6640625" style="18" customWidth="1"/>
    <col min="4601" max="4601" width="9.88671875" style="18" customWidth="1"/>
    <col min="4602" max="4602" width="14.44140625" style="18" customWidth="1"/>
    <col min="4603" max="4603" width="7.33203125" style="18" customWidth="1"/>
    <col min="4604" max="4604" width="5.5546875" style="18" customWidth="1"/>
    <col min="4605" max="4605" width="9" style="18" customWidth="1"/>
    <col min="4606" max="4607" width="9.88671875" style="18" customWidth="1"/>
    <col min="4608" max="4608" width="11.109375" style="18" customWidth="1"/>
    <col min="4609" max="4609" width="2.88671875" style="18" customWidth="1"/>
    <col min="4610" max="4610" width="3.5546875" style="18" customWidth="1"/>
    <col min="4611" max="4855" width="9.109375" style="18"/>
    <col min="4856" max="4856" width="8.6640625" style="18" customWidth="1"/>
    <col min="4857" max="4857" width="9.88671875" style="18" customWidth="1"/>
    <col min="4858" max="4858" width="14.44140625" style="18" customWidth="1"/>
    <col min="4859" max="4859" width="7.33203125" style="18" customWidth="1"/>
    <col min="4860" max="4860" width="5.5546875" style="18" customWidth="1"/>
    <col min="4861" max="4861" width="9" style="18" customWidth="1"/>
    <col min="4862" max="4863" width="9.88671875" style="18" customWidth="1"/>
    <col min="4864" max="4864" width="11.109375" style="18" customWidth="1"/>
    <col min="4865" max="4865" width="2.88671875" style="18" customWidth="1"/>
    <col min="4866" max="4866" width="3.5546875" style="18" customWidth="1"/>
    <col min="4867" max="5111" width="9.109375" style="18"/>
    <col min="5112" max="5112" width="8.6640625" style="18" customWidth="1"/>
    <col min="5113" max="5113" width="9.88671875" style="18" customWidth="1"/>
    <col min="5114" max="5114" width="14.44140625" style="18" customWidth="1"/>
    <col min="5115" max="5115" width="7.33203125" style="18" customWidth="1"/>
    <col min="5116" max="5116" width="5.5546875" style="18" customWidth="1"/>
    <col min="5117" max="5117" width="9" style="18" customWidth="1"/>
    <col min="5118" max="5119" width="9.88671875" style="18" customWidth="1"/>
    <col min="5120" max="5120" width="11.109375" style="18" customWidth="1"/>
    <col min="5121" max="5121" width="2.88671875" style="18" customWidth="1"/>
    <col min="5122" max="5122" width="3.5546875" style="18" customWidth="1"/>
    <col min="5123" max="5367" width="9.109375" style="18"/>
    <col min="5368" max="5368" width="8.6640625" style="18" customWidth="1"/>
    <col min="5369" max="5369" width="9.88671875" style="18" customWidth="1"/>
    <col min="5370" max="5370" width="14.44140625" style="18" customWidth="1"/>
    <col min="5371" max="5371" width="7.33203125" style="18" customWidth="1"/>
    <col min="5372" max="5372" width="5.5546875" style="18" customWidth="1"/>
    <col min="5373" max="5373" width="9" style="18" customWidth="1"/>
    <col min="5374" max="5375" width="9.88671875" style="18" customWidth="1"/>
    <col min="5376" max="5376" width="11.109375" style="18" customWidth="1"/>
    <col min="5377" max="5377" width="2.88671875" style="18" customWidth="1"/>
    <col min="5378" max="5378" width="3.5546875" style="18" customWidth="1"/>
    <col min="5379" max="5623" width="9.109375" style="18"/>
    <col min="5624" max="5624" width="8.6640625" style="18" customWidth="1"/>
    <col min="5625" max="5625" width="9.88671875" style="18" customWidth="1"/>
    <col min="5626" max="5626" width="14.44140625" style="18" customWidth="1"/>
    <col min="5627" max="5627" width="7.33203125" style="18" customWidth="1"/>
    <col min="5628" max="5628" width="5.5546875" style="18" customWidth="1"/>
    <col min="5629" max="5629" width="9" style="18" customWidth="1"/>
    <col min="5630" max="5631" width="9.88671875" style="18" customWidth="1"/>
    <col min="5632" max="5632" width="11.109375" style="18" customWidth="1"/>
    <col min="5633" max="5633" width="2.88671875" style="18" customWidth="1"/>
    <col min="5634" max="5634" width="3.5546875" style="18" customWidth="1"/>
    <col min="5635" max="5879" width="9.109375" style="18"/>
    <col min="5880" max="5880" width="8.6640625" style="18" customWidth="1"/>
    <col min="5881" max="5881" width="9.88671875" style="18" customWidth="1"/>
    <col min="5882" max="5882" width="14.44140625" style="18" customWidth="1"/>
    <col min="5883" max="5883" width="7.33203125" style="18" customWidth="1"/>
    <col min="5884" max="5884" width="5.5546875" style="18" customWidth="1"/>
    <col min="5885" max="5885" width="9" style="18" customWidth="1"/>
    <col min="5886" max="5887" width="9.88671875" style="18" customWidth="1"/>
    <col min="5888" max="5888" width="11.109375" style="18" customWidth="1"/>
    <col min="5889" max="5889" width="2.88671875" style="18" customWidth="1"/>
    <col min="5890" max="5890" width="3.5546875" style="18" customWidth="1"/>
    <col min="5891" max="6135" width="9.109375" style="18"/>
    <col min="6136" max="6136" width="8.6640625" style="18" customWidth="1"/>
    <col min="6137" max="6137" width="9.88671875" style="18" customWidth="1"/>
    <col min="6138" max="6138" width="14.44140625" style="18" customWidth="1"/>
    <col min="6139" max="6139" width="7.33203125" style="18" customWidth="1"/>
    <col min="6140" max="6140" width="5.5546875" style="18" customWidth="1"/>
    <col min="6141" max="6141" width="9" style="18" customWidth="1"/>
    <col min="6142" max="6143" width="9.88671875" style="18" customWidth="1"/>
    <col min="6144" max="6144" width="11.109375" style="18" customWidth="1"/>
    <col min="6145" max="6145" width="2.88671875" style="18" customWidth="1"/>
    <col min="6146" max="6146" width="3.5546875" style="18" customWidth="1"/>
    <col min="6147" max="6391" width="9.109375" style="18"/>
    <col min="6392" max="6392" width="8.6640625" style="18" customWidth="1"/>
    <col min="6393" max="6393" width="9.88671875" style="18" customWidth="1"/>
    <col min="6394" max="6394" width="14.44140625" style="18" customWidth="1"/>
    <col min="6395" max="6395" width="7.33203125" style="18" customWidth="1"/>
    <col min="6396" max="6396" width="5.5546875" style="18" customWidth="1"/>
    <col min="6397" max="6397" width="9" style="18" customWidth="1"/>
    <col min="6398" max="6399" width="9.88671875" style="18" customWidth="1"/>
    <col min="6400" max="6400" width="11.109375" style="18" customWidth="1"/>
    <col min="6401" max="6401" width="2.88671875" style="18" customWidth="1"/>
    <col min="6402" max="6402" width="3.5546875" style="18" customWidth="1"/>
    <col min="6403" max="6647" width="9.109375" style="18"/>
    <col min="6648" max="6648" width="8.6640625" style="18" customWidth="1"/>
    <col min="6649" max="6649" width="9.88671875" style="18" customWidth="1"/>
    <col min="6650" max="6650" width="14.44140625" style="18" customWidth="1"/>
    <col min="6651" max="6651" width="7.33203125" style="18" customWidth="1"/>
    <col min="6652" max="6652" width="5.5546875" style="18" customWidth="1"/>
    <col min="6653" max="6653" width="9" style="18" customWidth="1"/>
    <col min="6654" max="6655" width="9.88671875" style="18" customWidth="1"/>
    <col min="6656" max="6656" width="11.109375" style="18" customWidth="1"/>
    <col min="6657" max="6657" width="2.88671875" style="18" customWidth="1"/>
    <col min="6658" max="6658" width="3.5546875" style="18" customWidth="1"/>
    <col min="6659" max="6903" width="9.109375" style="18"/>
    <col min="6904" max="6904" width="8.6640625" style="18" customWidth="1"/>
    <col min="6905" max="6905" width="9.88671875" style="18" customWidth="1"/>
    <col min="6906" max="6906" width="14.44140625" style="18" customWidth="1"/>
    <col min="6907" max="6907" width="7.33203125" style="18" customWidth="1"/>
    <col min="6908" max="6908" width="5.5546875" style="18" customWidth="1"/>
    <col min="6909" max="6909" width="9" style="18" customWidth="1"/>
    <col min="6910" max="6911" width="9.88671875" style="18" customWidth="1"/>
    <col min="6912" max="6912" width="11.109375" style="18" customWidth="1"/>
    <col min="6913" max="6913" width="2.88671875" style="18" customWidth="1"/>
    <col min="6914" max="6914" width="3.5546875" style="18" customWidth="1"/>
    <col min="6915" max="7159" width="9.109375" style="18"/>
    <col min="7160" max="7160" width="8.6640625" style="18" customWidth="1"/>
    <col min="7161" max="7161" width="9.88671875" style="18" customWidth="1"/>
    <col min="7162" max="7162" width="14.44140625" style="18" customWidth="1"/>
    <col min="7163" max="7163" width="7.33203125" style="18" customWidth="1"/>
    <col min="7164" max="7164" width="5.5546875" style="18" customWidth="1"/>
    <col min="7165" max="7165" width="9" style="18" customWidth="1"/>
    <col min="7166" max="7167" width="9.88671875" style="18" customWidth="1"/>
    <col min="7168" max="7168" width="11.109375" style="18" customWidth="1"/>
    <col min="7169" max="7169" width="2.88671875" style="18" customWidth="1"/>
    <col min="7170" max="7170" width="3.5546875" style="18" customWidth="1"/>
    <col min="7171" max="7415" width="9.109375" style="18"/>
    <col min="7416" max="7416" width="8.6640625" style="18" customWidth="1"/>
    <col min="7417" max="7417" width="9.88671875" style="18" customWidth="1"/>
    <col min="7418" max="7418" width="14.44140625" style="18" customWidth="1"/>
    <col min="7419" max="7419" width="7.33203125" style="18" customWidth="1"/>
    <col min="7420" max="7420" width="5.5546875" style="18" customWidth="1"/>
    <col min="7421" max="7421" width="9" style="18" customWidth="1"/>
    <col min="7422" max="7423" width="9.88671875" style="18" customWidth="1"/>
    <col min="7424" max="7424" width="11.109375" style="18" customWidth="1"/>
    <col min="7425" max="7425" width="2.88671875" style="18" customWidth="1"/>
    <col min="7426" max="7426" width="3.5546875" style="18" customWidth="1"/>
    <col min="7427" max="7671" width="9.109375" style="18"/>
    <col min="7672" max="7672" width="8.6640625" style="18" customWidth="1"/>
    <col min="7673" max="7673" width="9.88671875" style="18" customWidth="1"/>
    <col min="7674" max="7674" width="14.44140625" style="18" customWidth="1"/>
    <col min="7675" max="7675" width="7.33203125" style="18" customWidth="1"/>
    <col min="7676" max="7676" width="5.5546875" style="18" customWidth="1"/>
    <col min="7677" max="7677" width="9" style="18" customWidth="1"/>
    <col min="7678" max="7679" width="9.88671875" style="18" customWidth="1"/>
    <col min="7680" max="7680" width="11.109375" style="18" customWidth="1"/>
    <col min="7681" max="7681" width="2.88671875" style="18" customWidth="1"/>
    <col min="7682" max="7682" width="3.5546875" style="18" customWidth="1"/>
    <col min="7683" max="7927" width="9.109375" style="18"/>
    <col min="7928" max="7928" width="8.6640625" style="18" customWidth="1"/>
    <col min="7929" max="7929" width="9.88671875" style="18" customWidth="1"/>
    <col min="7930" max="7930" width="14.44140625" style="18" customWidth="1"/>
    <col min="7931" max="7931" width="7.33203125" style="18" customWidth="1"/>
    <col min="7932" max="7932" width="5.5546875" style="18" customWidth="1"/>
    <col min="7933" max="7933" width="9" style="18" customWidth="1"/>
    <col min="7934" max="7935" width="9.88671875" style="18" customWidth="1"/>
    <col min="7936" max="7936" width="11.109375" style="18" customWidth="1"/>
    <col min="7937" max="7937" width="2.88671875" style="18" customWidth="1"/>
    <col min="7938" max="7938" width="3.5546875" style="18" customWidth="1"/>
    <col min="7939" max="8183" width="9.109375" style="18"/>
    <col min="8184" max="8184" width="8.6640625" style="18" customWidth="1"/>
    <col min="8185" max="8185" width="9.88671875" style="18" customWidth="1"/>
    <col min="8186" max="8186" width="14.44140625" style="18" customWidth="1"/>
    <col min="8187" max="8187" width="7.33203125" style="18" customWidth="1"/>
    <col min="8188" max="8188" width="5.5546875" style="18" customWidth="1"/>
    <col min="8189" max="8189" width="9" style="18" customWidth="1"/>
    <col min="8190" max="8191" width="9.88671875" style="18" customWidth="1"/>
    <col min="8192" max="8192" width="11.109375" style="18" customWidth="1"/>
    <col min="8193" max="8193" width="2.88671875" style="18" customWidth="1"/>
    <col min="8194" max="8194" width="3.5546875" style="18" customWidth="1"/>
    <col min="8195" max="8439" width="9.109375" style="18"/>
    <col min="8440" max="8440" width="8.6640625" style="18" customWidth="1"/>
    <col min="8441" max="8441" width="9.88671875" style="18" customWidth="1"/>
    <col min="8442" max="8442" width="14.44140625" style="18" customWidth="1"/>
    <col min="8443" max="8443" width="7.33203125" style="18" customWidth="1"/>
    <col min="8444" max="8444" width="5.5546875" style="18" customWidth="1"/>
    <col min="8445" max="8445" width="9" style="18" customWidth="1"/>
    <col min="8446" max="8447" width="9.88671875" style="18" customWidth="1"/>
    <col min="8448" max="8448" width="11.109375" style="18" customWidth="1"/>
    <col min="8449" max="8449" width="2.88671875" style="18" customWidth="1"/>
    <col min="8450" max="8450" width="3.5546875" style="18" customWidth="1"/>
    <col min="8451" max="8695" width="9.109375" style="18"/>
    <col min="8696" max="8696" width="8.6640625" style="18" customWidth="1"/>
    <col min="8697" max="8697" width="9.88671875" style="18" customWidth="1"/>
    <col min="8698" max="8698" width="14.44140625" style="18" customWidth="1"/>
    <col min="8699" max="8699" width="7.33203125" style="18" customWidth="1"/>
    <col min="8700" max="8700" width="5.5546875" style="18" customWidth="1"/>
    <col min="8701" max="8701" width="9" style="18" customWidth="1"/>
    <col min="8702" max="8703" width="9.88671875" style="18" customWidth="1"/>
    <col min="8704" max="8704" width="11.109375" style="18" customWidth="1"/>
    <col min="8705" max="8705" width="2.88671875" style="18" customWidth="1"/>
    <col min="8706" max="8706" width="3.5546875" style="18" customWidth="1"/>
    <col min="8707" max="8951" width="9.109375" style="18"/>
    <col min="8952" max="8952" width="8.6640625" style="18" customWidth="1"/>
    <col min="8953" max="8953" width="9.88671875" style="18" customWidth="1"/>
    <col min="8954" max="8954" width="14.44140625" style="18" customWidth="1"/>
    <col min="8955" max="8955" width="7.33203125" style="18" customWidth="1"/>
    <col min="8956" max="8956" width="5.5546875" style="18" customWidth="1"/>
    <col min="8957" max="8957" width="9" style="18" customWidth="1"/>
    <col min="8958" max="8959" width="9.88671875" style="18" customWidth="1"/>
    <col min="8960" max="8960" width="11.109375" style="18" customWidth="1"/>
    <col min="8961" max="8961" width="2.88671875" style="18" customWidth="1"/>
    <col min="8962" max="8962" width="3.5546875" style="18" customWidth="1"/>
    <col min="8963" max="9207" width="9.109375" style="18"/>
    <col min="9208" max="9208" width="8.6640625" style="18" customWidth="1"/>
    <col min="9209" max="9209" width="9.88671875" style="18" customWidth="1"/>
    <col min="9210" max="9210" width="14.44140625" style="18" customWidth="1"/>
    <col min="9211" max="9211" width="7.33203125" style="18" customWidth="1"/>
    <col min="9212" max="9212" width="5.5546875" style="18" customWidth="1"/>
    <col min="9213" max="9213" width="9" style="18" customWidth="1"/>
    <col min="9214" max="9215" width="9.88671875" style="18" customWidth="1"/>
    <col min="9216" max="9216" width="11.109375" style="18" customWidth="1"/>
    <col min="9217" max="9217" width="2.88671875" style="18" customWidth="1"/>
    <col min="9218" max="9218" width="3.5546875" style="18" customWidth="1"/>
    <col min="9219" max="9463" width="9.109375" style="18"/>
    <col min="9464" max="9464" width="8.6640625" style="18" customWidth="1"/>
    <col min="9465" max="9465" width="9.88671875" style="18" customWidth="1"/>
    <col min="9466" max="9466" width="14.44140625" style="18" customWidth="1"/>
    <col min="9467" max="9467" width="7.33203125" style="18" customWidth="1"/>
    <col min="9468" max="9468" width="5.5546875" style="18" customWidth="1"/>
    <col min="9469" max="9469" width="9" style="18" customWidth="1"/>
    <col min="9470" max="9471" width="9.88671875" style="18" customWidth="1"/>
    <col min="9472" max="9472" width="11.109375" style="18" customWidth="1"/>
    <col min="9473" max="9473" width="2.88671875" style="18" customWidth="1"/>
    <col min="9474" max="9474" width="3.5546875" style="18" customWidth="1"/>
    <col min="9475" max="9719" width="9.109375" style="18"/>
    <col min="9720" max="9720" width="8.6640625" style="18" customWidth="1"/>
    <col min="9721" max="9721" width="9.88671875" style="18" customWidth="1"/>
    <col min="9722" max="9722" width="14.44140625" style="18" customWidth="1"/>
    <col min="9723" max="9723" width="7.33203125" style="18" customWidth="1"/>
    <col min="9724" max="9724" width="5.5546875" style="18" customWidth="1"/>
    <col min="9725" max="9725" width="9" style="18" customWidth="1"/>
    <col min="9726" max="9727" width="9.88671875" style="18" customWidth="1"/>
    <col min="9728" max="9728" width="11.109375" style="18" customWidth="1"/>
    <col min="9729" max="9729" width="2.88671875" style="18" customWidth="1"/>
    <col min="9730" max="9730" width="3.5546875" style="18" customWidth="1"/>
    <col min="9731" max="9975" width="9.109375" style="18"/>
    <col min="9976" max="9976" width="8.6640625" style="18" customWidth="1"/>
    <col min="9977" max="9977" width="9.88671875" style="18" customWidth="1"/>
    <col min="9978" max="9978" width="14.44140625" style="18" customWidth="1"/>
    <col min="9979" max="9979" width="7.33203125" style="18" customWidth="1"/>
    <col min="9980" max="9980" width="5.5546875" style="18" customWidth="1"/>
    <col min="9981" max="9981" width="9" style="18" customWidth="1"/>
    <col min="9982" max="9983" width="9.88671875" style="18" customWidth="1"/>
    <col min="9984" max="9984" width="11.109375" style="18" customWidth="1"/>
    <col min="9985" max="9985" width="2.88671875" style="18" customWidth="1"/>
    <col min="9986" max="9986" width="3.5546875" style="18" customWidth="1"/>
    <col min="9987" max="10231" width="9.109375" style="18"/>
    <col min="10232" max="10232" width="8.6640625" style="18" customWidth="1"/>
    <col min="10233" max="10233" width="9.88671875" style="18" customWidth="1"/>
    <col min="10234" max="10234" width="14.44140625" style="18" customWidth="1"/>
    <col min="10235" max="10235" width="7.33203125" style="18" customWidth="1"/>
    <col min="10236" max="10236" width="5.5546875" style="18" customWidth="1"/>
    <col min="10237" max="10237" width="9" style="18" customWidth="1"/>
    <col min="10238" max="10239" width="9.88671875" style="18" customWidth="1"/>
    <col min="10240" max="10240" width="11.109375" style="18" customWidth="1"/>
    <col min="10241" max="10241" width="2.88671875" style="18" customWidth="1"/>
    <col min="10242" max="10242" width="3.5546875" style="18" customWidth="1"/>
    <col min="10243" max="10487" width="9.109375" style="18"/>
    <col min="10488" max="10488" width="8.6640625" style="18" customWidth="1"/>
    <col min="10489" max="10489" width="9.88671875" style="18" customWidth="1"/>
    <col min="10490" max="10490" width="14.44140625" style="18" customWidth="1"/>
    <col min="10491" max="10491" width="7.33203125" style="18" customWidth="1"/>
    <col min="10492" max="10492" width="5.5546875" style="18" customWidth="1"/>
    <col min="10493" max="10493" width="9" style="18" customWidth="1"/>
    <col min="10494" max="10495" width="9.88671875" style="18" customWidth="1"/>
    <col min="10496" max="10496" width="11.109375" style="18" customWidth="1"/>
    <col min="10497" max="10497" width="2.88671875" style="18" customWidth="1"/>
    <col min="10498" max="10498" width="3.5546875" style="18" customWidth="1"/>
    <col min="10499" max="10743" width="9.109375" style="18"/>
    <col min="10744" max="10744" width="8.6640625" style="18" customWidth="1"/>
    <col min="10745" max="10745" width="9.88671875" style="18" customWidth="1"/>
    <col min="10746" max="10746" width="14.44140625" style="18" customWidth="1"/>
    <col min="10747" max="10747" width="7.33203125" style="18" customWidth="1"/>
    <col min="10748" max="10748" width="5.5546875" style="18" customWidth="1"/>
    <col min="10749" max="10749" width="9" style="18" customWidth="1"/>
    <col min="10750" max="10751" width="9.88671875" style="18" customWidth="1"/>
    <col min="10752" max="10752" width="11.109375" style="18" customWidth="1"/>
    <col min="10753" max="10753" width="2.88671875" style="18" customWidth="1"/>
    <col min="10754" max="10754" width="3.5546875" style="18" customWidth="1"/>
    <col min="10755" max="10999" width="9.109375" style="18"/>
    <col min="11000" max="11000" width="8.6640625" style="18" customWidth="1"/>
    <col min="11001" max="11001" width="9.88671875" style="18" customWidth="1"/>
    <col min="11002" max="11002" width="14.44140625" style="18" customWidth="1"/>
    <col min="11003" max="11003" width="7.33203125" style="18" customWidth="1"/>
    <col min="11004" max="11004" width="5.5546875" style="18" customWidth="1"/>
    <col min="11005" max="11005" width="9" style="18" customWidth="1"/>
    <col min="11006" max="11007" width="9.88671875" style="18" customWidth="1"/>
    <col min="11008" max="11008" width="11.109375" style="18" customWidth="1"/>
    <col min="11009" max="11009" width="2.88671875" style="18" customWidth="1"/>
    <col min="11010" max="11010" width="3.5546875" style="18" customWidth="1"/>
    <col min="11011" max="11255" width="9.109375" style="18"/>
    <col min="11256" max="11256" width="8.6640625" style="18" customWidth="1"/>
    <col min="11257" max="11257" width="9.88671875" style="18" customWidth="1"/>
    <col min="11258" max="11258" width="14.44140625" style="18" customWidth="1"/>
    <col min="11259" max="11259" width="7.33203125" style="18" customWidth="1"/>
    <col min="11260" max="11260" width="5.5546875" style="18" customWidth="1"/>
    <col min="11261" max="11261" width="9" style="18" customWidth="1"/>
    <col min="11262" max="11263" width="9.88671875" style="18" customWidth="1"/>
    <col min="11264" max="11264" width="11.109375" style="18" customWidth="1"/>
    <col min="11265" max="11265" width="2.88671875" style="18" customWidth="1"/>
    <col min="11266" max="11266" width="3.5546875" style="18" customWidth="1"/>
    <col min="11267" max="11511" width="9.109375" style="18"/>
    <col min="11512" max="11512" width="8.6640625" style="18" customWidth="1"/>
    <col min="11513" max="11513" width="9.88671875" style="18" customWidth="1"/>
    <col min="11514" max="11514" width="14.44140625" style="18" customWidth="1"/>
    <col min="11515" max="11515" width="7.33203125" style="18" customWidth="1"/>
    <col min="11516" max="11516" width="5.5546875" style="18" customWidth="1"/>
    <col min="11517" max="11517" width="9" style="18" customWidth="1"/>
    <col min="11518" max="11519" width="9.88671875" style="18" customWidth="1"/>
    <col min="11520" max="11520" width="11.109375" style="18" customWidth="1"/>
    <col min="11521" max="11521" width="2.88671875" style="18" customWidth="1"/>
    <col min="11522" max="11522" width="3.5546875" style="18" customWidth="1"/>
    <col min="11523" max="11767" width="9.109375" style="18"/>
    <col min="11768" max="11768" width="8.6640625" style="18" customWidth="1"/>
    <col min="11769" max="11769" width="9.88671875" style="18" customWidth="1"/>
    <col min="11770" max="11770" width="14.44140625" style="18" customWidth="1"/>
    <col min="11771" max="11771" width="7.33203125" style="18" customWidth="1"/>
    <col min="11772" max="11772" width="5.5546875" style="18" customWidth="1"/>
    <col min="11773" max="11773" width="9" style="18" customWidth="1"/>
    <col min="11774" max="11775" width="9.88671875" style="18" customWidth="1"/>
    <col min="11776" max="11776" width="11.109375" style="18" customWidth="1"/>
    <col min="11777" max="11777" width="2.88671875" style="18" customWidth="1"/>
    <col min="11778" max="11778" width="3.5546875" style="18" customWidth="1"/>
    <col min="11779" max="12023" width="9.109375" style="18"/>
    <col min="12024" max="12024" width="8.6640625" style="18" customWidth="1"/>
    <col min="12025" max="12025" width="9.88671875" style="18" customWidth="1"/>
    <col min="12026" max="12026" width="14.44140625" style="18" customWidth="1"/>
    <col min="12027" max="12027" width="7.33203125" style="18" customWidth="1"/>
    <col min="12028" max="12028" width="5.5546875" style="18" customWidth="1"/>
    <col min="12029" max="12029" width="9" style="18" customWidth="1"/>
    <col min="12030" max="12031" width="9.88671875" style="18" customWidth="1"/>
    <col min="12032" max="12032" width="11.109375" style="18" customWidth="1"/>
    <col min="12033" max="12033" width="2.88671875" style="18" customWidth="1"/>
    <col min="12034" max="12034" width="3.5546875" style="18" customWidth="1"/>
    <col min="12035" max="12279" width="9.109375" style="18"/>
    <col min="12280" max="12280" width="8.6640625" style="18" customWidth="1"/>
    <col min="12281" max="12281" width="9.88671875" style="18" customWidth="1"/>
    <col min="12282" max="12282" width="14.44140625" style="18" customWidth="1"/>
    <col min="12283" max="12283" width="7.33203125" style="18" customWidth="1"/>
    <col min="12284" max="12284" width="5.5546875" style="18" customWidth="1"/>
    <col min="12285" max="12285" width="9" style="18" customWidth="1"/>
    <col min="12286" max="12287" width="9.88671875" style="18" customWidth="1"/>
    <col min="12288" max="12288" width="11.109375" style="18" customWidth="1"/>
    <col min="12289" max="12289" width="2.88671875" style="18" customWidth="1"/>
    <col min="12290" max="12290" width="3.5546875" style="18" customWidth="1"/>
    <col min="12291" max="12535" width="9.109375" style="18"/>
    <col min="12536" max="12536" width="8.6640625" style="18" customWidth="1"/>
    <col min="12537" max="12537" width="9.88671875" style="18" customWidth="1"/>
    <col min="12538" max="12538" width="14.44140625" style="18" customWidth="1"/>
    <col min="12539" max="12539" width="7.33203125" style="18" customWidth="1"/>
    <col min="12540" max="12540" width="5.5546875" style="18" customWidth="1"/>
    <col min="12541" max="12541" width="9" style="18" customWidth="1"/>
    <col min="12542" max="12543" width="9.88671875" style="18" customWidth="1"/>
    <col min="12544" max="12544" width="11.109375" style="18" customWidth="1"/>
    <col min="12545" max="12545" width="2.88671875" style="18" customWidth="1"/>
    <col min="12546" max="12546" width="3.5546875" style="18" customWidth="1"/>
    <col min="12547" max="12791" width="9.109375" style="18"/>
    <col min="12792" max="12792" width="8.6640625" style="18" customWidth="1"/>
    <col min="12793" max="12793" width="9.88671875" style="18" customWidth="1"/>
    <col min="12794" max="12794" width="14.44140625" style="18" customWidth="1"/>
    <col min="12795" max="12795" width="7.33203125" style="18" customWidth="1"/>
    <col min="12796" max="12796" width="5.5546875" style="18" customWidth="1"/>
    <col min="12797" max="12797" width="9" style="18" customWidth="1"/>
    <col min="12798" max="12799" width="9.88671875" style="18" customWidth="1"/>
    <col min="12800" max="12800" width="11.109375" style="18" customWidth="1"/>
    <col min="12801" max="12801" width="2.88671875" style="18" customWidth="1"/>
    <col min="12802" max="12802" width="3.5546875" style="18" customWidth="1"/>
    <col min="12803" max="13047" width="9.109375" style="18"/>
    <col min="13048" max="13048" width="8.6640625" style="18" customWidth="1"/>
    <col min="13049" max="13049" width="9.88671875" style="18" customWidth="1"/>
    <col min="13050" max="13050" width="14.44140625" style="18" customWidth="1"/>
    <col min="13051" max="13051" width="7.33203125" style="18" customWidth="1"/>
    <col min="13052" max="13052" width="5.5546875" style="18" customWidth="1"/>
    <col min="13053" max="13053" width="9" style="18" customWidth="1"/>
    <col min="13054" max="13055" width="9.88671875" style="18" customWidth="1"/>
    <col min="13056" max="13056" width="11.109375" style="18" customWidth="1"/>
    <col min="13057" max="13057" width="2.88671875" style="18" customWidth="1"/>
    <col min="13058" max="13058" width="3.5546875" style="18" customWidth="1"/>
    <col min="13059" max="13303" width="9.109375" style="18"/>
    <col min="13304" max="13304" width="8.6640625" style="18" customWidth="1"/>
    <col min="13305" max="13305" width="9.88671875" style="18" customWidth="1"/>
    <col min="13306" max="13306" width="14.44140625" style="18" customWidth="1"/>
    <col min="13307" max="13307" width="7.33203125" style="18" customWidth="1"/>
    <col min="13308" max="13308" width="5.5546875" style="18" customWidth="1"/>
    <col min="13309" max="13309" width="9" style="18" customWidth="1"/>
    <col min="13310" max="13311" width="9.88671875" style="18" customWidth="1"/>
    <col min="13312" max="13312" width="11.109375" style="18" customWidth="1"/>
    <col min="13313" max="13313" width="2.88671875" style="18" customWidth="1"/>
    <col min="13314" max="13314" width="3.5546875" style="18" customWidth="1"/>
    <col min="13315" max="13559" width="9.109375" style="18"/>
    <col min="13560" max="13560" width="8.6640625" style="18" customWidth="1"/>
    <col min="13561" max="13561" width="9.88671875" style="18" customWidth="1"/>
    <col min="13562" max="13562" width="14.44140625" style="18" customWidth="1"/>
    <col min="13563" max="13563" width="7.33203125" style="18" customWidth="1"/>
    <col min="13564" max="13564" width="5.5546875" style="18" customWidth="1"/>
    <col min="13565" max="13565" width="9" style="18" customWidth="1"/>
    <col min="13566" max="13567" width="9.88671875" style="18" customWidth="1"/>
    <col min="13568" max="13568" width="11.109375" style="18" customWidth="1"/>
    <col min="13569" max="13569" width="2.88671875" style="18" customWidth="1"/>
    <col min="13570" max="13570" width="3.5546875" style="18" customWidth="1"/>
    <col min="13571" max="13815" width="9.109375" style="18"/>
    <col min="13816" max="13816" width="8.6640625" style="18" customWidth="1"/>
    <col min="13817" max="13817" width="9.88671875" style="18" customWidth="1"/>
    <col min="13818" max="13818" width="14.44140625" style="18" customWidth="1"/>
    <col min="13819" max="13819" width="7.33203125" style="18" customWidth="1"/>
    <col min="13820" max="13820" width="5.5546875" style="18" customWidth="1"/>
    <col min="13821" max="13821" width="9" style="18" customWidth="1"/>
    <col min="13822" max="13823" width="9.88671875" style="18" customWidth="1"/>
    <col min="13824" max="13824" width="11.109375" style="18" customWidth="1"/>
    <col min="13825" max="13825" width="2.88671875" style="18" customWidth="1"/>
    <col min="13826" max="13826" width="3.5546875" style="18" customWidth="1"/>
    <col min="13827" max="14071" width="9.109375" style="18"/>
    <col min="14072" max="14072" width="8.6640625" style="18" customWidth="1"/>
    <col min="14073" max="14073" width="9.88671875" style="18" customWidth="1"/>
    <col min="14074" max="14074" width="14.44140625" style="18" customWidth="1"/>
    <col min="14075" max="14075" width="7.33203125" style="18" customWidth="1"/>
    <col min="14076" max="14076" width="5.5546875" style="18" customWidth="1"/>
    <col min="14077" max="14077" width="9" style="18" customWidth="1"/>
    <col min="14078" max="14079" width="9.88671875" style="18" customWidth="1"/>
    <col min="14080" max="14080" width="11.109375" style="18" customWidth="1"/>
    <col min="14081" max="14081" width="2.88671875" style="18" customWidth="1"/>
    <col min="14082" max="14082" width="3.5546875" style="18" customWidth="1"/>
    <col min="14083" max="14327" width="9.109375" style="18"/>
    <col min="14328" max="14328" width="8.6640625" style="18" customWidth="1"/>
    <col min="14329" max="14329" width="9.88671875" style="18" customWidth="1"/>
    <col min="14330" max="14330" width="14.44140625" style="18" customWidth="1"/>
    <col min="14331" max="14331" width="7.33203125" style="18" customWidth="1"/>
    <col min="14332" max="14332" width="5.5546875" style="18" customWidth="1"/>
    <col min="14333" max="14333" width="9" style="18" customWidth="1"/>
    <col min="14334" max="14335" width="9.88671875" style="18" customWidth="1"/>
    <col min="14336" max="14336" width="11.109375" style="18" customWidth="1"/>
    <col min="14337" max="14337" width="2.88671875" style="18" customWidth="1"/>
    <col min="14338" max="14338" width="3.5546875" style="18" customWidth="1"/>
    <col min="14339" max="14583" width="9.109375" style="18"/>
    <col min="14584" max="14584" width="8.6640625" style="18" customWidth="1"/>
    <col min="14585" max="14585" width="9.88671875" style="18" customWidth="1"/>
    <col min="14586" max="14586" width="14.44140625" style="18" customWidth="1"/>
    <col min="14587" max="14587" width="7.33203125" style="18" customWidth="1"/>
    <col min="14588" max="14588" width="5.5546875" style="18" customWidth="1"/>
    <col min="14589" max="14589" width="9" style="18" customWidth="1"/>
    <col min="14590" max="14591" width="9.88671875" style="18" customWidth="1"/>
    <col min="14592" max="14592" width="11.109375" style="18" customWidth="1"/>
    <col min="14593" max="14593" width="2.88671875" style="18" customWidth="1"/>
    <col min="14594" max="14594" width="3.5546875" style="18" customWidth="1"/>
    <col min="14595" max="14839" width="9.109375" style="18"/>
    <col min="14840" max="14840" width="8.6640625" style="18" customWidth="1"/>
    <col min="14841" max="14841" width="9.88671875" style="18" customWidth="1"/>
    <col min="14842" max="14842" width="14.44140625" style="18" customWidth="1"/>
    <col min="14843" max="14843" width="7.33203125" style="18" customWidth="1"/>
    <col min="14844" max="14844" width="5.5546875" style="18" customWidth="1"/>
    <col min="14845" max="14845" width="9" style="18" customWidth="1"/>
    <col min="14846" max="14847" width="9.88671875" style="18" customWidth="1"/>
    <col min="14848" max="14848" width="11.109375" style="18" customWidth="1"/>
    <col min="14849" max="14849" width="2.88671875" style="18" customWidth="1"/>
    <col min="14850" max="14850" width="3.5546875" style="18" customWidth="1"/>
    <col min="14851" max="15095" width="9.109375" style="18"/>
    <col min="15096" max="15096" width="8.6640625" style="18" customWidth="1"/>
    <col min="15097" max="15097" width="9.88671875" style="18" customWidth="1"/>
    <col min="15098" max="15098" width="14.44140625" style="18" customWidth="1"/>
    <col min="15099" max="15099" width="7.33203125" style="18" customWidth="1"/>
    <col min="15100" max="15100" width="5.5546875" style="18" customWidth="1"/>
    <col min="15101" max="15101" width="9" style="18" customWidth="1"/>
    <col min="15102" max="15103" width="9.88671875" style="18" customWidth="1"/>
    <col min="15104" max="15104" width="11.109375" style="18" customWidth="1"/>
    <col min="15105" max="15105" width="2.88671875" style="18" customWidth="1"/>
    <col min="15106" max="15106" width="3.5546875" style="18" customWidth="1"/>
    <col min="15107" max="15351" width="9.109375" style="18"/>
    <col min="15352" max="15352" width="8.6640625" style="18" customWidth="1"/>
    <col min="15353" max="15353" width="9.88671875" style="18" customWidth="1"/>
    <col min="15354" max="15354" width="14.44140625" style="18" customWidth="1"/>
    <col min="15355" max="15355" width="7.33203125" style="18" customWidth="1"/>
    <col min="15356" max="15356" width="5.5546875" style="18" customWidth="1"/>
    <col min="15357" max="15357" width="9" style="18" customWidth="1"/>
    <col min="15358" max="15359" width="9.88671875" style="18" customWidth="1"/>
    <col min="15360" max="15360" width="11.109375" style="18" customWidth="1"/>
    <col min="15361" max="15361" width="2.88671875" style="18" customWidth="1"/>
    <col min="15362" max="15362" width="3.5546875" style="18" customWidth="1"/>
    <col min="15363" max="15607" width="9.109375" style="18"/>
    <col min="15608" max="15608" width="8.6640625" style="18" customWidth="1"/>
    <col min="15609" max="15609" width="9.88671875" style="18" customWidth="1"/>
    <col min="15610" max="15610" width="14.44140625" style="18" customWidth="1"/>
    <col min="15611" max="15611" width="7.33203125" style="18" customWidth="1"/>
    <col min="15612" max="15612" width="5.5546875" style="18" customWidth="1"/>
    <col min="15613" max="15613" width="9" style="18" customWidth="1"/>
    <col min="15614" max="15615" width="9.88671875" style="18" customWidth="1"/>
    <col min="15616" max="15616" width="11.109375" style="18" customWidth="1"/>
    <col min="15617" max="15617" width="2.88671875" style="18" customWidth="1"/>
    <col min="15618" max="15618" width="3.5546875" style="18" customWidth="1"/>
    <col min="15619" max="15863" width="9.109375" style="18"/>
    <col min="15864" max="15864" width="8.6640625" style="18" customWidth="1"/>
    <col min="15865" max="15865" width="9.88671875" style="18" customWidth="1"/>
    <col min="15866" max="15866" width="14.44140625" style="18" customWidth="1"/>
    <col min="15867" max="15867" width="7.33203125" style="18" customWidth="1"/>
    <col min="15868" max="15868" width="5.5546875" style="18" customWidth="1"/>
    <col min="15869" max="15869" width="9" style="18" customWidth="1"/>
    <col min="15870" max="15871" width="9.88671875" style="18" customWidth="1"/>
    <col min="15872" max="15872" width="11.109375" style="18" customWidth="1"/>
    <col min="15873" max="15873" width="2.88671875" style="18" customWidth="1"/>
    <col min="15874" max="15874" width="3.5546875" style="18" customWidth="1"/>
    <col min="15875" max="16119" width="9.109375" style="18"/>
    <col min="16120" max="16120" width="8.6640625" style="18" customWidth="1"/>
    <col min="16121" max="16121" width="9.88671875" style="18" customWidth="1"/>
    <col min="16122" max="16122" width="14.44140625" style="18" customWidth="1"/>
    <col min="16123" max="16123" width="7.33203125" style="18" customWidth="1"/>
    <col min="16124" max="16124" width="5.5546875" style="18" customWidth="1"/>
    <col min="16125" max="16125" width="9" style="18" customWidth="1"/>
    <col min="16126" max="16127" width="9.88671875" style="18" customWidth="1"/>
    <col min="16128" max="16128" width="11.109375" style="18" customWidth="1"/>
    <col min="16129" max="16129" width="2.88671875" style="18" customWidth="1"/>
    <col min="16130" max="16130" width="3.5546875" style="18" customWidth="1"/>
    <col min="16131" max="16384" width="9.109375" style="18"/>
  </cols>
  <sheetData>
    <row r="1" spans="1:26" ht="46.5" customHeight="1" x14ac:dyDescent="0.3">
      <c r="A1" s="131" t="s">
        <v>157</v>
      </c>
      <c r="B1" s="131"/>
      <c r="C1" s="131"/>
      <c r="D1" s="131"/>
      <c r="E1" s="131"/>
      <c r="F1" s="131"/>
      <c r="G1" s="131"/>
      <c r="H1" s="131"/>
    </row>
    <row r="2" spans="1:26" ht="16.5" customHeight="1" x14ac:dyDescent="0.3">
      <c r="A2" s="132" t="s">
        <v>0</v>
      </c>
      <c r="B2" s="132"/>
      <c r="C2" s="132"/>
      <c r="D2" s="132"/>
      <c r="E2" s="132"/>
      <c r="F2" s="132"/>
      <c r="G2" s="132"/>
      <c r="H2" s="132"/>
    </row>
    <row r="3" spans="1:26" x14ac:dyDescent="0.3">
      <c r="A3" s="94" t="s">
        <v>1</v>
      </c>
      <c r="B3" s="94"/>
      <c r="C3" s="94"/>
      <c r="D3" s="94"/>
      <c r="E3" s="94" t="str">
        <f ca="1">TEXT(TODAY(),"DD/MM/YYYY")</f>
        <v>11/09/2025</v>
      </c>
      <c r="F3" s="94"/>
      <c r="G3" s="94"/>
      <c r="H3" s="94"/>
      <c r="K3" s="49" t="s">
        <v>225</v>
      </c>
      <c r="L3" s="48" t="s">
        <v>223</v>
      </c>
      <c r="M3" s="48" t="s">
        <v>228</v>
      </c>
      <c r="N3" s="48" t="s">
        <v>226</v>
      </c>
      <c r="O3" s="48" t="s">
        <v>329</v>
      </c>
      <c r="P3" s="48" t="s">
        <v>229</v>
      </c>
    </row>
    <row r="4" spans="1:26" ht="15" customHeight="1" x14ac:dyDescent="0.3">
      <c r="A4" s="94" t="s">
        <v>222</v>
      </c>
      <c r="B4" s="94"/>
      <c r="C4" s="94"/>
      <c r="D4" s="94"/>
      <c r="E4" s="94" t="s">
        <v>223</v>
      </c>
      <c r="F4" s="94"/>
      <c r="G4" s="94"/>
      <c r="H4" s="94"/>
      <c r="K4" s="47" t="s">
        <v>224</v>
      </c>
      <c r="L4" s="48" t="s">
        <v>162</v>
      </c>
      <c r="M4" s="48" t="s">
        <v>233</v>
      </c>
      <c r="N4" s="48" t="s">
        <v>235</v>
      </c>
      <c r="O4" s="48" t="s">
        <v>330</v>
      </c>
      <c r="P4" s="48"/>
    </row>
    <row r="5" spans="1:26" ht="15" customHeight="1" x14ac:dyDescent="0.3">
      <c r="A5" s="94" t="s">
        <v>2</v>
      </c>
      <c r="B5" s="94"/>
      <c r="C5" s="94"/>
      <c r="D5" s="94"/>
      <c r="E5" s="94" t="s">
        <v>231</v>
      </c>
      <c r="F5" s="94"/>
      <c r="G5" s="94"/>
      <c r="H5" s="94"/>
      <c r="K5" s="47"/>
      <c r="L5" s="48" t="s">
        <v>230</v>
      </c>
      <c r="M5" s="48" t="s">
        <v>234</v>
      </c>
      <c r="N5" s="48" t="s">
        <v>236</v>
      </c>
      <c r="O5" s="48" t="s">
        <v>331</v>
      </c>
      <c r="P5" s="48"/>
    </row>
    <row r="6" spans="1:26" x14ac:dyDescent="0.3">
      <c r="A6" s="94" t="s">
        <v>3</v>
      </c>
      <c r="B6" s="94"/>
      <c r="C6" s="94"/>
      <c r="D6" s="94"/>
      <c r="E6" s="134">
        <v>45908</v>
      </c>
      <c r="F6" s="94"/>
      <c r="G6" s="94"/>
      <c r="H6" s="94"/>
      <c r="K6" s="47"/>
      <c r="L6" s="48" t="s">
        <v>231</v>
      </c>
      <c r="M6" s="48"/>
      <c r="N6" s="48"/>
      <c r="O6" s="48" t="s">
        <v>332</v>
      </c>
      <c r="P6" s="48"/>
    </row>
    <row r="7" spans="1:26" ht="16.5" customHeight="1" x14ac:dyDescent="0.3">
      <c r="A7" s="94" t="s">
        <v>4</v>
      </c>
      <c r="B7" s="94"/>
      <c r="C7" s="94"/>
      <c r="D7" s="94"/>
      <c r="E7" s="94" t="s">
        <v>338</v>
      </c>
      <c r="F7" s="94"/>
      <c r="G7" s="94"/>
      <c r="H7" s="94"/>
      <c r="K7" s="47"/>
      <c r="L7" s="48" t="s">
        <v>232</v>
      </c>
      <c r="M7" s="48"/>
      <c r="N7" s="48"/>
      <c r="O7" s="48" t="s">
        <v>332</v>
      </c>
      <c r="P7" s="48"/>
    </row>
    <row r="8" spans="1:26" ht="15" customHeight="1" x14ac:dyDescent="0.3">
      <c r="A8" s="94" t="s">
        <v>5</v>
      </c>
      <c r="B8" s="94"/>
      <c r="C8" s="94"/>
      <c r="D8" s="94"/>
      <c r="E8" s="94" t="str">
        <f>E7</f>
        <v>Rajbai Infra</v>
      </c>
      <c r="F8" s="94"/>
      <c r="G8" s="94"/>
      <c r="H8" s="94"/>
      <c r="K8" s="47"/>
      <c r="L8" s="48"/>
      <c r="M8" s="48"/>
      <c r="N8" s="48"/>
      <c r="O8" s="48" t="s">
        <v>333</v>
      </c>
      <c r="P8" s="48"/>
    </row>
    <row r="9" spans="1:26" x14ac:dyDescent="0.3">
      <c r="A9" s="94" t="s">
        <v>6</v>
      </c>
      <c r="B9" s="94"/>
      <c r="C9" s="94"/>
      <c r="D9" s="94"/>
      <c r="E9" s="133" t="s">
        <v>339</v>
      </c>
      <c r="F9" s="133"/>
      <c r="G9" s="133"/>
      <c r="H9" s="133"/>
      <c r="K9" s="47"/>
      <c r="L9" s="48"/>
      <c r="M9" s="48"/>
      <c r="N9" s="48"/>
      <c r="O9" s="48" t="s">
        <v>334</v>
      </c>
      <c r="P9" s="48"/>
    </row>
    <row r="10" spans="1:26" x14ac:dyDescent="0.3">
      <c r="A10" s="94" t="s">
        <v>159</v>
      </c>
      <c r="B10" s="94"/>
      <c r="C10" s="94"/>
      <c r="D10" s="94"/>
      <c r="E10" s="92" t="s">
        <v>340</v>
      </c>
      <c r="F10" s="94"/>
      <c r="G10" s="94"/>
      <c r="H10" s="94"/>
      <c r="K10" s="47"/>
      <c r="L10" s="48"/>
      <c r="M10" s="48"/>
      <c r="N10" s="48"/>
      <c r="O10" s="48" t="s">
        <v>335</v>
      </c>
      <c r="P10" s="48"/>
    </row>
    <row r="11" spans="1:26" x14ac:dyDescent="0.3">
      <c r="A11" s="94" t="s">
        <v>160</v>
      </c>
      <c r="B11" s="94"/>
      <c r="C11" s="94"/>
      <c r="D11" s="94"/>
      <c r="E11" s="92" t="s">
        <v>340</v>
      </c>
      <c r="F11" s="94"/>
      <c r="G11" s="94"/>
      <c r="H11" s="94"/>
      <c r="O11" s="48" t="s">
        <v>336</v>
      </c>
    </row>
    <row r="12" spans="1:26" x14ac:dyDescent="0.3">
      <c r="A12" s="94" t="s">
        <v>7</v>
      </c>
      <c r="B12" s="94"/>
      <c r="C12" s="94"/>
      <c r="D12" s="94"/>
      <c r="E12" s="94" t="s">
        <v>116</v>
      </c>
      <c r="F12" s="94"/>
      <c r="G12" s="94"/>
      <c r="H12" s="94"/>
    </row>
    <row r="13" spans="1:26" x14ac:dyDescent="0.3">
      <c r="A13" s="94" t="s">
        <v>163</v>
      </c>
      <c r="B13" s="94"/>
      <c r="C13" s="94"/>
      <c r="D13" s="94"/>
      <c r="E13" s="94" t="s">
        <v>28</v>
      </c>
      <c r="F13" s="94"/>
      <c r="G13" s="94"/>
      <c r="H13" s="94"/>
      <c r="S13" s="48" t="s">
        <v>169</v>
      </c>
      <c r="T13" s="48" t="s">
        <v>178</v>
      </c>
      <c r="U13" s="48" t="s">
        <v>164</v>
      </c>
      <c r="V13" s="48" t="s">
        <v>183</v>
      </c>
      <c r="W13" s="48" t="s">
        <v>201</v>
      </c>
      <c r="X13"/>
      <c r="Y13" t="s">
        <v>183</v>
      </c>
      <c r="Z13" t="e">
        <f ca="1">OFFSET($S$13,1,MATCH($G20,$S$13:$W$13,0)-1,15,1)</f>
        <v>#VALUE!</v>
      </c>
    </row>
    <row r="14" spans="1:26" ht="34.5" customHeight="1" x14ac:dyDescent="0.3">
      <c r="A14" s="88" t="s">
        <v>268</v>
      </c>
      <c r="B14" s="88"/>
      <c r="C14" s="88"/>
      <c r="D14" s="88"/>
      <c r="E14" s="92" t="s">
        <v>383</v>
      </c>
      <c r="F14" s="92"/>
      <c r="G14" s="92"/>
      <c r="H14" s="92"/>
      <c r="S14" s="48" t="s">
        <v>169</v>
      </c>
      <c r="T14" s="48" t="s">
        <v>176</v>
      </c>
      <c r="U14" s="48" t="s">
        <v>198</v>
      </c>
      <c r="V14" s="48" t="s">
        <v>184</v>
      </c>
      <c r="W14" s="48" t="s">
        <v>202</v>
      </c>
      <c r="X14"/>
      <c r="Y14"/>
      <c r="Z14"/>
    </row>
    <row r="15" spans="1:26" x14ac:dyDescent="0.3">
      <c r="A15" s="88" t="s">
        <v>8</v>
      </c>
      <c r="B15" s="88"/>
      <c r="C15" s="88"/>
      <c r="D15" s="88"/>
      <c r="E15" s="92" t="s">
        <v>341</v>
      </c>
      <c r="F15" s="94"/>
      <c r="G15" s="94"/>
      <c r="H15" s="94"/>
      <c r="I15" s="85" t="e">
        <f ca="1">OFFSET($D$5,1,MATCH($J13,$D$5:$H$5,0)-1,15,1)</f>
        <v>#N/A</v>
      </c>
      <c r="J15" s="86"/>
      <c r="K15" s="86"/>
      <c r="L15" s="86"/>
      <c r="M15" s="86"/>
      <c r="N15" s="86"/>
      <c r="O15" s="86"/>
      <c r="P15" s="86"/>
      <c r="S15" s="48" t="s">
        <v>170</v>
      </c>
      <c r="T15" s="48" t="s">
        <v>177</v>
      </c>
      <c r="U15" s="48" t="s">
        <v>199</v>
      </c>
      <c r="V15" s="48" t="s">
        <v>185</v>
      </c>
      <c r="W15" s="48" t="s">
        <v>215</v>
      </c>
      <c r="X15"/>
      <c r="Y15"/>
      <c r="Z15"/>
    </row>
    <row r="16" spans="1:26" ht="33.75" customHeight="1" x14ac:dyDescent="0.3">
      <c r="A16" s="92" t="s">
        <v>9</v>
      </c>
      <c r="B16" s="92"/>
      <c r="C16" s="92" t="str">
        <f>CONCATENATE((IF(OR(E9="",E9="NA"),"",E9)),", ",(IF(OR(A17="",A17="NA"),"",A17)),".",(IF(OR(C17="",C17="NA"),"",C17)),", near ",(IF(OR(C22="",C22="NA"),"",C22)),", ",(IF(OR(C19="",C19="NA"),"",C19)),", ",(IF(OR(C18="",C18="NA"),"",C18)),", ",(IF(OR(G19="",G19="NA"),"",G19)),", ",(IF(OR(C20="",C20="NA"),"",C20)),", ",(IF(OR(C21="",C21="NA"),"",C21)),", ",(IF(OR(G20="",G20="NA"),"",G20))," - ",(IF(OR(G21="",G21="NA"),"",G21)),".")</f>
        <v>Magnus, Plot No.B112 &amp; Sector No. 8, near Ganesh Krupa Building, Internal Road, Kharkopar, Ulwe, Kharkopar West, Panvel, Raigad - 410206.</v>
      </c>
      <c r="D16" s="92"/>
      <c r="E16" s="92"/>
      <c r="F16" s="92"/>
      <c r="G16" s="92"/>
      <c r="H16" s="92"/>
      <c r="S16" s="48" t="s">
        <v>171</v>
      </c>
      <c r="T16" s="48" t="s">
        <v>179</v>
      </c>
      <c r="U16" s="48" t="s">
        <v>200</v>
      </c>
      <c r="V16" s="48" t="s">
        <v>186</v>
      </c>
      <c r="W16" s="48" t="s">
        <v>203</v>
      </c>
      <c r="X16"/>
      <c r="Y16"/>
      <c r="Z16"/>
    </row>
    <row r="17" spans="1:26" x14ac:dyDescent="0.3">
      <c r="A17" s="92" t="s">
        <v>342</v>
      </c>
      <c r="B17" s="92"/>
      <c r="C17" s="92" t="s">
        <v>343</v>
      </c>
      <c r="D17" s="92"/>
      <c r="E17" s="92"/>
      <c r="F17" s="92"/>
      <c r="G17" s="92"/>
      <c r="H17" s="92"/>
      <c r="S17" s="48" t="s">
        <v>172</v>
      </c>
      <c r="T17" s="48" t="s">
        <v>180</v>
      </c>
      <c r="U17" s="48" t="s">
        <v>164</v>
      </c>
      <c r="V17" s="48" t="s">
        <v>187</v>
      </c>
      <c r="W17" s="48" t="s">
        <v>204</v>
      </c>
      <c r="X17"/>
      <c r="Y17"/>
      <c r="Z17"/>
    </row>
    <row r="18" spans="1:26" ht="15.75" customHeight="1" x14ac:dyDescent="0.3">
      <c r="A18" s="92" t="s">
        <v>155</v>
      </c>
      <c r="B18" s="92"/>
      <c r="C18" s="92" t="s">
        <v>344</v>
      </c>
      <c r="D18" s="92"/>
      <c r="E18" s="92"/>
      <c r="F18" s="92"/>
      <c r="G18" s="92"/>
      <c r="H18" s="92"/>
      <c r="S18" s="48" t="s">
        <v>173</v>
      </c>
      <c r="T18" s="48" t="s">
        <v>178</v>
      </c>
      <c r="U18" s="48"/>
      <c r="V18" s="48" t="s">
        <v>188</v>
      </c>
      <c r="W18" s="48" t="s">
        <v>205</v>
      </c>
      <c r="X18"/>
      <c r="Y18"/>
      <c r="Z18"/>
    </row>
    <row r="19" spans="1:26" ht="15.75" customHeight="1" x14ac:dyDescent="0.3">
      <c r="A19" s="92" t="s">
        <v>10</v>
      </c>
      <c r="B19" s="92"/>
      <c r="C19" s="94" t="s">
        <v>345</v>
      </c>
      <c r="D19" s="94"/>
      <c r="E19" s="92" t="s">
        <v>69</v>
      </c>
      <c r="F19" s="92"/>
      <c r="G19" s="92" t="s">
        <v>347</v>
      </c>
      <c r="H19" s="92"/>
      <c r="S19" s="48" t="s">
        <v>174</v>
      </c>
      <c r="T19" s="48" t="s">
        <v>181</v>
      </c>
      <c r="U19" s="48"/>
      <c r="V19" s="48" t="s">
        <v>189</v>
      </c>
      <c r="W19" s="48" t="s">
        <v>206</v>
      </c>
      <c r="X19"/>
      <c r="Y19"/>
      <c r="Z19"/>
    </row>
    <row r="20" spans="1:26" x14ac:dyDescent="0.3">
      <c r="A20" s="94" t="s">
        <v>12</v>
      </c>
      <c r="B20" s="94"/>
      <c r="C20" s="92" t="s">
        <v>346</v>
      </c>
      <c r="D20" s="92"/>
      <c r="E20" s="92" t="s">
        <v>11</v>
      </c>
      <c r="F20" s="92"/>
      <c r="G20" s="93" t="s">
        <v>183</v>
      </c>
      <c r="H20" s="93"/>
      <c r="S20" s="48" t="s">
        <v>175</v>
      </c>
      <c r="T20" s="48" t="s">
        <v>182</v>
      </c>
      <c r="U20" s="48"/>
      <c r="V20" s="48" t="s">
        <v>190</v>
      </c>
      <c r="W20" s="48" t="s">
        <v>207</v>
      </c>
      <c r="X20"/>
      <c r="Y20"/>
      <c r="Z20"/>
    </row>
    <row r="21" spans="1:26" x14ac:dyDescent="0.3">
      <c r="A21" s="94" t="s">
        <v>70</v>
      </c>
      <c r="B21" s="94"/>
      <c r="C21" s="92" t="s">
        <v>185</v>
      </c>
      <c r="D21" s="92"/>
      <c r="E21" s="92" t="s">
        <v>13</v>
      </c>
      <c r="F21" s="92"/>
      <c r="G21" s="92">
        <v>410206</v>
      </c>
      <c r="H21" s="92"/>
      <c r="S21" s="48"/>
      <c r="T21" s="48"/>
      <c r="U21" s="48"/>
      <c r="V21" s="48" t="s">
        <v>191</v>
      </c>
      <c r="W21" s="48" t="s">
        <v>208</v>
      </c>
      <c r="X21"/>
      <c r="Y21"/>
      <c r="Z21"/>
    </row>
    <row r="22" spans="1:26" ht="51" customHeight="1" x14ac:dyDescent="0.3">
      <c r="A22" s="94" t="s">
        <v>117</v>
      </c>
      <c r="B22" s="94"/>
      <c r="C22" s="92" t="s">
        <v>350</v>
      </c>
      <c r="D22" s="92"/>
      <c r="E22" s="92" t="s">
        <v>14</v>
      </c>
      <c r="F22" s="92"/>
      <c r="G22" s="92" t="s">
        <v>351</v>
      </c>
      <c r="H22" s="92"/>
      <c r="S22" s="48"/>
      <c r="T22" s="48"/>
      <c r="U22" s="48"/>
      <c r="V22" s="48" t="s">
        <v>192</v>
      </c>
      <c r="W22" s="48" t="s">
        <v>209</v>
      </c>
      <c r="X22"/>
      <c r="Y22"/>
      <c r="Z22"/>
    </row>
    <row r="23" spans="1:26" ht="15" customHeight="1" x14ac:dyDescent="0.3">
      <c r="A23" s="82" t="s">
        <v>71</v>
      </c>
      <c r="B23" s="82"/>
      <c r="C23" s="82"/>
      <c r="D23" s="82"/>
      <c r="E23" s="94" t="s">
        <v>15</v>
      </c>
      <c r="F23" s="94"/>
      <c r="G23" s="94"/>
      <c r="H23" s="94"/>
      <c r="S23" s="48"/>
      <c r="T23" s="48"/>
      <c r="U23" s="48"/>
      <c r="V23" s="48" t="s">
        <v>193</v>
      </c>
      <c r="W23" s="48" t="s">
        <v>210</v>
      </c>
      <c r="X23"/>
      <c r="Y23"/>
      <c r="Z23"/>
    </row>
    <row r="24" spans="1:26" ht="18.75" customHeight="1" x14ac:dyDescent="0.3">
      <c r="A24" s="82"/>
      <c r="B24" s="82"/>
      <c r="C24" s="82"/>
      <c r="D24" s="82"/>
      <c r="E24" s="94"/>
      <c r="F24" s="94"/>
      <c r="G24" s="94"/>
      <c r="H24" s="94"/>
      <c r="S24" s="48"/>
      <c r="T24" s="48"/>
      <c r="U24" s="48"/>
      <c r="V24" s="48" t="s">
        <v>194</v>
      </c>
      <c r="W24" s="48" t="s">
        <v>211</v>
      </c>
      <c r="X24"/>
      <c r="Y24"/>
      <c r="Z24"/>
    </row>
    <row r="25" spans="1:26" ht="15" customHeight="1" x14ac:dyDescent="0.3">
      <c r="A25" s="82" t="s">
        <v>16</v>
      </c>
      <c r="B25" s="82"/>
      <c r="C25" s="82"/>
      <c r="D25" s="82"/>
      <c r="E25" s="92" t="s">
        <v>17</v>
      </c>
      <c r="F25" s="92"/>
      <c r="G25" s="92"/>
      <c r="H25" s="92"/>
      <c r="S25" s="48"/>
      <c r="T25" s="48"/>
      <c r="U25" s="48"/>
      <c r="V25" s="48" t="s">
        <v>195</v>
      </c>
      <c r="W25" s="48" t="s">
        <v>212</v>
      </c>
      <c r="X25"/>
      <c r="Y25"/>
      <c r="Z25"/>
    </row>
    <row r="26" spans="1:26" ht="15" customHeight="1" x14ac:dyDescent="0.3">
      <c r="A26" s="88" t="s">
        <v>18</v>
      </c>
      <c r="B26" s="88"/>
      <c r="C26" s="88"/>
      <c r="D26" s="88"/>
      <c r="E26" s="92" t="str">
        <f>IF(AND(G20="Mumbai"),"Upper Class","Middle Class")</f>
        <v>Middle Class</v>
      </c>
      <c r="F26" s="92"/>
      <c r="G26" s="92"/>
      <c r="H26" s="92"/>
      <c r="S26" s="48"/>
      <c r="T26" s="48"/>
      <c r="U26" s="48"/>
      <c r="V26" s="48" t="s">
        <v>196</v>
      </c>
      <c r="W26" s="48" t="s">
        <v>213</v>
      </c>
      <c r="X26"/>
      <c r="Y26"/>
      <c r="Z26"/>
    </row>
    <row r="27" spans="1:26" x14ac:dyDescent="0.3">
      <c r="A27" s="88" t="s">
        <v>19</v>
      </c>
      <c r="B27" s="88"/>
      <c r="C27" s="88"/>
      <c r="D27" s="88"/>
      <c r="E27" s="92" t="s">
        <v>20</v>
      </c>
      <c r="F27" s="92"/>
      <c r="G27" s="92"/>
      <c r="H27" s="92"/>
      <c r="S27" s="48"/>
      <c r="T27" s="48"/>
      <c r="U27" s="48"/>
      <c r="V27" s="48" t="s">
        <v>197</v>
      </c>
      <c r="W27" s="48" t="s">
        <v>214</v>
      </c>
      <c r="X27"/>
      <c r="Y27"/>
      <c r="Z27"/>
    </row>
    <row r="28" spans="1:26" ht="15.75" customHeight="1" x14ac:dyDescent="0.3">
      <c r="A28" s="88" t="s">
        <v>21</v>
      </c>
      <c r="B28" s="88"/>
      <c r="C28" s="88"/>
      <c r="D28" s="88"/>
      <c r="E28" s="92" t="str">
        <f>IF(AND(G20="Mumbai"),"Developed","Developing")</f>
        <v>Developing</v>
      </c>
      <c r="F28" s="92"/>
      <c r="G28" s="92"/>
      <c r="H28" s="92"/>
    </row>
    <row r="29" spans="1:26" x14ac:dyDescent="0.3">
      <c r="A29" s="88" t="s">
        <v>22</v>
      </c>
      <c r="B29" s="88"/>
      <c r="C29" s="88"/>
      <c r="D29" s="88"/>
      <c r="E29" s="92" t="s">
        <v>23</v>
      </c>
      <c r="F29" s="92"/>
      <c r="G29" s="92"/>
      <c r="H29" s="92"/>
    </row>
    <row r="30" spans="1:26" ht="15.75" customHeight="1" x14ac:dyDescent="0.3">
      <c r="A30" s="88" t="s">
        <v>76</v>
      </c>
      <c r="B30" s="88"/>
      <c r="C30" s="88"/>
      <c r="D30" s="88"/>
      <c r="E30" s="92" t="s">
        <v>77</v>
      </c>
      <c r="F30" s="92"/>
      <c r="G30" s="92"/>
      <c r="H30" s="92"/>
    </row>
    <row r="31" spans="1:26" ht="15" customHeight="1" x14ac:dyDescent="0.3">
      <c r="A31" s="88" t="s">
        <v>29</v>
      </c>
      <c r="B31" s="88"/>
      <c r="C31" s="88"/>
      <c r="D31" s="88"/>
      <c r="E31" s="92" t="str">
        <f>IF(AND(ISNUMBER(SEARCH("Flat",D59)),ISNUMBER(SEARCH("Shop",D59)),ISNUMBER(SEARCH("Office",D59))),"Residential + Commercial",IF(AND(ISNUMBER(SEARCH("Flat",D59)),ISNUMBER(SEARCH("Shop",D59))),"Residential + Commercial",IF(AND(ISNUMBER(SEARCH("Flat",D59)),ISNUMBER(SEARCH("Office",D59))),"Residential + Commercial",IF(AND(ISNUMBER(SEARCH("Shop",D59)),ISNUMBER(SEARCH("Office",D59))),"Commercial",IF(ISNUMBER(SEARCH("Shop",D59)),"Commercial",IF(ISNUMBER(SEARCH("Office",D59)),"Commercial",IF(ISNUMBER(SEARCH("Flat",D59)),"Residential")))))))</f>
        <v>Residential</v>
      </c>
      <c r="F31" s="92"/>
      <c r="G31" s="92"/>
      <c r="H31" s="92"/>
    </row>
    <row r="32" spans="1:26" ht="15.75" customHeight="1" x14ac:dyDescent="0.3">
      <c r="A32" s="88" t="s">
        <v>88</v>
      </c>
      <c r="B32" s="88"/>
      <c r="C32" s="88"/>
      <c r="D32" s="88"/>
      <c r="E32" s="92" t="s">
        <v>30</v>
      </c>
      <c r="F32" s="92"/>
      <c r="G32" s="92"/>
      <c r="H32" s="92"/>
      <c r="L32" s="191"/>
      <c r="M32" s="192"/>
    </row>
    <row r="33" spans="1:19" s="19" customFormat="1" x14ac:dyDescent="0.3">
      <c r="A33" s="137" t="s">
        <v>89</v>
      </c>
      <c r="B33" s="137"/>
      <c r="C33" s="97" t="s">
        <v>165</v>
      </c>
      <c r="D33" s="97"/>
      <c r="E33" s="97" t="s">
        <v>352</v>
      </c>
      <c r="F33" s="97"/>
      <c r="G33" s="97" t="s">
        <v>353</v>
      </c>
      <c r="H33" s="97"/>
      <c r="S33" s="19" t="e">
        <f ca="1">OFFSET($S$13,1,MATCH($G20,$S$13:$W$13,0)-1,15,1)</f>
        <v>#VALUE!</v>
      </c>
    </row>
    <row r="34" spans="1:19" s="19" customFormat="1" x14ac:dyDescent="0.3">
      <c r="A34" s="136" t="s">
        <v>24</v>
      </c>
      <c r="B34" s="136" t="s">
        <v>28</v>
      </c>
      <c r="C34" s="193" t="s">
        <v>354</v>
      </c>
      <c r="D34" s="193"/>
      <c r="E34" s="193" t="s">
        <v>345</v>
      </c>
      <c r="F34" s="193"/>
      <c r="G34" s="193" t="s">
        <v>354</v>
      </c>
      <c r="H34" s="193"/>
    </row>
    <row r="35" spans="1:19" x14ac:dyDescent="0.3">
      <c r="A35" s="136" t="s">
        <v>25</v>
      </c>
      <c r="B35" s="136" t="s">
        <v>28</v>
      </c>
      <c r="C35" s="193" t="s">
        <v>355</v>
      </c>
      <c r="D35" s="193"/>
      <c r="E35" s="193" t="s">
        <v>357</v>
      </c>
      <c r="F35" s="193"/>
      <c r="G35" s="193" t="s">
        <v>355</v>
      </c>
      <c r="H35" s="193"/>
    </row>
    <row r="36" spans="1:19" s="19" customFormat="1" x14ac:dyDescent="0.3">
      <c r="A36" s="136" t="s">
        <v>27</v>
      </c>
      <c r="B36" s="136" t="s">
        <v>28</v>
      </c>
      <c r="C36" s="193" t="s">
        <v>354</v>
      </c>
      <c r="D36" s="193"/>
      <c r="E36" s="193" t="s">
        <v>345</v>
      </c>
      <c r="F36" s="193"/>
      <c r="G36" s="193" t="s">
        <v>354</v>
      </c>
      <c r="H36" s="193"/>
    </row>
    <row r="37" spans="1:19" x14ac:dyDescent="0.3">
      <c r="A37" s="136" t="s">
        <v>26</v>
      </c>
      <c r="B37" s="136" t="s">
        <v>28</v>
      </c>
      <c r="C37" s="193" t="s">
        <v>356</v>
      </c>
      <c r="D37" s="193"/>
      <c r="E37" s="193" t="s">
        <v>350</v>
      </c>
      <c r="F37" s="193"/>
      <c r="G37" s="193" t="s">
        <v>356</v>
      </c>
      <c r="H37" s="193"/>
    </row>
    <row r="38" spans="1:19" x14ac:dyDescent="0.3">
      <c r="A38" s="88" t="s">
        <v>269</v>
      </c>
      <c r="B38" s="88"/>
      <c r="C38" s="88"/>
      <c r="D38" s="88"/>
      <c r="E38" s="88"/>
      <c r="F38" s="88"/>
      <c r="G38" s="88"/>
      <c r="H38" s="88"/>
    </row>
    <row r="39" spans="1:19" ht="15.75" customHeight="1" x14ac:dyDescent="0.3">
      <c r="A39" s="88" t="s">
        <v>158</v>
      </c>
      <c r="B39" s="88"/>
      <c r="C39" s="111" t="s">
        <v>348</v>
      </c>
      <c r="D39" s="111"/>
      <c r="E39" s="111"/>
      <c r="F39" s="111"/>
      <c r="G39" s="111"/>
      <c r="H39" s="111"/>
    </row>
    <row r="40" spans="1:19" x14ac:dyDescent="0.3">
      <c r="A40" s="88" t="s">
        <v>154</v>
      </c>
      <c r="B40" s="88"/>
      <c r="C40" s="194" t="s">
        <v>349</v>
      </c>
      <c r="D40" s="92"/>
      <c r="E40" s="92"/>
      <c r="F40" s="92"/>
      <c r="G40" s="92"/>
      <c r="H40" s="92"/>
    </row>
    <row r="41" spans="1:19" x14ac:dyDescent="0.3">
      <c r="A41" s="111" t="s">
        <v>31</v>
      </c>
      <c r="B41" s="111"/>
      <c r="C41" s="111"/>
      <c r="D41" s="111"/>
      <c r="E41" s="111"/>
      <c r="F41" s="111"/>
      <c r="G41" s="111"/>
      <c r="H41" s="111"/>
    </row>
    <row r="42" spans="1:19" x14ac:dyDescent="0.3">
      <c r="A42" s="88" t="s">
        <v>32</v>
      </c>
      <c r="B42" s="88"/>
      <c r="C42" s="88"/>
      <c r="D42" s="88"/>
      <c r="E42" s="150">
        <v>399.86</v>
      </c>
      <c r="F42" s="150"/>
      <c r="G42" s="150"/>
      <c r="H42" s="150"/>
    </row>
    <row r="43" spans="1:19" x14ac:dyDescent="0.3">
      <c r="A43" s="88" t="s">
        <v>33</v>
      </c>
      <c r="B43" s="88"/>
      <c r="C43" s="88"/>
      <c r="D43" s="88"/>
      <c r="E43" s="87">
        <v>1.5</v>
      </c>
      <c r="F43" s="87"/>
      <c r="G43" s="87"/>
      <c r="H43" s="87"/>
    </row>
    <row r="44" spans="1:19" x14ac:dyDescent="0.3">
      <c r="A44" s="88" t="s">
        <v>34</v>
      </c>
      <c r="B44" s="88"/>
      <c r="C44" s="88"/>
      <c r="D44" s="88"/>
      <c r="E44" s="87">
        <f>E46/E42-E43</f>
        <v>1.4296503776321714</v>
      </c>
      <c r="F44" s="87"/>
      <c r="G44" s="87"/>
      <c r="H44" s="87"/>
    </row>
    <row r="45" spans="1:19" x14ac:dyDescent="0.3">
      <c r="A45" s="94" t="s">
        <v>35</v>
      </c>
      <c r="B45" s="94"/>
      <c r="C45" s="94"/>
      <c r="D45" s="94"/>
      <c r="E45" s="162">
        <f>E43+E44</f>
        <v>2.9296503776321714</v>
      </c>
      <c r="F45" s="162"/>
      <c r="G45" s="162"/>
      <c r="H45" s="162"/>
    </row>
    <row r="46" spans="1:19" x14ac:dyDescent="0.3">
      <c r="A46" s="94" t="s">
        <v>87</v>
      </c>
      <c r="B46" s="94"/>
      <c r="C46" s="94"/>
      <c r="D46" s="94"/>
      <c r="E46" s="163">
        <v>1171.45</v>
      </c>
      <c r="F46" s="163"/>
      <c r="G46" s="163"/>
      <c r="H46" s="163"/>
    </row>
    <row r="47" spans="1:19" x14ac:dyDescent="0.3">
      <c r="A47" s="94" t="s">
        <v>36</v>
      </c>
      <c r="B47" s="94"/>
      <c r="C47" s="94"/>
      <c r="D47" s="94"/>
      <c r="E47" s="94" t="s">
        <v>116</v>
      </c>
      <c r="F47" s="94"/>
      <c r="G47" s="94"/>
      <c r="H47" s="94"/>
    </row>
    <row r="48" spans="1:19" x14ac:dyDescent="0.3">
      <c r="A48" s="133" t="s">
        <v>37</v>
      </c>
      <c r="B48" s="133"/>
      <c r="C48" s="133"/>
      <c r="D48" s="133"/>
      <c r="E48" s="133"/>
      <c r="F48" s="133"/>
      <c r="G48" s="133"/>
      <c r="H48" s="133"/>
    </row>
    <row r="49" spans="1:24" ht="33.75" customHeight="1" x14ac:dyDescent="0.3">
      <c r="A49" s="160" t="s">
        <v>146</v>
      </c>
      <c r="B49" s="161"/>
      <c r="C49" s="165" t="s">
        <v>257</v>
      </c>
      <c r="D49" s="166"/>
      <c r="E49" s="166"/>
      <c r="F49" s="166"/>
      <c r="G49" s="166"/>
      <c r="H49" s="167"/>
      <c r="R49" t="s">
        <v>242</v>
      </c>
      <c r="S49" s="50" t="s">
        <v>164</v>
      </c>
      <c r="T49" s="50" t="s">
        <v>169</v>
      </c>
      <c r="U49" s="50" t="s">
        <v>183</v>
      </c>
      <c r="V49" s="50" t="s">
        <v>178</v>
      </c>
    </row>
    <row r="50" spans="1:24" ht="33" customHeight="1" x14ac:dyDescent="0.3">
      <c r="A50" s="89" t="s">
        <v>38</v>
      </c>
      <c r="B50" s="90"/>
      <c r="C50" s="89" t="s">
        <v>358</v>
      </c>
      <c r="D50" s="91"/>
      <c r="E50" s="90"/>
      <c r="F50" s="17" t="s">
        <v>39</v>
      </c>
      <c r="G50" s="83">
        <v>45191</v>
      </c>
      <c r="H50" s="84"/>
      <c r="R50"/>
      <c r="S50" s="50" t="s">
        <v>243</v>
      </c>
      <c r="T50" s="50" t="s">
        <v>248</v>
      </c>
      <c r="U50" s="50" t="s">
        <v>259</v>
      </c>
      <c r="V50" s="50" t="s">
        <v>264</v>
      </c>
    </row>
    <row r="51" spans="1:24" ht="33" customHeight="1" x14ac:dyDescent="0.3">
      <c r="A51" s="89" t="s">
        <v>40</v>
      </c>
      <c r="B51" s="90"/>
      <c r="C51" s="89" t="str">
        <f>C50</f>
        <v>CIDCO/BP-18093/TPO(NM &amp; K)2022/11316</v>
      </c>
      <c r="D51" s="91"/>
      <c r="E51" s="90"/>
      <c r="F51" s="17" t="s">
        <v>39</v>
      </c>
      <c r="G51" s="83">
        <f>G50</f>
        <v>45191</v>
      </c>
      <c r="H51" s="84"/>
      <c r="R51"/>
      <c r="S51" s="50" t="s">
        <v>244</v>
      </c>
      <c r="T51" s="50" t="s">
        <v>249</v>
      </c>
      <c r="U51" s="50" t="s">
        <v>257</v>
      </c>
      <c r="V51" s="50" t="s">
        <v>265</v>
      </c>
    </row>
    <row r="52" spans="1:24" s="20" customFormat="1" ht="33" customHeight="1" x14ac:dyDescent="0.3">
      <c r="A52" s="155" t="s">
        <v>149</v>
      </c>
      <c r="B52" s="156"/>
      <c r="C52" s="89" t="str">
        <f>C51</f>
        <v>CIDCO/BP-18093/TPO(NM &amp; K)2022/11316</v>
      </c>
      <c r="D52" s="91"/>
      <c r="E52" s="90"/>
      <c r="F52" s="17" t="s">
        <v>39</v>
      </c>
      <c r="G52" s="83">
        <f>G51</f>
        <v>45191</v>
      </c>
      <c r="H52" s="84"/>
      <c r="R52"/>
      <c r="S52" s="50" t="s">
        <v>245</v>
      </c>
      <c r="T52" s="50" t="s">
        <v>250</v>
      </c>
      <c r="U52" s="50" t="s">
        <v>247</v>
      </c>
      <c r="V52" s="50" t="s">
        <v>266</v>
      </c>
    </row>
    <row r="53" spans="1:24" s="20" customFormat="1" x14ac:dyDescent="0.3">
      <c r="A53" s="157"/>
      <c r="B53" s="158"/>
      <c r="C53" s="89" t="s">
        <v>359</v>
      </c>
      <c r="D53" s="91"/>
      <c r="E53" s="91"/>
      <c r="F53" s="91"/>
      <c r="G53" s="91"/>
      <c r="H53" s="90"/>
      <c r="R53"/>
      <c r="S53" s="50" t="s">
        <v>246</v>
      </c>
      <c r="T53" s="50" t="s">
        <v>253</v>
      </c>
      <c r="U53" s="50" t="s">
        <v>260</v>
      </c>
      <c r="V53" s="65"/>
    </row>
    <row r="54" spans="1:24" s="20" customFormat="1" ht="15.75" customHeight="1" x14ac:dyDescent="0.3">
      <c r="A54" s="138" t="s">
        <v>270</v>
      </c>
      <c r="B54" s="152"/>
      <c r="C54" s="89" t="s">
        <v>381</v>
      </c>
      <c r="D54" s="91"/>
      <c r="E54" s="90"/>
      <c r="F54" s="17" t="s">
        <v>39</v>
      </c>
      <c r="G54" s="83">
        <v>44581</v>
      </c>
      <c r="H54" s="84"/>
      <c r="R54"/>
      <c r="S54" s="66"/>
      <c r="T54" s="50" t="s">
        <v>255</v>
      </c>
      <c r="U54" s="66" t="s">
        <v>284</v>
      </c>
      <c r="V54" s="66"/>
      <c r="W54" s="18"/>
      <c r="X54" s="18"/>
    </row>
    <row r="55" spans="1:24" s="20" customFormat="1" ht="33.75" customHeight="1" x14ac:dyDescent="0.3">
      <c r="A55" s="153"/>
      <c r="B55" s="154"/>
      <c r="C55" s="82" t="s">
        <v>382</v>
      </c>
      <c r="D55" s="82"/>
      <c r="E55" s="82"/>
      <c r="F55" s="17" t="s">
        <v>380</v>
      </c>
      <c r="G55" s="83">
        <v>47502</v>
      </c>
      <c r="H55" s="84"/>
      <c r="R55"/>
      <c r="S55" s="66"/>
      <c r="T55" s="50" t="s">
        <v>256</v>
      </c>
      <c r="U55" s="66"/>
      <c r="V55" s="66"/>
      <c r="W55" s="18"/>
      <c r="X55" s="18"/>
    </row>
    <row r="56" spans="1:24" x14ac:dyDescent="0.3">
      <c r="A56" s="100" t="s">
        <v>41</v>
      </c>
      <c r="B56" s="101"/>
      <c r="C56" s="100" t="s">
        <v>101</v>
      </c>
      <c r="D56" s="102"/>
      <c r="E56" s="101"/>
      <c r="F56" s="40" t="s">
        <v>39</v>
      </c>
      <c r="G56" s="104" t="s">
        <v>28</v>
      </c>
      <c r="H56" s="105"/>
      <c r="R56"/>
      <c r="S56" s="66"/>
      <c r="T56" s="50" t="s">
        <v>258</v>
      </c>
      <c r="U56" s="66"/>
      <c r="V56" s="66"/>
    </row>
    <row r="57" spans="1:24" x14ac:dyDescent="0.3">
      <c r="A57" s="127" t="s">
        <v>43</v>
      </c>
      <c r="B57" s="127"/>
      <c r="C57" s="127"/>
      <c r="D57" s="127"/>
      <c r="E57" s="127"/>
      <c r="F57" s="127"/>
      <c r="G57" s="127"/>
      <c r="H57" s="127"/>
      <c r="S57" s="66"/>
      <c r="T57" s="50" t="s">
        <v>267</v>
      </c>
      <c r="U57" s="66"/>
      <c r="V57" s="66"/>
    </row>
    <row r="58" spans="1:24" x14ac:dyDescent="0.3">
      <c r="A58" s="82" t="s">
        <v>86</v>
      </c>
      <c r="B58" s="82"/>
      <c r="C58" s="82"/>
      <c r="D58" s="88">
        <f>E46</f>
        <v>1171.45</v>
      </c>
      <c r="E58" s="88"/>
      <c r="F58" s="88"/>
      <c r="G58" s="88"/>
      <c r="H58" s="88"/>
      <c r="R58"/>
    </row>
    <row r="59" spans="1:24" x14ac:dyDescent="0.3">
      <c r="A59" s="92" t="s">
        <v>44</v>
      </c>
      <c r="B59" s="94"/>
      <c r="C59" s="94"/>
      <c r="D59" s="94" t="s">
        <v>374</v>
      </c>
      <c r="E59" s="94"/>
      <c r="F59" s="94"/>
      <c r="G59" s="94"/>
      <c r="H59" s="94"/>
      <c r="I59" s="21"/>
      <c r="R59"/>
    </row>
    <row r="60" spans="1:24" x14ac:dyDescent="0.3">
      <c r="A60" s="138" t="s">
        <v>45</v>
      </c>
      <c r="B60" s="139"/>
      <c r="C60" s="152"/>
      <c r="D60" s="106" t="s">
        <v>360</v>
      </c>
      <c r="E60" s="164"/>
      <c r="F60" s="164"/>
      <c r="G60" s="164"/>
      <c r="H60" s="164"/>
      <c r="R60"/>
    </row>
    <row r="61" spans="1:24" ht="15.75" customHeight="1" x14ac:dyDescent="0.3">
      <c r="A61" s="138" t="s">
        <v>84</v>
      </c>
      <c r="B61" s="139"/>
      <c r="C61" s="139"/>
      <c r="D61" s="94" t="s">
        <v>361</v>
      </c>
      <c r="E61" s="94"/>
      <c r="F61" s="94"/>
      <c r="G61" s="94"/>
      <c r="H61" s="94"/>
      <c r="R61"/>
    </row>
    <row r="62" spans="1:24" ht="15.75" customHeight="1" x14ac:dyDescent="0.3">
      <c r="A62" s="94" t="s">
        <v>42</v>
      </c>
      <c r="B62" s="94"/>
      <c r="C62" s="94"/>
      <c r="D62" s="151" t="s">
        <v>362</v>
      </c>
      <c r="E62" s="151"/>
      <c r="F62" s="151"/>
      <c r="G62" s="151"/>
      <c r="H62" s="151"/>
      <c r="J62" s="22"/>
      <c r="K62" s="21"/>
      <c r="N62" s="21"/>
      <c r="S62"/>
    </row>
    <row r="63" spans="1:24" ht="15.75" customHeight="1" x14ac:dyDescent="0.3">
      <c r="A63" s="94" t="s">
        <v>82</v>
      </c>
      <c r="B63" s="94"/>
      <c r="C63" s="94"/>
      <c r="D63" s="159" t="str">
        <f>(IF(G56="NA","60 Years After Completion",IF(G56&lt;&gt;"NA",""&amp;60-ROUNDDOWN((E3-G56)/360,0)&amp;" Years"," ")))</f>
        <v>60 Years After Completion</v>
      </c>
      <c r="E63" s="159"/>
      <c r="F63" s="159"/>
      <c r="G63" s="159"/>
      <c r="H63" s="159"/>
      <c r="N63" s="21"/>
      <c r="S63"/>
    </row>
    <row r="64" spans="1:24" ht="15.75" customHeight="1" x14ac:dyDescent="0.3">
      <c r="A64" s="94" t="s">
        <v>83</v>
      </c>
      <c r="B64" s="94"/>
      <c r="C64" s="94"/>
      <c r="D64" s="92" t="s">
        <v>23</v>
      </c>
      <c r="E64" s="92"/>
      <c r="F64" s="92"/>
      <c r="G64" s="92"/>
      <c r="H64" s="92"/>
      <c r="J64" s="23"/>
      <c r="K64" s="23"/>
      <c r="S64"/>
    </row>
    <row r="65" spans="1:19" x14ac:dyDescent="0.3">
      <c r="A65" s="94" t="s">
        <v>375</v>
      </c>
      <c r="B65" s="94"/>
      <c r="C65" s="94"/>
      <c r="D65" s="92" t="s">
        <v>373</v>
      </c>
      <c r="E65" s="92"/>
      <c r="F65" s="92"/>
      <c r="G65" s="92"/>
      <c r="H65" s="92"/>
      <c r="S65"/>
    </row>
    <row r="66" spans="1:19" x14ac:dyDescent="0.3">
      <c r="A66" s="82" t="s">
        <v>143</v>
      </c>
      <c r="B66" s="82"/>
      <c r="C66" s="82"/>
      <c r="D66" s="82" t="s">
        <v>28</v>
      </c>
      <c r="E66" s="82"/>
      <c r="F66" s="82"/>
      <c r="G66" s="82"/>
      <c r="H66" s="82"/>
      <c r="I66" s="24"/>
      <c r="J66" s="24"/>
      <c r="K66" s="24"/>
      <c r="L66" s="24"/>
      <c r="M66" s="24"/>
      <c r="N66" s="24"/>
    </row>
    <row r="67" spans="1:19" ht="15.75" customHeight="1" x14ac:dyDescent="0.3">
      <c r="A67" s="149" t="s">
        <v>81</v>
      </c>
      <c r="B67" s="149"/>
      <c r="C67" s="149"/>
      <c r="D67" s="106" t="str">
        <f ca="1">(IF(G73&gt;95%,"Nothing",IF(G73&gt;0%,"Cement, Aggregate, Steel, etc",IF(G73=0%,"Work not yet Started"))))</f>
        <v>Cement, Aggregate, Steel, etc</v>
      </c>
      <c r="E67" s="106"/>
      <c r="F67" s="106"/>
      <c r="G67" s="106"/>
      <c r="H67" s="106"/>
      <c r="J67" s="23"/>
      <c r="S67"/>
    </row>
    <row r="68" spans="1:19" ht="33.75" customHeight="1" thickBot="1" x14ac:dyDescent="0.35">
      <c r="A68" s="148" t="s">
        <v>114</v>
      </c>
      <c r="B68" s="148"/>
      <c r="C68" s="148"/>
      <c r="D68" s="106" t="str">
        <f ca="1">(IF(D67="Nothing","Yes",IF(D67="Cement, Aggregate, Steel, etc","Under Construction",IF(D67="Work not yet Started","Work not yet Started"))))</f>
        <v>Under Construction</v>
      </c>
      <c r="E68" s="106"/>
      <c r="F68" s="106" t="str">
        <f ca="1">(IF(D67="Nothing","Yes",IF(D67="Cement, Aggregate, Steel, etc","Under Construction",IF(D67="Work not yet Started","Work not yet Started"))))</f>
        <v>Under Construction</v>
      </c>
      <c r="G68" s="106"/>
      <c r="H68" s="106"/>
      <c r="S68"/>
    </row>
    <row r="69" spans="1:19" ht="15.75" customHeight="1" x14ac:dyDescent="0.3">
      <c r="A69" s="141" t="s">
        <v>135</v>
      </c>
      <c r="B69" s="142"/>
      <c r="C69" s="143" t="str">
        <f>D61</f>
        <v>G + 1st to 7th Floor</v>
      </c>
      <c r="D69" s="144"/>
      <c r="E69" s="144"/>
      <c r="F69" s="144"/>
      <c r="G69" s="144"/>
      <c r="H69" s="145"/>
      <c r="I69" s="42" t="str">
        <f ca="1">IF(D82=100%,"All work Completed. Possession granted to the Building.",IF(D81=100%,"All work Completed, Waiting for OC",I70&amp;""&amp;I71&amp;""&amp;J70&amp;""&amp;J69&amp;" "&amp;J71))</f>
        <v>Excavation, Plinth, RCC Slab, Brickwork, Internal Plaster, External Plaster Completed, Flooring upto 6 Floor, Painting upto 6 Floor, Finishing upto 3 Floor Completed</v>
      </c>
      <c r="J69" s="43" t="str">
        <f ca="1">(IF(C75=(D70+F70+H70),"",IF(C75&gt;0,", RCC upto "&amp;C75&amp;" Slab","")))&amp;(IF(C76=H70,"",IF(C76&gt;0,", Brickwork upto "&amp;C76&amp;" Floor","")))&amp;(IF(C77=H70,"",IF(C77&gt;0,", Internal Plaster upto "&amp;C77&amp;" Floor","")))&amp;(IF(C78=H70,"",IF(C78&gt;0,", External Plaster upto "&amp;C78&amp;" Floor","")))&amp;(IF(C79=H70,"",IF(C79&gt;0,", Flooring upto "&amp;C79&amp;" Floor","")))&amp;(IF(C80=H70,"",IF(C80&gt;0,", Painting upto "&amp;C80&amp;" Floor","")))&amp;(IF(C81=H70,"",IF(C81&gt;0,", Finishing upto "&amp;C81&amp;" Floor","")))&amp;(IF(C82=H70,"",IF(C82&gt;0,", Possession upto "&amp;C82&amp;" Floor","")))</f>
        <v>, Flooring upto 6 Floor, Painting upto 6 Floor, Finishing upto 3 Floor</v>
      </c>
      <c r="S69"/>
    </row>
    <row r="70" spans="1:19" x14ac:dyDescent="0.3">
      <c r="A70" s="15" t="s">
        <v>137</v>
      </c>
      <c r="B70" s="46">
        <f>IF(AND(ISNUMBER(SEARCH("1B",C69))),1,IF(AND(ISNUMBER(SEARCH("2B",C69))),2,IF(AND(ISNUMBER(SEARCH("3B",C69))),3,IF(AND(ISNUMBER(SEARCH("4B",C69))),4,IF(ISNUMBER(SEARCH("5B",C69)),5,0)))))</f>
        <v>0</v>
      </c>
      <c r="C70" s="46" t="s">
        <v>68</v>
      </c>
      <c r="D70" s="46">
        <v>1</v>
      </c>
      <c r="E70" s="46" t="s">
        <v>67</v>
      </c>
      <c r="F70" s="46">
        <v>0</v>
      </c>
      <c r="G70" s="46" t="s">
        <v>75</v>
      </c>
      <c r="H70" s="16">
        <f ca="1">--TRIM(RIGHT(SUBSTITUTE(LEFT(C69,_xlfn.AGGREGATE(16,6,FIND({0,1,2,3,4,5,6,7,8,9},C69,ROW(INDIRECT("1:"&amp;LEN(C69)))),1))," ",REPT(" ",LEN(C69))),LEN(C69)))</f>
        <v>7</v>
      </c>
      <c r="I70" s="44" t="str">
        <f ca="1">IF(D73=100%,"Excavation","")&amp;IF(D74=100%,", Plinth","")&amp;IF(D75=100%,", RCC Slab","")&amp;IF(D76=100%,", Brickwork","")&amp;IF(D77=100%,", Internal Plaster","")&amp;IF(D78=100%,", External Plaster","")&amp;IF(D79=100%,", Flooring","")&amp;IF(D80=100%,", Painting","")&amp;IF(D81=100%,", Building common Amenities","")</f>
        <v>Excavation, Plinth, RCC Slab, Brickwork, Internal Plaster, External Plaster</v>
      </c>
      <c r="J70" s="45" t="str">
        <f ca="1">(IF(C73=0,"Work not yet Started.",IF(D73=25%,"Piling work in process",IF(D73=50%,"Excavation work in process",IF(D73=100%,"","0")))))&amp;(IF(C74=0%,"",IF(C74=J75,", Footing work is process",IF(C74=J76,", Footing work Completed",IF(C74=J77,", 1st Basement Completed",IF(C74=J78,", 1st &amp; 2nd Basement Completed",IF(C74=J79,", 1st to 3rd Basement Completed",IF(C74=J80,", 1st to 4th Basement Completed",IF(C74=J81,", Plinth work is process",IF(C74=J82,"","0"))))))))))</f>
        <v/>
      </c>
      <c r="S70"/>
    </row>
    <row r="71" spans="1:19" ht="46.8" customHeight="1" x14ac:dyDescent="0.3">
      <c r="A71" s="140" t="s">
        <v>85</v>
      </c>
      <c r="B71" s="133"/>
      <c r="C71" s="146" t="str">
        <f ca="1">I69</f>
        <v>Excavation, Plinth, RCC Slab, Brickwork, Internal Plaster, External Plaster Completed, Flooring upto 6 Floor, Painting upto 6 Floor, Finishing upto 3 Floor Completed</v>
      </c>
      <c r="D71" s="146"/>
      <c r="E71" s="146"/>
      <c r="F71" s="146"/>
      <c r="G71" s="146"/>
      <c r="H71" s="147"/>
      <c r="I71" s="44" t="str">
        <f ca="1">IF(I70&lt;&gt;""," Completed","")</f>
        <v xml:space="preserve"> Completed</v>
      </c>
      <c r="J71" s="45" t="str">
        <f ca="1">IF(J69&lt;&gt;"","Completed","")</f>
        <v>Completed</v>
      </c>
      <c r="S71"/>
    </row>
    <row r="72" spans="1:19" ht="15.75" customHeight="1" x14ac:dyDescent="0.3">
      <c r="A72" s="80" t="s">
        <v>46</v>
      </c>
      <c r="B72" s="81"/>
      <c r="C72" s="74" t="s">
        <v>134</v>
      </c>
      <c r="D72" s="74" t="s">
        <v>78</v>
      </c>
      <c r="E72" s="81" t="s">
        <v>80</v>
      </c>
      <c r="F72" s="81"/>
      <c r="G72" s="81" t="s">
        <v>79</v>
      </c>
      <c r="H72" s="107"/>
      <c r="I72" s="13" t="s">
        <v>136</v>
      </c>
      <c r="J72" s="25">
        <f ca="1">H70*25%</f>
        <v>1.75</v>
      </c>
      <c r="S72"/>
    </row>
    <row r="73" spans="1:19" x14ac:dyDescent="0.3">
      <c r="A73" s="80" t="s">
        <v>123</v>
      </c>
      <c r="B73" s="81"/>
      <c r="C73" s="74">
        <f ca="1">J74</f>
        <v>7</v>
      </c>
      <c r="D73" s="75">
        <f ca="1">((100/H70)*C73)/100</f>
        <v>1</v>
      </c>
      <c r="E73" s="182">
        <f ca="1">(((C74/H70*10)+(40/(D70+F70+H70)*C75)+(7.5/(H70)*C76)+(7.5/(H70)*C77)+(10/H70*C78)+(10/H70*C79)+(5/H70*C80)+(5/H70*C81)+(5/H70*C82))/100)</f>
        <v>0.9</v>
      </c>
      <c r="F73" s="183"/>
      <c r="G73" s="182">
        <f ca="1">((((C73/H70)*20)+((C74/H70)*25)+(30/(H70+F70+D70)*C75)+(5/H70*C76)+(5/H70*C77)+(5/H70*C78)+(5/H70*C79)+(0/H70*C80)+(0/H70*C81)+(5/H70*C82))/100)</f>
        <v>0.94285714285714295</v>
      </c>
      <c r="H73" s="188"/>
      <c r="I73" s="13" t="s">
        <v>96</v>
      </c>
      <c r="J73" s="26">
        <f ca="1">H70*50%</f>
        <v>3.5</v>
      </c>
    </row>
    <row r="74" spans="1:19" x14ac:dyDescent="0.3">
      <c r="A74" s="80" t="s">
        <v>47</v>
      </c>
      <c r="B74" s="81"/>
      <c r="C74" s="74">
        <f ca="1">J82</f>
        <v>7</v>
      </c>
      <c r="D74" s="75">
        <f ca="1">((100/H70)*C74)/100</f>
        <v>1</v>
      </c>
      <c r="E74" s="184"/>
      <c r="F74" s="185"/>
      <c r="G74" s="184"/>
      <c r="H74" s="189"/>
      <c r="I74" s="13" t="s">
        <v>97</v>
      </c>
      <c r="J74" s="26">
        <f ca="1">H70</f>
        <v>7</v>
      </c>
      <c r="S74"/>
    </row>
    <row r="75" spans="1:19" ht="15.75" customHeight="1" x14ac:dyDescent="0.3">
      <c r="A75" s="80" t="s">
        <v>124</v>
      </c>
      <c r="B75" s="81"/>
      <c r="C75" s="74">
        <v>8</v>
      </c>
      <c r="D75" s="75">
        <f ca="1">((100/(D70+F70+H70))*C75)/100</f>
        <v>1</v>
      </c>
      <c r="E75" s="184"/>
      <c r="F75" s="185"/>
      <c r="G75" s="184"/>
      <c r="H75" s="189"/>
      <c r="I75" s="13" t="s">
        <v>98</v>
      </c>
      <c r="J75" s="27">
        <f ca="1">(IF(B70&gt;1,(H70/(B70+2)),H70/4))</f>
        <v>1.75</v>
      </c>
      <c r="S75"/>
    </row>
    <row r="76" spans="1:19" ht="15.75" customHeight="1" x14ac:dyDescent="0.3">
      <c r="A76" s="80" t="s">
        <v>131</v>
      </c>
      <c r="B76" s="81" t="s">
        <v>125</v>
      </c>
      <c r="C76" s="74">
        <v>7</v>
      </c>
      <c r="D76" s="75">
        <f ca="1">((100/H70)*C76)/100</f>
        <v>1</v>
      </c>
      <c r="E76" s="184"/>
      <c r="F76" s="185"/>
      <c r="G76" s="184"/>
      <c r="H76" s="189"/>
      <c r="I76" s="13" t="s">
        <v>99</v>
      </c>
      <c r="J76" s="27">
        <f ca="1">(IF(B70&gt;1,(H70/(B70+2)+J75),H70/4+J75))</f>
        <v>3.5</v>
      </c>
    </row>
    <row r="77" spans="1:19" ht="15.75" customHeight="1" x14ac:dyDescent="0.3">
      <c r="A77" s="80" t="s">
        <v>132</v>
      </c>
      <c r="B77" s="81" t="s">
        <v>125</v>
      </c>
      <c r="C77" s="74">
        <v>7</v>
      </c>
      <c r="D77" s="75">
        <f ca="1">((100/H70)*C77)/100</f>
        <v>1</v>
      </c>
      <c r="E77" s="184"/>
      <c r="F77" s="185"/>
      <c r="G77" s="184"/>
      <c r="H77" s="189"/>
      <c r="I77" s="13" t="s">
        <v>141</v>
      </c>
      <c r="J77" s="27">
        <f>(IF(B70&gt;1,(H70/(B70+2)+J76),0))</f>
        <v>0</v>
      </c>
    </row>
    <row r="78" spans="1:19" ht="15" customHeight="1" x14ac:dyDescent="0.3">
      <c r="A78" s="80" t="s">
        <v>130</v>
      </c>
      <c r="B78" s="81" t="s">
        <v>127</v>
      </c>
      <c r="C78" s="74">
        <v>7</v>
      </c>
      <c r="D78" s="75">
        <f ca="1">((100/(H70))*C78)/100</f>
        <v>1</v>
      </c>
      <c r="E78" s="184"/>
      <c r="F78" s="185"/>
      <c r="G78" s="184"/>
      <c r="H78" s="189"/>
      <c r="I78" s="13" t="s">
        <v>138</v>
      </c>
      <c r="J78" s="27">
        <f>(IF(B70&gt;2,(H70/(B70+2)+J77),0))</f>
        <v>0</v>
      </c>
    </row>
    <row r="79" spans="1:19" ht="15.75" customHeight="1" x14ac:dyDescent="0.3">
      <c r="A79" s="80" t="s">
        <v>126</v>
      </c>
      <c r="B79" s="81" t="s">
        <v>126</v>
      </c>
      <c r="C79" s="74">
        <v>6</v>
      </c>
      <c r="D79" s="75">
        <f ca="1">((100/H70)*C79)/100</f>
        <v>0.85714285714285721</v>
      </c>
      <c r="E79" s="184"/>
      <c r="F79" s="185"/>
      <c r="G79" s="184"/>
      <c r="H79" s="189"/>
      <c r="I79" s="13" t="s">
        <v>139</v>
      </c>
      <c r="J79" s="28">
        <f>(IF(B70&gt;3,(H70/(B70+2)+J78),0))</f>
        <v>0</v>
      </c>
    </row>
    <row r="80" spans="1:19" ht="15.75" customHeight="1" x14ac:dyDescent="0.3">
      <c r="A80" s="80" t="s">
        <v>133</v>
      </c>
      <c r="B80" s="81"/>
      <c r="C80" s="74">
        <v>6</v>
      </c>
      <c r="D80" s="75">
        <f ca="1">((100/H70)*C80)/100</f>
        <v>0.85714285714285721</v>
      </c>
      <c r="E80" s="184"/>
      <c r="F80" s="185"/>
      <c r="G80" s="184"/>
      <c r="H80" s="189"/>
      <c r="I80" s="13" t="s">
        <v>140</v>
      </c>
      <c r="J80" s="27">
        <f>(IF(B70&gt;4,(H70/(B70+2)+J79),0))</f>
        <v>0</v>
      </c>
    </row>
    <row r="81" spans="1:22" ht="15.75" customHeight="1" x14ac:dyDescent="0.3">
      <c r="A81" s="80" t="s">
        <v>128</v>
      </c>
      <c r="B81" s="81" t="s">
        <v>128</v>
      </c>
      <c r="C81" s="74">
        <v>3</v>
      </c>
      <c r="D81" s="75">
        <f ca="1">((100/(H70))*C81)/100</f>
        <v>0.4285714285714286</v>
      </c>
      <c r="E81" s="184"/>
      <c r="F81" s="185"/>
      <c r="G81" s="184"/>
      <c r="H81" s="189"/>
      <c r="I81" s="13" t="s">
        <v>142</v>
      </c>
      <c r="J81" s="27">
        <f ca="1">(IF(B70=1,(H70/(B70+3)+J76),IF(B70=0,(H70/4+J76),IF(B70&gt;1,0))))</f>
        <v>5.25</v>
      </c>
    </row>
    <row r="82" spans="1:22" ht="16.2" thickBot="1" x14ac:dyDescent="0.35">
      <c r="A82" s="78" t="s">
        <v>129</v>
      </c>
      <c r="B82" s="79"/>
      <c r="C82" s="76">
        <v>0</v>
      </c>
      <c r="D82" s="77">
        <f ca="1">((100/(H70))*C82)/100</f>
        <v>0</v>
      </c>
      <c r="E82" s="186"/>
      <c r="F82" s="187"/>
      <c r="G82" s="186"/>
      <c r="H82" s="190"/>
      <c r="I82" s="14" t="s">
        <v>100</v>
      </c>
      <c r="J82" s="29">
        <f ca="1">(IF(B70&gt;1.5,(H70/(B70+2)+J76+MAX(0,J77-J76)+MAX(0,J78-J77)+MAX(0,J79-J78)+MAX(0,J80-J79)+MAX(0,J81-J80)),IF(B70=1,(H70/(B70+3)+J81),IF(B70=0,H70/4+J81))))</f>
        <v>7</v>
      </c>
    </row>
    <row r="83" spans="1:22" x14ac:dyDescent="0.3">
      <c r="A83" s="135" t="s">
        <v>151</v>
      </c>
      <c r="B83" s="135"/>
      <c r="C83" s="135"/>
      <c r="D83" s="135"/>
      <c r="E83" s="135"/>
      <c r="F83" s="108" t="s">
        <v>153</v>
      </c>
      <c r="G83" s="108"/>
      <c r="H83" s="108"/>
      <c r="R83" t="s">
        <v>242</v>
      </c>
      <c r="S83" t="s">
        <v>164</v>
      </c>
      <c r="T83" t="s">
        <v>169</v>
      </c>
      <c r="U83" t="s">
        <v>183</v>
      </c>
      <c r="V83" t="s">
        <v>178</v>
      </c>
    </row>
    <row r="84" spans="1:22" x14ac:dyDescent="0.3">
      <c r="A84" s="88" t="s">
        <v>152</v>
      </c>
      <c r="B84" s="88"/>
      <c r="C84" s="88"/>
      <c r="D84" s="88"/>
      <c r="E84" s="88"/>
      <c r="F84" s="95">
        <v>8250</v>
      </c>
      <c r="G84" s="95"/>
      <c r="H84" s="95"/>
      <c r="R84"/>
      <c r="S84">
        <v>800000</v>
      </c>
      <c r="T84">
        <v>150000</v>
      </c>
      <c r="U84">
        <v>100000</v>
      </c>
      <c r="V84">
        <v>100000</v>
      </c>
    </row>
    <row r="85" spans="1:22" s="30" customFormat="1" x14ac:dyDescent="0.3">
      <c r="A85" s="88" t="s">
        <v>90</v>
      </c>
      <c r="B85" s="88"/>
      <c r="C85" s="88"/>
      <c r="D85" s="88"/>
      <c r="E85" s="88"/>
      <c r="F85" s="95">
        <v>250000</v>
      </c>
      <c r="G85" s="95"/>
      <c r="H85" s="95"/>
      <c r="R85"/>
      <c r="S85">
        <v>1200000</v>
      </c>
      <c r="T85">
        <v>350000</v>
      </c>
      <c r="U85">
        <v>300000</v>
      </c>
      <c r="V85">
        <v>300000</v>
      </c>
    </row>
    <row r="86" spans="1:22" s="30" customFormat="1" hidden="1" x14ac:dyDescent="0.3">
      <c r="A86" s="88" t="s">
        <v>91</v>
      </c>
      <c r="B86" s="88"/>
      <c r="C86" s="88"/>
      <c r="D86" s="88"/>
      <c r="E86" s="88"/>
      <c r="F86" s="95">
        <v>0</v>
      </c>
      <c r="G86" s="95"/>
      <c r="H86" s="95"/>
      <c r="R86"/>
      <c r="S86">
        <v>1300000</v>
      </c>
      <c r="T86">
        <v>400000</v>
      </c>
      <c r="U86">
        <v>350000</v>
      </c>
      <c r="V86" s="20">
        <v>400000</v>
      </c>
    </row>
    <row r="87" spans="1:22" s="30" customFormat="1" hidden="1" x14ac:dyDescent="0.3">
      <c r="A87" s="88" t="s">
        <v>92</v>
      </c>
      <c r="B87" s="88"/>
      <c r="C87" s="88"/>
      <c r="D87" s="88"/>
      <c r="E87" s="88"/>
      <c r="F87" s="95"/>
      <c r="G87" s="95"/>
      <c r="H87" s="95"/>
      <c r="R87"/>
      <c r="S87">
        <v>1400000</v>
      </c>
      <c r="T87">
        <v>500000</v>
      </c>
      <c r="U87">
        <v>400000</v>
      </c>
      <c r="V87"/>
    </row>
    <row r="88" spans="1:22" s="30" customFormat="1" hidden="1" x14ac:dyDescent="0.3">
      <c r="A88" s="88" t="s">
        <v>93</v>
      </c>
      <c r="B88" s="88"/>
      <c r="C88" s="88"/>
      <c r="D88" s="88"/>
      <c r="E88" s="88"/>
      <c r="F88" s="95"/>
      <c r="G88" s="95"/>
      <c r="H88" s="95"/>
      <c r="R88"/>
      <c r="S88">
        <v>1500000</v>
      </c>
      <c r="T88">
        <v>600000</v>
      </c>
      <c r="U88">
        <v>500000</v>
      </c>
      <c r="V88" s="20"/>
    </row>
    <row r="89" spans="1:22" s="30" customFormat="1" x14ac:dyDescent="0.3">
      <c r="A89" s="88" t="s">
        <v>94</v>
      </c>
      <c r="B89" s="88"/>
      <c r="C89" s="88"/>
      <c r="D89" s="88"/>
      <c r="E89" s="88"/>
      <c r="F89" s="95">
        <v>50000</v>
      </c>
      <c r="G89" s="95"/>
      <c r="H89" s="95"/>
      <c r="R89"/>
      <c r="S89">
        <v>1600000</v>
      </c>
      <c r="T89">
        <v>700000</v>
      </c>
      <c r="U89">
        <v>600000</v>
      </c>
      <c r="V89"/>
    </row>
    <row r="90" spans="1:22" s="30" customFormat="1" hidden="1" x14ac:dyDescent="0.3">
      <c r="A90" s="88" t="s">
        <v>95</v>
      </c>
      <c r="B90" s="88"/>
      <c r="C90" s="88"/>
      <c r="D90" s="88"/>
      <c r="E90" s="88"/>
      <c r="F90" s="95"/>
      <c r="G90" s="95"/>
      <c r="H90" s="95"/>
      <c r="R90"/>
      <c r="S90">
        <v>1700000</v>
      </c>
      <c r="T90">
        <v>800000</v>
      </c>
      <c r="U90"/>
      <c r="V90" s="20"/>
    </row>
    <row r="91" spans="1:22" x14ac:dyDescent="0.3">
      <c r="A91" s="88" t="s">
        <v>48</v>
      </c>
      <c r="B91" s="88"/>
      <c r="C91" s="88"/>
      <c r="D91" s="88"/>
      <c r="E91" s="88"/>
      <c r="F91" s="95">
        <v>300000</v>
      </c>
      <c r="G91" s="95"/>
      <c r="H91" s="95"/>
      <c r="R91"/>
      <c r="S91">
        <v>1800000</v>
      </c>
      <c r="T91">
        <v>900000</v>
      </c>
      <c r="U91"/>
    </row>
    <row r="92" spans="1:22" s="31" customFormat="1" x14ac:dyDescent="0.3">
      <c r="A92" s="111" t="s">
        <v>49</v>
      </c>
      <c r="B92" s="111"/>
      <c r="C92" s="111"/>
      <c r="D92" s="111"/>
      <c r="E92" s="111"/>
      <c r="F92" s="95">
        <f>F84*0.8</f>
        <v>6600</v>
      </c>
      <c r="G92" s="95"/>
      <c r="H92" s="95"/>
      <c r="R92" s="18"/>
      <c r="S92" s="18"/>
      <c r="T92">
        <v>1000000</v>
      </c>
      <c r="U92"/>
      <c r="V92" s="18"/>
    </row>
    <row r="93" spans="1:22" s="32" customFormat="1" x14ac:dyDescent="0.3">
      <c r="A93" s="114" t="s">
        <v>66</v>
      </c>
      <c r="B93" s="114"/>
      <c r="C93" s="114"/>
      <c r="D93" s="114"/>
      <c r="E93" s="114"/>
      <c r="F93" s="114"/>
      <c r="G93" s="114"/>
      <c r="H93" s="114"/>
      <c r="T93"/>
    </row>
    <row r="94" spans="1:22" s="32" customFormat="1" ht="15.75" customHeight="1" x14ac:dyDescent="0.3">
      <c r="A94" s="128" t="s">
        <v>50</v>
      </c>
      <c r="B94" s="128"/>
      <c r="C94" s="103" t="s">
        <v>73</v>
      </c>
      <c r="D94" s="103"/>
      <c r="E94" s="175" t="s">
        <v>51</v>
      </c>
      <c r="F94" s="175"/>
      <c r="G94" s="128" t="s">
        <v>52</v>
      </c>
      <c r="H94" s="128"/>
      <c r="T94"/>
    </row>
    <row r="95" spans="1:22" s="32" customFormat="1" x14ac:dyDescent="0.3">
      <c r="A95" s="113" t="s">
        <v>378</v>
      </c>
      <c r="B95" s="113"/>
      <c r="C95" s="168">
        <f>COUNT(D111:D114)+COUNT(D116:D119)*6</f>
        <v>28</v>
      </c>
      <c r="D95" s="168"/>
      <c r="E95" s="168">
        <f t="shared" ref="E95" si="0">SUM(F111:F114)+SUM(F116:F119)*6</f>
        <v>9350.9128440000004</v>
      </c>
      <c r="F95" s="168"/>
      <c r="G95" s="168">
        <f t="shared" ref="G95" si="1">SUM(H111:H114)+SUM(H116:H119)*6</f>
        <v>14026.369266</v>
      </c>
      <c r="H95" s="168"/>
      <c r="T95"/>
    </row>
    <row r="96" spans="1:22" s="32" customFormat="1" x14ac:dyDescent="0.3">
      <c r="A96" s="114" t="s">
        <v>145</v>
      </c>
      <c r="B96" s="114"/>
      <c r="C96" s="96">
        <f>SUM(C95)</f>
        <v>28</v>
      </c>
      <c r="D96" s="96"/>
      <c r="E96" s="176">
        <f>SUM(E95)</f>
        <v>9350.9128440000004</v>
      </c>
      <c r="F96" s="176"/>
      <c r="G96" s="128">
        <f>SUM(G95)</f>
        <v>14026.369266</v>
      </c>
      <c r="H96" s="128"/>
      <c r="T96"/>
    </row>
    <row r="97" spans="1:20" s="31" customFormat="1" x14ac:dyDescent="0.3">
      <c r="A97" s="108" t="s">
        <v>53</v>
      </c>
      <c r="B97" s="108"/>
      <c r="C97" s="108"/>
      <c r="D97" s="108"/>
      <c r="E97" s="108"/>
      <c r="F97" s="108"/>
      <c r="G97" s="108"/>
      <c r="H97" s="108"/>
      <c r="T97" s="32"/>
    </row>
    <row r="98" spans="1:20" x14ac:dyDescent="0.3">
      <c r="A98" s="97" t="s">
        <v>363</v>
      </c>
      <c r="B98" s="97"/>
      <c r="C98" s="97"/>
      <c r="D98" s="97"/>
      <c r="E98" s="97"/>
      <c r="F98" s="97"/>
      <c r="G98" s="97"/>
      <c r="H98" s="97"/>
      <c r="T98" s="32"/>
    </row>
    <row r="99" spans="1:20" ht="47.25" hidden="1" customHeight="1" x14ac:dyDescent="0.3">
      <c r="A99" s="117" t="s">
        <v>371</v>
      </c>
      <c r="B99" s="117" t="s">
        <v>166</v>
      </c>
      <c r="C99" s="117" t="s">
        <v>54</v>
      </c>
      <c r="D99" s="117" t="s">
        <v>221</v>
      </c>
      <c r="E99" s="169" t="s">
        <v>150</v>
      </c>
      <c r="F99" s="117" t="s">
        <v>55</v>
      </c>
      <c r="G99" s="169" t="s">
        <v>56</v>
      </c>
      <c r="H99" s="70" t="s">
        <v>144</v>
      </c>
      <c r="T99" s="32"/>
    </row>
    <row r="100" spans="1:20" s="34" customFormat="1" hidden="1" x14ac:dyDescent="0.3">
      <c r="A100" s="118"/>
      <c r="B100" s="118"/>
      <c r="C100" s="118"/>
      <c r="D100" s="118"/>
      <c r="E100" s="170"/>
      <c r="F100" s="118"/>
      <c r="G100" s="170"/>
      <c r="H100" s="71">
        <v>0.45</v>
      </c>
      <c r="T100" s="32"/>
    </row>
    <row r="101" spans="1:20" s="34" customFormat="1" hidden="1" x14ac:dyDescent="0.3">
      <c r="A101" s="171" t="s">
        <v>115</v>
      </c>
      <c r="B101" s="172"/>
      <c r="C101" s="172"/>
      <c r="D101" s="172"/>
      <c r="E101" s="172"/>
      <c r="F101" s="172"/>
      <c r="G101" s="172"/>
      <c r="H101" s="173"/>
      <c r="J101" s="33"/>
      <c r="T101" s="32"/>
    </row>
    <row r="102" spans="1:20" s="34" customFormat="1" ht="15.75" hidden="1" customHeight="1" x14ac:dyDescent="0.3">
      <c r="A102" s="98">
        <v>1</v>
      </c>
      <c r="B102" s="99"/>
      <c r="C102" s="72"/>
      <c r="D102" s="72">
        <v>0</v>
      </c>
      <c r="E102" s="72">
        <v>0</v>
      </c>
      <c r="F102" s="72">
        <f>D102+(IF(E102&lt;201,E102,IF(E102&lt;301,E102/2,E102/3)))</f>
        <v>0</v>
      </c>
      <c r="G102" s="72">
        <v>0</v>
      </c>
      <c r="H102" s="72">
        <f>(F102+(IF(G102&lt;101,G102,IF(G102&lt;201,G102/2,IF(G102&lt;=301,G102/3,G102/4)))))*(($H$100)+1)</f>
        <v>0</v>
      </c>
      <c r="I102" s="33"/>
      <c r="L102" s="177"/>
      <c r="M102" s="177"/>
      <c r="N102" s="33"/>
      <c r="T102" s="32"/>
    </row>
    <row r="103" spans="1:20" s="34" customFormat="1" ht="15.75" hidden="1" customHeight="1" x14ac:dyDescent="0.3">
      <c r="A103" s="98">
        <f>A102+1</f>
        <v>2</v>
      </c>
      <c r="B103" s="99"/>
      <c r="C103" s="72"/>
      <c r="D103" s="72"/>
      <c r="E103" s="72">
        <v>0</v>
      </c>
      <c r="F103" s="72">
        <f t="shared" ref="F103:F105" si="2">D103+(IF(E103&lt;201,E103,IF(E103&lt;301,E103/2,E103/3)))</f>
        <v>0</v>
      </c>
      <c r="G103" s="72">
        <v>0</v>
      </c>
      <c r="H103" s="72">
        <f t="shared" ref="H103:H105" si="3">(F103+(IF(G103&lt;101,G103,IF(G103&lt;201,G103/2,IF(G103&lt;=301,G103/3,G103/4)))))*(($H$100)+1)</f>
        <v>0</v>
      </c>
      <c r="I103" s="33"/>
      <c r="L103" s="177"/>
      <c r="M103" s="177"/>
      <c r="N103" s="33"/>
      <c r="T103" s="31"/>
    </row>
    <row r="104" spans="1:20" s="34" customFormat="1" ht="15.75" hidden="1" customHeight="1" x14ac:dyDescent="0.3">
      <c r="A104" s="98">
        <f>A103+1</f>
        <v>3</v>
      </c>
      <c r="B104" s="99"/>
      <c r="C104" s="72"/>
      <c r="D104" s="72"/>
      <c r="E104" s="72">
        <v>0</v>
      </c>
      <c r="F104" s="72">
        <f t="shared" si="2"/>
        <v>0</v>
      </c>
      <c r="G104" s="72">
        <v>0</v>
      </c>
      <c r="H104" s="72">
        <f t="shared" si="3"/>
        <v>0</v>
      </c>
      <c r="I104" s="33"/>
      <c r="L104" s="177"/>
      <c r="M104" s="177"/>
      <c r="N104" s="33"/>
      <c r="T104" s="18"/>
    </row>
    <row r="105" spans="1:20" s="34" customFormat="1" ht="15.75" hidden="1" customHeight="1" x14ac:dyDescent="0.3">
      <c r="A105" s="98">
        <f>A104+1</f>
        <v>4</v>
      </c>
      <c r="B105" s="99"/>
      <c r="C105" s="72"/>
      <c r="D105" s="72"/>
      <c r="E105" s="72">
        <v>0</v>
      </c>
      <c r="F105" s="72">
        <f t="shared" si="2"/>
        <v>0</v>
      </c>
      <c r="G105" s="72">
        <v>0</v>
      </c>
      <c r="H105" s="72">
        <f t="shared" si="3"/>
        <v>0</v>
      </c>
      <c r="I105" s="33"/>
      <c r="L105" s="177"/>
      <c r="M105" s="177"/>
      <c r="N105" s="33"/>
      <c r="T105" s="18"/>
    </row>
    <row r="106" spans="1:20" s="34" customFormat="1" hidden="1" x14ac:dyDescent="0.3">
      <c r="A106" s="98"/>
      <c r="B106" s="174"/>
      <c r="C106" s="174"/>
      <c r="D106" s="174"/>
      <c r="E106" s="174"/>
      <c r="F106" s="174"/>
      <c r="G106" s="174"/>
      <c r="H106" s="99"/>
      <c r="I106" s="33"/>
      <c r="N106" s="33"/>
    </row>
    <row r="107" spans="1:20" ht="47.25" customHeight="1" x14ac:dyDescent="0.3">
      <c r="A107" s="115" t="s">
        <v>372</v>
      </c>
      <c r="B107" s="117" t="s">
        <v>167</v>
      </c>
      <c r="C107" s="117" t="s">
        <v>54</v>
      </c>
      <c r="D107" s="117" t="s">
        <v>370</v>
      </c>
      <c r="E107" s="117" t="s">
        <v>369</v>
      </c>
      <c r="F107" s="117" t="s">
        <v>55</v>
      </c>
      <c r="G107" s="169" t="s">
        <v>56</v>
      </c>
      <c r="H107" s="70" t="s">
        <v>144</v>
      </c>
      <c r="I107" s="33"/>
      <c r="T107" s="34"/>
    </row>
    <row r="108" spans="1:20" s="34" customFormat="1" x14ac:dyDescent="0.3">
      <c r="A108" s="116"/>
      <c r="B108" s="118"/>
      <c r="C108" s="118"/>
      <c r="D108" s="118"/>
      <c r="E108" s="118"/>
      <c r="F108" s="118"/>
      <c r="G108" s="170"/>
      <c r="H108" s="71">
        <v>0.5</v>
      </c>
      <c r="I108" s="33"/>
    </row>
    <row r="109" spans="1:20" s="34" customFormat="1" x14ac:dyDescent="0.3">
      <c r="A109" s="178" t="s">
        <v>364</v>
      </c>
      <c r="B109" s="179"/>
      <c r="C109" s="179"/>
      <c r="D109" s="179"/>
      <c r="E109" s="179"/>
      <c r="F109" s="179"/>
      <c r="G109" s="179"/>
      <c r="H109" s="180"/>
      <c r="J109" s="33"/>
    </row>
    <row r="110" spans="1:20" s="34" customFormat="1" x14ac:dyDescent="0.3">
      <c r="A110" s="112" t="s">
        <v>365</v>
      </c>
      <c r="B110" s="112"/>
      <c r="C110" s="112"/>
      <c r="D110" s="112"/>
      <c r="E110" s="112"/>
      <c r="F110" s="112"/>
      <c r="G110" s="112"/>
      <c r="H110" s="112"/>
      <c r="I110" s="33"/>
      <c r="J110" s="73">
        <f>10.764</f>
        <v>10.763999999999999</v>
      </c>
      <c r="L110" s="177"/>
      <c r="M110" s="177"/>
    </row>
    <row r="111" spans="1:20" s="34" customFormat="1" x14ac:dyDescent="0.3">
      <c r="A111" s="126">
        <f>LEFT(A110,SUM(LEN(A110)-LEN(SUBSTITUTE(A110,{"0","1","2","3","4","5","6","7","8","9"},""))))*100+1</f>
        <v>101</v>
      </c>
      <c r="B111" s="126"/>
      <c r="C111" s="39" t="s">
        <v>366</v>
      </c>
      <c r="D111" s="73">
        <f>(29.051)*(10.764)</f>
        <v>312.70496399999996</v>
      </c>
      <c r="E111" s="73">
        <f>(4.995)*(10.764)</f>
        <v>53.766179999999999</v>
      </c>
      <c r="F111" s="39">
        <f>D111+E111</f>
        <v>366.47114399999998</v>
      </c>
      <c r="G111" s="39">
        <v>0</v>
      </c>
      <c r="H111" s="39">
        <f>F111*(($H$108)+1)+(IF(G111&lt;101,G111,IF(G111&lt;201,G111/2,IF(G111&lt;=301,G111/3,G111/4))))</f>
        <v>549.70671599999991</v>
      </c>
      <c r="I111" s="69">
        <f>2.7*4.82+2.7*3+2.2*2.02+1.2*3.67+1.7*0.9+0.9*0.9</f>
        <v>32.302000000000007</v>
      </c>
      <c r="J111" s="34">
        <f>K111/F111</f>
        <v>1.7873167116262776</v>
      </c>
      <c r="K111" s="34">
        <f>655</f>
        <v>655</v>
      </c>
      <c r="N111" s="33"/>
    </row>
    <row r="112" spans="1:20" s="34" customFormat="1" x14ac:dyDescent="0.3">
      <c r="A112" s="126">
        <f>A111+1</f>
        <v>102</v>
      </c>
      <c r="B112" s="126"/>
      <c r="C112" s="39" t="s">
        <v>366</v>
      </c>
      <c r="D112" s="73">
        <f>(25.231)*(10.764)</f>
        <v>271.58648399999998</v>
      </c>
      <c r="E112" s="73">
        <f>(6.247)*(10.764)</f>
        <v>67.242707999999993</v>
      </c>
      <c r="F112" s="39">
        <f>D112+E112</f>
        <v>338.82919199999998</v>
      </c>
      <c r="G112" s="39">
        <v>0</v>
      </c>
      <c r="H112" s="39">
        <f>F112*(($H$108)+1)+(IF(G112&lt;101,G112,IF(G112&lt;201,G112/2,IF(G112&lt;=301,G112/3,G112/4))))</f>
        <v>508.243788</v>
      </c>
      <c r="I112" s="33"/>
      <c r="J112" s="34">
        <f t="shared" ref="J112:J114" si="4">K112/F112</f>
        <v>1.6970202496601887</v>
      </c>
      <c r="K112" s="34">
        <v>575</v>
      </c>
      <c r="N112" s="33"/>
    </row>
    <row r="113" spans="1:20" s="34" customFormat="1" x14ac:dyDescent="0.3">
      <c r="A113" s="126">
        <f>A112+1</f>
        <v>103</v>
      </c>
      <c r="B113" s="126"/>
      <c r="C113" s="39" t="s">
        <v>367</v>
      </c>
      <c r="D113" s="73">
        <f>(16.514)*(10.764)</f>
        <v>177.75669599999998</v>
      </c>
      <c r="E113" s="73">
        <f>(4.769)*(10.764)</f>
        <v>51.333515999999996</v>
      </c>
      <c r="F113" s="39">
        <f>D113+E113</f>
        <v>229.09021199999998</v>
      </c>
      <c r="G113" s="39">
        <v>0</v>
      </c>
      <c r="H113" s="39">
        <f>F113*(($H$108)+1)+(IF(G113&lt;101,G113,IF(G113&lt;201,G113/2,IF(G113&lt;=301,G113/3,G113/4))))</f>
        <v>343.63531799999998</v>
      </c>
      <c r="I113" s="33"/>
      <c r="J113" s="34">
        <f t="shared" si="4"/>
        <v>1.7023861324987557</v>
      </c>
      <c r="K113" s="34">
        <v>390</v>
      </c>
      <c r="N113" s="33"/>
    </row>
    <row r="114" spans="1:20" s="34" customFormat="1" x14ac:dyDescent="0.3">
      <c r="A114" s="126">
        <f>A113+1</f>
        <v>104</v>
      </c>
      <c r="B114" s="126"/>
      <c r="C114" s="39" t="s">
        <v>366</v>
      </c>
      <c r="D114" s="73">
        <f>(29.892)*(10.764)</f>
        <v>321.75748799999997</v>
      </c>
      <c r="E114" s="73">
        <f>(7.404)*(10.764)</f>
        <v>79.69665599999999</v>
      </c>
      <c r="F114" s="39">
        <f>D114+E114</f>
        <v>401.45414399999993</v>
      </c>
      <c r="G114" s="39">
        <v>0</v>
      </c>
      <c r="H114" s="39">
        <f>F114*(($H$108)+1)+(IF(G114&lt;101,G114,IF(G114&lt;201,G114/2,IF(G114&lt;=301,G114/3,G114/4))))</f>
        <v>602.18121599999995</v>
      </c>
      <c r="I114" s="33"/>
      <c r="J114" s="34">
        <f t="shared" si="4"/>
        <v>1.6938422735524188</v>
      </c>
      <c r="K114" s="34">
        <v>680</v>
      </c>
      <c r="N114" s="33"/>
    </row>
    <row r="115" spans="1:20" s="34" customFormat="1" x14ac:dyDescent="0.3">
      <c r="A115" s="178" t="s">
        <v>368</v>
      </c>
      <c r="B115" s="179"/>
      <c r="C115" s="179"/>
      <c r="D115" s="179"/>
      <c r="E115" s="179"/>
      <c r="F115" s="179"/>
      <c r="G115" s="179"/>
      <c r="H115" s="180"/>
      <c r="I115" s="33"/>
    </row>
    <row r="116" spans="1:20" s="34" customFormat="1" ht="15.75" customHeight="1" x14ac:dyDescent="0.3">
      <c r="A116" s="129" t="str">
        <f ca="1">(SUMPRODUCT(MID(0&amp;(LEFT(A115,SUM(LEN(A115)-LEN(SUBSTITUTE(A115,{"0","1","2"},""))))), LARGE(INDEX(ISNUMBER(--MID((LEFT(A115,SUM(LEN(A115)-LEN(SUBSTITUTE(A115,{"0","1","2"},""))))), ROW(INDIRECT("1:"&amp;LEN((LEFT(A115,SUM(LEN(A115)-LEN(SUBSTITUTE(A115,{"0","1","2"},"")))))))), 1)) * ROW(INDIRECT("1:"&amp;LEN((LEFT(A115,SUM(LEN(A115)-LEN(SUBSTITUTE(A115,{"0","1","2"},"")))))))), 0), ROW(INDIRECT("1:"&amp;LEN((LEFT(A115,SUM(LEN(A115)-LEN(SUBSTITUTE(A115,{"0","1","2"},"")))))))))+1, 1) * 10^ROW(INDIRECT("1:"&amp;LEN((LEFT(A115,SUM(LEN(A115)-LEN(SUBSTITUTE(A115,{"0","1","2"},""))))))))/10))*100+1&amp;""&amp;" to "&amp;""&amp;(SUMPRODUCT(MID(0&amp;(--TRIM(RIGHT(SUBSTITUTE(LEFT(A115,_xlfn.AGGREGATE(16,6,FIND({0,1,2,3,4,5,6,7,8,9},A115,ROW(INDIRECT("1:"&amp;LEN(A115)))),1))," ",REPT(" ",LEN(A115))),LEN(A115)))), LARGE(INDEX(ISNUMBER(--MID((--TRIM(RIGHT(SUBSTITUTE(LEFT(A115,_xlfn.AGGREGATE(16,6,FIND({0,1,2,3,4,5,6,7,8,9},A115,ROW(INDIRECT("1:"&amp;LEN(A115)))),1))," ",REPT(" ",LEN(A115))),LEN(A115)))), ROW(INDIRECT("1:"&amp;LEN((--TRIM(RIGHT(SUBSTITUTE(LEFT(A115,_xlfn.AGGREGATE(16,6,FIND({0,1,2,3,4,5,6,7,8,9},A115,ROW(INDIRECT("1:"&amp;LEN(A115)))),1))," ",REPT(" ",LEN(A115))),LEN(A115))))))), 1)) * ROW(INDIRECT("1:"&amp;LEN((--TRIM(RIGHT(SUBSTITUTE(LEFT(A115,_xlfn.AGGREGATE(16,6,FIND({0,1,2,3,4,5,6,7,8,9},A115,ROW(INDIRECT("1:"&amp;LEN(A115)))),1))," ",REPT(" ",LEN(A115))),LEN(A115))))))), 0), ROW(INDIRECT("1:"&amp;LEN((--TRIM(RIGHT(SUBSTITUTE(LEFT(A115,_xlfn.AGGREGATE(16,6,FIND({0,1,2,3,4,5,6,7,8,9},A115,ROW(INDIRECT("1:"&amp;LEN(A115)))),1))," ",REPT(" ",LEN(A115))),LEN(A115))))))))+1, 1) * 10^ROW(INDIRECT("1:"&amp;LEN((--TRIM(RIGHT(SUBSTITUTE(LEFT(A115,_xlfn.AGGREGATE(16,6,FIND({0,1,2,3,4,5,6,7,8,9},A115,ROW(INDIRECT("1:"&amp;LEN(A115)))),1))," ",REPT(" ",LEN(A115))),LEN(A115)))))))/10))*100+1</f>
        <v>201 to 701</v>
      </c>
      <c r="B116" s="130"/>
      <c r="C116" s="39" t="s">
        <v>366</v>
      </c>
      <c r="D116" s="73">
        <f>(29.051)*(10.764)</f>
        <v>312.70496399999996</v>
      </c>
      <c r="E116" s="73">
        <f>(4.995)*(10.764)</f>
        <v>53.766179999999999</v>
      </c>
      <c r="F116" s="39">
        <f>D116+E116</f>
        <v>366.47114399999998</v>
      </c>
      <c r="G116" s="39">
        <v>0</v>
      </c>
      <c r="H116" s="39">
        <f>F116*(($H$108)+1)+(IF(G116&lt;101,G116,IF(G116&lt;201,G116/2,IF(G116&lt;=301,G116/3,G116/4))))</f>
        <v>549.70671599999991</v>
      </c>
      <c r="I116" s="33"/>
    </row>
    <row r="117" spans="1:20" s="34" customFormat="1" ht="15.75" customHeight="1" x14ac:dyDescent="0.3">
      <c r="A117" s="129" t="str">
        <f ca="1">(SUMPRODUCT(MID(0&amp;(LEFT(A116,SUM(LEN(A116)-LEN(SUBSTITUTE(A116,{"0","1","2"},""))))), LARGE(INDEX(ISNUMBER(--MID((LEFT(A116,SUM(LEN(A116)-LEN(SUBSTITUTE(A116,{"0","1","2"},""))))), ROW(INDIRECT("1:"&amp;LEN((LEFT(A116,SUM(LEN(A116)-LEN(SUBSTITUTE(A116,{"0","1","2"},"")))))))), 1)) * ROW(INDIRECT("1:"&amp;LEN((LEFT(A116,SUM(LEN(A116)-LEN(SUBSTITUTE(A116,{"0","1","2"},"")))))))), 0), ROW(INDIRECT("1:"&amp;LEN((LEFT(A116,SUM(LEN(A116)-LEN(SUBSTITUTE(A116,{"0","1","2"},"")))))))))+1, 1) * 10^ROW(INDIRECT("1:"&amp;LEN((LEFT(A116,SUM(LEN(A116)-LEN(SUBSTITUTE(A116,{"0","1","2"},""))))))))/10))*1+1&amp;""&amp;" to "&amp;""&amp;(SUMPRODUCT(MID(0&amp;(--TRIM(RIGHT(SUBSTITUTE(LEFT(A116,_xlfn.AGGREGATE(16,6,FIND({0,1,2,3,4,5,6,7,8,9},A116,ROW(INDIRECT("1:"&amp;LEN(A116)))),1))," ",REPT(" ",LEN(A116))),LEN(A116)))), LARGE(INDEX(ISNUMBER(--MID((--TRIM(RIGHT(SUBSTITUTE(LEFT(A116,_xlfn.AGGREGATE(16,6,FIND({0,1,2,3,4,5,6,7,8,9},A116,ROW(INDIRECT("1:"&amp;LEN(A116)))),1))," ",REPT(" ",LEN(A116))),LEN(A116)))), ROW(INDIRECT("1:"&amp;LEN((--TRIM(RIGHT(SUBSTITUTE(LEFT(A116,_xlfn.AGGREGATE(16,6,FIND({0,1,2,3,4,5,6,7,8,9},A116,ROW(INDIRECT("1:"&amp;LEN(A116)))),1))," ",REPT(" ",LEN(A116))),LEN(A116))))))), 1)) * ROW(INDIRECT("1:"&amp;LEN((--TRIM(RIGHT(SUBSTITUTE(LEFT(A116,_xlfn.AGGREGATE(16,6,FIND({0,1,2,3,4,5,6,7,8,9},A116,ROW(INDIRECT("1:"&amp;LEN(A116)))),1))," ",REPT(" ",LEN(A116))),LEN(A116))))))), 0), ROW(INDIRECT("1:"&amp;LEN((--TRIM(RIGHT(SUBSTITUTE(LEFT(A116,_xlfn.AGGREGATE(16,6,FIND({0,1,2,3,4,5,6,7,8,9},A116,ROW(INDIRECT("1:"&amp;LEN(A116)))),1))," ",REPT(" ",LEN(A116))),LEN(A116))))))))+1, 1) * 10^ROW(INDIRECT("1:"&amp;LEN((--TRIM(RIGHT(SUBSTITUTE(LEFT(A116,_xlfn.AGGREGATE(16,6,FIND({0,1,2,3,4,5,6,7,8,9},A116,ROW(INDIRECT("1:"&amp;LEN(A116)))),1))," ",REPT(" ",LEN(A116))),LEN(A116)))))))/10))*1+1</f>
        <v>202 to 702</v>
      </c>
      <c r="B117" s="130"/>
      <c r="C117" s="39" t="s">
        <v>366</v>
      </c>
      <c r="D117" s="73">
        <f>(25.231)*(10.764)</f>
        <v>271.58648399999998</v>
      </c>
      <c r="E117" s="73">
        <f>(6.247)*(10.764)</f>
        <v>67.242707999999993</v>
      </c>
      <c r="F117" s="39">
        <f>D117+E117</f>
        <v>338.82919199999998</v>
      </c>
      <c r="G117" s="39">
        <v>0</v>
      </c>
      <c r="H117" s="39">
        <f>F117*(($H$108)+1)+(IF(G117&lt;101,G117,IF(G117&lt;201,G117/2,IF(G117&lt;=301,G117/3,G117/4))))</f>
        <v>508.243788</v>
      </c>
      <c r="I117" s="33"/>
    </row>
    <row r="118" spans="1:20" s="34" customFormat="1" ht="15.75" customHeight="1" x14ac:dyDescent="0.3">
      <c r="A118" s="129" t="str">
        <f ca="1">(SUMPRODUCT(MID(0&amp;(LEFT(A117,SUM(LEN(A117)-LEN(SUBSTITUTE(A117,{"0","1","2"},""))))), LARGE(INDEX(ISNUMBER(--MID((LEFT(A117,SUM(LEN(A117)-LEN(SUBSTITUTE(A117,{"0","1","2"},""))))), ROW(INDIRECT("1:"&amp;LEN((LEFT(A117,SUM(LEN(A117)-LEN(SUBSTITUTE(A117,{"0","1","2"},"")))))))), 1)) * ROW(INDIRECT("1:"&amp;LEN((LEFT(A117,SUM(LEN(A117)-LEN(SUBSTITUTE(A117,{"0","1","2"},"")))))))), 0), ROW(INDIRECT("1:"&amp;LEN((LEFT(A117,SUM(LEN(A117)-LEN(SUBSTITUTE(A117,{"0","1","2"},"")))))))))+1, 1) * 10^ROW(INDIRECT("1:"&amp;LEN((LEFT(A117,SUM(LEN(A117)-LEN(SUBSTITUTE(A117,{"0","1","2"},""))))))))/10))*1+1&amp;""&amp;" to "&amp;""&amp;(SUMPRODUCT(MID(0&amp;(--TRIM(RIGHT(SUBSTITUTE(LEFT(A117,_xlfn.AGGREGATE(16,6,FIND({0,1,2,3,4,5,6,7,8,9},A117,ROW(INDIRECT("1:"&amp;LEN(A117)))),1))," ",REPT(" ",LEN(A117))),LEN(A117)))), LARGE(INDEX(ISNUMBER(--MID((--TRIM(RIGHT(SUBSTITUTE(LEFT(A117,_xlfn.AGGREGATE(16,6,FIND({0,1,2,3,4,5,6,7,8,9},A117,ROW(INDIRECT("1:"&amp;LEN(A117)))),1))," ",REPT(" ",LEN(A117))),LEN(A117)))), ROW(INDIRECT("1:"&amp;LEN((--TRIM(RIGHT(SUBSTITUTE(LEFT(A117,_xlfn.AGGREGATE(16,6,FIND({0,1,2,3,4,5,6,7,8,9},A117,ROW(INDIRECT("1:"&amp;LEN(A117)))),1))," ",REPT(" ",LEN(A117))),LEN(A117))))))), 1)) * ROW(INDIRECT("1:"&amp;LEN((--TRIM(RIGHT(SUBSTITUTE(LEFT(A117,_xlfn.AGGREGATE(16,6,FIND({0,1,2,3,4,5,6,7,8,9},A117,ROW(INDIRECT("1:"&amp;LEN(A117)))),1))," ",REPT(" ",LEN(A117))),LEN(A117))))))), 0), ROW(INDIRECT("1:"&amp;LEN((--TRIM(RIGHT(SUBSTITUTE(LEFT(A117,_xlfn.AGGREGATE(16,6,FIND({0,1,2,3,4,5,6,7,8,9},A117,ROW(INDIRECT("1:"&amp;LEN(A117)))),1))," ",REPT(" ",LEN(A117))),LEN(A117))))))))+1, 1) * 10^ROW(INDIRECT("1:"&amp;LEN((--TRIM(RIGHT(SUBSTITUTE(LEFT(A117,_xlfn.AGGREGATE(16,6,FIND({0,1,2,3,4,5,6,7,8,9},A117,ROW(INDIRECT("1:"&amp;LEN(A117)))),1))," ",REPT(" ",LEN(A117))),LEN(A117)))))))/10))*1+1</f>
        <v>203 to 703</v>
      </c>
      <c r="B118" s="130"/>
      <c r="C118" s="39" t="s">
        <v>367</v>
      </c>
      <c r="D118" s="73">
        <f>(16.514)*(10.764)</f>
        <v>177.75669599999998</v>
      </c>
      <c r="E118" s="73">
        <f>(4.769)*(10.764)</f>
        <v>51.333515999999996</v>
      </c>
      <c r="F118" s="39">
        <f>D118+E118</f>
        <v>229.09021199999998</v>
      </c>
      <c r="G118" s="39">
        <v>0</v>
      </c>
      <c r="H118" s="39">
        <f>F118*(($H$108)+1)+(IF(G118&lt;101,G118,IF(G118&lt;201,G118/2,IF(G118&lt;=301,G118/3,G118/4))))</f>
        <v>343.63531799999998</v>
      </c>
      <c r="I118" s="33"/>
    </row>
    <row r="119" spans="1:20" s="34" customFormat="1" ht="15.75" customHeight="1" x14ac:dyDescent="0.3">
      <c r="A119" s="129" t="str">
        <f ca="1">(SUMPRODUCT(MID(0&amp;(LEFT(A118,SUM(LEN(A118)-LEN(SUBSTITUTE(A118,{"0","1","2"},""))))), LARGE(INDEX(ISNUMBER(--MID((LEFT(A118,SUM(LEN(A118)-LEN(SUBSTITUTE(A118,{"0","1","2"},""))))), ROW(INDIRECT("1:"&amp;LEN((LEFT(A118,SUM(LEN(A118)-LEN(SUBSTITUTE(A118,{"0","1","2"},"")))))))), 1)) * ROW(INDIRECT("1:"&amp;LEN((LEFT(A118,SUM(LEN(A118)-LEN(SUBSTITUTE(A118,{"0","1","2"},"")))))))), 0), ROW(INDIRECT("1:"&amp;LEN((LEFT(A118,SUM(LEN(A118)-LEN(SUBSTITUTE(A118,{"0","1","2"},"")))))))))+1, 1) * 10^ROW(INDIRECT("1:"&amp;LEN((LEFT(A118,SUM(LEN(A118)-LEN(SUBSTITUTE(A118,{"0","1","2"},""))))))))/10))*1+1&amp;""&amp;" to "&amp;""&amp;(SUMPRODUCT(MID(0&amp;(--TRIM(RIGHT(SUBSTITUTE(LEFT(A118,_xlfn.AGGREGATE(16,6,FIND({0,1,2,3,4,5,6,7,8,9},A118,ROW(INDIRECT("1:"&amp;LEN(A118)))),1))," ",REPT(" ",LEN(A118))),LEN(A118)))), LARGE(INDEX(ISNUMBER(--MID((--TRIM(RIGHT(SUBSTITUTE(LEFT(A118,_xlfn.AGGREGATE(16,6,FIND({0,1,2,3,4,5,6,7,8,9},A118,ROW(INDIRECT("1:"&amp;LEN(A118)))),1))," ",REPT(" ",LEN(A118))),LEN(A118)))), ROW(INDIRECT("1:"&amp;LEN((--TRIM(RIGHT(SUBSTITUTE(LEFT(A118,_xlfn.AGGREGATE(16,6,FIND({0,1,2,3,4,5,6,7,8,9},A118,ROW(INDIRECT("1:"&amp;LEN(A118)))),1))," ",REPT(" ",LEN(A118))),LEN(A118))))))), 1)) * ROW(INDIRECT("1:"&amp;LEN((--TRIM(RIGHT(SUBSTITUTE(LEFT(A118,_xlfn.AGGREGATE(16,6,FIND({0,1,2,3,4,5,6,7,8,9},A118,ROW(INDIRECT("1:"&amp;LEN(A118)))),1))," ",REPT(" ",LEN(A118))),LEN(A118))))))), 0), ROW(INDIRECT("1:"&amp;LEN((--TRIM(RIGHT(SUBSTITUTE(LEFT(A118,_xlfn.AGGREGATE(16,6,FIND({0,1,2,3,4,5,6,7,8,9},A118,ROW(INDIRECT("1:"&amp;LEN(A118)))),1))," ",REPT(" ",LEN(A118))),LEN(A118))))))))+1, 1) * 10^ROW(INDIRECT("1:"&amp;LEN((--TRIM(RIGHT(SUBSTITUTE(LEFT(A118,_xlfn.AGGREGATE(16,6,FIND({0,1,2,3,4,5,6,7,8,9},A118,ROW(INDIRECT("1:"&amp;LEN(A118)))),1))," ",REPT(" ",LEN(A118))),LEN(A118)))))))/10))*1+1</f>
        <v>204 to 704</v>
      </c>
      <c r="B119" s="130"/>
      <c r="C119" s="39" t="s">
        <v>366</v>
      </c>
      <c r="D119" s="73">
        <f>(29.892)*(10.764)</f>
        <v>321.75748799999997</v>
      </c>
      <c r="E119" s="73">
        <f>(7.404)*(10.764)</f>
        <v>79.69665599999999</v>
      </c>
      <c r="F119" s="39">
        <f>D119+E119</f>
        <v>401.45414399999993</v>
      </c>
      <c r="G119" s="39">
        <v>0</v>
      </c>
      <c r="H119" s="39">
        <f>F119*(($H$108)+1)+(IF(G119&lt;101,G119,IF(G119&lt;201,G119/2,IF(G119&lt;=301,G119/3,G119/4))))</f>
        <v>602.18121599999995</v>
      </c>
      <c r="I119" s="33"/>
    </row>
    <row r="120" spans="1:20" s="32" customFormat="1" x14ac:dyDescent="0.3">
      <c r="A120" s="181" t="s">
        <v>64</v>
      </c>
      <c r="B120" s="181"/>
      <c r="C120" s="181"/>
      <c r="D120" s="181"/>
      <c r="E120" s="181"/>
      <c r="F120" s="181"/>
      <c r="G120" s="181"/>
      <c r="H120" s="181"/>
      <c r="T120" s="34"/>
    </row>
    <row r="121" spans="1:20" s="32" customFormat="1" x14ac:dyDescent="0.3">
      <c r="A121" s="41" t="s">
        <v>148</v>
      </c>
      <c r="B121" s="122" t="s">
        <v>376</v>
      </c>
      <c r="C121" s="123"/>
      <c r="D121" s="123"/>
      <c r="E121" s="123"/>
      <c r="F121" s="123"/>
      <c r="G121" s="123"/>
      <c r="H121" s="124"/>
      <c r="T121" s="34"/>
    </row>
    <row r="122" spans="1:20" s="32" customFormat="1" x14ac:dyDescent="0.3">
      <c r="A122" s="41" t="s">
        <v>148</v>
      </c>
      <c r="B122" s="122" t="str">
        <f>(IF(H107="Saleable area Loading :","We have considered Saleable area of Flats as per our Calculation.","We considered Saleable area of Flat as per Builder area Sheet."))</f>
        <v>We have considered Saleable area of Flats as per our Calculation.</v>
      </c>
      <c r="C122" s="123"/>
      <c r="D122" s="123"/>
      <c r="E122" s="123"/>
      <c r="F122" s="123"/>
      <c r="G122" s="123"/>
      <c r="H122" s="124"/>
      <c r="T122" s="34"/>
    </row>
    <row r="123" spans="1:20" s="32" customFormat="1" x14ac:dyDescent="0.3">
      <c r="A123" s="41" t="s">
        <v>148</v>
      </c>
      <c r="B123" s="122" t="s">
        <v>118</v>
      </c>
      <c r="C123" s="123"/>
      <c r="D123" s="123"/>
      <c r="E123" s="123"/>
      <c r="F123" s="123"/>
      <c r="G123" s="123"/>
      <c r="H123" s="124"/>
      <c r="T123" s="34"/>
    </row>
    <row r="124" spans="1:20" s="32" customFormat="1" x14ac:dyDescent="0.3">
      <c r="A124" s="41" t="s">
        <v>148</v>
      </c>
      <c r="B124" s="122" t="s">
        <v>377</v>
      </c>
      <c r="C124" s="123"/>
      <c r="D124" s="123"/>
      <c r="E124" s="123"/>
      <c r="F124" s="123"/>
      <c r="G124" s="123"/>
      <c r="H124" s="124"/>
      <c r="T124" s="34"/>
    </row>
    <row r="125" spans="1:20" s="32" customFormat="1" x14ac:dyDescent="0.3">
      <c r="A125" s="41" t="s">
        <v>148</v>
      </c>
      <c r="B125" s="122" t="s">
        <v>147</v>
      </c>
      <c r="C125" s="123"/>
      <c r="D125" s="123"/>
      <c r="E125" s="123"/>
      <c r="F125" s="123"/>
      <c r="G125" s="123"/>
      <c r="H125" s="124"/>
    </row>
    <row r="126" spans="1:20" s="32" customFormat="1" x14ac:dyDescent="0.3">
      <c r="A126" s="41" t="s">
        <v>148</v>
      </c>
      <c r="B126" s="122" t="s">
        <v>119</v>
      </c>
      <c r="C126" s="123"/>
      <c r="D126" s="123"/>
      <c r="E126" s="123"/>
      <c r="F126" s="123"/>
      <c r="G126" s="123"/>
      <c r="H126" s="124"/>
    </row>
    <row r="127" spans="1:20" s="32" customFormat="1" x14ac:dyDescent="0.3">
      <c r="A127" s="41" t="s">
        <v>148</v>
      </c>
      <c r="B127" s="119" t="s">
        <v>120</v>
      </c>
      <c r="C127" s="120"/>
      <c r="D127" s="120"/>
      <c r="E127" s="120"/>
      <c r="F127" s="120"/>
      <c r="G127" s="120"/>
      <c r="H127" s="121"/>
    </row>
    <row r="128" spans="1:20" s="32" customFormat="1" ht="33.75" customHeight="1" x14ac:dyDescent="0.3">
      <c r="A128" s="41" t="s">
        <v>148</v>
      </c>
      <c r="B128" s="122" t="s">
        <v>379</v>
      </c>
      <c r="C128" s="123"/>
      <c r="D128" s="123"/>
      <c r="E128" s="123"/>
      <c r="F128" s="123"/>
      <c r="G128" s="123"/>
      <c r="H128" s="124"/>
    </row>
    <row r="129" spans="1:20" x14ac:dyDescent="0.3">
      <c r="A129" s="127" t="s">
        <v>57</v>
      </c>
      <c r="B129" s="127"/>
      <c r="C129" s="127"/>
      <c r="D129" s="127"/>
      <c r="E129" s="127"/>
      <c r="F129" s="127"/>
      <c r="G129" s="127"/>
      <c r="H129" s="127"/>
      <c r="T129" s="32"/>
    </row>
    <row r="130" spans="1:20" x14ac:dyDescent="0.3">
      <c r="A130" s="88" t="s">
        <v>58</v>
      </c>
      <c r="B130" s="88"/>
      <c r="C130" s="88"/>
      <c r="D130" s="88"/>
      <c r="E130" s="88"/>
      <c r="F130" s="88"/>
      <c r="G130" s="88"/>
      <c r="H130" s="88"/>
      <c r="T130" s="32"/>
    </row>
    <row r="131" spans="1:20" ht="15.75" customHeight="1" x14ac:dyDescent="0.3">
      <c r="A131" s="125" t="s">
        <v>59</v>
      </c>
      <c r="B131" s="125"/>
      <c r="C131" s="125"/>
      <c r="D131" s="125"/>
      <c r="E131" s="125"/>
      <c r="F131" s="125"/>
      <c r="G131" s="125"/>
      <c r="H131" s="125"/>
      <c r="T131" s="32"/>
    </row>
    <row r="132" spans="1:20" x14ac:dyDescent="0.3">
      <c r="A132" s="88" t="s">
        <v>60</v>
      </c>
      <c r="B132" s="88"/>
      <c r="C132" s="88"/>
      <c r="D132" s="88"/>
      <c r="E132" s="88"/>
      <c r="F132" s="88"/>
      <c r="G132" s="88"/>
      <c r="H132" s="88"/>
      <c r="T132" s="32"/>
    </row>
    <row r="133" spans="1:20" x14ac:dyDescent="0.3">
      <c r="A133" s="88" t="s">
        <v>61</v>
      </c>
      <c r="B133" s="88"/>
      <c r="C133" s="88"/>
      <c r="D133" s="88"/>
      <c r="E133" s="88"/>
      <c r="F133" s="88"/>
      <c r="G133" s="88"/>
      <c r="H133" s="88"/>
      <c r="T133" s="32"/>
    </row>
    <row r="134" spans="1:20" x14ac:dyDescent="0.3">
      <c r="A134" s="88" t="s">
        <v>121</v>
      </c>
      <c r="B134" s="88"/>
      <c r="C134" s="88"/>
      <c r="D134" s="88"/>
      <c r="E134" s="88"/>
      <c r="F134" s="88"/>
      <c r="G134" s="88"/>
      <c r="H134" s="88"/>
      <c r="T134" s="32"/>
    </row>
    <row r="135" spans="1:20" ht="33.9" customHeight="1" x14ac:dyDescent="0.3">
      <c r="A135" s="92" t="s">
        <v>122</v>
      </c>
      <c r="B135" s="92"/>
      <c r="C135" s="92"/>
      <c r="D135" s="92"/>
      <c r="E135" s="92"/>
      <c r="F135" s="92"/>
      <c r="G135" s="92"/>
      <c r="H135" s="92"/>
    </row>
    <row r="136" spans="1:20" x14ac:dyDescent="0.3">
      <c r="A136" s="110" t="s">
        <v>72</v>
      </c>
      <c r="B136" s="110"/>
      <c r="C136" s="110" t="s">
        <v>385</v>
      </c>
      <c r="D136" s="110"/>
      <c r="E136" s="110" t="s">
        <v>102</v>
      </c>
      <c r="F136" s="110"/>
      <c r="G136" s="110" t="s">
        <v>384</v>
      </c>
      <c r="H136" s="110"/>
    </row>
    <row r="137" spans="1:20" x14ac:dyDescent="0.3">
      <c r="A137" s="109" t="s">
        <v>74</v>
      </c>
      <c r="B137" s="109"/>
      <c r="C137" s="109"/>
      <c r="D137" s="109"/>
      <c r="E137" s="109"/>
      <c r="F137" s="109"/>
      <c r="G137" s="109"/>
      <c r="H137" s="109"/>
    </row>
    <row r="138" spans="1:20" x14ac:dyDescent="0.3">
      <c r="A138" s="109"/>
      <c r="B138" s="109"/>
      <c r="C138" s="109"/>
      <c r="D138" s="109"/>
      <c r="E138" s="109"/>
      <c r="F138" s="109"/>
      <c r="G138" s="109"/>
      <c r="H138" s="109"/>
    </row>
    <row r="139" spans="1:20" x14ac:dyDescent="0.3">
      <c r="A139" s="109"/>
      <c r="B139" s="109"/>
      <c r="C139" s="109"/>
      <c r="D139" s="109"/>
      <c r="E139" s="109"/>
      <c r="F139" s="109"/>
      <c r="G139" s="109"/>
      <c r="H139" s="109"/>
    </row>
    <row r="140" spans="1:20" x14ac:dyDescent="0.3">
      <c r="A140" s="109"/>
      <c r="B140" s="109"/>
      <c r="C140" s="109"/>
      <c r="D140" s="109"/>
      <c r="E140" s="109"/>
      <c r="F140" s="109"/>
      <c r="G140" s="109"/>
      <c r="H140" s="109"/>
    </row>
    <row r="141" spans="1:20" x14ac:dyDescent="0.3">
      <c r="A141" s="35" t="s">
        <v>62</v>
      </c>
      <c r="B141" s="36"/>
      <c r="C141" s="36"/>
      <c r="D141" s="35" t="str">
        <f>E9</f>
        <v>Magnus</v>
      </c>
      <c r="F141" s="36"/>
      <c r="G141" s="36"/>
      <c r="H141" s="36"/>
    </row>
    <row r="142" spans="1:20" x14ac:dyDescent="0.3">
      <c r="A142" s="36"/>
      <c r="B142" s="36"/>
      <c r="C142" s="36"/>
      <c r="D142" s="36"/>
      <c r="E142" s="36"/>
      <c r="F142" s="36"/>
      <c r="G142" s="36"/>
      <c r="H142" s="36"/>
    </row>
    <row r="143" spans="1:20" x14ac:dyDescent="0.3">
      <c r="A143" s="36"/>
      <c r="B143" s="36"/>
      <c r="C143" s="36"/>
      <c r="D143" s="36"/>
      <c r="E143" s="36"/>
      <c r="F143" s="36"/>
      <c r="G143" s="36"/>
      <c r="H143" s="36"/>
    </row>
    <row r="144" spans="1:20" ht="15" customHeight="1" x14ac:dyDescent="0.3"/>
    <row r="179" spans="1:1" hidden="1" x14ac:dyDescent="0.3"/>
    <row r="180" spans="1:1" hidden="1" x14ac:dyDescent="0.3"/>
    <row r="181" spans="1:1" hidden="1" x14ac:dyDescent="0.3"/>
    <row r="182" spans="1:1" hidden="1" x14ac:dyDescent="0.3"/>
    <row r="183" spans="1:1" hidden="1" x14ac:dyDescent="0.3"/>
    <row r="185" spans="1:1" x14ac:dyDescent="0.3">
      <c r="A185" s="38" t="s">
        <v>156</v>
      </c>
    </row>
    <row r="227" spans="1:1" x14ac:dyDescent="0.3">
      <c r="A227" s="38" t="s">
        <v>63</v>
      </c>
    </row>
  </sheetData>
  <mergeCells count="263">
    <mergeCell ref="B107:B108"/>
    <mergeCell ref="G99:G100"/>
    <mergeCell ref="A117:B117"/>
    <mergeCell ref="A75:B75"/>
    <mergeCell ref="E73:F82"/>
    <mergeCell ref="G73:H82"/>
    <mergeCell ref="L32:M32"/>
    <mergeCell ref="C34:D34"/>
    <mergeCell ref="C35:D35"/>
    <mergeCell ref="C36:D36"/>
    <mergeCell ref="C37:D37"/>
    <mergeCell ref="E33:F33"/>
    <mergeCell ref="E34:F34"/>
    <mergeCell ref="E35:F35"/>
    <mergeCell ref="E36:F36"/>
    <mergeCell ref="E37:F37"/>
    <mergeCell ref="G33:H33"/>
    <mergeCell ref="G34:H34"/>
    <mergeCell ref="G35:H35"/>
    <mergeCell ref="G36:H36"/>
    <mergeCell ref="G37:H37"/>
    <mergeCell ref="A40:B40"/>
    <mergeCell ref="C40:H40"/>
    <mergeCell ref="F99:F100"/>
    <mergeCell ref="B128:H128"/>
    <mergeCell ref="A85:E85"/>
    <mergeCell ref="A96:B96"/>
    <mergeCell ref="E96:F96"/>
    <mergeCell ref="A90:E90"/>
    <mergeCell ref="G96:H96"/>
    <mergeCell ref="L110:M110"/>
    <mergeCell ref="A112:B112"/>
    <mergeCell ref="A113:B113"/>
    <mergeCell ref="A116:B116"/>
    <mergeCell ref="L105:M105"/>
    <mergeCell ref="L104:M104"/>
    <mergeCell ref="L103:M103"/>
    <mergeCell ref="L102:M102"/>
    <mergeCell ref="E107:E108"/>
    <mergeCell ref="A109:H109"/>
    <mergeCell ref="B124:H124"/>
    <mergeCell ref="B121:H121"/>
    <mergeCell ref="B122:H122"/>
    <mergeCell ref="B123:H123"/>
    <mergeCell ref="A120:H120"/>
    <mergeCell ref="A119:B119"/>
    <mergeCell ref="A115:H115"/>
    <mergeCell ref="C99:C100"/>
    <mergeCell ref="E95:F95"/>
    <mergeCell ref="B99:B100"/>
    <mergeCell ref="A99:A100"/>
    <mergeCell ref="C107:C108"/>
    <mergeCell ref="G107:G108"/>
    <mergeCell ref="A72:B72"/>
    <mergeCell ref="A80:B80"/>
    <mergeCell ref="C95:D95"/>
    <mergeCell ref="G95:H95"/>
    <mergeCell ref="A84:E84"/>
    <mergeCell ref="A101:H101"/>
    <mergeCell ref="E99:E100"/>
    <mergeCell ref="D99:D100"/>
    <mergeCell ref="A105:B105"/>
    <mergeCell ref="A104:B104"/>
    <mergeCell ref="A86:E86"/>
    <mergeCell ref="F86:H86"/>
    <mergeCell ref="A88:E88"/>
    <mergeCell ref="A87:E87"/>
    <mergeCell ref="A106:H106"/>
    <mergeCell ref="E94:F94"/>
    <mergeCell ref="A97:H97"/>
    <mergeCell ref="A102:B102"/>
    <mergeCell ref="A94:B94"/>
    <mergeCell ref="E45:H45"/>
    <mergeCell ref="E46:H46"/>
    <mergeCell ref="E47:H47"/>
    <mergeCell ref="A48:H48"/>
    <mergeCell ref="D60:H60"/>
    <mergeCell ref="A60:C60"/>
    <mergeCell ref="A45:D45"/>
    <mergeCell ref="C53:H53"/>
    <mergeCell ref="A38:H38"/>
    <mergeCell ref="C49:H49"/>
    <mergeCell ref="A37:B37"/>
    <mergeCell ref="A42:D42"/>
    <mergeCell ref="E42:H42"/>
    <mergeCell ref="A41:H41"/>
    <mergeCell ref="A62:C62"/>
    <mergeCell ref="A63:C63"/>
    <mergeCell ref="D62:H62"/>
    <mergeCell ref="C51:E51"/>
    <mergeCell ref="C50:E50"/>
    <mergeCell ref="G50:H50"/>
    <mergeCell ref="A51:B51"/>
    <mergeCell ref="A54:B55"/>
    <mergeCell ref="C54:E54"/>
    <mergeCell ref="G54:H54"/>
    <mergeCell ref="G51:H51"/>
    <mergeCell ref="A52:B53"/>
    <mergeCell ref="A39:B39"/>
    <mergeCell ref="C39:H39"/>
    <mergeCell ref="A46:D46"/>
    <mergeCell ref="A47:D47"/>
    <mergeCell ref="D63:H63"/>
    <mergeCell ref="A44:D44"/>
    <mergeCell ref="E44:H44"/>
    <mergeCell ref="A49:B49"/>
    <mergeCell ref="A61:C61"/>
    <mergeCell ref="D61:H61"/>
    <mergeCell ref="G52:H52"/>
    <mergeCell ref="A57:H57"/>
    <mergeCell ref="A58:C58"/>
    <mergeCell ref="A59:C59"/>
    <mergeCell ref="A71:B71"/>
    <mergeCell ref="A69:B69"/>
    <mergeCell ref="C69:H69"/>
    <mergeCell ref="A64:C64"/>
    <mergeCell ref="D64:H64"/>
    <mergeCell ref="C71:H71"/>
    <mergeCell ref="A65:C65"/>
    <mergeCell ref="D65:H65"/>
    <mergeCell ref="A68:C68"/>
    <mergeCell ref="D68:H68"/>
    <mergeCell ref="A67:C67"/>
    <mergeCell ref="A36:B36"/>
    <mergeCell ref="A31:D31"/>
    <mergeCell ref="E31:H31"/>
    <mergeCell ref="A32:D32"/>
    <mergeCell ref="E32:H32"/>
    <mergeCell ref="A28:D28"/>
    <mergeCell ref="E28:H28"/>
    <mergeCell ref="A34:B34"/>
    <mergeCell ref="A33:B33"/>
    <mergeCell ref="A35:B35"/>
    <mergeCell ref="C33:D33"/>
    <mergeCell ref="A29:D29"/>
    <mergeCell ref="E29:H29"/>
    <mergeCell ref="A26:D26"/>
    <mergeCell ref="E26:H26"/>
    <mergeCell ref="A25:D25"/>
    <mergeCell ref="E25:H25"/>
    <mergeCell ref="A30:D30"/>
    <mergeCell ref="E30:H30"/>
    <mergeCell ref="A27:D27"/>
    <mergeCell ref="E14:H14"/>
    <mergeCell ref="A15:D15"/>
    <mergeCell ref="A11:D11"/>
    <mergeCell ref="E11:H11"/>
    <mergeCell ref="A23:D24"/>
    <mergeCell ref="E23:H24"/>
    <mergeCell ref="E15:H15"/>
    <mergeCell ref="A16:B16"/>
    <mergeCell ref="C16:H16"/>
    <mergeCell ref="C17:H17"/>
    <mergeCell ref="A18:B18"/>
    <mergeCell ref="C18:H18"/>
    <mergeCell ref="A13:D13"/>
    <mergeCell ref="E13:H13"/>
    <mergeCell ref="A12:D12"/>
    <mergeCell ref="E12:H12"/>
    <mergeCell ref="A17:B17"/>
    <mergeCell ref="A14:D14"/>
    <mergeCell ref="A19:B19"/>
    <mergeCell ref="C19:D19"/>
    <mergeCell ref="E19:F19"/>
    <mergeCell ref="G19:H19"/>
    <mergeCell ref="A20:B20"/>
    <mergeCell ref="C20:D20"/>
    <mergeCell ref="A129:H129"/>
    <mergeCell ref="G94:H94"/>
    <mergeCell ref="B125:H125"/>
    <mergeCell ref="A118:B118"/>
    <mergeCell ref="A114:B114"/>
    <mergeCell ref="A1:H1"/>
    <mergeCell ref="A2:H2"/>
    <mergeCell ref="A3:D3"/>
    <mergeCell ref="E3:H3"/>
    <mergeCell ref="A5:D5"/>
    <mergeCell ref="A9:D9"/>
    <mergeCell ref="E9:H9"/>
    <mergeCell ref="A10:D10"/>
    <mergeCell ref="E10:H10"/>
    <mergeCell ref="E5:H5"/>
    <mergeCell ref="A6:D6"/>
    <mergeCell ref="E6:H6"/>
    <mergeCell ref="A7:D7"/>
    <mergeCell ref="E7:H7"/>
    <mergeCell ref="A8:D8"/>
    <mergeCell ref="E8:H8"/>
    <mergeCell ref="A4:D4"/>
    <mergeCell ref="E4:H4"/>
    <mergeCell ref="A83:E83"/>
    <mergeCell ref="A137:H140"/>
    <mergeCell ref="A136:B136"/>
    <mergeCell ref="E136:F136"/>
    <mergeCell ref="C136:D136"/>
    <mergeCell ref="G136:H136"/>
    <mergeCell ref="A91:E91"/>
    <mergeCell ref="F91:H91"/>
    <mergeCell ref="A92:E92"/>
    <mergeCell ref="F92:H92"/>
    <mergeCell ref="A110:H110"/>
    <mergeCell ref="A95:B95"/>
    <mergeCell ref="A132:H132"/>
    <mergeCell ref="A93:H93"/>
    <mergeCell ref="A135:H135"/>
    <mergeCell ref="A133:H133"/>
    <mergeCell ref="A130:H130"/>
    <mergeCell ref="A107:A108"/>
    <mergeCell ref="F107:F108"/>
    <mergeCell ref="B127:H127"/>
    <mergeCell ref="B126:H126"/>
    <mergeCell ref="A134:H134"/>
    <mergeCell ref="A131:H131"/>
    <mergeCell ref="A111:B111"/>
    <mergeCell ref="D107:D108"/>
    <mergeCell ref="F87:H87"/>
    <mergeCell ref="C96:D96"/>
    <mergeCell ref="F90:H90"/>
    <mergeCell ref="F88:H88"/>
    <mergeCell ref="A98:H98"/>
    <mergeCell ref="A89:E89"/>
    <mergeCell ref="A103:B103"/>
    <mergeCell ref="A56:B56"/>
    <mergeCell ref="C56:E56"/>
    <mergeCell ref="D58:H58"/>
    <mergeCell ref="F89:H89"/>
    <mergeCell ref="C94:D94"/>
    <mergeCell ref="D66:H66"/>
    <mergeCell ref="D59:H59"/>
    <mergeCell ref="G56:H56"/>
    <mergeCell ref="A78:B78"/>
    <mergeCell ref="A66:C66"/>
    <mergeCell ref="D67:H67"/>
    <mergeCell ref="A73:B73"/>
    <mergeCell ref="G72:H72"/>
    <mergeCell ref="A81:B81"/>
    <mergeCell ref="F83:H83"/>
    <mergeCell ref="F85:H85"/>
    <mergeCell ref="F84:H84"/>
    <mergeCell ref="A82:B82"/>
    <mergeCell ref="A77:B77"/>
    <mergeCell ref="A74:B74"/>
    <mergeCell ref="A76:B76"/>
    <mergeCell ref="E72:F72"/>
    <mergeCell ref="A79:B79"/>
    <mergeCell ref="C55:E55"/>
    <mergeCell ref="G55:H55"/>
    <mergeCell ref="I15:P15"/>
    <mergeCell ref="E43:H43"/>
    <mergeCell ref="A43:D43"/>
    <mergeCell ref="A50:B50"/>
    <mergeCell ref="C52:E52"/>
    <mergeCell ref="E20:F20"/>
    <mergeCell ref="G20:H20"/>
    <mergeCell ref="A21:B21"/>
    <mergeCell ref="C21:D21"/>
    <mergeCell ref="E21:F21"/>
    <mergeCell ref="G21:H21"/>
    <mergeCell ref="A22:B22"/>
    <mergeCell ref="C22:D22"/>
    <mergeCell ref="E22:F22"/>
    <mergeCell ref="G22:H22"/>
    <mergeCell ref="E27:H27"/>
  </mergeCells>
  <dataValidations count="17">
    <dataValidation type="list" allowBlank="1" showInputMessage="1" showErrorMessage="1" sqref="E5:H5" xr:uid="{00000000-0002-0000-0000-000000000000}">
      <formula1>OFFSET($L$3,1,MATCH($E4,$L$3:$P$3,0)-1,10,1)</formula1>
    </dataValidation>
    <dataValidation type="list" allowBlank="1" showInputMessage="1" showErrorMessage="1" sqref="A17:B17" xr:uid="{00000000-0002-0000-0000-000001000000}">
      <formula1>"CTS No,Survey No,Plot No,Gut No,FP No,"</formula1>
    </dataValidation>
    <dataValidation type="list" allowBlank="1" showInputMessage="1" showErrorMessage="1" sqref="G20:H20" xr:uid="{00000000-0002-0000-0000-000002000000}">
      <formula1>$S$13:$W$13</formula1>
    </dataValidation>
    <dataValidation type="list" allowBlank="1" showInputMessage="1" showErrorMessage="1" sqref="E99:E100" xr:uid="{00000000-0002-0000-0000-000003000000}">
      <formula1>"Attached Loft area,Attached Otla area,Attached Mezzanine area"</formula1>
    </dataValidation>
    <dataValidation type="list" allowBlank="1" showInputMessage="1" showErrorMessage="1" sqref="G136:H136" xr:uid="{00000000-0002-0000-0000-000004000000}">
      <formula1>"Kunal Kadam,Pranita Mhatre,Shruti Fule,Pooja Kawale,Gaurav Panchal,Shruti Tathare, Hitakshi Mhatre, Sachin Sawant"</formula1>
    </dataValidation>
    <dataValidation type="list" allowBlank="1" showInputMessage="1" showErrorMessage="1" sqref="F83:H83" xr:uid="{00000000-0002-0000-0000-000005000000}">
      <formula1>"On Saleable Area,On Builtup Area,On Carpet Area,On Plot Area"</formula1>
    </dataValidation>
    <dataValidation type="list" allowBlank="1" showInputMessage="1" showErrorMessage="1" sqref="F91:H91" xr:uid="{00000000-0002-0000-0000-000006000000}">
      <formula1>OFFSET($S$83,1,MATCH($G20,$S$83:$W$83,0)-1,15,1)</formula1>
    </dataValidation>
    <dataValidation type="list" allowBlank="1" showInputMessage="1" showErrorMessage="1" sqref="B99:B100" xr:uid="{00000000-0002-0000-0000-000007000000}">
      <formula1>"Shop No. (Sale Plan),Sale / Rehab,Sale / Mhada"</formula1>
    </dataValidation>
    <dataValidation type="list" allowBlank="1" showInputMessage="1" showErrorMessage="1" sqref="B107:B108" xr:uid="{00000000-0002-0000-0000-000008000000}">
      <formula1>"Flat No. (Sale Plan),Sale / Rehab,Sale / Mhada"</formula1>
    </dataValidation>
    <dataValidation type="list" allowBlank="1" showInputMessage="1" showErrorMessage="1" sqref="C21:D21" xr:uid="{00000000-0002-0000-0000-000009000000}">
      <formula1>OFFSET($S$13,1,MATCH($G20,$S$13:$W$13,0)-1,15,1)</formula1>
    </dataValidation>
    <dataValidation type="list" allowBlank="1" showInputMessage="1" showErrorMessage="1" sqref="Y13" xr:uid="{00000000-0002-0000-0000-00000A000000}">
      <formula1>$D$5:$H$5</formula1>
    </dataValidation>
    <dataValidation type="list" allowBlank="1" showInputMessage="1" showErrorMessage="1" sqref="E107:E108" xr:uid="{00000000-0002-0000-0000-00000B000000}">
      <formula1>"Fungible area,Enclosed Balcony Area,Chajja Area,Cornice Area,AP Area,WS Area"</formula1>
    </dataValidation>
    <dataValidation type="list" allowBlank="1" showInputMessage="1" showErrorMessage="1" sqref="H100 H108" xr:uid="{00000000-0002-0000-0000-00000C000000}">
      <formula1>".45,.50,.55,.60"</formula1>
    </dataValidation>
    <dataValidation type="list" allowBlank="1" showInputMessage="1" showErrorMessage="1" sqref="E4:H4" xr:uid="{00000000-0002-0000-0000-00000D000000}">
      <formula1>$L$3:$P$3</formula1>
    </dataValidation>
    <dataValidation type="list" allowBlank="1" showInputMessage="1" showErrorMessage="1" sqref="C49:H49" xr:uid="{00000000-0002-0000-0000-00000E000000}">
      <formula1>OFFSET($S$49,1,MATCH($G20,$S$49:$W$49,0)-1,15,1)</formula1>
    </dataValidation>
    <dataValidation type="list" allowBlank="1" showInputMessage="1" showErrorMessage="1" sqref="H99 H107" xr:uid="{00000000-0002-0000-0000-00000F000000}">
      <formula1>"Saleable area Loading :,Builder Saleable Area"</formula1>
    </dataValidation>
    <dataValidation type="list" allowBlank="1" showInputMessage="1" showErrorMessage="1" sqref="D99:D100 D107:D108" xr:uid="{00000000-0002-0000-0000-000010000000}">
      <formula1>"Carpet area,RERA Carpet area"</formula1>
    </dataValidation>
  </dataValidations>
  <hyperlinks>
    <hyperlink ref="C40" r:id="rId1" xr:uid="{00000000-0004-0000-0000-000000000000}"/>
  </hyperlinks>
  <printOptions horizontalCentered="1"/>
  <pageMargins left="0.39370078740157483" right="0.39370078740157483" top="0.82677165354330717" bottom="0.78740157480314965" header="0.15748031496062992" footer="0.19685039370078741"/>
  <pageSetup paperSize="2" orientation="portrait" r:id="rId2"/>
  <headerFooter>
    <oddHeader>&amp;C&amp;G</oddHeader>
    <oddFooter>&amp;L&amp;"Times New Roman,Bold"&amp;12Ref No: &amp;F&amp;C&amp;G&amp;R&amp;"Times New Roman,Bold"&amp;12&amp;P</oddFooter>
  </headerFooter>
  <rowBreaks count="4" manualBreakCount="4">
    <brk id="68" max="16383" man="1"/>
    <brk id="140" max="16383" man="1"/>
    <brk id="184" max="16383" man="1"/>
    <brk id="226" max="16383" man="1"/>
  </rowBreaks>
  <drawing r:id="rId3"/>
  <legacyDrawing r:id="rId4"/>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I16"/>
  <sheetViews>
    <sheetView zoomScale="85" zoomScaleNormal="85" workbookViewId="0">
      <selection activeCell="K3" sqref="K3"/>
    </sheetView>
  </sheetViews>
  <sheetFormatPr defaultColWidth="8.6640625" defaultRowHeight="14.4" x14ac:dyDescent="0.3"/>
  <cols>
    <col min="1" max="1" width="8.6640625" style="1"/>
    <col min="2" max="2" width="22.109375" style="1" customWidth="1"/>
    <col min="3" max="3" width="37" style="1" customWidth="1"/>
    <col min="4" max="5" width="11.44140625" style="1" customWidth="1"/>
    <col min="6" max="6" width="14" style="1" customWidth="1"/>
    <col min="7" max="7" width="20" style="1" customWidth="1"/>
    <col min="8" max="8" width="16.44140625" style="1" customWidth="1"/>
    <col min="9" max="16384" width="8.6640625" style="1"/>
  </cols>
  <sheetData>
    <row r="1" spans="1:9" ht="15" customHeight="1" x14ac:dyDescent="0.3"/>
    <row r="2" spans="1:9" ht="15" customHeight="1" x14ac:dyDescent="0.3">
      <c r="A2" s="2"/>
      <c r="B2" s="2"/>
      <c r="C2" s="2"/>
      <c r="D2" s="2"/>
      <c r="E2" s="2"/>
      <c r="F2" s="2"/>
      <c r="G2" s="2"/>
      <c r="H2" s="2"/>
    </row>
    <row r="3" spans="1:9" ht="15.75" customHeight="1" x14ac:dyDescent="0.3">
      <c r="A3" s="2"/>
      <c r="B3" s="195" t="s">
        <v>103</v>
      </c>
      <c r="C3" s="195"/>
      <c r="D3" s="195"/>
      <c r="E3" s="195"/>
      <c r="F3" s="195"/>
      <c r="G3" s="195"/>
      <c r="H3" s="195"/>
    </row>
    <row r="4" spans="1:9" x14ac:dyDescent="0.3">
      <c r="A4" s="2"/>
      <c r="B4" s="3" t="s">
        <v>104</v>
      </c>
      <c r="C4" s="3" t="s">
        <v>105</v>
      </c>
      <c r="D4" s="3" t="s">
        <v>65</v>
      </c>
      <c r="E4" s="3" t="s">
        <v>106</v>
      </c>
      <c r="F4" s="3" t="s">
        <v>112</v>
      </c>
      <c r="G4" s="3" t="s">
        <v>113</v>
      </c>
      <c r="H4" s="3" t="s">
        <v>107</v>
      </c>
    </row>
    <row r="5" spans="1:9" ht="15" customHeight="1" x14ac:dyDescent="0.3">
      <c r="A5" s="2"/>
      <c r="B5" s="5" t="s">
        <v>108</v>
      </c>
      <c r="C5" s="6"/>
      <c r="D5" s="5"/>
      <c r="E5" s="5"/>
      <c r="F5" s="7">
        <f>E5*1.6</f>
        <v>0</v>
      </c>
      <c r="G5" s="7" t="e">
        <f>H5/F5</f>
        <v>#DIV/0!</v>
      </c>
      <c r="H5" s="8"/>
    </row>
    <row r="6" spans="1:9" x14ac:dyDescent="0.3">
      <c r="A6" s="2"/>
      <c r="B6" s="5" t="s">
        <v>108</v>
      </c>
      <c r="C6" s="9"/>
      <c r="D6" s="5"/>
      <c r="E6" s="5"/>
      <c r="F6" s="7">
        <f t="shared" ref="F6:F11" si="0">E6*1.6</f>
        <v>0</v>
      </c>
      <c r="G6" s="7" t="e">
        <f t="shared" ref="G6:G11" si="1">H6/F6</f>
        <v>#DIV/0!</v>
      </c>
      <c r="H6" s="8"/>
    </row>
    <row r="7" spans="1:9" ht="15" customHeight="1" x14ac:dyDescent="0.3">
      <c r="A7" s="2"/>
      <c r="B7" s="5" t="s">
        <v>108</v>
      </c>
      <c r="C7" s="6"/>
      <c r="D7" s="5"/>
      <c r="E7" s="5"/>
      <c r="F7" s="7">
        <f t="shared" si="0"/>
        <v>0</v>
      </c>
      <c r="G7" s="7" t="e">
        <f t="shared" si="1"/>
        <v>#DIV/0!</v>
      </c>
      <c r="H7" s="8"/>
    </row>
    <row r="8" spans="1:9" x14ac:dyDescent="0.3">
      <c r="A8" s="2"/>
      <c r="B8" s="5" t="s">
        <v>108</v>
      </c>
      <c r="C8" s="9"/>
      <c r="D8" s="5"/>
      <c r="E8" s="5"/>
      <c r="F8" s="7">
        <f t="shared" si="0"/>
        <v>0</v>
      </c>
      <c r="G8" s="7" t="e">
        <f t="shared" si="1"/>
        <v>#DIV/0!</v>
      </c>
      <c r="H8" s="8"/>
    </row>
    <row r="9" spans="1:9" ht="15" customHeight="1" x14ac:dyDescent="0.3">
      <c r="A9" s="2"/>
      <c r="B9" s="5" t="s">
        <v>108</v>
      </c>
      <c r="C9" s="9"/>
      <c r="D9" s="5"/>
      <c r="E9" s="5"/>
      <c r="F9" s="7">
        <f t="shared" si="0"/>
        <v>0</v>
      </c>
      <c r="G9" s="7" t="e">
        <f t="shared" si="1"/>
        <v>#DIV/0!</v>
      </c>
      <c r="H9" s="8"/>
    </row>
    <row r="10" spans="1:9" ht="15" customHeight="1" x14ac:dyDescent="0.3">
      <c r="A10" s="2"/>
      <c r="B10" s="5" t="s">
        <v>109</v>
      </c>
      <c r="C10" s="6"/>
      <c r="D10" s="5"/>
      <c r="E10" s="5"/>
      <c r="F10" s="7">
        <f t="shared" si="0"/>
        <v>0</v>
      </c>
      <c r="G10" s="7" t="e">
        <f t="shared" si="1"/>
        <v>#DIV/0!</v>
      </c>
      <c r="H10" s="8"/>
    </row>
    <row r="11" spans="1:9" ht="15" customHeight="1" x14ac:dyDescent="0.3">
      <c r="A11" s="2"/>
      <c r="B11" s="5" t="s">
        <v>109</v>
      </c>
      <c r="C11" s="6"/>
      <c r="D11" s="5"/>
      <c r="E11" s="5"/>
      <c r="F11" s="7">
        <f t="shared" si="0"/>
        <v>0</v>
      </c>
      <c r="G11" s="7" t="e">
        <f t="shared" si="1"/>
        <v>#DIV/0!</v>
      </c>
      <c r="H11" s="8"/>
    </row>
    <row r="12" spans="1:9" ht="15" customHeight="1" x14ac:dyDescent="0.3">
      <c r="A12" s="2"/>
      <c r="B12" s="10" t="s">
        <v>110</v>
      </c>
      <c r="C12" s="5"/>
      <c r="D12" s="5"/>
      <c r="E12" s="5"/>
      <c r="F12" s="5"/>
      <c r="G12" s="11" t="e">
        <f>AVERAGE(G5:G11)</f>
        <v>#DIV/0!</v>
      </c>
      <c r="H12" s="5"/>
    </row>
    <row r="13" spans="1:9" ht="15" customHeight="1" x14ac:dyDescent="0.3">
      <c r="B13" s="10" t="s">
        <v>111</v>
      </c>
      <c r="C13" s="5"/>
      <c r="D13" s="5"/>
      <c r="E13" s="5"/>
      <c r="F13" s="12"/>
      <c r="G13" s="10"/>
      <c r="H13" s="10"/>
      <c r="I13" s="4"/>
    </row>
    <row r="14" spans="1:9" ht="15" customHeight="1" x14ac:dyDescent="0.3"/>
    <row r="15" spans="1:9" ht="15" customHeight="1" x14ac:dyDescent="0.3"/>
    <row r="16" spans="1:9" ht="15" customHeight="1" x14ac:dyDescent="0.3"/>
  </sheetData>
  <mergeCells count="1">
    <mergeCell ref="B3:H3"/>
  </mergeCells>
  <pageMargins left="0.7" right="0.7" top="0.75" bottom="0.75" header="0.3" footer="0.3"/>
  <pageSetup orientation="portrait" horizontalDpi="300" verticalDpi="3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B3:K69"/>
  <sheetViews>
    <sheetView topLeftCell="A55" zoomScale="130" zoomScaleNormal="130" workbookViewId="0">
      <selection activeCell="C43" sqref="C43:D69"/>
    </sheetView>
  </sheetViews>
  <sheetFormatPr defaultRowHeight="14.4" x14ac:dyDescent="0.3"/>
  <cols>
    <col min="4" max="4" width="13.88671875" bestFit="1" customWidth="1"/>
    <col min="5" max="5" width="10.44140625" bestFit="1" customWidth="1"/>
    <col min="6" max="6" width="12.44140625" bestFit="1" customWidth="1"/>
    <col min="7" max="7" width="18.109375" customWidth="1"/>
    <col min="8" max="8" width="10.5546875" bestFit="1" customWidth="1"/>
  </cols>
  <sheetData>
    <row r="3" spans="2:11" x14ac:dyDescent="0.3">
      <c r="J3">
        <v>1</v>
      </c>
      <c r="K3">
        <v>2</v>
      </c>
    </row>
    <row r="4" spans="2:11" x14ac:dyDescent="0.3">
      <c r="B4" s="47"/>
      <c r="C4" s="47" t="s">
        <v>11</v>
      </c>
      <c r="D4" s="48" t="s">
        <v>168</v>
      </c>
      <c r="E4" s="48" t="s">
        <v>178</v>
      </c>
      <c r="F4" s="48" t="s">
        <v>164</v>
      </c>
      <c r="G4" s="48" t="s">
        <v>183</v>
      </c>
      <c r="H4" s="48" t="s">
        <v>201</v>
      </c>
      <c r="J4" t="s">
        <v>183</v>
      </c>
      <c r="K4" t="s">
        <v>199</v>
      </c>
    </row>
    <row r="5" spans="2:11" x14ac:dyDescent="0.3">
      <c r="B5" s="47"/>
      <c r="C5" s="47"/>
      <c r="D5" s="48" t="s">
        <v>169</v>
      </c>
      <c r="E5" s="48" t="s">
        <v>176</v>
      </c>
      <c r="F5" s="48" t="s">
        <v>198</v>
      </c>
      <c r="G5" s="48" t="s">
        <v>184</v>
      </c>
      <c r="H5" s="48" t="s">
        <v>202</v>
      </c>
    </row>
    <row r="6" spans="2:11" x14ac:dyDescent="0.3">
      <c r="B6" s="47"/>
      <c r="C6" s="47"/>
      <c r="D6" s="48" t="s">
        <v>170</v>
      </c>
      <c r="E6" s="48" t="s">
        <v>177</v>
      </c>
      <c r="F6" s="48" t="s">
        <v>199</v>
      </c>
      <c r="G6" s="48" t="s">
        <v>185</v>
      </c>
      <c r="H6" s="48" t="s">
        <v>215</v>
      </c>
    </row>
    <row r="7" spans="2:11" x14ac:dyDescent="0.3">
      <c r="B7" s="47"/>
      <c r="C7" s="47"/>
      <c r="D7" s="48" t="s">
        <v>171</v>
      </c>
      <c r="E7" s="48" t="s">
        <v>179</v>
      </c>
      <c r="F7" s="48" t="s">
        <v>200</v>
      </c>
      <c r="G7" s="48" t="s">
        <v>186</v>
      </c>
      <c r="H7" s="48" t="s">
        <v>203</v>
      </c>
    </row>
    <row r="8" spans="2:11" x14ac:dyDescent="0.3">
      <c r="B8" s="47"/>
      <c r="C8" s="47"/>
      <c r="D8" s="48" t="s">
        <v>172</v>
      </c>
      <c r="E8" s="48" t="s">
        <v>180</v>
      </c>
      <c r="F8" s="48"/>
      <c r="G8" s="48" t="s">
        <v>187</v>
      </c>
      <c r="H8" s="48" t="s">
        <v>204</v>
      </c>
    </row>
    <row r="9" spans="2:11" x14ac:dyDescent="0.3">
      <c r="B9" s="47"/>
      <c r="C9" s="47"/>
      <c r="D9" s="48" t="s">
        <v>173</v>
      </c>
      <c r="E9" s="48" t="s">
        <v>178</v>
      </c>
      <c r="F9" s="48"/>
      <c r="G9" s="48" t="s">
        <v>188</v>
      </c>
      <c r="H9" s="48" t="s">
        <v>205</v>
      </c>
    </row>
    <row r="10" spans="2:11" x14ac:dyDescent="0.3">
      <c r="B10" s="47"/>
      <c r="C10" s="47"/>
      <c r="D10" s="48" t="s">
        <v>174</v>
      </c>
      <c r="E10" s="48" t="s">
        <v>181</v>
      </c>
      <c r="F10" s="48"/>
      <c r="G10" s="48" t="s">
        <v>189</v>
      </c>
      <c r="H10" s="48" t="s">
        <v>206</v>
      </c>
    </row>
    <row r="11" spans="2:11" x14ac:dyDescent="0.3">
      <c r="B11" s="47"/>
      <c r="C11" s="47"/>
      <c r="D11" s="48" t="s">
        <v>175</v>
      </c>
      <c r="E11" s="48" t="s">
        <v>182</v>
      </c>
      <c r="F11" s="48"/>
      <c r="G11" s="48" t="s">
        <v>190</v>
      </c>
      <c r="H11" s="48" t="s">
        <v>207</v>
      </c>
    </row>
    <row r="12" spans="2:11" x14ac:dyDescent="0.3">
      <c r="B12" s="47"/>
      <c r="C12" s="47"/>
      <c r="D12" s="48"/>
      <c r="E12" s="48"/>
      <c r="F12" s="48"/>
      <c r="G12" s="48" t="s">
        <v>191</v>
      </c>
      <c r="H12" s="48" t="s">
        <v>208</v>
      </c>
    </row>
    <row r="13" spans="2:11" x14ac:dyDescent="0.3">
      <c r="B13" s="47"/>
      <c r="C13" s="47"/>
      <c r="D13" s="48"/>
      <c r="E13" s="48"/>
      <c r="F13" s="48"/>
      <c r="G13" s="48" t="s">
        <v>192</v>
      </c>
      <c r="H13" s="48" t="s">
        <v>209</v>
      </c>
    </row>
    <row r="14" spans="2:11" x14ac:dyDescent="0.3">
      <c r="B14" s="47"/>
      <c r="C14" s="47"/>
      <c r="D14" s="48"/>
      <c r="E14" s="48"/>
      <c r="F14" s="48"/>
      <c r="G14" s="48" t="s">
        <v>193</v>
      </c>
      <c r="H14" s="48" t="s">
        <v>210</v>
      </c>
    </row>
    <row r="15" spans="2:11" x14ac:dyDescent="0.3">
      <c r="B15" s="47"/>
      <c r="C15" s="47"/>
      <c r="D15" s="48"/>
      <c r="E15" s="48"/>
      <c r="F15" s="48"/>
      <c r="G15" s="48" t="s">
        <v>194</v>
      </c>
      <c r="H15" s="48" t="s">
        <v>211</v>
      </c>
    </row>
    <row r="16" spans="2:11" x14ac:dyDescent="0.3">
      <c r="B16" s="47"/>
      <c r="C16" s="47"/>
      <c r="D16" s="48"/>
      <c r="E16" s="48"/>
      <c r="F16" s="48"/>
      <c r="G16" s="48" t="s">
        <v>195</v>
      </c>
      <c r="H16" s="48" t="s">
        <v>212</v>
      </c>
    </row>
    <row r="17" spans="2:8" x14ac:dyDescent="0.3">
      <c r="B17" s="47"/>
      <c r="C17" s="47"/>
      <c r="D17" s="48"/>
      <c r="E17" s="48"/>
      <c r="F17" s="48"/>
      <c r="G17" s="48" t="s">
        <v>196</v>
      </c>
      <c r="H17" s="48" t="s">
        <v>213</v>
      </c>
    </row>
    <row r="18" spans="2:8" x14ac:dyDescent="0.3">
      <c r="B18" s="47"/>
      <c r="C18" s="47"/>
      <c r="D18" s="48"/>
      <c r="E18" s="48"/>
      <c r="F18" s="48"/>
      <c r="G18" s="48" t="s">
        <v>197</v>
      </c>
      <c r="H18" s="48" t="s">
        <v>214</v>
      </c>
    </row>
    <row r="24" spans="2:8" x14ac:dyDescent="0.3">
      <c r="C24" t="s">
        <v>161</v>
      </c>
    </row>
    <row r="25" spans="2:8" x14ac:dyDescent="0.3">
      <c r="C25" t="s">
        <v>216</v>
      </c>
    </row>
    <row r="26" spans="2:8" x14ac:dyDescent="0.3">
      <c r="C26" t="s">
        <v>217</v>
      </c>
    </row>
    <row r="27" spans="2:8" x14ac:dyDescent="0.3">
      <c r="C27" t="s">
        <v>218</v>
      </c>
    </row>
    <row r="28" spans="2:8" x14ac:dyDescent="0.3">
      <c r="C28" t="s">
        <v>219</v>
      </c>
    </row>
    <row r="29" spans="2:8" x14ac:dyDescent="0.3">
      <c r="C29" t="s">
        <v>220</v>
      </c>
    </row>
    <row r="30" spans="2:8" x14ac:dyDescent="0.3">
      <c r="C30" t="s">
        <v>161</v>
      </c>
    </row>
    <row r="33" spans="3:11" x14ac:dyDescent="0.3">
      <c r="J33">
        <v>1</v>
      </c>
      <c r="K33">
        <v>2</v>
      </c>
    </row>
    <row r="34" spans="3:11" x14ac:dyDescent="0.3">
      <c r="C34" s="49" t="s">
        <v>225</v>
      </c>
      <c r="D34" s="48" t="s">
        <v>223</v>
      </c>
      <c r="E34" s="48" t="s">
        <v>228</v>
      </c>
      <c r="F34" s="48" t="s">
        <v>226</v>
      </c>
      <c r="G34" s="48" t="s">
        <v>227</v>
      </c>
      <c r="H34" s="48" t="s">
        <v>229</v>
      </c>
      <c r="J34" t="s">
        <v>183</v>
      </c>
      <c r="K34" t="s">
        <v>199</v>
      </c>
    </row>
    <row r="35" spans="3:11" x14ac:dyDescent="0.3">
      <c r="C35" s="47" t="s">
        <v>224</v>
      </c>
      <c r="D35" s="48" t="s">
        <v>162</v>
      </c>
      <c r="E35" s="48" t="s">
        <v>233</v>
      </c>
      <c r="F35" s="48" t="s">
        <v>235</v>
      </c>
      <c r="G35" s="48" t="s">
        <v>237</v>
      </c>
      <c r="H35" s="48"/>
    </row>
    <row r="36" spans="3:11" x14ac:dyDescent="0.3">
      <c r="C36" s="47"/>
      <c r="D36" s="48" t="s">
        <v>230</v>
      </c>
      <c r="E36" s="48" t="s">
        <v>234</v>
      </c>
      <c r="F36" s="48" t="s">
        <v>236</v>
      </c>
      <c r="G36" s="48" t="s">
        <v>238</v>
      </c>
      <c r="H36" s="48"/>
    </row>
    <row r="37" spans="3:11" x14ac:dyDescent="0.3">
      <c r="C37" s="47"/>
      <c r="D37" s="48" t="s">
        <v>231</v>
      </c>
      <c r="E37" s="48"/>
      <c r="F37" s="48"/>
      <c r="G37" s="48" t="s">
        <v>239</v>
      </c>
      <c r="H37" s="48"/>
    </row>
    <row r="38" spans="3:11" x14ac:dyDescent="0.3">
      <c r="C38" s="47"/>
      <c r="D38" s="48" t="s">
        <v>232</v>
      </c>
      <c r="E38" s="48"/>
      <c r="F38" s="48"/>
      <c r="G38" s="48" t="s">
        <v>239</v>
      </c>
      <c r="H38" s="48"/>
    </row>
    <row r="39" spans="3:11" x14ac:dyDescent="0.3">
      <c r="C39" s="47"/>
      <c r="D39" s="48"/>
      <c r="E39" s="48"/>
      <c r="F39" s="48"/>
      <c r="G39" s="48" t="s">
        <v>240</v>
      </c>
      <c r="H39" s="48"/>
    </row>
    <row r="40" spans="3:11" x14ac:dyDescent="0.3">
      <c r="C40" s="47"/>
      <c r="D40" s="48"/>
      <c r="E40" s="48"/>
      <c r="F40" s="48"/>
      <c r="G40" s="48" t="s">
        <v>241</v>
      </c>
      <c r="H40" s="48"/>
    </row>
    <row r="41" spans="3:11" x14ac:dyDescent="0.3">
      <c r="C41" s="47"/>
      <c r="D41" s="48"/>
      <c r="E41" s="48"/>
      <c r="F41" s="48"/>
      <c r="G41" s="48"/>
      <c r="H41" s="48"/>
    </row>
    <row r="43" spans="3:11" x14ac:dyDescent="0.3">
      <c r="C43" t="s">
        <v>242</v>
      </c>
    </row>
    <row r="44" spans="3:11" x14ac:dyDescent="0.3">
      <c r="C44" t="s">
        <v>164</v>
      </c>
      <c r="D44" t="s">
        <v>243</v>
      </c>
    </row>
    <row r="45" spans="3:11" x14ac:dyDescent="0.3">
      <c r="D45" t="s">
        <v>244</v>
      </c>
    </row>
    <row r="46" spans="3:11" x14ac:dyDescent="0.3">
      <c r="D46" t="s">
        <v>245</v>
      </c>
    </row>
    <row r="47" spans="3:11" x14ac:dyDescent="0.3">
      <c r="D47" t="s">
        <v>246</v>
      </c>
    </row>
    <row r="48" spans="3:11" x14ac:dyDescent="0.3">
      <c r="D48" t="s">
        <v>247</v>
      </c>
    </row>
    <row r="49" spans="3:4" x14ac:dyDescent="0.3">
      <c r="C49" t="s">
        <v>168</v>
      </c>
      <c r="D49" t="s">
        <v>248</v>
      </c>
    </row>
    <row r="50" spans="3:4" x14ac:dyDescent="0.3">
      <c r="D50" t="s">
        <v>249</v>
      </c>
    </row>
    <row r="51" spans="3:4" x14ac:dyDescent="0.3">
      <c r="D51" t="s">
        <v>250</v>
      </c>
    </row>
    <row r="52" spans="3:4" x14ac:dyDescent="0.3">
      <c r="D52" t="s">
        <v>253</v>
      </c>
    </row>
    <row r="53" spans="3:4" x14ac:dyDescent="0.3">
      <c r="D53" t="s">
        <v>251</v>
      </c>
    </row>
    <row r="54" spans="3:4" x14ac:dyDescent="0.3">
      <c r="D54" t="s">
        <v>252</v>
      </c>
    </row>
    <row r="55" spans="3:4" x14ac:dyDescent="0.3">
      <c r="D55" t="s">
        <v>254</v>
      </c>
    </row>
    <row r="56" spans="3:4" x14ac:dyDescent="0.3">
      <c r="D56" t="s">
        <v>255</v>
      </c>
    </row>
    <row r="57" spans="3:4" x14ac:dyDescent="0.3">
      <c r="D57" t="s">
        <v>256</v>
      </c>
    </row>
    <row r="58" spans="3:4" x14ac:dyDescent="0.3">
      <c r="D58" t="s">
        <v>258</v>
      </c>
    </row>
    <row r="59" spans="3:4" x14ac:dyDescent="0.3">
      <c r="D59" t="s">
        <v>267</v>
      </c>
    </row>
    <row r="60" spans="3:4" x14ac:dyDescent="0.3">
      <c r="C60" t="s">
        <v>183</v>
      </c>
      <c r="D60" t="s">
        <v>259</v>
      </c>
    </row>
    <row r="61" spans="3:4" x14ac:dyDescent="0.3">
      <c r="D61" t="s">
        <v>257</v>
      </c>
    </row>
    <row r="62" spans="3:4" x14ac:dyDescent="0.3">
      <c r="D62" t="s">
        <v>247</v>
      </c>
    </row>
    <row r="63" spans="3:4" x14ac:dyDescent="0.3">
      <c r="D63" t="s">
        <v>260</v>
      </c>
    </row>
    <row r="64" spans="3:4" x14ac:dyDescent="0.3">
      <c r="D64" t="s">
        <v>261</v>
      </c>
    </row>
    <row r="65" spans="3:4" x14ac:dyDescent="0.3">
      <c r="D65" t="s">
        <v>262</v>
      </c>
    </row>
    <row r="66" spans="3:4" x14ac:dyDescent="0.3">
      <c r="D66" t="s">
        <v>263</v>
      </c>
    </row>
    <row r="67" spans="3:4" x14ac:dyDescent="0.3">
      <c r="C67" t="s">
        <v>178</v>
      </c>
      <c r="D67" t="s">
        <v>264</v>
      </c>
    </row>
    <row r="68" spans="3:4" x14ac:dyDescent="0.3">
      <c r="D68" t="s">
        <v>265</v>
      </c>
    </row>
    <row r="69" spans="3:4" x14ac:dyDescent="0.3">
      <c r="D69" t="s">
        <v>266</v>
      </c>
    </row>
  </sheetData>
  <dataValidations count="2">
    <dataValidation type="list" allowBlank="1" showInputMessage="1" showErrorMessage="1" sqref="J4 J34" xr:uid="{00000000-0002-0000-0200-000000000000}">
      <formula1>$D$4:$H$4</formula1>
    </dataValidation>
    <dataValidation type="list" allowBlank="1" showInputMessage="1" showErrorMessage="1" sqref="K4 K34" xr:uid="{00000000-0002-0000-0200-000001000000}">
      <formula1>OFFSET($D$4,1,MATCH($J4,$D$4:$H$4,0)-1,15,1)</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C35"/>
  <sheetViews>
    <sheetView topLeftCell="A22" workbookViewId="0">
      <selection activeCell="C35" sqref="C35"/>
    </sheetView>
  </sheetViews>
  <sheetFormatPr defaultRowHeight="14.4" x14ac:dyDescent="0.3"/>
  <cols>
    <col min="2" max="2" width="3" bestFit="1" customWidth="1"/>
    <col min="3" max="3" width="155.33203125" customWidth="1"/>
  </cols>
  <sheetData>
    <row r="2" spans="2:3" ht="15" customHeight="1" x14ac:dyDescent="0.3">
      <c r="B2" s="50">
        <v>1</v>
      </c>
      <c r="C2" s="52" t="s">
        <v>271</v>
      </c>
    </row>
    <row r="3" spans="2:3" x14ac:dyDescent="0.3">
      <c r="B3" s="50">
        <v>2</v>
      </c>
      <c r="C3" s="51" t="s">
        <v>272</v>
      </c>
    </row>
    <row r="4" spans="2:3" x14ac:dyDescent="0.3">
      <c r="B4" s="50">
        <v>3</v>
      </c>
      <c r="C4" s="50" t="s">
        <v>273</v>
      </c>
    </row>
    <row r="5" spans="2:3" x14ac:dyDescent="0.3">
      <c r="B5" s="50">
        <v>4</v>
      </c>
      <c r="C5" s="51" t="s">
        <v>274</v>
      </c>
    </row>
    <row r="6" spans="2:3" x14ac:dyDescent="0.3">
      <c r="B6" s="50">
        <v>5</v>
      </c>
      <c r="C6" s="50" t="s">
        <v>275</v>
      </c>
    </row>
    <row r="7" spans="2:3" x14ac:dyDescent="0.3">
      <c r="B7" s="50">
        <v>6</v>
      </c>
      <c r="C7" s="51" t="s">
        <v>276</v>
      </c>
    </row>
    <row r="8" spans="2:3" ht="72" x14ac:dyDescent="0.3">
      <c r="B8" s="50">
        <v>7</v>
      </c>
      <c r="C8" s="51" t="s">
        <v>277</v>
      </c>
    </row>
    <row r="9" spans="2:3" x14ac:dyDescent="0.3">
      <c r="B9" s="50">
        <v>8</v>
      </c>
      <c r="C9" s="50" t="s">
        <v>278</v>
      </c>
    </row>
    <row r="10" spans="2:3" x14ac:dyDescent="0.3">
      <c r="B10" s="50">
        <v>9</v>
      </c>
      <c r="C10" s="50" t="s">
        <v>279</v>
      </c>
    </row>
    <row r="11" spans="2:3" x14ac:dyDescent="0.3">
      <c r="B11" s="50">
        <v>10</v>
      </c>
      <c r="C11" s="50" t="s">
        <v>280</v>
      </c>
    </row>
    <row r="12" spans="2:3" x14ac:dyDescent="0.3">
      <c r="B12" s="50">
        <v>11</v>
      </c>
      <c r="C12" s="50" t="s">
        <v>281</v>
      </c>
    </row>
    <row r="13" spans="2:3" x14ac:dyDescent="0.3">
      <c r="B13" s="50">
        <v>12</v>
      </c>
      <c r="C13" s="50" t="s">
        <v>282</v>
      </c>
    </row>
    <row r="14" spans="2:3" x14ac:dyDescent="0.3">
      <c r="B14" s="50">
        <v>13</v>
      </c>
      <c r="C14" s="50" t="s">
        <v>283</v>
      </c>
    </row>
    <row r="15" spans="2:3" x14ac:dyDescent="0.3">
      <c r="B15" s="50">
        <v>14</v>
      </c>
      <c r="C15" s="50" t="s">
        <v>273</v>
      </c>
    </row>
    <row r="16" spans="2:3" x14ac:dyDescent="0.3">
      <c r="B16" s="50">
        <v>15</v>
      </c>
      <c r="C16" s="50" t="s">
        <v>285</v>
      </c>
    </row>
    <row r="17" spans="2:3" x14ac:dyDescent="0.3">
      <c r="B17" s="68">
        <v>16</v>
      </c>
      <c r="C17" s="55" t="s">
        <v>286</v>
      </c>
    </row>
    <row r="18" spans="2:3" x14ac:dyDescent="0.3">
      <c r="B18" s="54">
        <v>17</v>
      </c>
      <c r="C18" s="55" t="s">
        <v>287</v>
      </c>
    </row>
    <row r="19" spans="2:3" x14ac:dyDescent="0.3">
      <c r="B19" s="53">
        <v>18</v>
      </c>
      <c r="C19" s="50" t="s">
        <v>288</v>
      </c>
    </row>
    <row r="20" spans="2:3" x14ac:dyDescent="0.3">
      <c r="B20" s="54">
        <v>19</v>
      </c>
      <c r="C20" s="50" t="s">
        <v>324</v>
      </c>
    </row>
    <row r="21" spans="2:3" x14ac:dyDescent="0.3">
      <c r="B21" s="50">
        <v>20</v>
      </c>
      <c r="C21" s="50" t="s">
        <v>289</v>
      </c>
    </row>
    <row r="22" spans="2:3" x14ac:dyDescent="0.3">
      <c r="B22" s="54">
        <v>21</v>
      </c>
      <c r="C22" s="50" t="s">
        <v>288</v>
      </c>
    </row>
    <row r="23" spans="2:3" s="63" customFormat="1" ht="29.25" customHeight="1" x14ac:dyDescent="0.3">
      <c r="B23" s="62">
        <v>22</v>
      </c>
      <c r="C23" s="52" t="s">
        <v>316</v>
      </c>
    </row>
    <row r="24" spans="2:3" s="63" customFormat="1" ht="30.75" customHeight="1" x14ac:dyDescent="0.3">
      <c r="B24" s="64">
        <v>23</v>
      </c>
      <c r="C24" s="52" t="s">
        <v>317</v>
      </c>
    </row>
    <row r="25" spans="2:3" x14ac:dyDescent="0.3">
      <c r="B25" s="50">
        <v>24</v>
      </c>
      <c r="C25" s="50" t="s">
        <v>320</v>
      </c>
    </row>
    <row r="26" spans="2:3" x14ac:dyDescent="0.3">
      <c r="B26" s="54">
        <v>25</v>
      </c>
      <c r="C26" s="50" t="s">
        <v>318</v>
      </c>
    </row>
    <row r="27" spans="2:3" x14ac:dyDescent="0.3">
      <c r="B27" s="64">
        <v>26</v>
      </c>
      <c r="C27" s="50" t="s">
        <v>319</v>
      </c>
    </row>
    <row r="28" spans="2:3" x14ac:dyDescent="0.3">
      <c r="B28" s="54">
        <v>27</v>
      </c>
      <c r="C28" s="50" t="s">
        <v>321</v>
      </c>
    </row>
    <row r="29" spans="2:3" ht="43.2" x14ac:dyDescent="0.3">
      <c r="B29" s="67">
        <v>28</v>
      </c>
      <c r="C29" s="51" t="s">
        <v>322</v>
      </c>
    </row>
    <row r="30" spans="2:3" x14ac:dyDescent="0.3">
      <c r="B30" s="64">
        <v>29</v>
      </c>
      <c r="C30" s="50" t="s">
        <v>323</v>
      </c>
    </row>
    <row r="31" spans="2:3" ht="28.8" x14ac:dyDescent="0.3">
      <c r="B31" s="64">
        <v>30</v>
      </c>
      <c r="C31" s="51" t="s">
        <v>325</v>
      </c>
    </row>
    <row r="32" spans="2:3" x14ac:dyDescent="0.3">
      <c r="B32" s="64">
        <v>31</v>
      </c>
      <c r="C32" s="50" t="s">
        <v>326</v>
      </c>
    </row>
    <row r="33" spans="2:3" x14ac:dyDescent="0.3">
      <c r="B33" s="64">
        <v>32</v>
      </c>
      <c r="C33" s="50" t="s">
        <v>327</v>
      </c>
    </row>
    <row r="34" spans="2:3" ht="36.75" customHeight="1" x14ac:dyDescent="0.3">
      <c r="B34" s="64">
        <v>33</v>
      </c>
      <c r="C34" s="55" t="s">
        <v>328</v>
      </c>
    </row>
    <row r="35" spans="2:3" x14ac:dyDescent="0.3">
      <c r="B35" s="64">
        <v>34</v>
      </c>
      <c r="C35" s="50" t="s">
        <v>337</v>
      </c>
    </row>
  </sheetData>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44"/>
  <sheetViews>
    <sheetView workbookViewId="0">
      <selection sqref="A1:XFD1048576"/>
    </sheetView>
  </sheetViews>
  <sheetFormatPr defaultColWidth="9.109375" defaultRowHeight="14.4" x14ac:dyDescent="0.3"/>
  <cols>
    <col min="1" max="1" width="9.109375" style="47"/>
    <col min="2" max="2" width="12.33203125" style="47" customWidth="1"/>
    <col min="3" max="16384" width="9.109375" style="47"/>
  </cols>
  <sheetData>
    <row r="2" spans="1:12" x14ac:dyDescent="0.3">
      <c r="B2" s="56" t="s">
        <v>290</v>
      </c>
      <c r="C2" s="196"/>
      <c r="D2" s="196"/>
    </row>
    <row r="3" spans="1:12" x14ac:dyDescent="0.3">
      <c r="D3" s="57"/>
      <c r="E3" s="57"/>
      <c r="F3" s="57"/>
      <c r="G3" s="57"/>
      <c r="H3" s="57"/>
      <c r="I3" s="57"/>
    </row>
    <row r="4" spans="1:12" x14ac:dyDescent="0.3">
      <c r="A4" s="56" t="s">
        <v>65</v>
      </c>
      <c r="B4" s="58" t="s">
        <v>291</v>
      </c>
      <c r="C4" s="197" t="s">
        <v>292</v>
      </c>
      <c r="D4" s="197"/>
      <c r="E4" s="197"/>
      <c r="F4" s="58"/>
      <c r="G4" s="198" t="s">
        <v>293</v>
      </c>
      <c r="H4" s="198"/>
      <c r="I4" s="198"/>
      <c r="J4" s="199" t="s">
        <v>294</v>
      </c>
      <c r="K4" s="199"/>
      <c r="L4" s="199"/>
    </row>
    <row r="5" spans="1:12" x14ac:dyDescent="0.3">
      <c r="A5" s="56"/>
      <c r="B5" s="58"/>
      <c r="C5" s="58" t="s">
        <v>295</v>
      </c>
      <c r="D5" s="58" t="s">
        <v>296</v>
      </c>
      <c r="E5" s="58" t="s">
        <v>297</v>
      </c>
      <c r="F5" s="58"/>
      <c r="G5" s="58" t="s">
        <v>295</v>
      </c>
      <c r="H5" s="58" t="s">
        <v>296</v>
      </c>
      <c r="I5" s="58" t="s">
        <v>297</v>
      </c>
      <c r="J5" s="58" t="s">
        <v>295</v>
      </c>
      <c r="K5" s="58" t="s">
        <v>296</v>
      </c>
      <c r="L5" s="58" t="s">
        <v>297</v>
      </c>
    </row>
    <row r="6" spans="1:12" x14ac:dyDescent="0.3">
      <c r="B6" s="48" t="s">
        <v>298</v>
      </c>
      <c r="C6" s="48"/>
      <c r="D6" s="48"/>
      <c r="E6" s="48">
        <f>C6*D6</f>
        <v>0</v>
      </c>
      <c r="F6" s="48" t="s">
        <v>315</v>
      </c>
      <c r="G6" s="48"/>
      <c r="H6" s="48"/>
      <c r="I6" s="48">
        <f>G6*H6</f>
        <v>0</v>
      </c>
      <c r="J6" s="48"/>
      <c r="K6" s="48"/>
      <c r="L6" s="48">
        <f>J6*K6</f>
        <v>0</v>
      </c>
    </row>
    <row r="7" spans="1:12" x14ac:dyDescent="0.3">
      <c r="B7" s="48"/>
      <c r="C7" s="48"/>
      <c r="D7" s="48"/>
      <c r="E7" s="48">
        <f t="shared" ref="E7:E41" si="0">C7*D7</f>
        <v>0</v>
      </c>
      <c r="F7" s="48" t="s">
        <v>315</v>
      </c>
      <c r="G7" s="48"/>
      <c r="H7" s="48"/>
      <c r="I7" s="48">
        <f t="shared" ref="I7:I35" si="1">G7*H7</f>
        <v>0</v>
      </c>
      <c r="J7" s="48"/>
      <c r="K7" s="48"/>
      <c r="L7" s="48">
        <f t="shared" ref="L7:L35" si="2">J7*K7</f>
        <v>0</v>
      </c>
    </row>
    <row r="8" spans="1:12" x14ac:dyDescent="0.3">
      <c r="B8" s="48"/>
      <c r="C8" s="48"/>
      <c r="D8" s="48"/>
      <c r="E8" s="48">
        <f t="shared" si="0"/>
        <v>0</v>
      </c>
      <c r="F8" s="48"/>
      <c r="G8" s="48"/>
      <c r="H8" s="48"/>
      <c r="I8" s="48">
        <f t="shared" si="1"/>
        <v>0</v>
      </c>
      <c r="J8" s="48"/>
      <c r="K8" s="48"/>
      <c r="L8" s="48">
        <f t="shared" si="2"/>
        <v>0</v>
      </c>
    </row>
    <row r="9" spans="1:12" x14ac:dyDescent="0.3">
      <c r="B9" s="48"/>
      <c r="C9" s="48"/>
      <c r="D9" s="48"/>
      <c r="E9" s="48">
        <f t="shared" si="0"/>
        <v>0</v>
      </c>
      <c r="F9" s="48" t="s">
        <v>299</v>
      </c>
      <c r="G9" s="48"/>
      <c r="H9" s="48"/>
      <c r="I9" s="48">
        <f t="shared" si="1"/>
        <v>0</v>
      </c>
      <c r="J9" s="48"/>
      <c r="K9" s="48"/>
      <c r="L9" s="48">
        <f t="shared" si="2"/>
        <v>0</v>
      </c>
    </row>
    <row r="10" spans="1:12" x14ac:dyDescent="0.3">
      <c r="B10" s="48" t="s">
        <v>300</v>
      </c>
      <c r="C10" s="48"/>
      <c r="D10" s="48"/>
      <c r="E10" s="48">
        <f t="shared" si="0"/>
        <v>0</v>
      </c>
      <c r="F10" s="48" t="s">
        <v>299</v>
      </c>
      <c r="G10" s="48"/>
      <c r="H10" s="48"/>
      <c r="I10" s="48">
        <f t="shared" si="1"/>
        <v>0</v>
      </c>
      <c r="J10" s="48"/>
      <c r="K10" s="48"/>
      <c r="L10" s="48">
        <f t="shared" si="2"/>
        <v>0</v>
      </c>
    </row>
    <row r="11" spans="1:12" x14ac:dyDescent="0.3">
      <c r="B11" s="48"/>
      <c r="C11" s="48"/>
      <c r="D11" s="48"/>
      <c r="E11" s="48">
        <f t="shared" si="0"/>
        <v>0</v>
      </c>
      <c r="F11" s="48" t="s">
        <v>301</v>
      </c>
      <c r="G11" s="48"/>
      <c r="H11" s="48"/>
      <c r="I11" s="48">
        <f t="shared" si="1"/>
        <v>0</v>
      </c>
      <c r="J11" s="48"/>
      <c r="K11" s="48"/>
      <c r="L11" s="48">
        <f t="shared" si="2"/>
        <v>0</v>
      </c>
    </row>
    <row r="12" spans="1:12" x14ac:dyDescent="0.3">
      <c r="B12" s="48"/>
      <c r="C12" s="48"/>
      <c r="D12" s="48"/>
      <c r="E12" s="48">
        <f t="shared" si="0"/>
        <v>0</v>
      </c>
      <c r="F12" s="48"/>
      <c r="G12" s="48"/>
      <c r="H12" s="48"/>
      <c r="I12" s="48">
        <f t="shared" si="1"/>
        <v>0</v>
      </c>
      <c r="J12" s="48"/>
      <c r="K12" s="48"/>
      <c r="L12" s="48">
        <f t="shared" si="2"/>
        <v>0</v>
      </c>
    </row>
    <row r="13" spans="1:12" x14ac:dyDescent="0.3">
      <c r="B13" s="48"/>
      <c r="C13" s="48"/>
      <c r="D13" s="48"/>
      <c r="E13" s="48">
        <f t="shared" si="0"/>
        <v>0</v>
      </c>
      <c r="F13" s="48"/>
      <c r="G13" s="48"/>
      <c r="H13" s="48"/>
      <c r="I13" s="48">
        <f t="shared" si="1"/>
        <v>0</v>
      </c>
      <c r="J13" s="48"/>
      <c r="K13" s="48"/>
      <c r="L13" s="48">
        <f t="shared" si="2"/>
        <v>0</v>
      </c>
    </row>
    <row r="14" spans="1:12" x14ac:dyDescent="0.3">
      <c r="B14" s="48" t="s">
        <v>302</v>
      </c>
      <c r="C14" s="48"/>
      <c r="D14" s="48"/>
      <c r="E14" s="48">
        <f t="shared" si="0"/>
        <v>0</v>
      </c>
      <c r="F14" s="48" t="s">
        <v>299</v>
      </c>
      <c r="G14" s="48"/>
      <c r="H14" s="48"/>
      <c r="I14" s="48">
        <f t="shared" si="1"/>
        <v>0</v>
      </c>
      <c r="J14" s="48"/>
      <c r="K14" s="48"/>
      <c r="L14" s="48">
        <f t="shared" si="2"/>
        <v>0</v>
      </c>
    </row>
    <row r="15" spans="1:12" x14ac:dyDescent="0.3">
      <c r="B15" s="48"/>
      <c r="C15" s="48"/>
      <c r="D15" s="48"/>
      <c r="E15" s="48">
        <f t="shared" si="0"/>
        <v>0</v>
      </c>
      <c r="F15" s="48" t="s">
        <v>301</v>
      </c>
      <c r="G15" s="48"/>
      <c r="H15" s="48"/>
      <c r="I15" s="48">
        <f t="shared" si="1"/>
        <v>0</v>
      </c>
      <c r="J15" s="48"/>
      <c r="K15" s="48"/>
      <c r="L15" s="48">
        <f t="shared" si="2"/>
        <v>0</v>
      </c>
    </row>
    <row r="16" spans="1:12" x14ac:dyDescent="0.3">
      <c r="B16" s="48"/>
      <c r="C16" s="48"/>
      <c r="D16" s="48"/>
      <c r="E16" s="48">
        <f t="shared" si="0"/>
        <v>0</v>
      </c>
      <c r="F16" s="48"/>
      <c r="G16" s="48"/>
      <c r="H16" s="48"/>
      <c r="I16" s="48">
        <f t="shared" si="1"/>
        <v>0</v>
      </c>
      <c r="J16" s="48"/>
      <c r="K16" s="48"/>
      <c r="L16" s="48">
        <f t="shared" si="2"/>
        <v>0</v>
      </c>
    </row>
    <row r="17" spans="2:12" x14ac:dyDescent="0.3">
      <c r="B17" s="48"/>
      <c r="C17" s="48"/>
      <c r="D17" s="48"/>
      <c r="E17" s="48">
        <f t="shared" si="0"/>
        <v>0</v>
      </c>
      <c r="F17" s="48"/>
      <c r="G17" s="48"/>
      <c r="H17" s="48"/>
      <c r="I17" s="48">
        <f t="shared" si="1"/>
        <v>0</v>
      </c>
      <c r="J17" s="48"/>
      <c r="K17" s="48"/>
      <c r="L17" s="48">
        <f t="shared" si="2"/>
        <v>0</v>
      </c>
    </row>
    <row r="18" spans="2:12" x14ac:dyDescent="0.3">
      <c r="B18" s="48" t="s">
        <v>303</v>
      </c>
      <c r="C18" s="48"/>
      <c r="D18" s="48"/>
      <c r="E18" s="48">
        <f t="shared" si="0"/>
        <v>0</v>
      </c>
      <c r="F18" s="48" t="s">
        <v>299</v>
      </c>
      <c r="G18" s="48"/>
      <c r="H18" s="48"/>
      <c r="I18" s="48">
        <f t="shared" si="1"/>
        <v>0</v>
      </c>
      <c r="J18" s="48"/>
      <c r="K18" s="48"/>
      <c r="L18" s="48">
        <f t="shared" si="2"/>
        <v>0</v>
      </c>
    </row>
    <row r="19" spans="2:12" x14ac:dyDescent="0.3">
      <c r="B19" s="48"/>
      <c r="C19" s="48"/>
      <c r="D19" s="48"/>
      <c r="E19" s="48">
        <f t="shared" si="0"/>
        <v>0</v>
      </c>
      <c r="F19" s="48" t="s">
        <v>301</v>
      </c>
      <c r="G19" s="48"/>
      <c r="H19" s="48"/>
      <c r="I19" s="48">
        <f t="shared" si="1"/>
        <v>0</v>
      </c>
      <c r="J19" s="48"/>
      <c r="K19" s="48"/>
      <c r="L19" s="48">
        <f t="shared" si="2"/>
        <v>0</v>
      </c>
    </row>
    <row r="20" spans="2:12" x14ac:dyDescent="0.3">
      <c r="B20" s="48"/>
      <c r="C20" s="48"/>
      <c r="D20" s="48"/>
      <c r="E20" s="48">
        <f t="shared" si="0"/>
        <v>0</v>
      </c>
      <c r="F20" s="48"/>
      <c r="G20" s="48"/>
      <c r="H20" s="48"/>
      <c r="I20" s="48">
        <f t="shared" si="1"/>
        <v>0</v>
      </c>
      <c r="J20" s="48"/>
      <c r="K20" s="48"/>
      <c r="L20" s="48">
        <f t="shared" si="2"/>
        <v>0</v>
      </c>
    </row>
    <row r="21" spans="2:12" x14ac:dyDescent="0.3">
      <c r="B21" s="48" t="s">
        <v>304</v>
      </c>
      <c r="C21" s="48"/>
      <c r="D21" s="48"/>
      <c r="E21" s="48">
        <f t="shared" si="0"/>
        <v>0</v>
      </c>
      <c r="F21" s="48" t="s">
        <v>299</v>
      </c>
      <c r="G21" s="48"/>
      <c r="H21" s="48"/>
      <c r="I21" s="48">
        <f t="shared" si="1"/>
        <v>0</v>
      </c>
      <c r="J21" s="48"/>
      <c r="K21" s="48"/>
      <c r="L21" s="48">
        <f t="shared" si="2"/>
        <v>0</v>
      </c>
    </row>
    <row r="22" spans="2:12" x14ac:dyDescent="0.3">
      <c r="B22" s="48"/>
      <c r="C22" s="48"/>
      <c r="D22" s="48"/>
      <c r="E22" s="48">
        <f t="shared" si="0"/>
        <v>0</v>
      </c>
      <c r="F22" s="48" t="s">
        <v>301</v>
      </c>
      <c r="G22" s="48"/>
      <c r="H22" s="48"/>
      <c r="I22" s="48">
        <f t="shared" si="1"/>
        <v>0</v>
      </c>
      <c r="J22" s="48"/>
      <c r="K22" s="48"/>
      <c r="L22" s="48">
        <f t="shared" si="2"/>
        <v>0</v>
      </c>
    </row>
    <row r="23" spans="2:12" x14ac:dyDescent="0.3">
      <c r="B23" s="48"/>
      <c r="C23" s="48"/>
      <c r="D23" s="48"/>
      <c r="E23" s="48">
        <f t="shared" si="0"/>
        <v>0</v>
      </c>
      <c r="F23" s="48"/>
      <c r="G23" s="48"/>
      <c r="H23" s="48"/>
      <c r="I23" s="48">
        <f t="shared" si="1"/>
        <v>0</v>
      </c>
      <c r="J23" s="48"/>
      <c r="K23" s="48"/>
      <c r="L23" s="48">
        <f t="shared" si="2"/>
        <v>0</v>
      </c>
    </row>
    <row r="24" spans="2:12" x14ac:dyDescent="0.3">
      <c r="B24" s="48" t="s">
        <v>305</v>
      </c>
      <c r="C24" s="48"/>
      <c r="D24" s="48"/>
      <c r="E24" s="48">
        <f t="shared" si="0"/>
        <v>0</v>
      </c>
      <c r="F24" s="48" t="s">
        <v>306</v>
      </c>
      <c r="G24" s="48"/>
      <c r="H24" s="48"/>
      <c r="I24" s="48">
        <f t="shared" si="1"/>
        <v>0</v>
      </c>
      <c r="J24" s="48"/>
      <c r="K24" s="48"/>
      <c r="L24" s="48">
        <f t="shared" si="2"/>
        <v>0</v>
      </c>
    </row>
    <row r="25" spans="2:12" x14ac:dyDescent="0.3">
      <c r="B25" s="48"/>
      <c r="C25" s="48"/>
      <c r="D25" s="48"/>
      <c r="E25" s="48">
        <f t="shared" ref="E25:E27" si="3">C25*D25</f>
        <v>0</v>
      </c>
      <c r="F25" s="48" t="s">
        <v>306</v>
      </c>
      <c r="G25" s="48"/>
      <c r="H25" s="48"/>
      <c r="I25" s="48">
        <f t="shared" ref="I25:I27" si="4">G25*H25</f>
        <v>0</v>
      </c>
      <c r="J25" s="48"/>
      <c r="K25" s="48"/>
      <c r="L25" s="48">
        <f t="shared" ref="L25:L27" si="5">J25*K25</f>
        <v>0</v>
      </c>
    </row>
    <row r="26" spans="2:12" x14ac:dyDescent="0.3">
      <c r="B26" s="48"/>
      <c r="C26" s="48"/>
      <c r="D26" s="48"/>
      <c r="E26" s="48">
        <f t="shared" si="3"/>
        <v>0</v>
      </c>
      <c r="F26" s="48" t="s">
        <v>306</v>
      </c>
      <c r="G26" s="48"/>
      <c r="H26" s="48"/>
      <c r="I26" s="48">
        <f t="shared" si="4"/>
        <v>0</v>
      </c>
      <c r="J26" s="48"/>
      <c r="K26" s="48"/>
      <c r="L26" s="48">
        <f t="shared" si="5"/>
        <v>0</v>
      </c>
    </row>
    <row r="27" spans="2:12" x14ac:dyDescent="0.3">
      <c r="B27" s="48"/>
      <c r="C27" s="48"/>
      <c r="D27" s="48"/>
      <c r="E27" s="48">
        <f t="shared" si="3"/>
        <v>0</v>
      </c>
      <c r="F27" s="48" t="s">
        <v>306</v>
      </c>
      <c r="G27" s="48"/>
      <c r="H27" s="48"/>
      <c r="I27" s="48">
        <f t="shared" si="4"/>
        <v>0</v>
      </c>
      <c r="J27" s="48"/>
      <c r="K27" s="48"/>
      <c r="L27" s="48">
        <f t="shared" si="5"/>
        <v>0</v>
      </c>
    </row>
    <row r="28" spans="2:12" x14ac:dyDescent="0.3">
      <c r="B28" s="48" t="s">
        <v>307</v>
      </c>
      <c r="C28" s="48"/>
      <c r="D28" s="48"/>
      <c r="E28" s="48">
        <f t="shared" si="0"/>
        <v>0</v>
      </c>
      <c r="F28" s="48" t="s">
        <v>306</v>
      </c>
      <c r="G28" s="48"/>
      <c r="H28" s="48"/>
      <c r="I28" s="48">
        <f t="shared" si="1"/>
        <v>0</v>
      </c>
      <c r="J28" s="48"/>
      <c r="K28" s="48"/>
      <c r="L28" s="48">
        <f t="shared" si="2"/>
        <v>0</v>
      </c>
    </row>
    <row r="29" spans="2:12" x14ac:dyDescent="0.3">
      <c r="B29" s="48" t="s">
        <v>308</v>
      </c>
      <c r="C29" s="48"/>
      <c r="D29" s="48"/>
      <c r="E29" s="48">
        <f t="shared" si="0"/>
        <v>0</v>
      </c>
      <c r="F29" s="48" t="s">
        <v>306</v>
      </c>
      <c r="G29" s="48"/>
      <c r="H29" s="48"/>
      <c r="I29" s="48">
        <f t="shared" si="1"/>
        <v>0</v>
      </c>
      <c r="J29" s="48"/>
      <c r="K29" s="48"/>
      <c r="L29" s="48">
        <f t="shared" si="2"/>
        <v>0</v>
      </c>
    </row>
    <row r="30" spans="2:12" x14ac:dyDescent="0.3">
      <c r="B30" s="48" t="s">
        <v>312</v>
      </c>
      <c r="C30" s="48"/>
      <c r="D30" s="48"/>
      <c r="E30" s="48">
        <f t="shared" si="0"/>
        <v>0</v>
      </c>
      <c r="F30" s="48"/>
      <c r="G30" s="48"/>
      <c r="H30" s="48"/>
      <c r="I30" s="48">
        <f t="shared" si="1"/>
        <v>0</v>
      </c>
      <c r="J30" s="48"/>
      <c r="K30" s="48"/>
      <c r="L30" s="48">
        <f t="shared" si="2"/>
        <v>0</v>
      </c>
    </row>
    <row r="31" spans="2:12" x14ac:dyDescent="0.3">
      <c r="B31" s="48"/>
      <c r="C31" s="48"/>
      <c r="D31" s="48"/>
      <c r="E31" s="48">
        <f t="shared" ref="E31:E32" si="6">C31*D31</f>
        <v>0</v>
      </c>
      <c r="F31" s="48"/>
      <c r="G31" s="48"/>
      <c r="H31" s="48"/>
      <c r="I31" s="48">
        <f t="shared" ref="I31:I32" si="7">G31*H31</f>
        <v>0</v>
      </c>
      <c r="J31" s="48"/>
      <c r="K31" s="48"/>
      <c r="L31" s="48">
        <f t="shared" ref="L31:L32" si="8">J31*K31</f>
        <v>0</v>
      </c>
    </row>
    <row r="32" spans="2:12" x14ac:dyDescent="0.3">
      <c r="B32" s="48"/>
      <c r="C32" s="48"/>
      <c r="D32" s="48"/>
      <c r="E32" s="48">
        <f t="shared" si="6"/>
        <v>0</v>
      </c>
      <c r="F32" s="48"/>
      <c r="G32" s="48"/>
      <c r="H32" s="48"/>
      <c r="I32" s="48">
        <f t="shared" si="7"/>
        <v>0</v>
      </c>
      <c r="J32" s="48"/>
      <c r="K32" s="48"/>
      <c r="L32" s="48">
        <f t="shared" si="8"/>
        <v>0</v>
      </c>
    </row>
    <row r="33" spans="2:12" x14ac:dyDescent="0.3">
      <c r="B33" s="48" t="s">
        <v>309</v>
      </c>
      <c r="C33" s="48"/>
      <c r="D33" s="48"/>
      <c r="E33" s="48">
        <f t="shared" si="0"/>
        <v>0</v>
      </c>
      <c r="F33" s="48"/>
      <c r="G33" s="48"/>
      <c r="H33" s="48"/>
      <c r="I33" s="48">
        <f t="shared" si="1"/>
        <v>0</v>
      </c>
      <c r="J33" s="48"/>
      <c r="K33" s="48"/>
      <c r="L33" s="48">
        <f t="shared" si="2"/>
        <v>0</v>
      </c>
    </row>
    <row r="34" spans="2:12" x14ac:dyDescent="0.3">
      <c r="B34" s="48" t="s">
        <v>313</v>
      </c>
      <c r="C34" s="48"/>
      <c r="D34" s="48"/>
      <c r="E34" s="48">
        <f t="shared" si="0"/>
        <v>0</v>
      </c>
      <c r="F34" s="48"/>
      <c r="G34" s="48"/>
      <c r="H34" s="48"/>
      <c r="I34" s="48">
        <f t="shared" si="1"/>
        <v>0</v>
      </c>
      <c r="J34" s="48"/>
      <c r="K34" s="48"/>
      <c r="L34" s="48">
        <f t="shared" si="2"/>
        <v>0</v>
      </c>
    </row>
    <row r="35" spans="2:12" x14ac:dyDescent="0.3">
      <c r="B35" s="48" t="s">
        <v>310</v>
      </c>
      <c r="C35" s="48"/>
      <c r="D35" s="48"/>
      <c r="E35" s="48">
        <f t="shared" si="0"/>
        <v>0</v>
      </c>
      <c r="F35" s="48"/>
      <c r="G35" s="48"/>
      <c r="H35" s="48"/>
      <c r="I35" s="48">
        <f t="shared" si="1"/>
        <v>0</v>
      </c>
      <c r="J35" s="48"/>
      <c r="K35" s="48"/>
      <c r="L35" s="48">
        <f t="shared" si="2"/>
        <v>0</v>
      </c>
    </row>
    <row r="36" spans="2:12" x14ac:dyDescent="0.3">
      <c r="B36" s="48" t="s">
        <v>311</v>
      </c>
      <c r="C36" s="48"/>
      <c r="D36" s="48"/>
      <c r="E36" s="48">
        <f t="shared" si="0"/>
        <v>0</v>
      </c>
      <c r="F36" s="48"/>
      <c r="G36" s="48"/>
      <c r="H36" s="48"/>
      <c r="I36" s="48">
        <f>G36*H36</f>
        <v>0</v>
      </c>
      <c r="J36" s="48"/>
      <c r="K36" s="48"/>
      <c r="L36" s="48">
        <f>J36*K36</f>
        <v>0</v>
      </c>
    </row>
    <row r="37" spans="2:12" x14ac:dyDescent="0.3">
      <c r="B37" s="48"/>
      <c r="C37" s="48"/>
      <c r="D37" s="48"/>
      <c r="E37" s="48">
        <f t="shared" ref="E37:E38" si="9">C37*D37</f>
        <v>0</v>
      </c>
      <c r="F37" s="48"/>
      <c r="G37" s="48"/>
      <c r="H37" s="48"/>
      <c r="I37" s="48">
        <f t="shared" ref="I37:I38" si="10">G37*H37</f>
        <v>0</v>
      </c>
      <c r="J37" s="48"/>
      <c r="K37" s="48"/>
      <c r="L37" s="48">
        <f t="shared" ref="L37:L38" si="11">J37*K37</f>
        <v>0</v>
      </c>
    </row>
    <row r="38" spans="2:12" x14ac:dyDescent="0.3">
      <c r="B38" s="48" t="s">
        <v>314</v>
      </c>
      <c r="C38" s="48"/>
      <c r="D38" s="48"/>
      <c r="E38" s="48">
        <f t="shared" si="9"/>
        <v>0</v>
      </c>
      <c r="F38" s="48"/>
      <c r="G38" s="48"/>
      <c r="H38" s="48"/>
      <c r="I38" s="48">
        <f t="shared" si="10"/>
        <v>0</v>
      </c>
      <c r="J38" s="48"/>
      <c r="K38" s="48"/>
      <c r="L38" s="48">
        <f t="shared" si="11"/>
        <v>0</v>
      </c>
    </row>
    <row r="39" spans="2:12" x14ac:dyDescent="0.3">
      <c r="B39" s="48"/>
      <c r="C39" s="48"/>
      <c r="D39" s="48"/>
      <c r="E39" s="48">
        <f t="shared" si="0"/>
        <v>0</v>
      </c>
      <c r="F39" s="48"/>
      <c r="G39" s="48"/>
      <c r="H39" s="48"/>
      <c r="I39" s="48">
        <f>G39*H39</f>
        <v>0</v>
      </c>
      <c r="J39" s="48"/>
      <c r="K39" s="48"/>
      <c r="L39" s="48">
        <f>J39*K39</f>
        <v>0</v>
      </c>
    </row>
    <row r="40" spans="2:12" x14ac:dyDescent="0.3">
      <c r="B40" s="48"/>
      <c r="C40" s="48"/>
      <c r="D40" s="48"/>
      <c r="E40" s="48">
        <f t="shared" si="0"/>
        <v>0</v>
      </c>
      <c r="F40" s="48"/>
      <c r="G40" s="48"/>
      <c r="H40" s="48"/>
      <c r="I40" s="48">
        <f>G40*H40</f>
        <v>0</v>
      </c>
      <c r="J40" s="48"/>
      <c r="K40" s="48"/>
      <c r="L40" s="48">
        <f>J40*K40</f>
        <v>0</v>
      </c>
    </row>
    <row r="41" spans="2:12" x14ac:dyDescent="0.3">
      <c r="B41" s="48"/>
      <c r="C41" s="48"/>
      <c r="D41" s="48"/>
      <c r="E41" s="48">
        <f t="shared" si="0"/>
        <v>0</v>
      </c>
      <c r="F41" s="48"/>
      <c r="G41" s="48"/>
      <c r="H41" s="48"/>
      <c r="I41" s="48">
        <f>G41*H41</f>
        <v>0</v>
      </c>
      <c r="J41" s="48"/>
      <c r="K41" s="48"/>
      <c r="L41" s="48">
        <f>J41*K41</f>
        <v>0</v>
      </c>
    </row>
    <row r="42" spans="2:12" x14ac:dyDescent="0.3">
      <c r="B42" s="48" t="s">
        <v>145</v>
      </c>
      <c r="C42" s="48"/>
      <c r="D42" s="48">
        <f>E42*10.764</f>
        <v>0</v>
      </c>
      <c r="E42" s="61">
        <f>SUM(E6:E41)</f>
        <v>0</v>
      </c>
      <c r="F42" s="48"/>
      <c r="G42" s="48"/>
      <c r="H42" s="48">
        <f>I42*10.764</f>
        <v>0</v>
      </c>
      <c r="I42" s="60">
        <f>SUM(I6:I41)</f>
        <v>0</v>
      </c>
      <c r="J42" s="48"/>
      <c r="K42" s="48">
        <f>L42*10.764</f>
        <v>0</v>
      </c>
      <c r="L42" s="59">
        <f>SUM(L6:L41)</f>
        <v>0</v>
      </c>
    </row>
    <row r="44" spans="2:12" x14ac:dyDescent="0.3">
      <c r="D44" s="47">
        <f>D42+H42</f>
        <v>0</v>
      </c>
      <c r="E44" s="47">
        <f>E42+I42</f>
        <v>0</v>
      </c>
    </row>
  </sheetData>
  <mergeCells count="4">
    <mergeCell ref="C2:D2"/>
    <mergeCell ref="C4:E4"/>
    <mergeCell ref="G4:I4"/>
    <mergeCell ref="J4:L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Report</vt:lpstr>
      <vt:lpstr>valuation</vt:lpstr>
      <vt:lpstr>Research</vt:lpstr>
      <vt:lpstr>Remarks</vt:lpstr>
      <vt:lpstr>Area Calculation</vt:lpstr>
      <vt:lpstr>Report!Print_Area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USER</cp:lastModifiedBy>
  <cp:lastPrinted>2025-09-11T13:19:46Z</cp:lastPrinted>
  <dcterms:created xsi:type="dcterms:W3CDTF">2019-07-16T09:29:46Z</dcterms:created>
  <dcterms:modified xsi:type="dcterms:W3CDTF">2025-09-11T13:19:49Z</dcterms:modified>
</cp:coreProperties>
</file>