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47B91042-7A1C-4FFB-8B94-1245E4ADCADF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" i="1" l="1"/>
  <c r="C87" i="1" s="1"/>
  <c r="D284" i="1" l="1"/>
  <c r="D283" i="1"/>
  <c r="D282" i="1"/>
  <c r="D281" i="1"/>
  <c r="D280" i="1"/>
  <c r="D279" i="1"/>
  <c r="D278" i="1"/>
  <c r="D276" i="1"/>
  <c r="D275" i="1"/>
  <c r="D273" i="1"/>
  <c r="D272" i="1"/>
  <c r="D271" i="1"/>
  <c r="D270" i="1"/>
  <c r="D269" i="1"/>
  <c r="D268" i="1"/>
  <c r="D267" i="1"/>
  <c r="D266" i="1"/>
  <c r="D265" i="1"/>
  <c r="D264" i="1"/>
  <c r="I264" i="1"/>
  <c r="C114" i="1" l="1"/>
  <c r="E114" i="1"/>
  <c r="D135" i="1"/>
  <c r="F135" i="1" s="1"/>
  <c r="D134" i="1"/>
  <c r="F134" i="1" s="1"/>
  <c r="D133" i="1"/>
  <c r="F133" i="1" s="1"/>
  <c r="D132" i="1"/>
  <c r="F132" i="1" s="1"/>
  <c r="D131" i="1"/>
  <c r="F131" i="1" s="1"/>
  <c r="D130" i="1"/>
  <c r="F130" i="1" s="1"/>
  <c r="D129" i="1"/>
  <c r="F282" i="1"/>
  <c r="F281" i="1"/>
  <c r="F271" i="1"/>
  <c r="F267" i="1"/>
  <c r="F264" i="1"/>
  <c r="I272" i="1"/>
  <c r="F278" i="1"/>
  <c r="F276" i="1"/>
  <c r="F284" i="1"/>
  <c r="F283" i="1"/>
  <c r="F280" i="1"/>
  <c r="F279" i="1"/>
  <c r="G275" i="1"/>
  <c r="F275" i="1"/>
  <c r="F273" i="1"/>
  <c r="F272" i="1"/>
  <c r="F270" i="1"/>
  <c r="F269" i="1"/>
  <c r="F268" i="1"/>
  <c r="F266" i="1"/>
  <c r="F265" i="1"/>
  <c r="G264" i="1"/>
  <c r="I129" i="1"/>
  <c r="F129" i="1"/>
  <c r="G129" i="1"/>
  <c r="A130" i="1"/>
  <c r="A131" i="1" s="1"/>
  <c r="C79" i="1"/>
  <c r="J90" i="1"/>
  <c r="J89" i="1"/>
  <c r="J88" i="1"/>
  <c r="J87" i="1"/>
  <c r="C109" i="1" l="1"/>
  <c r="E109" i="1"/>
  <c r="G109" i="1"/>
  <c r="G114" i="1"/>
  <c r="A132" i="1"/>
  <c r="A133" i="1" s="1"/>
  <c r="A134" i="1" s="1"/>
  <c r="A135" i="1" s="1"/>
  <c r="G49" i="1"/>
  <c r="D53" i="1"/>
  <c r="D260" i="1" l="1"/>
  <c r="F260" i="1" s="1"/>
  <c r="D259" i="1"/>
  <c r="F259" i="1" s="1"/>
  <c r="D258" i="1"/>
  <c r="D257" i="1"/>
  <c r="D256" i="1"/>
  <c r="F256" i="1" s="1"/>
  <c r="D255" i="1"/>
  <c r="F255" i="1" s="1"/>
  <c r="D254" i="1"/>
  <c r="D253" i="1"/>
  <c r="F253" i="1" s="1"/>
  <c r="D252" i="1"/>
  <c r="D251" i="1"/>
  <c r="F251" i="1" s="1"/>
  <c r="D250" i="1"/>
  <c r="D249" i="1"/>
  <c r="D248" i="1"/>
  <c r="F248" i="1" s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0" i="1"/>
  <c r="F230" i="1" s="1"/>
  <c r="D229" i="1"/>
  <c r="F229" i="1" s="1"/>
  <c r="D228" i="1"/>
  <c r="F228" i="1" s="1"/>
  <c r="D227" i="1"/>
  <c r="F227" i="1" s="1"/>
  <c r="D226" i="1"/>
  <c r="F226" i="1" s="1"/>
  <c r="D225" i="1"/>
  <c r="F225" i="1" s="1"/>
  <c r="D224" i="1"/>
  <c r="F224" i="1" s="1"/>
  <c r="D223" i="1"/>
  <c r="D222" i="1"/>
  <c r="F222" i="1" s="1"/>
  <c r="D221" i="1"/>
  <c r="F221" i="1" s="1"/>
  <c r="D220" i="1"/>
  <c r="F220" i="1" s="1"/>
  <c r="D219" i="1"/>
  <c r="F219" i="1" s="1"/>
  <c r="D218" i="1"/>
  <c r="F218" i="1" s="1"/>
  <c r="D217" i="1"/>
  <c r="F217" i="1" s="1"/>
  <c r="D214" i="1"/>
  <c r="F214" i="1" s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F200" i="1" s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F258" i="1"/>
  <c r="F254" i="1"/>
  <c r="F252" i="1"/>
  <c r="F250" i="1"/>
  <c r="F257" i="1"/>
  <c r="F249" i="1"/>
  <c r="F223" i="1"/>
  <c r="F161" i="1" l="1"/>
  <c r="F160" i="1"/>
  <c r="F159" i="1"/>
  <c r="F158" i="1"/>
  <c r="F156" i="1"/>
  <c r="F155" i="1"/>
  <c r="F154" i="1"/>
  <c r="F153" i="1"/>
  <c r="F152" i="1"/>
  <c r="F151" i="1"/>
  <c r="I249" i="1"/>
  <c r="G248" i="1"/>
  <c r="I218" i="1"/>
  <c r="G217" i="1"/>
  <c r="F246" i="1"/>
  <c r="F245" i="1"/>
  <c r="I245" i="1" s="1"/>
  <c r="F244" i="1"/>
  <c r="F243" i="1"/>
  <c r="F242" i="1"/>
  <c r="F241" i="1"/>
  <c r="F240" i="1"/>
  <c r="F239" i="1"/>
  <c r="F238" i="1"/>
  <c r="F237" i="1"/>
  <c r="F236" i="1"/>
  <c r="F235" i="1"/>
  <c r="F234" i="1"/>
  <c r="G233" i="1"/>
  <c r="F233" i="1"/>
  <c r="F198" i="1"/>
  <c r="I198" i="1" s="1"/>
  <c r="F197" i="1"/>
  <c r="I197" i="1" s="1"/>
  <c r="F196" i="1"/>
  <c r="F195" i="1"/>
  <c r="F194" i="1"/>
  <c r="F193" i="1"/>
  <c r="F192" i="1"/>
  <c r="F191" i="1"/>
  <c r="F190" i="1"/>
  <c r="F189" i="1"/>
  <c r="F188" i="1"/>
  <c r="F187" i="1"/>
  <c r="F186" i="1"/>
  <c r="F185" i="1"/>
  <c r="G184" i="1"/>
  <c r="F184" i="1"/>
  <c r="F165" i="1"/>
  <c r="I165" i="1" s="1"/>
  <c r="F164" i="1"/>
  <c r="I164" i="1" s="1"/>
  <c r="F163" i="1"/>
  <c r="F162" i="1"/>
  <c r="F157" i="1"/>
  <c r="G151" i="1"/>
  <c r="J165" i="1" l="1"/>
  <c r="J246" i="1"/>
  <c r="I246" i="1"/>
  <c r="J198" i="1"/>
  <c r="E149" i="1"/>
  <c r="E144" i="1"/>
  <c r="E145" i="1"/>
  <c r="E146" i="1"/>
  <c r="E147" i="1"/>
  <c r="E148" i="1"/>
  <c r="D149" i="1"/>
  <c r="D142" i="1" l="1"/>
  <c r="D148" i="1"/>
  <c r="D147" i="1"/>
  <c r="D146" i="1"/>
  <c r="D145" i="1"/>
  <c r="D144" i="1"/>
  <c r="D143" i="1"/>
  <c r="E143" i="1"/>
  <c r="E142" i="1"/>
  <c r="K142" i="1"/>
  <c r="J142" i="1"/>
  <c r="D126" i="1"/>
  <c r="D125" i="1"/>
  <c r="D124" i="1"/>
  <c r="C113" i="1" l="1"/>
  <c r="C115" i="1" s="1"/>
  <c r="E113" i="1"/>
  <c r="E115" i="1" s="1"/>
  <c r="C72" i="1"/>
  <c r="E3" i="1" l="1"/>
  <c r="K149" i="1" l="1"/>
  <c r="F126" i="1"/>
  <c r="C108" i="1" l="1"/>
  <c r="C110" i="1" s="1"/>
  <c r="C116" i="1" s="1"/>
  <c r="E108" i="1"/>
  <c r="E110" i="1" s="1"/>
  <c r="E116" i="1" s="1"/>
  <c r="I126" i="1"/>
  <c r="J126" i="1"/>
  <c r="F213" i="1" l="1"/>
  <c r="F212" i="1"/>
  <c r="F211" i="1"/>
  <c r="F210" i="1"/>
  <c r="F209" i="1"/>
  <c r="F208" i="1"/>
  <c r="F207" i="1"/>
  <c r="F206" i="1"/>
  <c r="F182" i="1"/>
  <c r="F181" i="1"/>
  <c r="I181" i="1" s="1"/>
  <c r="F180" i="1"/>
  <c r="F179" i="1"/>
  <c r="F177" i="1"/>
  <c r="F176" i="1"/>
  <c r="F175" i="1"/>
  <c r="F174" i="1"/>
  <c r="F173" i="1"/>
  <c r="F178" i="1"/>
  <c r="I148" i="1"/>
  <c r="I149" i="1"/>
  <c r="I182" i="1" l="1"/>
  <c r="J182" i="1"/>
  <c r="F149" i="1"/>
  <c r="J149" i="1" s="1"/>
  <c r="F148" i="1"/>
  <c r="B287" i="1" l="1"/>
  <c r="C14" i="1" l="1"/>
  <c r="E28" i="1" l="1"/>
  <c r="F205" i="1" l="1"/>
  <c r="F204" i="1"/>
  <c r="F203" i="1"/>
  <c r="F202" i="1"/>
  <c r="F201" i="1"/>
  <c r="I201" i="1" s="1"/>
  <c r="F172" i="1"/>
  <c r="F171" i="1"/>
  <c r="F170" i="1"/>
  <c r="F169" i="1"/>
  <c r="F168" i="1"/>
  <c r="F167" i="1"/>
  <c r="F147" i="1"/>
  <c r="F146" i="1"/>
  <c r="F145" i="1"/>
  <c r="F143" i="1"/>
  <c r="I143" i="1" s="1"/>
  <c r="F142" i="1"/>
  <c r="F144" i="1"/>
  <c r="G113" i="1" l="1"/>
  <c r="G115" i="1" s="1"/>
  <c r="F125" i="1"/>
  <c r="F124" i="1"/>
  <c r="G108" i="1" l="1"/>
  <c r="G110" i="1" s="1"/>
  <c r="G116" i="1" s="1"/>
  <c r="J125" i="1"/>
  <c r="I125" i="1"/>
  <c r="B288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13" i="1"/>
  <c r="G200" i="1"/>
  <c r="G167" i="1"/>
  <c r="G142" i="1"/>
  <c r="G143" i="1" s="1"/>
  <c r="G144" i="1" s="1"/>
  <c r="G145" i="1" s="1"/>
  <c r="G146" i="1" s="1"/>
  <c r="G147" i="1" s="1"/>
  <c r="G148" i="1" s="1"/>
  <c r="G149" i="1" s="1"/>
  <c r="A125" i="1"/>
  <c r="A126" i="1" s="1"/>
  <c r="G124" i="1"/>
  <c r="F105" i="1"/>
  <c r="J76" i="1"/>
  <c r="J75" i="1"/>
  <c r="J74" i="1"/>
  <c r="J73" i="1"/>
  <c r="C65" i="1"/>
  <c r="G48" i="1"/>
  <c r="C48" i="1"/>
  <c r="E41" i="1"/>
  <c r="E42" i="1" s="1"/>
  <c r="E25" i="1"/>
  <c r="E23" i="1"/>
  <c r="E7" i="1"/>
  <c r="D59" i="1"/>
  <c r="H66" i="1"/>
  <c r="D71" i="1" l="1"/>
  <c r="J69" i="1"/>
  <c r="D78" i="1"/>
  <c r="D76" i="1"/>
  <c r="D74" i="1"/>
  <c r="D72" i="1"/>
  <c r="J70" i="1"/>
  <c r="D69" i="1" s="1"/>
  <c r="J68" i="1"/>
  <c r="J71" i="1"/>
  <c r="D77" i="1"/>
  <c r="D73" i="1"/>
  <c r="D75" i="1"/>
  <c r="J72" i="1" l="1"/>
  <c r="J77" i="1" l="1"/>
  <c r="J78" i="1" l="1"/>
  <c r="G69" i="1"/>
  <c r="D63" i="1" s="1"/>
  <c r="D64" i="1" s="1"/>
  <c r="E69" i="1" l="1"/>
  <c r="I65" i="1" s="1"/>
  <c r="C67" i="1" s="1"/>
  <c r="F64" i="1"/>
  <c r="D70" i="1"/>
  <c r="H80" i="1"/>
  <c r="D87" i="1" l="1"/>
  <c r="D86" i="1"/>
  <c r="J84" i="1"/>
  <c r="C83" i="1" s="1"/>
  <c r="D92" i="1"/>
  <c r="D90" i="1"/>
  <c r="D88" i="1"/>
  <c r="J85" i="1"/>
  <c r="J83" i="1"/>
  <c r="J82" i="1"/>
  <c r="D91" i="1"/>
  <c r="D89" i="1"/>
  <c r="D85" i="1"/>
  <c r="J86" i="1" l="1"/>
  <c r="D83" i="1"/>
  <c r="J91" i="1" l="1"/>
  <c r="J92" i="1" s="1"/>
  <c r="C84" i="1" s="1"/>
  <c r="G83" i="1" s="1"/>
  <c r="E83" i="1" l="1"/>
  <c r="I79" i="1" s="1"/>
  <c r="C81" i="1" s="1"/>
  <c r="D84" i="1"/>
</calcChain>
</file>

<file path=xl/sharedStrings.xml><?xml version="1.0" encoding="utf-8"?>
<sst xmlns="http://schemas.openxmlformats.org/spreadsheetml/2006/main" count="478" uniqueCount="245">
  <si>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</si>
  <si>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</si>
  <si>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</si>
  <si>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</si>
  <si>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</si>
  <si>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</si>
  <si>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</si>
  <si>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</si>
  <si>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</si>
  <si>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</si>
  <si>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</si>
  <si>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</si>
  <si>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</si>
  <si>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</si>
  <si>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</si>
  <si>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</si>
  <si>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</si>
  <si>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</si>
  <si>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</si>
  <si>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</si>
  <si>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</si>
  <si>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</si>
  <si>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</si>
  <si>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</si>
  <si>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</si>
  <si>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</si>
  <si>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</si>
  <si>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</si>
  <si>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</si>
  <si>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</si>
  <si>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</si>
  <si>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</si>
  <si>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</si>
  <si>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</si>
  <si>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</si>
  <si>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</si>
  <si>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</si>
  <si>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</si>
  <si>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</si>
  <si>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</si>
  <si>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</si>
  <si>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</si>
  <si>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</si>
  <si>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</si>
  <si>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</si>
  <si>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</si>
  <si>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</si>
  <si>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</si>
  <si>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</si>
  <si>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</si>
  <si>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</si>
  <si>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</si>
  <si>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</si>
  <si>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</si>
  <si>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</si>
  <si>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</si>
  <si>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</si>
  <si>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</si>
  <si>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</si>
  <si>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</si>
  <si>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</si>
  <si>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</si>
  <si>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</si>
  <si>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</si>
  <si>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</si>
  <si>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</si>
  <si>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</si>
  <si>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</si>
  <si>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</si>
  <si>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</si>
  <si>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</si>
  <si>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</si>
  <si>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</si>
  <si>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</si>
  <si>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</si>
  <si>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</si>
  <si>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</si>
  <si>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</si>
  <si>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</si>
  <si>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</si>
  <si>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</si>
  <si>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</si>
  <si>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</si>
  <si>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</si>
  <si>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</si>
  <si>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</si>
  <si>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</si>
  <si>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</si>
  <si>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</si>
  <si>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</si>
  <si>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</si>
  <si>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</si>
  <si>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</si>
  <si>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</si>
  <si>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</si>
  <si>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</si>
  <si>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</si>
  <si>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</si>
  <si>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</si>
  <si>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</si>
  <si>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</si>
  <si>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</si>
  <si>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</si>
  <si>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Legal Services Charges</t>
  </si>
  <si>
    <t>Gas Connection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</si>
  <si>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</si>
  <si>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</si>
  <si>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</si>
  <si>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</si>
  <si>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</si>
  <si>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</si>
  <si>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</si>
  <si>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</si>
  <si>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</si>
  <si>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</si>
  <si>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</si>
  <si>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</si>
  <si>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</si>
  <si>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</si>
  <si>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</si>
  <si>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</si>
  <si>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</si>
  <si>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</si>
  <si>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</si>
  <si>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</si>
  <si>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</si>
  <si>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</si>
  <si>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</si>
  <si>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</si>
  <si>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</si>
  <si>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</si>
  <si>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</si>
  <si>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</si>
  <si>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</si>
  <si>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On Site, we meet Mr........(........).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</si>
  <si>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</si>
  <si>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</si>
  <si>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</si>
  <si>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</si>
  <si>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</si>
  <si>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</si>
  <si>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</si>
  <si>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</si>
  <si>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</si>
  <si>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</si>
  <si>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</si>
  <si>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</si>
  <si>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</si>
  <si>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</si>
  <si>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</si>
  <si>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</si>
  <si>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</si>
  <si>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</si>
  <si>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</si>
  <si>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</si>
  <si>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</si>
  <si>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</si>
  <si>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</si>
  <si>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</si>
  <si>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</si>
  <si>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</si>
  <si>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</si>
  <si>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of the flat Per Sq. Ft. (on Saleable area)</t>
  </si>
  <si>
    <t>Recommended rate of the shop Per Sq. Ft. (on Saleable area)</t>
  </si>
  <si>
    <t>Recommended rate should be considered as all inclusive rate if other charges are not mentioned. (Excluding GST &amp; other government Taxes)</t>
  </si>
  <si>
    <t xml:space="preserve">Ground Floor for Commercial </t>
  </si>
  <si>
    <t>Shop</t>
  </si>
  <si>
    <t>Ground Floor for Residential</t>
  </si>
  <si>
    <t xml:space="preserve">MP Room </t>
  </si>
  <si>
    <t>Attached Verandah / Terrace area</t>
  </si>
  <si>
    <t>Refuge Area</t>
  </si>
  <si>
    <t xml:space="preserve">Nova </t>
  </si>
  <si>
    <t>Z Building</t>
  </si>
  <si>
    <t>Axis Sanpada</t>
  </si>
  <si>
    <t>M/s.Sunset Spaces Pvt. Ltd.</t>
  </si>
  <si>
    <t>Approved Plans, CC, Sale Plans, Cost Sheet</t>
  </si>
  <si>
    <t>Survey No</t>
  </si>
  <si>
    <t>16, H.No. 3,4, S.No. 17, H.No. 1,3,4,5,6 &amp; 7, S.No. 18, H.No. 3, S.No. 21, H.No. 1,3 &amp; 5.</t>
  </si>
  <si>
    <t>Betawade</t>
  </si>
  <si>
    <t>Thane</t>
  </si>
  <si>
    <t>1.9 KM from Datiwali Railway Station</t>
  </si>
  <si>
    <t>Betawade sub station road</t>
  </si>
  <si>
    <t>Dombivli east</t>
  </si>
  <si>
    <t>Pitruchhaya Building</t>
  </si>
  <si>
    <t>Open land</t>
  </si>
  <si>
    <t xml:space="preserve">Betawade sub station </t>
  </si>
  <si>
    <t>Thane Municipal Corporation (TMC)</t>
  </si>
  <si>
    <t>Basement Floor for Fire tank, Domestic tank &amp; Flushing tank</t>
  </si>
  <si>
    <t xml:space="preserve">2 yr Layout maintenance deposit </t>
  </si>
  <si>
    <t xml:space="preserve">Layout corpus fund </t>
  </si>
  <si>
    <t>Mr. Ravi pandey - 7977937050</t>
  </si>
  <si>
    <t>1BHK</t>
  </si>
  <si>
    <t>Maintenance deposit (2years)</t>
  </si>
  <si>
    <t>5000 to 5300</t>
  </si>
  <si>
    <t>igr</t>
  </si>
  <si>
    <t xml:space="preserve">Akash </t>
  </si>
  <si>
    <t>with floor rise = 30rs</t>
  </si>
  <si>
    <t>Floor Rise Rate Per Sq.ft (from 3rd Floor)</t>
  </si>
  <si>
    <t>5300 to 6100</t>
  </si>
  <si>
    <t>Site meet person contact Details Miss.Sulma Maam -7208825159.</t>
  </si>
  <si>
    <t>V.P.S10/0057/20/TMC/TD-DP/TPS/4420/23</t>
  </si>
  <si>
    <t>Building Z (Nova) = B + G + 1st to 23rd Floor.</t>
  </si>
  <si>
    <t>2nd, 5th, 6th, 7th, 9th &amp; 10th Floor for Residential</t>
  </si>
  <si>
    <t>1st, 3rd &amp; 4th Floor for Residential</t>
  </si>
  <si>
    <t>11th Floor for Residential</t>
  </si>
  <si>
    <t>8th &amp; 18th Floor (Part Refuge Area)</t>
  </si>
  <si>
    <t>12th, 14th, 15th, 16th, 17th, 19th, 20th, 21st &amp; 22nd Floor for Residential</t>
  </si>
  <si>
    <t>23rd Floor (Part Refuge Area)</t>
  </si>
  <si>
    <t>13th Floor (Part Refuge Area)</t>
  </si>
  <si>
    <t>We considered Gross carpet area = Net carpet + Verandah/ Dry Balcony.</t>
  </si>
  <si>
    <t>C.C Refered from RERA.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</si>
  <si>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</si>
  <si>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Site Meet Person Contact Details ( Name &amp; Contact No.)</t>
  </si>
  <si>
    <t>https://goo.gl/maps/HoVSs8APqqVppe876</t>
  </si>
  <si>
    <t>Location Link</t>
  </si>
  <si>
    <t>Vitrified tiles flooring, Kitchen Platform, Decorative Entrance, Etc.</t>
  </si>
  <si>
    <t>Z Building (Nova) &amp; Y Building (Flora)</t>
  </si>
  <si>
    <t>Nova : P51700032675
Flora : P51700052461</t>
  </si>
  <si>
    <t>Marathon Nexworld Nova &amp; Flora</t>
  </si>
  <si>
    <t>V.P.No.S10/0057/20/TMC/TDD/4420/23</t>
  </si>
  <si>
    <t>Valid Up to:  Building Z (Nova) = B + G + 1st to 23rd Floor
Building Y (Flora) = B + G + 1st to 23rd Floor</t>
  </si>
  <si>
    <t>Building Z (Nova) = B + G + 1st to 23rd Floor.
Building Y (Flora) = B + G + 1st to 23rd Floor</t>
  </si>
  <si>
    <t>Building Y (Flora) = B + G + 1st to 23rd Floor</t>
  </si>
  <si>
    <t>Flora</t>
  </si>
  <si>
    <t>Y Building</t>
  </si>
  <si>
    <t>Building Z (Nova)</t>
  </si>
  <si>
    <t>Building Y (Flora)</t>
  </si>
  <si>
    <t>1st to 7th, 9th to 12th, 14th to 17th, 19th to 22nd Floor for Residential</t>
  </si>
  <si>
    <t>8th, 13th, 18th &amp; 23rd Floor (Part Refuge Area)</t>
  </si>
  <si>
    <t>Total</t>
  </si>
  <si>
    <t>Grand Total</t>
  </si>
  <si>
    <t>Flats - 573 Shops - 10</t>
  </si>
  <si>
    <t>We have updated latest approved floor plans of Building Y (Flora) (On 27/09/2023).</t>
  </si>
  <si>
    <t>We have updated latest CC (On 27/09/2023).</t>
  </si>
  <si>
    <t>2 Building</t>
  </si>
  <si>
    <t>Layout :</t>
  </si>
  <si>
    <t>As per RERA : Nova = 31/12/2026
Flora = 31/12/2027</t>
  </si>
  <si>
    <t xml:space="preserve">We have updated revised approved plan  of Building Z(on 09/08/2023) </t>
  </si>
  <si>
    <t>Latitude, Longitude</t>
  </si>
  <si>
    <t>Ground Floor for Commercial, Meter Room, Entrance Lobby &amp; Society Office</t>
  </si>
  <si>
    <t>19.1911286,73.0686714</t>
  </si>
  <si>
    <t>Mr. Pravin 7045044914</t>
  </si>
  <si>
    <t>Building Z (Nova) &amp; Y (Flora) = Construction work is in process at the time of Visit. (Internal photo was not allowed.</t>
  </si>
  <si>
    <t>Kunal Kadam</t>
  </si>
  <si>
    <t>Gangaram parshuram Lambore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</si>
</sst>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  <numFmt numFmtId="168" formatCode="_ * #,##0_ ;_ * \-#,##0_ ;_ * &quot;-&quot;??_ ;_ @_ "/>
    <numFmt numFmtId="169" formatCode="0.000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2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9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7" fillId="0" borderId="11" xfId="1" applyFont="1" applyBorder="1" applyProtection="1">
      <protection hidden="1"/>
    </xf>
    <xf numFmtId="0" fontId="7" fillId="0" borderId="0" xfId="1" applyFont="1" applyProtection="1">
      <protection hidden="1"/>
    </xf>
    <xf numFmtId="0" fontId="18" fillId="0" borderId="14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0" xfId="1" applyFont="1"/>
    <xf numFmtId="0" fontId="15" fillId="0" borderId="0" xfId="1" applyFont="1"/>
    <xf numFmtId="0" fontId="12" fillId="0" borderId="1" xfId="1" applyFont="1" applyBorder="1" applyAlignment="1" applyProtection="1">
      <alignment vertical="top"/>
      <protection locked="0"/>
    </xf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24" fillId="0" borderId="0" xfId="1" applyFont="1"/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12" fillId="0" borderId="1" xfId="1" applyFont="1" applyBorder="1" applyAlignment="1" applyProtection="1">
      <alignment horizontal="center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0" fontId="18" fillId="0" borderId="13" xfId="0" applyFont="1" applyBorder="1" applyProtection="1"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1" fontId="0" fillId="0" borderId="15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7" fillId="0" borderId="1" xfId="1" applyNumberFormat="1" applyFont="1" applyBorder="1" applyAlignment="1">
      <alignment horizontal="center" vertical="center"/>
    </xf>
    <xf numFmtId="14" fontId="15" fillId="0" borderId="0" xfId="1" applyNumberFormat="1" applyFont="1"/>
    <xf numFmtId="14" fontId="12" fillId="0" borderId="0" xfId="1" applyNumberFormat="1" applyFont="1"/>
    <xf numFmtId="14" fontId="24" fillId="0" borderId="0" xfId="1" applyNumberFormat="1" applyFont="1"/>
    <xf numFmtId="14" fontId="16" fillId="0" borderId="0" xfId="1" applyNumberFormat="1" applyFont="1"/>
    <xf numFmtId="14" fontId="6" fillId="0" borderId="0" xfId="2" applyNumberFormat="1" applyFont="1"/>
    <xf numFmtId="14" fontId="7" fillId="0" borderId="0" xfId="0" applyNumberFormat="1" applyFont="1" applyAlignment="1">
      <alignment horizontal="center" vertical="center"/>
    </xf>
    <xf numFmtId="14" fontId="7" fillId="0" borderId="0" xfId="1" applyNumberFormat="1" applyFont="1" applyAlignment="1">
      <alignment horizontal="center" vertical="center"/>
    </xf>
    <xf numFmtId="0" fontId="7" fillId="2" borderId="0" xfId="1" applyFont="1" applyFill="1"/>
    <xf numFmtId="14" fontId="7" fillId="2" borderId="0" xfId="1" applyNumberFormat="1" applyFont="1" applyFill="1"/>
    <xf numFmtId="0" fontId="7" fillId="3" borderId="0" xfId="1" applyFont="1" applyFill="1"/>
    <xf numFmtId="14" fontId="7" fillId="3" borderId="0" xfId="1" applyNumberFormat="1" applyFont="1" applyFill="1"/>
    <xf numFmtId="169" fontId="7" fillId="0" borderId="0" xfId="1" applyNumberFormat="1" applyFont="1" applyAlignment="1">
      <alignment horizontal="center" vertical="center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24" xfId="0" applyNumberFormat="1" applyFont="1" applyBorder="1" applyAlignment="1" applyProtection="1">
      <alignment vertical="top" wrapText="1"/>
      <protection locked="0"/>
    </xf>
    <xf numFmtId="1" fontId="8" fillId="0" borderId="10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0" fontId="8" fillId="4" borderId="1" xfId="1" applyFont="1" applyFill="1" applyBorder="1" applyAlignment="1" applyProtection="1">
      <alignment horizontal="center" vertical="top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9" fontId="12" fillId="0" borderId="5" xfId="1" applyNumberFormat="1" applyFont="1" applyBorder="1" applyAlignment="1" applyProtection="1">
      <alignment horizontal="center" vertical="center" wrapText="1"/>
      <protection hidden="1"/>
    </xf>
    <xf numFmtId="9" fontId="12" fillId="0" borderId="8" xfId="1" applyNumberFormat="1" applyFont="1" applyBorder="1" applyAlignment="1" applyProtection="1">
      <alignment horizontal="center" vertical="center" wrapText="1"/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6" xfId="1" applyFont="1" applyBorder="1" applyAlignment="1" applyProtection="1">
      <alignment horizontal="center" vertical="top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2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6" fillId="3" borderId="28" xfId="1" applyFont="1" applyFill="1" applyBorder="1" applyAlignment="1">
      <alignment horizontal="center"/>
    </xf>
    <xf numFmtId="0" fontId="16" fillId="3" borderId="0" xfId="1" applyFont="1" applyFill="1" applyAlignment="1">
      <alignment horizontal="center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13" fillId="0" borderId="24" xfId="1" applyFont="1" applyBorder="1" applyAlignment="1" applyProtection="1">
      <alignment horizontal="left" vertical="top"/>
      <protection locked="0"/>
    </xf>
    <xf numFmtId="0" fontId="13" fillId="0" borderId="10" xfId="1" applyFont="1" applyBorder="1" applyAlignment="1" applyProtection="1">
      <alignment horizontal="left" vertical="top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0" fillId="0" borderId="9" xfId="1" applyFont="1" applyBorder="1" applyAlignment="1" applyProtection="1">
      <alignment horizontal="left"/>
      <protection locked="0"/>
    </xf>
    <xf numFmtId="0" fontId="10" fillId="0" borderId="24" xfId="1" applyFont="1" applyBorder="1" applyAlignment="1" applyProtection="1">
      <alignment horizontal="left"/>
      <protection locked="0"/>
    </xf>
    <xf numFmtId="0" fontId="10" fillId="0" borderId="10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9" xfId="0" applyNumberFormat="1" applyFont="1" applyBorder="1" applyAlignment="1" applyProtection="1">
      <alignment horizontal="center" vertical="center" wrapText="1"/>
      <protection locked="0"/>
    </xf>
    <xf numFmtId="1" fontId="8" fillId="0" borderId="24" xfId="0" applyNumberFormat="1" applyFont="1" applyBorder="1" applyAlignment="1" applyProtection="1">
      <alignment horizontal="center" vertical="center" wrapText="1"/>
      <protection locked="0"/>
    </xf>
    <xf numFmtId="1" fontId="8" fillId="0" borderId="10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4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1" fontId="17" fillId="0" borderId="9" xfId="0" applyNumberFormat="1" applyFont="1" applyBorder="1" applyAlignment="1" applyProtection="1">
      <alignment vertical="top" wrapText="1"/>
      <protection locked="0"/>
    </xf>
    <xf numFmtId="1" fontId="17" fillId="0" borderId="24" xfId="0" applyNumberFormat="1" applyFont="1" applyBorder="1" applyAlignment="1" applyProtection="1">
      <alignment vertical="top" wrapText="1"/>
      <protection locked="0"/>
    </xf>
    <xf numFmtId="1" fontId="17" fillId="0" borderId="10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26" fillId="0" borderId="9" xfId="10" applyFont="1" applyBorder="1" applyAlignment="1" applyProtection="1">
      <alignment horizontal="left"/>
      <protection locked="0"/>
    </xf>
    <xf numFmtId="0" fontId="7" fillId="0" borderId="24" xfId="1" applyFont="1" applyBorder="1" applyAlignment="1" applyProtection="1">
      <alignment horizontal="left"/>
      <protection locked="0"/>
    </xf>
    <xf numFmtId="0" fontId="7" fillId="0" borderId="10" xfId="1" applyFont="1" applyBorder="1" applyAlignment="1" applyProtection="1">
      <alignment horizontal="left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27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vertical="top"/>
      <protection locked="0"/>
    </xf>
    <xf numFmtId="168" fontId="13" fillId="0" borderId="1" xfId="9" applyNumberFormat="1" applyFont="1" applyFill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0" Type="http://schemas.openxmlformats.org/officeDocument/2006/relationships/image" Target="../media/image10.jp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396</xdr:row>
      <xdr:rowOff>19050</xdr:rowOff>
    </xdr:from>
    <xdr:to>
      <xdr:col>7</xdr:col>
      <xdr:colOff>79562</xdr:colOff>
      <xdr:row>413</xdr:row>
      <xdr:rowOff>25214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0" y="53759100"/>
          <a:ext cx="5432612" cy="340658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9525</xdr:colOff>
      <xdr:row>413</xdr:row>
      <xdr:rowOff>147488</xdr:rowOff>
    </xdr:from>
    <xdr:to>
      <xdr:col>7</xdr:col>
      <xdr:colOff>89087</xdr:colOff>
      <xdr:row>430</xdr:row>
      <xdr:rowOff>153651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1525" y="49439363"/>
          <a:ext cx="5013512" cy="340658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180975</xdr:colOff>
      <xdr:row>357</xdr:row>
      <xdr:rowOff>142875</xdr:rowOff>
    </xdr:from>
    <xdr:to>
      <xdr:col>7</xdr:col>
      <xdr:colOff>665691</xdr:colOff>
      <xdr:row>378</xdr:row>
      <xdr:rowOff>158748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0975" y="74914125"/>
          <a:ext cx="6180666" cy="42164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6</xdr:col>
      <xdr:colOff>76200</xdr:colOff>
      <xdr:row>359</xdr:row>
      <xdr:rowOff>190500</xdr:rowOff>
    </xdr:from>
    <xdr:to>
      <xdr:col>7</xdr:col>
      <xdr:colOff>276225</xdr:colOff>
      <xdr:row>369</xdr:row>
      <xdr:rowOff>76200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991100" y="75361800"/>
          <a:ext cx="981075" cy="188595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190500</xdr:colOff>
      <xdr:row>366</xdr:row>
      <xdr:rowOff>133350</xdr:rowOff>
    </xdr:from>
    <xdr:to>
      <xdr:col>3</xdr:col>
      <xdr:colOff>904875</xdr:colOff>
      <xdr:row>373</xdr:row>
      <xdr:rowOff>123825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752600" y="76704825"/>
          <a:ext cx="1562100" cy="139065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4</xdr:col>
      <xdr:colOff>276225</xdr:colOff>
      <xdr:row>357</xdr:row>
      <xdr:rowOff>133350</xdr:rowOff>
    </xdr:from>
    <xdr:ext cx="1405000" cy="31149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629025" y="74904600"/>
          <a:ext cx="1405000" cy="311496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Building Z : Nova</a:t>
          </a:r>
        </a:p>
      </xdr:txBody>
    </xdr:sp>
    <xdr:clientData/>
  </xdr:oneCellAnchor>
  <xdr:twoCellAnchor>
    <xdr:from>
      <xdr:col>5</xdr:col>
      <xdr:colOff>197675</xdr:colOff>
      <xdr:row>359</xdr:row>
      <xdr:rowOff>44796</xdr:rowOff>
    </xdr:from>
    <xdr:to>
      <xdr:col>6</xdr:col>
      <xdr:colOff>295275</xdr:colOff>
      <xdr:row>364</xdr:row>
      <xdr:rowOff>114300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stCxn id="16" idx="2"/>
        </xdr:cNvCxnSpPr>
      </xdr:nvCxnSpPr>
      <xdr:spPr>
        <a:xfrm>
          <a:off x="4331525" y="75216096"/>
          <a:ext cx="878650" cy="1069629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514350</xdr:colOff>
      <xdr:row>363</xdr:row>
      <xdr:rowOff>85725</xdr:rowOff>
    </xdr:from>
    <xdr:ext cx="1405000" cy="311496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14350" y="76057125"/>
          <a:ext cx="1405000" cy="311496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Building Y : Flora</a:t>
          </a:r>
        </a:p>
      </xdr:txBody>
    </xdr:sp>
    <xdr:clientData/>
  </xdr:oneCellAnchor>
  <xdr:twoCellAnchor>
    <xdr:from>
      <xdr:col>1</xdr:col>
      <xdr:colOff>454850</xdr:colOff>
      <xdr:row>364</xdr:row>
      <xdr:rowOff>197196</xdr:rowOff>
    </xdr:from>
    <xdr:to>
      <xdr:col>2</xdr:col>
      <xdr:colOff>676275</xdr:colOff>
      <xdr:row>369</xdr:row>
      <xdr:rowOff>171450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>
          <a:stCxn id="21" idx="2"/>
        </xdr:cNvCxnSpPr>
      </xdr:nvCxnSpPr>
      <xdr:spPr>
        <a:xfrm>
          <a:off x="1216850" y="76368621"/>
          <a:ext cx="1021525" cy="974379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581025</xdr:colOff>
      <xdr:row>379</xdr:row>
      <xdr:rowOff>114300</xdr:rowOff>
    </xdr:from>
    <xdr:to>
      <xdr:col>5</xdr:col>
      <xdr:colOff>169275</xdr:colOff>
      <xdr:row>392</xdr:row>
      <xdr:rowOff>627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43125" y="79286100"/>
          <a:ext cx="2160000" cy="248347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689610</xdr:colOff>
      <xdr:row>313</xdr:row>
      <xdr:rowOff>104774</xdr:rowOff>
    </xdr:from>
    <xdr:to>
      <xdr:col>16</xdr:col>
      <xdr:colOff>144780</xdr:colOff>
      <xdr:row>349</xdr:row>
      <xdr:rowOff>123824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7387590" y="65652014"/>
          <a:ext cx="6130290" cy="7143750"/>
          <a:chOff x="371017" y="1015748"/>
          <a:chExt cx="5888800" cy="6030484"/>
        </a:xfrm>
      </xdr:grpSpPr>
      <xdr:pic>
        <xdr:nvPicPr>
          <xdr:cNvPr id="36" name="Picture 35" descr="https://vsjcllp.vsjadon.com/upload/insp-236787-862.jpg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715" t="3868" r="7414" b="16404"/>
          <a:stretch/>
        </xdr:blipFill>
        <xdr:spPr bwMode="auto">
          <a:xfrm>
            <a:off x="371017" y="1015748"/>
            <a:ext cx="2929700" cy="3762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36787-871.jpg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1255" y="1015748"/>
            <a:ext cx="2818562" cy="3762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36787-880.jpg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59457" y="4886232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36787-883.jpg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6091" y="4886232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https://vsjcllp.vsjadon.com/upload/insp-236787-1525.jpg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17774" y="4886232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441960</xdr:colOff>
      <xdr:row>314</xdr:row>
      <xdr:rowOff>22860</xdr:rowOff>
    </xdr:from>
    <xdr:to>
      <xdr:col>7</xdr:col>
      <xdr:colOff>514884</xdr:colOff>
      <xdr:row>343</xdr:row>
      <xdr:rowOff>76233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0E43D60F-481B-FB27-3C6F-4461854326E3}"/>
            </a:ext>
          </a:extLst>
        </xdr:cNvPr>
        <xdr:cNvGrpSpPr/>
      </xdr:nvGrpSpPr>
      <xdr:grpSpPr>
        <a:xfrm>
          <a:off x="441960" y="65768220"/>
          <a:ext cx="5917464" cy="5791233"/>
          <a:chOff x="-302588" y="160637"/>
          <a:chExt cx="5917464" cy="5791233"/>
        </a:xfrm>
      </xdr:grpSpPr>
      <xdr:grpSp>
        <xdr:nvGrpSpPr>
          <xdr:cNvPr id="18" name="Group 17">
            <a:extLst>
              <a:ext uri="{FF2B5EF4-FFF2-40B4-BE49-F238E27FC236}">
                <a16:creationId xmlns:a16="http://schemas.microsoft.com/office/drawing/2014/main" id="{304132F2-6456-A9B8-5BFE-4E71CD9393EB}"/>
              </a:ext>
            </a:extLst>
          </xdr:cNvPr>
          <xdr:cNvGrpSpPr/>
        </xdr:nvGrpSpPr>
        <xdr:grpSpPr>
          <a:xfrm>
            <a:off x="-45167" y="4151870"/>
            <a:ext cx="5402622" cy="1800000"/>
            <a:chOff x="-810870" y="4151870"/>
            <a:chExt cx="5402622" cy="1800000"/>
          </a:xfrm>
        </xdr:grpSpPr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0F3434FE-9CBB-3C2F-792E-AB77F24C47D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810870" y="415187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FA0DD44A-D06E-F92A-9017-751E31BD2F2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95188" y="4151870"/>
              <a:ext cx="239050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7" name="Picture 26">
              <a:extLst>
                <a:ext uri="{FF2B5EF4-FFF2-40B4-BE49-F238E27FC236}">
                  <a16:creationId xmlns:a16="http://schemas.microsoft.com/office/drawing/2014/main" id="{8AD5F604-CA24-3CE6-F760-BC3A249F288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43158" y="415187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9" name="Group 18">
            <a:extLst>
              <a:ext uri="{FF2B5EF4-FFF2-40B4-BE49-F238E27FC236}">
                <a16:creationId xmlns:a16="http://schemas.microsoft.com/office/drawing/2014/main" id="{6F116375-D17E-7A11-9842-CEEBD57DAD22}"/>
              </a:ext>
            </a:extLst>
          </xdr:cNvPr>
          <xdr:cNvGrpSpPr/>
        </xdr:nvGrpSpPr>
        <xdr:grpSpPr>
          <a:xfrm>
            <a:off x="-302588" y="160637"/>
            <a:ext cx="5917464" cy="3844005"/>
            <a:chOff x="205694" y="160637"/>
            <a:chExt cx="5917464" cy="3844005"/>
          </a:xfrm>
        </xdr:grpSpPr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B7725A9D-3AD1-B3FF-8552-5253A37C3BB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5694" y="160637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60BAEA00-3172-F2F1-DB63-BE06A805A5A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43158" y="160637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2</xdr:col>
      <xdr:colOff>2362699</xdr:colOff>
      <xdr:row>26</xdr:row>
      <xdr:rowOff>64500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868706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346165</xdr:colOff>
      <xdr:row>15</xdr:row>
      <xdr:rowOff>0</xdr:rowOff>
    </xdr:from>
    <xdr:to>
      <xdr:col>7</xdr:col>
      <xdr:colOff>400451</xdr:colOff>
      <xdr:row>26</xdr:row>
      <xdr:rowOff>64500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3341" y="2868706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834402</xdr:colOff>
      <xdr:row>15</xdr:row>
      <xdr:rowOff>0</xdr:rowOff>
    </xdr:from>
    <xdr:to>
      <xdr:col>14</xdr:col>
      <xdr:colOff>81866</xdr:colOff>
      <xdr:row>26</xdr:row>
      <xdr:rowOff>64500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9167" y="2868706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677926</xdr:colOff>
      <xdr:row>29</xdr:row>
      <xdr:rowOff>76742</xdr:rowOff>
    </xdr:from>
    <xdr:to>
      <xdr:col>3</xdr:col>
      <xdr:colOff>575331</xdr:colOff>
      <xdr:row>40</xdr:row>
      <xdr:rowOff>141242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0632" y="5612448"/>
          <a:ext cx="3841875" cy="21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HoVSs8APqqVppe87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95"/>
  <sheetViews>
    <sheetView tabSelected="1" view="pageBreakPreview" topLeftCell="A290" zoomScaleNormal="100" zoomScaleSheetLayoutView="100" workbookViewId="0">
      <selection activeCell="M304" sqref="M304"/>
    </sheetView>
  </sheetViews>
  <sheetFormatPr defaultColWidth="9.109375" defaultRowHeight="15.6" x14ac:dyDescent="0.3"/>
  <cols>
    <col min="1" max="1" width="11.44140625" style="53" customWidth="1"/>
    <col min="2" max="2" width="12" style="53" customWidth="1"/>
    <col min="3" max="3" width="12.6640625" style="53" customWidth="1"/>
    <col min="4" max="4" width="14.109375" style="53" customWidth="1"/>
    <col min="5" max="7" width="11.6640625" style="53" customWidth="1"/>
    <col min="8" max="8" width="12.44140625" style="53" customWidth="1"/>
    <col min="9" max="9" width="17.44140625" style="27" customWidth="1"/>
    <col min="10" max="10" width="11.44140625" style="27" customWidth="1"/>
    <col min="11" max="11" width="10.5546875" style="27" bestFit="1" customWidth="1"/>
    <col min="12" max="12" width="11.88671875" style="32" bestFit="1" customWidth="1"/>
    <col min="13" max="13" width="11.88671875" style="27" customWidth="1"/>
    <col min="14" max="14" width="12.5546875" style="27" customWidth="1"/>
    <col min="15" max="15" width="9.88671875" style="27" customWidth="1"/>
    <col min="16" max="16" width="11.6640625" style="27" customWidth="1"/>
    <col min="17" max="247" width="9.109375" style="27"/>
    <col min="248" max="248" width="8.6640625" style="27" customWidth="1"/>
    <col min="249" max="249" width="9.88671875" style="27" customWidth="1"/>
    <col min="250" max="250" width="14.44140625" style="27" customWidth="1"/>
    <col min="251" max="251" width="7.33203125" style="27" customWidth="1"/>
    <col min="252" max="252" width="5.5546875" style="27" customWidth="1"/>
    <col min="253" max="253" width="9" style="27" customWidth="1"/>
    <col min="254" max="255" width="9.88671875" style="27" customWidth="1"/>
    <col min="256" max="256" width="11.109375" style="27" customWidth="1"/>
    <col min="257" max="257" width="2.88671875" style="27" customWidth="1"/>
    <col min="258" max="258" width="3.5546875" style="27" customWidth="1"/>
    <col min="259" max="503" width="9.109375" style="27"/>
    <col min="504" max="504" width="8.6640625" style="27" customWidth="1"/>
    <col min="505" max="505" width="9.88671875" style="27" customWidth="1"/>
    <col min="506" max="506" width="14.44140625" style="27" customWidth="1"/>
    <col min="507" max="507" width="7.33203125" style="27" customWidth="1"/>
    <col min="508" max="508" width="5.5546875" style="27" customWidth="1"/>
    <col min="509" max="509" width="9" style="27" customWidth="1"/>
    <col min="510" max="511" width="9.88671875" style="27" customWidth="1"/>
    <col min="512" max="512" width="11.109375" style="27" customWidth="1"/>
    <col min="513" max="513" width="2.88671875" style="27" customWidth="1"/>
    <col min="514" max="514" width="3.5546875" style="27" customWidth="1"/>
    <col min="515" max="759" width="9.109375" style="27"/>
    <col min="760" max="760" width="8.6640625" style="27" customWidth="1"/>
    <col min="761" max="761" width="9.88671875" style="27" customWidth="1"/>
    <col min="762" max="762" width="14.44140625" style="27" customWidth="1"/>
    <col min="763" max="763" width="7.33203125" style="27" customWidth="1"/>
    <col min="764" max="764" width="5.5546875" style="27" customWidth="1"/>
    <col min="765" max="765" width="9" style="27" customWidth="1"/>
    <col min="766" max="767" width="9.88671875" style="27" customWidth="1"/>
    <col min="768" max="768" width="11.109375" style="27" customWidth="1"/>
    <col min="769" max="769" width="2.88671875" style="27" customWidth="1"/>
    <col min="770" max="770" width="3.5546875" style="27" customWidth="1"/>
    <col min="771" max="1015" width="9.109375" style="27"/>
    <col min="1016" max="1016" width="8.6640625" style="27" customWidth="1"/>
    <col min="1017" max="1017" width="9.88671875" style="27" customWidth="1"/>
    <col min="1018" max="1018" width="14.44140625" style="27" customWidth="1"/>
    <col min="1019" max="1019" width="7.33203125" style="27" customWidth="1"/>
    <col min="1020" max="1020" width="5.5546875" style="27" customWidth="1"/>
    <col min="1021" max="1021" width="9" style="27" customWidth="1"/>
    <col min="1022" max="1023" width="9.88671875" style="27" customWidth="1"/>
    <col min="1024" max="1024" width="11.109375" style="27" customWidth="1"/>
    <col min="1025" max="1025" width="2.88671875" style="27" customWidth="1"/>
    <col min="1026" max="1026" width="3.5546875" style="27" customWidth="1"/>
    <col min="1027" max="1271" width="9.109375" style="27"/>
    <col min="1272" max="1272" width="8.6640625" style="27" customWidth="1"/>
    <col min="1273" max="1273" width="9.88671875" style="27" customWidth="1"/>
    <col min="1274" max="1274" width="14.44140625" style="27" customWidth="1"/>
    <col min="1275" max="1275" width="7.33203125" style="27" customWidth="1"/>
    <col min="1276" max="1276" width="5.5546875" style="27" customWidth="1"/>
    <col min="1277" max="1277" width="9" style="27" customWidth="1"/>
    <col min="1278" max="1279" width="9.88671875" style="27" customWidth="1"/>
    <col min="1280" max="1280" width="11.109375" style="27" customWidth="1"/>
    <col min="1281" max="1281" width="2.88671875" style="27" customWidth="1"/>
    <col min="1282" max="1282" width="3.5546875" style="27" customWidth="1"/>
    <col min="1283" max="1527" width="9.109375" style="27"/>
    <col min="1528" max="1528" width="8.6640625" style="27" customWidth="1"/>
    <col min="1529" max="1529" width="9.88671875" style="27" customWidth="1"/>
    <col min="1530" max="1530" width="14.44140625" style="27" customWidth="1"/>
    <col min="1531" max="1531" width="7.33203125" style="27" customWidth="1"/>
    <col min="1532" max="1532" width="5.5546875" style="27" customWidth="1"/>
    <col min="1533" max="1533" width="9" style="27" customWidth="1"/>
    <col min="1534" max="1535" width="9.88671875" style="27" customWidth="1"/>
    <col min="1536" max="1536" width="11.109375" style="27" customWidth="1"/>
    <col min="1537" max="1537" width="2.88671875" style="27" customWidth="1"/>
    <col min="1538" max="1538" width="3.5546875" style="27" customWidth="1"/>
    <col min="1539" max="1783" width="9.109375" style="27"/>
    <col min="1784" max="1784" width="8.6640625" style="27" customWidth="1"/>
    <col min="1785" max="1785" width="9.88671875" style="27" customWidth="1"/>
    <col min="1786" max="1786" width="14.44140625" style="27" customWidth="1"/>
    <col min="1787" max="1787" width="7.33203125" style="27" customWidth="1"/>
    <col min="1788" max="1788" width="5.5546875" style="27" customWidth="1"/>
    <col min="1789" max="1789" width="9" style="27" customWidth="1"/>
    <col min="1790" max="1791" width="9.88671875" style="27" customWidth="1"/>
    <col min="1792" max="1792" width="11.109375" style="27" customWidth="1"/>
    <col min="1793" max="1793" width="2.88671875" style="27" customWidth="1"/>
    <col min="1794" max="1794" width="3.5546875" style="27" customWidth="1"/>
    <col min="1795" max="2039" width="9.109375" style="27"/>
    <col min="2040" max="2040" width="8.6640625" style="27" customWidth="1"/>
    <col min="2041" max="2041" width="9.88671875" style="27" customWidth="1"/>
    <col min="2042" max="2042" width="14.44140625" style="27" customWidth="1"/>
    <col min="2043" max="2043" width="7.33203125" style="27" customWidth="1"/>
    <col min="2044" max="2044" width="5.5546875" style="27" customWidth="1"/>
    <col min="2045" max="2045" width="9" style="27" customWidth="1"/>
    <col min="2046" max="2047" width="9.88671875" style="27" customWidth="1"/>
    <col min="2048" max="2048" width="11.109375" style="27" customWidth="1"/>
    <col min="2049" max="2049" width="2.88671875" style="27" customWidth="1"/>
    <col min="2050" max="2050" width="3.5546875" style="27" customWidth="1"/>
    <col min="2051" max="2295" width="9.109375" style="27"/>
    <col min="2296" max="2296" width="8.6640625" style="27" customWidth="1"/>
    <col min="2297" max="2297" width="9.88671875" style="27" customWidth="1"/>
    <col min="2298" max="2298" width="14.44140625" style="27" customWidth="1"/>
    <col min="2299" max="2299" width="7.33203125" style="27" customWidth="1"/>
    <col min="2300" max="2300" width="5.5546875" style="27" customWidth="1"/>
    <col min="2301" max="2301" width="9" style="27" customWidth="1"/>
    <col min="2302" max="2303" width="9.88671875" style="27" customWidth="1"/>
    <col min="2304" max="2304" width="11.109375" style="27" customWidth="1"/>
    <col min="2305" max="2305" width="2.88671875" style="27" customWidth="1"/>
    <col min="2306" max="2306" width="3.5546875" style="27" customWidth="1"/>
    <col min="2307" max="2551" width="9.109375" style="27"/>
    <col min="2552" max="2552" width="8.6640625" style="27" customWidth="1"/>
    <col min="2553" max="2553" width="9.88671875" style="27" customWidth="1"/>
    <col min="2554" max="2554" width="14.44140625" style="27" customWidth="1"/>
    <col min="2555" max="2555" width="7.33203125" style="27" customWidth="1"/>
    <col min="2556" max="2556" width="5.5546875" style="27" customWidth="1"/>
    <col min="2557" max="2557" width="9" style="27" customWidth="1"/>
    <col min="2558" max="2559" width="9.88671875" style="27" customWidth="1"/>
    <col min="2560" max="2560" width="11.109375" style="27" customWidth="1"/>
    <col min="2561" max="2561" width="2.88671875" style="27" customWidth="1"/>
    <col min="2562" max="2562" width="3.5546875" style="27" customWidth="1"/>
    <col min="2563" max="2807" width="9.109375" style="27"/>
    <col min="2808" max="2808" width="8.6640625" style="27" customWidth="1"/>
    <col min="2809" max="2809" width="9.88671875" style="27" customWidth="1"/>
    <col min="2810" max="2810" width="14.44140625" style="27" customWidth="1"/>
    <col min="2811" max="2811" width="7.33203125" style="27" customWidth="1"/>
    <col min="2812" max="2812" width="5.5546875" style="27" customWidth="1"/>
    <col min="2813" max="2813" width="9" style="27" customWidth="1"/>
    <col min="2814" max="2815" width="9.88671875" style="27" customWidth="1"/>
    <col min="2816" max="2816" width="11.109375" style="27" customWidth="1"/>
    <col min="2817" max="2817" width="2.88671875" style="27" customWidth="1"/>
    <col min="2818" max="2818" width="3.5546875" style="27" customWidth="1"/>
    <col min="2819" max="3063" width="9.109375" style="27"/>
    <col min="3064" max="3064" width="8.6640625" style="27" customWidth="1"/>
    <col min="3065" max="3065" width="9.88671875" style="27" customWidth="1"/>
    <col min="3066" max="3066" width="14.44140625" style="27" customWidth="1"/>
    <col min="3067" max="3067" width="7.33203125" style="27" customWidth="1"/>
    <col min="3068" max="3068" width="5.5546875" style="27" customWidth="1"/>
    <col min="3069" max="3069" width="9" style="27" customWidth="1"/>
    <col min="3070" max="3071" width="9.88671875" style="27" customWidth="1"/>
    <col min="3072" max="3072" width="11.109375" style="27" customWidth="1"/>
    <col min="3073" max="3073" width="2.88671875" style="27" customWidth="1"/>
    <col min="3074" max="3074" width="3.5546875" style="27" customWidth="1"/>
    <col min="3075" max="3319" width="9.109375" style="27"/>
    <col min="3320" max="3320" width="8.6640625" style="27" customWidth="1"/>
    <col min="3321" max="3321" width="9.88671875" style="27" customWidth="1"/>
    <col min="3322" max="3322" width="14.44140625" style="27" customWidth="1"/>
    <col min="3323" max="3323" width="7.33203125" style="27" customWidth="1"/>
    <col min="3324" max="3324" width="5.5546875" style="27" customWidth="1"/>
    <col min="3325" max="3325" width="9" style="27" customWidth="1"/>
    <col min="3326" max="3327" width="9.88671875" style="27" customWidth="1"/>
    <col min="3328" max="3328" width="11.109375" style="27" customWidth="1"/>
    <col min="3329" max="3329" width="2.88671875" style="27" customWidth="1"/>
    <col min="3330" max="3330" width="3.5546875" style="27" customWidth="1"/>
    <col min="3331" max="3575" width="9.109375" style="27"/>
    <col min="3576" max="3576" width="8.6640625" style="27" customWidth="1"/>
    <col min="3577" max="3577" width="9.88671875" style="27" customWidth="1"/>
    <col min="3578" max="3578" width="14.44140625" style="27" customWidth="1"/>
    <col min="3579" max="3579" width="7.33203125" style="27" customWidth="1"/>
    <col min="3580" max="3580" width="5.5546875" style="27" customWidth="1"/>
    <col min="3581" max="3581" width="9" style="27" customWidth="1"/>
    <col min="3582" max="3583" width="9.88671875" style="27" customWidth="1"/>
    <col min="3584" max="3584" width="11.109375" style="27" customWidth="1"/>
    <col min="3585" max="3585" width="2.88671875" style="27" customWidth="1"/>
    <col min="3586" max="3586" width="3.5546875" style="27" customWidth="1"/>
    <col min="3587" max="3831" width="9.109375" style="27"/>
    <col min="3832" max="3832" width="8.6640625" style="27" customWidth="1"/>
    <col min="3833" max="3833" width="9.88671875" style="27" customWidth="1"/>
    <col min="3834" max="3834" width="14.44140625" style="27" customWidth="1"/>
    <col min="3835" max="3835" width="7.33203125" style="27" customWidth="1"/>
    <col min="3836" max="3836" width="5.5546875" style="27" customWidth="1"/>
    <col min="3837" max="3837" width="9" style="27" customWidth="1"/>
    <col min="3838" max="3839" width="9.88671875" style="27" customWidth="1"/>
    <col min="3840" max="3840" width="11.109375" style="27" customWidth="1"/>
    <col min="3841" max="3841" width="2.88671875" style="27" customWidth="1"/>
    <col min="3842" max="3842" width="3.5546875" style="27" customWidth="1"/>
    <col min="3843" max="4087" width="9.109375" style="27"/>
    <col min="4088" max="4088" width="8.6640625" style="27" customWidth="1"/>
    <col min="4089" max="4089" width="9.88671875" style="27" customWidth="1"/>
    <col min="4090" max="4090" width="14.44140625" style="27" customWidth="1"/>
    <col min="4091" max="4091" width="7.33203125" style="27" customWidth="1"/>
    <col min="4092" max="4092" width="5.5546875" style="27" customWidth="1"/>
    <col min="4093" max="4093" width="9" style="27" customWidth="1"/>
    <col min="4094" max="4095" width="9.88671875" style="27" customWidth="1"/>
    <col min="4096" max="4096" width="11.109375" style="27" customWidth="1"/>
    <col min="4097" max="4097" width="2.88671875" style="27" customWidth="1"/>
    <col min="4098" max="4098" width="3.5546875" style="27" customWidth="1"/>
    <col min="4099" max="4343" width="9.109375" style="27"/>
    <col min="4344" max="4344" width="8.6640625" style="27" customWidth="1"/>
    <col min="4345" max="4345" width="9.88671875" style="27" customWidth="1"/>
    <col min="4346" max="4346" width="14.44140625" style="27" customWidth="1"/>
    <col min="4347" max="4347" width="7.33203125" style="27" customWidth="1"/>
    <col min="4348" max="4348" width="5.5546875" style="27" customWidth="1"/>
    <col min="4349" max="4349" width="9" style="27" customWidth="1"/>
    <col min="4350" max="4351" width="9.88671875" style="27" customWidth="1"/>
    <col min="4352" max="4352" width="11.109375" style="27" customWidth="1"/>
    <col min="4353" max="4353" width="2.88671875" style="27" customWidth="1"/>
    <col min="4354" max="4354" width="3.5546875" style="27" customWidth="1"/>
    <col min="4355" max="4599" width="9.109375" style="27"/>
    <col min="4600" max="4600" width="8.6640625" style="27" customWidth="1"/>
    <col min="4601" max="4601" width="9.88671875" style="27" customWidth="1"/>
    <col min="4602" max="4602" width="14.44140625" style="27" customWidth="1"/>
    <col min="4603" max="4603" width="7.33203125" style="27" customWidth="1"/>
    <col min="4604" max="4604" width="5.5546875" style="27" customWidth="1"/>
    <col min="4605" max="4605" width="9" style="27" customWidth="1"/>
    <col min="4606" max="4607" width="9.88671875" style="27" customWidth="1"/>
    <col min="4608" max="4608" width="11.109375" style="27" customWidth="1"/>
    <col min="4609" max="4609" width="2.88671875" style="27" customWidth="1"/>
    <col min="4610" max="4610" width="3.5546875" style="27" customWidth="1"/>
    <col min="4611" max="4855" width="9.109375" style="27"/>
    <col min="4856" max="4856" width="8.6640625" style="27" customWidth="1"/>
    <col min="4857" max="4857" width="9.88671875" style="27" customWidth="1"/>
    <col min="4858" max="4858" width="14.44140625" style="27" customWidth="1"/>
    <col min="4859" max="4859" width="7.33203125" style="27" customWidth="1"/>
    <col min="4860" max="4860" width="5.5546875" style="27" customWidth="1"/>
    <col min="4861" max="4861" width="9" style="27" customWidth="1"/>
    <col min="4862" max="4863" width="9.88671875" style="27" customWidth="1"/>
    <col min="4864" max="4864" width="11.109375" style="27" customWidth="1"/>
    <col min="4865" max="4865" width="2.88671875" style="27" customWidth="1"/>
    <col min="4866" max="4866" width="3.5546875" style="27" customWidth="1"/>
    <col min="4867" max="5111" width="9.109375" style="27"/>
    <col min="5112" max="5112" width="8.6640625" style="27" customWidth="1"/>
    <col min="5113" max="5113" width="9.88671875" style="27" customWidth="1"/>
    <col min="5114" max="5114" width="14.44140625" style="27" customWidth="1"/>
    <col min="5115" max="5115" width="7.33203125" style="27" customWidth="1"/>
    <col min="5116" max="5116" width="5.5546875" style="27" customWidth="1"/>
    <col min="5117" max="5117" width="9" style="27" customWidth="1"/>
    <col min="5118" max="5119" width="9.88671875" style="27" customWidth="1"/>
    <col min="5120" max="5120" width="11.109375" style="27" customWidth="1"/>
    <col min="5121" max="5121" width="2.88671875" style="27" customWidth="1"/>
    <col min="5122" max="5122" width="3.5546875" style="27" customWidth="1"/>
    <col min="5123" max="5367" width="9.109375" style="27"/>
    <col min="5368" max="5368" width="8.6640625" style="27" customWidth="1"/>
    <col min="5369" max="5369" width="9.88671875" style="27" customWidth="1"/>
    <col min="5370" max="5370" width="14.44140625" style="27" customWidth="1"/>
    <col min="5371" max="5371" width="7.33203125" style="27" customWidth="1"/>
    <col min="5372" max="5372" width="5.5546875" style="27" customWidth="1"/>
    <col min="5373" max="5373" width="9" style="27" customWidth="1"/>
    <col min="5374" max="5375" width="9.88671875" style="27" customWidth="1"/>
    <col min="5376" max="5376" width="11.109375" style="27" customWidth="1"/>
    <col min="5377" max="5377" width="2.88671875" style="27" customWidth="1"/>
    <col min="5378" max="5378" width="3.5546875" style="27" customWidth="1"/>
    <col min="5379" max="5623" width="9.109375" style="27"/>
    <col min="5624" max="5624" width="8.6640625" style="27" customWidth="1"/>
    <col min="5625" max="5625" width="9.88671875" style="27" customWidth="1"/>
    <col min="5626" max="5626" width="14.44140625" style="27" customWidth="1"/>
    <col min="5627" max="5627" width="7.33203125" style="27" customWidth="1"/>
    <col min="5628" max="5628" width="5.5546875" style="27" customWidth="1"/>
    <col min="5629" max="5629" width="9" style="27" customWidth="1"/>
    <col min="5630" max="5631" width="9.88671875" style="27" customWidth="1"/>
    <col min="5632" max="5632" width="11.109375" style="27" customWidth="1"/>
    <col min="5633" max="5633" width="2.88671875" style="27" customWidth="1"/>
    <col min="5634" max="5634" width="3.5546875" style="27" customWidth="1"/>
    <col min="5635" max="5879" width="9.109375" style="27"/>
    <col min="5880" max="5880" width="8.6640625" style="27" customWidth="1"/>
    <col min="5881" max="5881" width="9.88671875" style="27" customWidth="1"/>
    <col min="5882" max="5882" width="14.44140625" style="27" customWidth="1"/>
    <col min="5883" max="5883" width="7.33203125" style="27" customWidth="1"/>
    <col min="5884" max="5884" width="5.5546875" style="27" customWidth="1"/>
    <col min="5885" max="5885" width="9" style="27" customWidth="1"/>
    <col min="5886" max="5887" width="9.88671875" style="27" customWidth="1"/>
    <col min="5888" max="5888" width="11.109375" style="27" customWidth="1"/>
    <col min="5889" max="5889" width="2.88671875" style="27" customWidth="1"/>
    <col min="5890" max="5890" width="3.5546875" style="27" customWidth="1"/>
    <col min="5891" max="6135" width="9.109375" style="27"/>
    <col min="6136" max="6136" width="8.6640625" style="27" customWidth="1"/>
    <col min="6137" max="6137" width="9.88671875" style="27" customWidth="1"/>
    <col min="6138" max="6138" width="14.44140625" style="27" customWidth="1"/>
    <col min="6139" max="6139" width="7.33203125" style="27" customWidth="1"/>
    <col min="6140" max="6140" width="5.5546875" style="27" customWidth="1"/>
    <col min="6141" max="6141" width="9" style="27" customWidth="1"/>
    <col min="6142" max="6143" width="9.88671875" style="27" customWidth="1"/>
    <col min="6144" max="6144" width="11.109375" style="27" customWidth="1"/>
    <col min="6145" max="6145" width="2.88671875" style="27" customWidth="1"/>
    <col min="6146" max="6146" width="3.5546875" style="27" customWidth="1"/>
    <col min="6147" max="6391" width="9.109375" style="27"/>
    <col min="6392" max="6392" width="8.6640625" style="27" customWidth="1"/>
    <col min="6393" max="6393" width="9.88671875" style="27" customWidth="1"/>
    <col min="6394" max="6394" width="14.44140625" style="27" customWidth="1"/>
    <col min="6395" max="6395" width="7.33203125" style="27" customWidth="1"/>
    <col min="6396" max="6396" width="5.5546875" style="27" customWidth="1"/>
    <col min="6397" max="6397" width="9" style="27" customWidth="1"/>
    <col min="6398" max="6399" width="9.88671875" style="27" customWidth="1"/>
    <col min="6400" max="6400" width="11.109375" style="27" customWidth="1"/>
    <col min="6401" max="6401" width="2.88671875" style="27" customWidth="1"/>
    <col min="6402" max="6402" width="3.5546875" style="27" customWidth="1"/>
    <col min="6403" max="6647" width="9.109375" style="27"/>
    <col min="6648" max="6648" width="8.6640625" style="27" customWidth="1"/>
    <col min="6649" max="6649" width="9.88671875" style="27" customWidth="1"/>
    <col min="6650" max="6650" width="14.44140625" style="27" customWidth="1"/>
    <col min="6651" max="6651" width="7.33203125" style="27" customWidth="1"/>
    <col min="6652" max="6652" width="5.5546875" style="27" customWidth="1"/>
    <col min="6653" max="6653" width="9" style="27" customWidth="1"/>
    <col min="6654" max="6655" width="9.88671875" style="27" customWidth="1"/>
    <col min="6656" max="6656" width="11.109375" style="27" customWidth="1"/>
    <col min="6657" max="6657" width="2.88671875" style="27" customWidth="1"/>
    <col min="6658" max="6658" width="3.5546875" style="27" customWidth="1"/>
    <col min="6659" max="6903" width="9.109375" style="27"/>
    <col min="6904" max="6904" width="8.6640625" style="27" customWidth="1"/>
    <col min="6905" max="6905" width="9.88671875" style="27" customWidth="1"/>
    <col min="6906" max="6906" width="14.44140625" style="27" customWidth="1"/>
    <col min="6907" max="6907" width="7.33203125" style="27" customWidth="1"/>
    <col min="6908" max="6908" width="5.5546875" style="27" customWidth="1"/>
    <col min="6909" max="6909" width="9" style="27" customWidth="1"/>
    <col min="6910" max="6911" width="9.88671875" style="27" customWidth="1"/>
    <col min="6912" max="6912" width="11.109375" style="27" customWidth="1"/>
    <col min="6913" max="6913" width="2.88671875" style="27" customWidth="1"/>
    <col min="6914" max="6914" width="3.5546875" style="27" customWidth="1"/>
    <col min="6915" max="7159" width="9.109375" style="27"/>
    <col min="7160" max="7160" width="8.6640625" style="27" customWidth="1"/>
    <col min="7161" max="7161" width="9.88671875" style="27" customWidth="1"/>
    <col min="7162" max="7162" width="14.44140625" style="27" customWidth="1"/>
    <col min="7163" max="7163" width="7.33203125" style="27" customWidth="1"/>
    <col min="7164" max="7164" width="5.5546875" style="27" customWidth="1"/>
    <col min="7165" max="7165" width="9" style="27" customWidth="1"/>
    <col min="7166" max="7167" width="9.88671875" style="27" customWidth="1"/>
    <col min="7168" max="7168" width="11.109375" style="27" customWidth="1"/>
    <col min="7169" max="7169" width="2.88671875" style="27" customWidth="1"/>
    <col min="7170" max="7170" width="3.5546875" style="27" customWidth="1"/>
    <col min="7171" max="7415" width="9.109375" style="27"/>
    <col min="7416" max="7416" width="8.6640625" style="27" customWidth="1"/>
    <col min="7417" max="7417" width="9.88671875" style="27" customWidth="1"/>
    <col min="7418" max="7418" width="14.44140625" style="27" customWidth="1"/>
    <col min="7419" max="7419" width="7.33203125" style="27" customWidth="1"/>
    <col min="7420" max="7420" width="5.5546875" style="27" customWidth="1"/>
    <col min="7421" max="7421" width="9" style="27" customWidth="1"/>
    <col min="7422" max="7423" width="9.88671875" style="27" customWidth="1"/>
    <col min="7424" max="7424" width="11.109375" style="27" customWidth="1"/>
    <col min="7425" max="7425" width="2.88671875" style="27" customWidth="1"/>
    <col min="7426" max="7426" width="3.5546875" style="27" customWidth="1"/>
    <col min="7427" max="7671" width="9.109375" style="27"/>
    <col min="7672" max="7672" width="8.6640625" style="27" customWidth="1"/>
    <col min="7673" max="7673" width="9.88671875" style="27" customWidth="1"/>
    <col min="7674" max="7674" width="14.44140625" style="27" customWidth="1"/>
    <col min="7675" max="7675" width="7.33203125" style="27" customWidth="1"/>
    <col min="7676" max="7676" width="5.5546875" style="27" customWidth="1"/>
    <col min="7677" max="7677" width="9" style="27" customWidth="1"/>
    <col min="7678" max="7679" width="9.88671875" style="27" customWidth="1"/>
    <col min="7680" max="7680" width="11.109375" style="27" customWidth="1"/>
    <col min="7681" max="7681" width="2.88671875" style="27" customWidth="1"/>
    <col min="7682" max="7682" width="3.5546875" style="27" customWidth="1"/>
    <col min="7683" max="7927" width="9.109375" style="27"/>
    <col min="7928" max="7928" width="8.6640625" style="27" customWidth="1"/>
    <col min="7929" max="7929" width="9.88671875" style="27" customWidth="1"/>
    <col min="7930" max="7930" width="14.44140625" style="27" customWidth="1"/>
    <col min="7931" max="7931" width="7.33203125" style="27" customWidth="1"/>
    <col min="7932" max="7932" width="5.5546875" style="27" customWidth="1"/>
    <col min="7933" max="7933" width="9" style="27" customWidth="1"/>
    <col min="7934" max="7935" width="9.88671875" style="27" customWidth="1"/>
    <col min="7936" max="7936" width="11.109375" style="27" customWidth="1"/>
    <col min="7937" max="7937" width="2.88671875" style="27" customWidth="1"/>
    <col min="7938" max="7938" width="3.5546875" style="27" customWidth="1"/>
    <col min="7939" max="8183" width="9.109375" style="27"/>
    <col min="8184" max="8184" width="8.6640625" style="27" customWidth="1"/>
    <col min="8185" max="8185" width="9.88671875" style="27" customWidth="1"/>
    <col min="8186" max="8186" width="14.44140625" style="27" customWidth="1"/>
    <col min="8187" max="8187" width="7.33203125" style="27" customWidth="1"/>
    <col min="8188" max="8188" width="5.5546875" style="27" customWidth="1"/>
    <col min="8189" max="8189" width="9" style="27" customWidth="1"/>
    <col min="8190" max="8191" width="9.88671875" style="27" customWidth="1"/>
    <col min="8192" max="8192" width="11.109375" style="27" customWidth="1"/>
    <col min="8193" max="8193" width="2.88671875" style="27" customWidth="1"/>
    <col min="8194" max="8194" width="3.5546875" style="27" customWidth="1"/>
    <col min="8195" max="8439" width="9.109375" style="27"/>
    <col min="8440" max="8440" width="8.6640625" style="27" customWidth="1"/>
    <col min="8441" max="8441" width="9.88671875" style="27" customWidth="1"/>
    <col min="8442" max="8442" width="14.44140625" style="27" customWidth="1"/>
    <col min="8443" max="8443" width="7.33203125" style="27" customWidth="1"/>
    <col min="8444" max="8444" width="5.5546875" style="27" customWidth="1"/>
    <col min="8445" max="8445" width="9" style="27" customWidth="1"/>
    <col min="8446" max="8447" width="9.88671875" style="27" customWidth="1"/>
    <col min="8448" max="8448" width="11.109375" style="27" customWidth="1"/>
    <col min="8449" max="8449" width="2.88671875" style="27" customWidth="1"/>
    <col min="8450" max="8450" width="3.5546875" style="27" customWidth="1"/>
    <col min="8451" max="8695" width="9.109375" style="27"/>
    <col min="8696" max="8696" width="8.6640625" style="27" customWidth="1"/>
    <col min="8697" max="8697" width="9.88671875" style="27" customWidth="1"/>
    <col min="8698" max="8698" width="14.44140625" style="27" customWidth="1"/>
    <col min="8699" max="8699" width="7.33203125" style="27" customWidth="1"/>
    <col min="8700" max="8700" width="5.5546875" style="27" customWidth="1"/>
    <col min="8701" max="8701" width="9" style="27" customWidth="1"/>
    <col min="8702" max="8703" width="9.88671875" style="27" customWidth="1"/>
    <col min="8704" max="8704" width="11.109375" style="27" customWidth="1"/>
    <col min="8705" max="8705" width="2.88671875" style="27" customWidth="1"/>
    <col min="8706" max="8706" width="3.5546875" style="27" customWidth="1"/>
    <col min="8707" max="8951" width="9.109375" style="27"/>
    <col min="8952" max="8952" width="8.6640625" style="27" customWidth="1"/>
    <col min="8953" max="8953" width="9.88671875" style="27" customWidth="1"/>
    <col min="8954" max="8954" width="14.44140625" style="27" customWidth="1"/>
    <col min="8955" max="8955" width="7.33203125" style="27" customWidth="1"/>
    <col min="8956" max="8956" width="5.5546875" style="27" customWidth="1"/>
    <col min="8957" max="8957" width="9" style="27" customWidth="1"/>
    <col min="8958" max="8959" width="9.88671875" style="27" customWidth="1"/>
    <col min="8960" max="8960" width="11.109375" style="27" customWidth="1"/>
    <col min="8961" max="8961" width="2.88671875" style="27" customWidth="1"/>
    <col min="8962" max="8962" width="3.5546875" style="27" customWidth="1"/>
    <col min="8963" max="9207" width="9.109375" style="27"/>
    <col min="9208" max="9208" width="8.6640625" style="27" customWidth="1"/>
    <col min="9209" max="9209" width="9.88671875" style="27" customWidth="1"/>
    <col min="9210" max="9210" width="14.44140625" style="27" customWidth="1"/>
    <col min="9211" max="9211" width="7.33203125" style="27" customWidth="1"/>
    <col min="9212" max="9212" width="5.5546875" style="27" customWidth="1"/>
    <col min="9213" max="9213" width="9" style="27" customWidth="1"/>
    <col min="9214" max="9215" width="9.88671875" style="27" customWidth="1"/>
    <col min="9216" max="9216" width="11.109375" style="27" customWidth="1"/>
    <col min="9217" max="9217" width="2.88671875" style="27" customWidth="1"/>
    <col min="9218" max="9218" width="3.5546875" style="27" customWidth="1"/>
    <col min="9219" max="9463" width="9.109375" style="27"/>
    <col min="9464" max="9464" width="8.6640625" style="27" customWidth="1"/>
    <col min="9465" max="9465" width="9.88671875" style="27" customWidth="1"/>
    <col min="9466" max="9466" width="14.44140625" style="27" customWidth="1"/>
    <col min="9467" max="9467" width="7.33203125" style="27" customWidth="1"/>
    <col min="9468" max="9468" width="5.5546875" style="27" customWidth="1"/>
    <col min="9469" max="9469" width="9" style="27" customWidth="1"/>
    <col min="9470" max="9471" width="9.88671875" style="27" customWidth="1"/>
    <col min="9472" max="9472" width="11.109375" style="27" customWidth="1"/>
    <col min="9473" max="9473" width="2.88671875" style="27" customWidth="1"/>
    <col min="9474" max="9474" width="3.5546875" style="27" customWidth="1"/>
    <col min="9475" max="9719" width="9.109375" style="27"/>
    <col min="9720" max="9720" width="8.6640625" style="27" customWidth="1"/>
    <col min="9721" max="9721" width="9.88671875" style="27" customWidth="1"/>
    <col min="9722" max="9722" width="14.44140625" style="27" customWidth="1"/>
    <col min="9723" max="9723" width="7.33203125" style="27" customWidth="1"/>
    <col min="9724" max="9724" width="5.5546875" style="27" customWidth="1"/>
    <col min="9725" max="9725" width="9" style="27" customWidth="1"/>
    <col min="9726" max="9727" width="9.88671875" style="27" customWidth="1"/>
    <col min="9728" max="9728" width="11.109375" style="27" customWidth="1"/>
    <col min="9729" max="9729" width="2.88671875" style="27" customWidth="1"/>
    <col min="9730" max="9730" width="3.5546875" style="27" customWidth="1"/>
    <col min="9731" max="9975" width="9.109375" style="27"/>
    <col min="9976" max="9976" width="8.6640625" style="27" customWidth="1"/>
    <col min="9977" max="9977" width="9.88671875" style="27" customWidth="1"/>
    <col min="9978" max="9978" width="14.44140625" style="27" customWidth="1"/>
    <col min="9979" max="9979" width="7.33203125" style="27" customWidth="1"/>
    <col min="9980" max="9980" width="5.5546875" style="27" customWidth="1"/>
    <col min="9981" max="9981" width="9" style="27" customWidth="1"/>
    <col min="9982" max="9983" width="9.88671875" style="27" customWidth="1"/>
    <col min="9984" max="9984" width="11.109375" style="27" customWidth="1"/>
    <col min="9985" max="9985" width="2.88671875" style="27" customWidth="1"/>
    <col min="9986" max="9986" width="3.5546875" style="27" customWidth="1"/>
    <col min="9987" max="10231" width="9.109375" style="27"/>
    <col min="10232" max="10232" width="8.6640625" style="27" customWidth="1"/>
    <col min="10233" max="10233" width="9.88671875" style="27" customWidth="1"/>
    <col min="10234" max="10234" width="14.44140625" style="27" customWidth="1"/>
    <col min="10235" max="10235" width="7.33203125" style="27" customWidth="1"/>
    <col min="10236" max="10236" width="5.5546875" style="27" customWidth="1"/>
    <col min="10237" max="10237" width="9" style="27" customWidth="1"/>
    <col min="10238" max="10239" width="9.88671875" style="27" customWidth="1"/>
    <col min="10240" max="10240" width="11.109375" style="27" customWidth="1"/>
    <col min="10241" max="10241" width="2.88671875" style="27" customWidth="1"/>
    <col min="10242" max="10242" width="3.5546875" style="27" customWidth="1"/>
    <col min="10243" max="10487" width="9.109375" style="27"/>
    <col min="10488" max="10488" width="8.6640625" style="27" customWidth="1"/>
    <col min="10489" max="10489" width="9.88671875" style="27" customWidth="1"/>
    <col min="10490" max="10490" width="14.44140625" style="27" customWidth="1"/>
    <col min="10491" max="10491" width="7.33203125" style="27" customWidth="1"/>
    <col min="10492" max="10492" width="5.5546875" style="27" customWidth="1"/>
    <col min="10493" max="10493" width="9" style="27" customWidth="1"/>
    <col min="10494" max="10495" width="9.88671875" style="27" customWidth="1"/>
    <col min="10496" max="10496" width="11.109375" style="27" customWidth="1"/>
    <col min="10497" max="10497" width="2.88671875" style="27" customWidth="1"/>
    <col min="10498" max="10498" width="3.5546875" style="27" customWidth="1"/>
    <col min="10499" max="10743" width="9.109375" style="27"/>
    <col min="10744" max="10744" width="8.6640625" style="27" customWidth="1"/>
    <col min="10745" max="10745" width="9.88671875" style="27" customWidth="1"/>
    <col min="10746" max="10746" width="14.44140625" style="27" customWidth="1"/>
    <col min="10747" max="10747" width="7.33203125" style="27" customWidth="1"/>
    <col min="10748" max="10748" width="5.5546875" style="27" customWidth="1"/>
    <col min="10749" max="10749" width="9" style="27" customWidth="1"/>
    <col min="10750" max="10751" width="9.88671875" style="27" customWidth="1"/>
    <col min="10752" max="10752" width="11.109375" style="27" customWidth="1"/>
    <col min="10753" max="10753" width="2.88671875" style="27" customWidth="1"/>
    <col min="10754" max="10754" width="3.5546875" style="27" customWidth="1"/>
    <col min="10755" max="10999" width="9.109375" style="27"/>
    <col min="11000" max="11000" width="8.6640625" style="27" customWidth="1"/>
    <col min="11001" max="11001" width="9.88671875" style="27" customWidth="1"/>
    <col min="11002" max="11002" width="14.44140625" style="27" customWidth="1"/>
    <col min="11003" max="11003" width="7.33203125" style="27" customWidth="1"/>
    <col min="11004" max="11004" width="5.5546875" style="27" customWidth="1"/>
    <col min="11005" max="11005" width="9" style="27" customWidth="1"/>
    <col min="11006" max="11007" width="9.88671875" style="27" customWidth="1"/>
    <col min="11008" max="11008" width="11.109375" style="27" customWidth="1"/>
    <col min="11009" max="11009" width="2.88671875" style="27" customWidth="1"/>
    <col min="11010" max="11010" width="3.5546875" style="27" customWidth="1"/>
    <col min="11011" max="11255" width="9.109375" style="27"/>
    <col min="11256" max="11256" width="8.6640625" style="27" customWidth="1"/>
    <col min="11257" max="11257" width="9.88671875" style="27" customWidth="1"/>
    <col min="11258" max="11258" width="14.44140625" style="27" customWidth="1"/>
    <col min="11259" max="11259" width="7.33203125" style="27" customWidth="1"/>
    <col min="11260" max="11260" width="5.5546875" style="27" customWidth="1"/>
    <col min="11261" max="11261" width="9" style="27" customWidth="1"/>
    <col min="11262" max="11263" width="9.88671875" style="27" customWidth="1"/>
    <col min="11264" max="11264" width="11.109375" style="27" customWidth="1"/>
    <col min="11265" max="11265" width="2.88671875" style="27" customWidth="1"/>
    <col min="11266" max="11266" width="3.5546875" style="27" customWidth="1"/>
    <col min="11267" max="11511" width="9.109375" style="27"/>
    <col min="11512" max="11512" width="8.6640625" style="27" customWidth="1"/>
    <col min="11513" max="11513" width="9.88671875" style="27" customWidth="1"/>
    <col min="11514" max="11514" width="14.44140625" style="27" customWidth="1"/>
    <col min="11515" max="11515" width="7.33203125" style="27" customWidth="1"/>
    <col min="11516" max="11516" width="5.5546875" style="27" customWidth="1"/>
    <col min="11517" max="11517" width="9" style="27" customWidth="1"/>
    <col min="11518" max="11519" width="9.88671875" style="27" customWidth="1"/>
    <col min="11520" max="11520" width="11.109375" style="27" customWidth="1"/>
    <col min="11521" max="11521" width="2.88671875" style="27" customWidth="1"/>
    <col min="11522" max="11522" width="3.5546875" style="27" customWidth="1"/>
    <col min="11523" max="11767" width="9.109375" style="27"/>
    <col min="11768" max="11768" width="8.6640625" style="27" customWidth="1"/>
    <col min="11769" max="11769" width="9.88671875" style="27" customWidth="1"/>
    <col min="11770" max="11770" width="14.44140625" style="27" customWidth="1"/>
    <col min="11771" max="11771" width="7.33203125" style="27" customWidth="1"/>
    <col min="11772" max="11772" width="5.5546875" style="27" customWidth="1"/>
    <col min="11773" max="11773" width="9" style="27" customWidth="1"/>
    <col min="11774" max="11775" width="9.88671875" style="27" customWidth="1"/>
    <col min="11776" max="11776" width="11.109375" style="27" customWidth="1"/>
    <col min="11777" max="11777" width="2.88671875" style="27" customWidth="1"/>
    <col min="11778" max="11778" width="3.5546875" style="27" customWidth="1"/>
    <col min="11779" max="12023" width="9.109375" style="27"/>
    <col min="12024" max="12024" width="8.6640625" style="27" customWidth="1"/>
    <col min="12025" max="12025" width="9.88671875" style="27" customWidth="1"/>
    <col min="12026" max="12026" width="14.44140625" style="27" customWidth="1"/>
    <col min="12027" max="12027" width="7.33203125" style="27" customWidth="1"/>
    <col min="12028" max="12028" width="5.5546875" style="27" customWidth="1"/>
    <col min="12029" max="12029" width="9" style="27" customWidth="1"/>
    <col min="12030" max="12031" width="9.88671875" style="27" customWidth="1"/>
    <col min="12032" max="12032" width="11.109375" style="27" customWidth="1"/>
    <col min="12033" max="12033" width="2.88671875" style="27" customWidth="1"/>
    <col min="12034" max="12034" width="3.5546875" style="27" customWidth="1"/>
    <col min="12035" max="12279" width="9.109375" style="27"/>
    <col min="12280" max="12280" width="8.6640625" style="27" customWidth="1"/>
    <col min="12281" max="12281" width="9.88671875" style="27" customWidth="1"/>
    <col min="12282" max="12282" width="14.44140625" style="27" customWidth="1"/>
    <col min="12283" max="12283" width="7.33203125" style="27" customWidth="1"/>
    <col min="12284" max="12284" width="5.5546875" style="27" customWidth="1"/>
    <col min="12285" max="12285" width="9" style="27" customWidth="1"/>
    <col min="12286" max="12287" width="9.88671875" style="27" customWidth="1"/>
    <col min="12288" max="12288" width="11.109375" style="27" customWidth="1"/>
    <col min="12289" max="12289" width="2.88671875" style="27" customWidth="1"/>
    <col min="12290" max="12290" width="3.5546875" style="27" customWidth="1"/>
    <col min="12291" max="12535" width="9.109375" style="27"/>
    <col min="12536" max="12536" width="8.6640625" style="27" customWidth="1"/>
    <col min="12537" max="12537" width="9.88671875" style="27" customWidth="1"/>
    <col min="12538" max="12538" width="14.44140625" style="27" customWidth="1"/>
    <col min="12539" max="12539" width="7.33203125" style="27" customWidth="1"/>
    <col min="12540" max="12540" width="5.5546875" style="27" customWidth="1"/>
    <col min="12541" max="12541" width="9" style="27" customWidth="1"/>
    <col min="12542" max="12543" width="9.88671875" style="27" customWidth="1"/>
    <col min="12544" max="12544" width="11.109375" style="27" customWidth="1"/>
    <col min="12545" max="12545" width="2.88671875" style="27" customWidth="1"/>
    <col min="12546" max="12546" width="3.5546875" style="27" customWidth="1"/>
    <col min="12547" max="12791" width="9.109375" style="27"/>
    <col min="12792" max="12792" width="8.6640625" style="27" customWidth="1"/>
    <col min="12793" max="12793" width="9.88671875" style="27" customWidth="1"/>
    <col min="12794" max="12794" width="14.44140625" style="27" customWidth="1"/>
    <col min="12795" max="12795" width="7.33203125" style="27" customWidth="1"/>
    <col min="12796" max="12796" width="5.5546875" style="27" customWidth="1"/>
    <col min="12797" max="12797" width="9" style="27" customWidth="1"/>
    <col min="12798" max="12799" width="9.88671875" style="27" customWidth="1"/>
    <col min="12800" max="12800" width="11.109375" style="27" customWidth="1"/>
    <col min="12801" max="12801" width="2.88671875" style="27" customWidth="1"/>
    <col min="12802" max="12802" width="3.5546875" style="27" customWidth="1"/>
    <col min="12803" max="13047" width="9.109375" style="27"/>
    <col min="13048" max="13048" width="8.6640625" style="27" customWidth="1"/>
    <col min="13049" max="13049" width="9.88671875" style="27" customWidth="1"/>
    <col min="13050" max="13050" width="14.44140625" style="27" customWidth="1"/>
    <col min="13051" max="13051" width="7.33203125" style="27" customWidth="1"/>
    <col min="13052" max="13052" width="5.5546875" style="27" customWidth="1"/>
    <col min="13053" max="13053" width="9" style="27" customWidth="1"/>
    <col min="13054" max="13055" width="9.88671875" style="27" customWidth="1"/>
    <col min="13056" max="13056" width="11.109375" style="27" customWidth="1"/>
    <col min="13057" max="13057" width="2.88671875" style="27" customWidth="1"/>
    <col min="13058" max="13058" width="3.5546875" style="27" customWidth="1"/>
    <col min="13059" max="13303" width="9.109375" style="27"/>
    <col min="13304" max="13304" width="8.6640625" style="27" customWidth="1"/>
    <col min="13305" max="13305" width="9.88671875" style="27" customWidth="1"/>
    <col min="13306" max="13306" width="14.44140625" style="27" customWidth="1"/>
    <col min="13307" max="13307" width="7.33203125" style="27" customWidth="1"/>
    <col min="13308" max="13308" width="5.5546875" style="27" customWidth="1"/>
    <col min="13309" max="13309" width="9" style="27" customWidth="1"/>
    <col min="13310" max="13311" width="9.88671875" style="27" customWidth="1"/>
    <col min="13312" max="13312" width="11.109375" style="27" customWidth="1"/>
    <col min="13313" max="13313" width="2.88671875" style="27" customWidth="1"/>
    <col min="13314" max="13314" width="3.5546875" style="27" customWidth="1"/>
    <col min="13315" max="13559" width="9.109375" style="27"/>
    <col min="13560" max="13560" width="8.6640625" style="27" customWidth="1"/>
    <col min="13561" max="13561" width="9.88671875" style="27" customWidth="1"/>
    <col min="13562" max="13562" width="14.44140625" style="27" customWidth="1"/>
    <col min="13563" max="13563" width="7.33203125" style="27" customWidth="1"/>
    <col min="13564" max="13564" width="5.5546875" style="27" customWidth="1"/>
    <col min="13565" max="13565" width="9" style="27" customWidth="1"/>
    <col min="13566" max="13567" width="9.88671875" style="27" customWidth="1"/>
    <col min="13568" max="13568" width="11.109375" style="27" customWidth="1"/>
    <col min="13569" max="13569" width="2.88671875" style="27" customWidth="1"/>
    <col min="13570" max="13570" width="3.5546875" style="27" customWidth="1"/>
    <col min="13571" max="13815" width="9.109375" style="27"/>
    <col min="13816" max="13816" width="8.6640625" style="27" customWidth="1"/>
    <col min="13817" max="13817" width="9.88671875" style="27" customWidth="1"/>
    <col min="13818" max="13818" width="14.44140625" style="27" customWidth="1"/>
    <col min="13819" max="13819" width="7.33203125" style="27" customWidth="1"/>
    <col min="13820" max="13820" width="5.5546875" style="27" customWidth="1"/>
    <col min="13821" max="13821" width="9" style="27" customWidth="1"/>
    <col min="13822" max="13823" width="9.88671875" style="27" customWidth="1"/>
    <col min="13824" max="13824" width="11.109375" style="27" customWidth="1"/>
    <col min="13825" max="13825" width="2.88671875" style="27" customWidth="1"/>
    <col min="13826" max="13826" width="3.5546875" style="27" customWidth="1"/>
    <col min="13827" max="14071" width="9.109375" style="27"/>
    <col min="14072" max="14072" width="8.6640625" style="27" customWidth="1"/>
    <col min="14073" max="14073" width="9.88671875" style="27" customWidth="1"/>
    <col min="14074" max="14074" width="14.44140625" style="27" customWidth="1"/>
    <col min="14075" max="14075" width="7.33203125" style="27" customWidth="1"/>
    <col min="14076" max="14076" width="5.5546875" style="27" customWidth="1"/>
    <col min="14077" max="14077" width="9" style="27" customWidth="1"/>
    <col min="14078" max="14079" width="9.88671875" style="27" customWidth="1"/>
    <col min="14080" max="14080" width="11.109375" style="27" customWidth="1"/>
    <col min="14081" max="14081" width="2.88671875" style="27" customWidth="1"/>
    <col min="14082" max="14082" width="3.5546875" style="27" customWidth="1"/>
    <col min="14083" max="14327" width="9.109375" style="27"/>
    <col min="14328" max="14328" width="8.6640625" style="27" customWidth="1"/>
    <col min="14329" max="14329" width="9.88671875" style="27" customWidth="1"/>
    <col min="14330" max="14330" width="14.44140625" style="27" customWidth="1"/>
    <col min="14331" max="14331" width="7.33203125" style="27" customWidth="1"/>
    <col min="14332" max="14332" width="5.5546875" style="27" customWidth="1"/>
    <col min="14333" max="14333" width="9" style="27" customWidth="1"/>
    <col min="14334" max="14335" width="9.88671875" style="27" customWidth="1"/>
    <col min="14336" max="14336" width="11.109375" style="27" customWidth="1"/>
    <col min="14337" max="14337" width="2.88671875" style="27" customWidth="1"/>
    <col min="14338" max="14338" width="3.5546875" style="27" customWidth="1"/>
    <col min="14339" max="14583" width="9.109375" style="27"/>
    <col min="14584" max="14584" width="8.6640625" style="27" customWidth="1"/>
    <col min="14585" max="14585" width="9.88671875" style="27" customWidth="1"/>
    <col min="14586" max="14586" width="14.44140625" style="27" customWidth="1"/>
    <col min="14587" max="14587" width="7.33203125" style="27" customWidth="1"/>
    <col min="14588" max="14588" width="5.5546875" style="27" customWidth="1"/>
    <col min="14589" max="14589" width="9" style="27" customWidth="1"/>
    <col min="14590" max="14591" width="9.88671875" style="27" customWidth="1"/>
    <col min="14592" max="14592" width="11.109375" style="27" customWidth="1"/>
    <col min="14593" max="14593" width="2.88671875" style="27" customWidth="1"/>
    <col min="14594" max="14594" width="3.5546875" style="27" customWidth="1"/>
    <col min="14595" max="14839" width="9.109375" style="27"/>
    <col min="14840" max="14840" width="8.6640625" style="27" customWidth="1"/>
    <col min="14841" max="14841" width="9.88671875" style="27" customWidth="1"/>
    <col min="14842" max="14842" width="14.44140625" style="27" customWidth="1"/>
    <col min="14843" max="14843" width="7.33203125" style="27" customWidth="1"/>
    <col min="14844" max="14844" width="5.5546875" style="27" customWidth="1"/>
    <col min="14845" max="14845" width="9" style="27" customWidth="1"/>
    <col min="14846" max="14847" width="9.88671875" style="27" customWidth="1"/>
    <col min="14848" max="14848" width="11.109375" style="27" customWidth="1"/>
    <col min="14849" max="14849" width="2.88671875" style="27" customWidth="1"/>
    <col min="14850" max="14850" width="3.5546875" style="27" customWidth="1"/>
    <col min="14851" max="15095" width="9.109375" style="27"/>
    <col min="15096" max="15096" width="8.6640625" style="27" customWidth="1"/>
    <col min="15097" max="15097" width="9.88671875" style="27" customWidth="1"/>
    <col min="15098" max="15098" width="14.44140625" style="27" customWidth="1"/>
    <col min="15099" max="15099" width="7.33203125" style="27" customWidth="1"/>
    <col min="15100" max="15100" width="5.5546875" style="27" customWidth="1"/>
    <col min="15101" max="15101" width="9" style="27" customWidth="1"/>
    <col min="15102" max="15103" width="9.88671875" style="27" customWidth="1"/>
    <col min="15104" max="15104" width="11.109375" style="27" customWidth="1"/>
    <col min="15105" max="15105" width="2.88671875" style="27" customWidth="1"/>
    <col min="15106" max="15106" width="3.5546875" style="27" customWidth="1"/>
    <col min="15107" max="15351" width="9.109375" style="27"/>
    <col min="15352" max="15352" width="8.6640625" style="27" customWidth="1"/>
    <col min="15353" max="15353" width="9.88671875" style="27" customWidth="1"/>
    <col min="15354" max="15354" width="14.44140625" style="27" customWidth="1"/>
    <col min="15355" max="15355" width="7.33203125" style="27" customWidth="1"/>
    <col min="15356" max="15356" width="5.5546875" style="27" customWidth="1"/>
    <col min="15357" max="15357" width="9" style="27" customWidth="1"/>
    <col min="15358" max="15359" width="9.88671875" style="27" customWidth="1"/>
    <col min="15360" max="15360" width="11.109375" style="27" customWidth="1"/>
    <col min="15361" max="15361" width="2.88671875" style="27" customWidth="1"/>
    <col min="15362" max="15362" width="3.5546875" style="27" customWidth="1"/>
    <col min="15363" max="15607" width="9.109375" style="27"/>
    <col min="15608" max="15608" width="8.6640625" style="27" customWidth="1"/>
    <col min="15609" max="15609" width="9.88671875" style="27" customWidth="1"/>
    <col min="15610" max="15610" width="14.44140625" style="27" customWidth="1"/>
    <col min="15611" max="15611" width="7.33203125" style="27" customWidth="1"/>
    <col min="15612" max="15612" width="5.5546875" style="27" customWidth="1"/>
    <col min="15613" max="15613" width="9" style="27" customWidth="1"/>
    <col min="15614" max="15615" width="9.88671875" style="27" customWidth="1"/>
    <col min="15616" max="15616" width="11.109375" style="27" customWidth="1"/>
    <col min="15617" max="15617" width="2.88671875" style="27" customWidth="1"/>
    <col min="15618" max="15618" width="3.5546875" style="27" customWidth="1"/>
    <col min="15619" max="15863" width="9.109375" style="27"/>
    <col min="15864" max="15864" width="8.6640625" style="27" customWidth="1"/>
    <col min="15865" max="15865" width="9.88671875" style="27" customWidth="1"/>
    <col min="15866" max="15866" width="14.44140625" style="27" customWidth="1"/>
    <col min="15867" max="15867" width="7.33203125" style="27" customWidth="1"/>
    <col min="15868" max="15868" width="5.5546875" style="27" customWidth="1"/>
    <col min="15869" max="15869" width="9" style="27" customWidth="1"/>
    <col min="15870" max="15871" width="9.88671875" style="27" customWidth="1"/>
    <col min="15872" max="15872" width="11.109375" style="27" customWidth="1"/>
    <col min="15873" max="15873" width="2.88671875" style="27" customWidth="1"/>
    <col min="15874" max="15874" width="3.5546875" style="27" customWidth="1"/>
    <col min="15875" max="16119" width="9.109375" style="27"/>
    <col min="16120" max="16120" width="8.6640625" style="27" customWidth="1"/>
    <col min="16121" max="16121" width="9.88671875" style="27" customWidth="1"/>
    <col min="16122" max="16122" width="14.44140625" style="27" customWidth="1"/>
    <col min="16123" max="16123" width="7.33203125" style="27" customWidth="1"/>
    <col min="16124" max="16124" width="5.5546875" style="27" customWidth="1"/>
    <col min="16125" max="16125" width="9" style="27" customWidth="1"/>
    <col min="16126" max="16127" width="9.88671875" style="27" customWidth="1"/>
    <col min="16128" max="16128" width="11.109375" style="27" customWidth="1"/>
    <col min="16129" max="16129" width="2.88671875" style="27" customWidth="1"/>
    <col min="16130" max="16130" width="3.5546875" style="27" customWidth="1"/>
    <col min="16131" max="16384" width="9.109375" style="27"/>
  </cols>
  <sheetData>
    <row r="1" spans="1:8" ht="46.5" customHeight="1" x14ac:dyDescent="0.3">
      <c r="A1" s="158" t="s">
        <v>211</v>
      </c>
      <c r="B1" s="158"/>
      <c r="C1" s="158"/>
      <c r="D1" s="158"/>
      <c r="E1" s="158"/>
      <c r="F1" s="158"/>
      <c r="G1" s="158"/>
      <c r="H1" s="158"/>
    </row>
    <row r="2" spans="1:8" ht="16.5" customHeight="1" x14ac:dyDescent="0.3">
      <c r="A2" s="128" t="s">
        <v>0</v>
      </c>
      <c r="B2" s="128"/>
      <c r="C2" s="128"/>
      <c r="D2" s="128"/>
      <c r="E2" s="128"/>
      <c r="F2" s="128"/>
      <c r="G2" s="128"/>
      <c r="H2" s="128"/>
    </row>
    <row r="3" spans="1:8" x14ac:dyDescent="0.3">
      <c r="A3" s="133" t="s">
        <v>1</v>
      </c>
      <c r="B3" s="133"/>
      <c r="C3" s="133"/>
      <c r="D3" s="133"/>
      <c r="E3" s="156" t="str">
        <f ca="1">TEXT(TODAY(),"DD/MM/YYYY")</f>
        <v>11/09/2025</v>
      </c>
      <c r="F3" s="156"/>
      <c r="G3" s="156"/>
      <c r="H3" s="156"/>
    </row>
    <row r="4" spans="1:8" ht="15" customHeight="1" x14ac:dyDescent="0.3">
      <c r="A4" s="133" t="s">
        <v>2</v>
      </c>
      <c r="B4" s="133"/>
      <c r="C4" s="133"/>
      <c r="D4" s="133"/>
      <c r="E4" s="154" t="s">
        <v>173</v>
      </c>
      <c r="F4" s="154"/>
      <c r="G4" s="154"/>
      <c r="H4" s="154"/>
    </row>
    <row r="5" spans="1:8" x14ac:dyDescent="0.3">
      <c r="A5" s="133" t="s">
        <v>3</v>
      </c>
      <c r="B5" s="133"/>
      <c r="C5" s="133"/>
      <c r="D5" s="133"/>
      <c r="E5" s="156">
        <v>45909</v>
      </c>
      <c r="F5" s="156"/>
      <c r="G5" s="156"/>
      <c r="H5" s="156"/>
    </row>
    <row r="6" spans="1:8" ht="16.5" customHeight="1" x14ac:dyDescent="0.3">
      <c r="A6" s="133" t="s">
        <v>4</v>
      </c>
      <c r="B6" s="133"/>
      <c r="C6" s="133"/>
      <c r="D6" s="133"/>
      <c r="E6" s="153" t="s">
        <v>174</v>
      </c>
      <c r="F6" s="153"/>
      <c r="G6" s="153"/>
      <c r="H6" s="153"/>
    </row>
    <row r="7" spans="1:8" ht="15" customHeight="1" x14ac:dyDescent="0.3">
      <c r="A7" s="133" t="s">
        <v>5</v>
      </c>
      <c r="B7" s="133"/>
      <c r="C7" s="133"/>
      <c r="D7" s="133"/>
      <c r="E7" s="153" t="str">
        <f>E6</f>
        <v>M/s.Sunset Spaces Pvt. Ltd.</v>
      </c>
      <c r="F7" s="153"/>
      <c r="G7" s="153"/>
      <c r="H7" s="153"/>
    </row>
    <row r="8" spans="1:8" x14ac:dyDescent="0.3">
      <c r="A8" s="133" t="s">
        <v>6</v>
      </c>
      <c r="B8" s="133"/>
      <c r="C8" s="133"/>
      <c r="D8" s="133"/>
      <c r="E8" s="148" t="s">
        <v>218</v>
      </c>
      <c r="F8" s="148"/>
      <c r="G8" s="148"/>
      <c r="H8" s="148"/>
    </row>
    <row r="9" spans="1:8" x14ac:dyDescent="0.3">
      <c r="A9" s="142" t="s">
        <v>129</v>
      </c>
      <c r="B9" s="142"/>
      <c r="C9" s="142"/>
      <c r="D9" s="142"/>
      <c r="E9" s="142" t="s">
        <v>190</v>
      </c>
      <c r="F9" s="142"/>
      <c r="G9" s="142"/>
      <c r="H9" s="142"/>
    </row>
    <row r="10" spans="1:8" x14ac:dyDescent="0.3">
      <c r="A10" s="142" t="s">
        <v>212</v>
      </c>
      <c r="B10" s="142"/>
      <c r="C10" s="142"/>
      <c r="D10" s="142"/>
      <c r="E10" s="142" t="s">
        <v>241</v>
      </c>
      <c r="F10" s="142"/>
      <c r="G10" s="142"/>
      <c r="H10" s="142"/>
    </row>
    <row r="11" spans="1:8" x14ac:dyDescent="0.3">
      <c r="A11" s="142" t="s">
        <v>7</v>
      </c>
      <c r="B11" s="142"/>
      <c r="C11" s="142"/>
      <c r="D11" s="142"/>
      <c r="E11" s="142" t="s">
        <v>216</v>
      </c>
      <c r="F11" s="142"/>
      <c r="G11" s="142"/>
      <c r="H11" s="142"/>
    </row>
    <row r="12" spans="1:8" x14ac:dyDescent="0.3">
      <c r="A12" s="142" t="s">
        <v>8</v>
      </c>
      <c r="B12" s="142"/>
      <c r="C12" s="142"/>
      <c r="D12" s="142"/>
      <c r="E12" s="152" t="s">
        <v>175</v>
      </c>
      <c r="F12" s="152"/>
      <c r="G12" s="152"/>
      <c r="H12" s="152"/>
    </row>
    <row r="13" spans="1:8" ht="31.5" customHeight="1" x14ac:dyDescent="0.3">
      <c r="A13" s="142" t="s">
        <v>9</v>
      </c>
      <c r="B13" s="142"/>
      <c r="C13" s="142"/>
      <c r="D13" s="142"/>
      <c r="E13" s="152" t="s">
        <v>217</v>
      </c>
      <c r="F13" s="142"/>
      <c r="G13" s="142"/>
      <c r="H13" s="142"/>
    </row>
    <row r="14" spans="1:8" ht="48.75" customHeight="1" x14ac:dyDescent="0.3">
      <c r="A14" s="152" t="s">
        <v>10</v>
      </c>
      <c r="B14" s="152"/>
      <c r="C14" s="152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Marathon Nexworld Nova &amp; Flora, Survey No.16, H.No. 3,4, S.No. 17, H.No. 1,3,4,5,6 &amp; 7, S.No. 18, H.No. 3, S.No. 21, H.No. 1,3 &amp; 5., near Pitruchhaya Building, Betawade sub station road, Betawade, Dombivli east, Thane, Thane - 400612.</v>
      </c>
      <c r="D14" s="152"/>
      <c r="E14" s="152"/>
      <c r="F14" s="152"/>
      <c r="G14" s="152"/>
      <c r="H14" s="152"/>
    </row>
    <row r="15" spans="1:8" ht="30.75" customHeight="1" x14ac:dyDescent="0.3">
      <c r="A15" s="152" t="s">
        <v>176</v>
      </c>
      <c r="B15" s="152"/>
      <c r="C15" s="152" t="s">
        <v>177</v>
      </c>
      <c r="D15" s="152"/>
      <c r="E15" s="152"/>
      <c r="F15" s="152"/>
      <c r="G15" s="152"/>
      <c r="H15" s="152"/>
    </row>
    <row r="16" spans="1:8" ht="15.75" customHeight="1" x14ac:dyDescent="0.3">
      <c r="A16" s="153" t="s">
        <v>11</v>
      </c>
      <c r="B16" s="153"/>
      <c r="C16" s="152" t="s">
        <v>181</v>
      </c>
      <c r="D16" s="152"/>
      <c r="E16" s="153" t="s">
        <v>78</v>
      </c>
      <c r="F16" s="153"/>
      <c r="G16" s="152" t="s">
        <v>178</v>
      </c>
      <c r="H16" s="152"/>
    </row>
    <row r="17" spans="1:12" x14ac:dyDescent="0.3">
      <c r="A17" s="133" t="s">
        <v>13</v>
      </c>
      <c r="B17" s="133"/>
      <c r="C17" s="152" t="s">
        <v>182</v>
      </c>
      <c r="D17" s="152"/>
      <c r="E17" s="153" t="s">
        <v>12</v>
      </c>
      <c r="F17" s="153"/>
      <c r="G17" s="155" t="s">
        <v>179</v>
      </c>
      <c r="H17" s="155"/>
    </row>
    <row r="18" spans="1:12" x14ac:dyDescent="0.3">
      <c r="A18" s="133" t="s">
        <v>79</v>
      </c>
      <c r="B18" s="133"/>
      <c r="C18" s="152" t="s">
        <v>179</v>
      </c>
      <c r="D18" s="152"/>
      <c r="E18" s="153" t="s">
        <v>14</v>
      </c>
      <c r="F18" s="153"/>
      <c r="G18" s="152">
        <v>400612</v>
      </c>
      <c r="H18" s="152"/>
    </row>
    <row r="19" spans="1:12" ht="32.25" customHeight="1" x14ac:dyDescent="0.3">
      <c r="A19" s="133" t="s">
        <v>130</v>
      </c>
      <c r="B19" s="133"/>
      <c r="C19" s="153" t="s">
        <v>183</v>
      </c>
      <c r="D19" s="153"/>
      <c r="E19" s="153" t="s">
        <v>15</v>
      </c>
      <c r="F19" s="153"/>
      <c r="G19" s="152" t="s">
        <v>180</v>
      </c>
      <c r="H19" s="152"/>
    </row>
    <row r="20" spans="1:12" ht="15" customHeight="1" x14ac:dyDescent="0.3">
      <c r="A20" s="153" t="s">
        <v>82</v>
      </c>
      <c r="B20" s="153"/>
      <c r="C20" s="153"/>
      <c r="D20" s="153"/>
      <c r="E20" s="142" t="s">
        <v>16</v>
      </c>
      <c r="F20" s="142"/>
      <c r="G20" s="142"/>
      <c r="H20" s="142"/>
    </row>
    <row r="21" spans="1:12" ht="18.75" customHeight="1" x14ac:dyDescent="0.3">
      <c r="A21" s="153"/>
      <c r="B21" s="153"/>
      <c r="C21" s="153"/>
      <c r="D21" s="153"/>
      <c r="E21" s="142"/>
      <c r="F21" s="142"/>
      <c r="G21" s="142"/>
      <c r="H21" s="142"/>
    </row>
    <row r="22" spans="1:12" ht="15" customHeight="1" x14ac:dyDescent="0.3">
      <c r="A22" s="153" t="s">
        <v>17</v>
      </c>
      <c r="B22" s="153"/>
      <c r="C22" s="153"/>
      <c r="D22" s="153"/>
      <c r="E22" s="152" t="s">
        <v>18</v>
      </c>
      <c r="F22" s="152"/>
      <c r="G22" s="152"/>
      <c r="H22" s="152"/>
    </row>
    <row r="23" spans="1:12" ht="15" customHeight="1" x14ac:dyDescent="0.3">
      <c r="A23" s="133" t="s">
        <v>19</v>
      </c>
      <c r="B23" s="133"/>
      <c r="C23" s="133"/>
      <c r="D23" s="133"/>
      <c r="E23" s="152" t="str">
        <f>IF(AND(G17="Mumbai"),"Upper Class","Middle Class")</f>
        <v>Middle Class</v>
      </c>
      <c r="F23" s="152"/>
      <c r="G23" s="152"/>
      <c r="H23" s="152"/>
    </row>
    <row r="24" spans="1:12" x14ac:dyDescent="0.3">
      <c r="A24" s="133" t="s">
        <v>20</v>
      </c>
      <c r="B24" s="133"/>
      <c r="C24" s="133"/>
      <c r="D24" s="133"/>
      <c r="E24" s="152" t="s">
        <v>21</v>
      </c>
      <c r="F24" s="152"/>
      <c r="G24" s="152"/>
      <c r="H24" s="152"/>
    </row>
    <row r="25" spans="1:12" ht="15.75" customHeight="1" x14ac:dyDescent="0.3">
      <c r="A25" s="133" t="s">
        <v>22</v>
      </c>
      <c r="B25" s="133"/>
      <c r="C25" s="133"/>
      <c r="D25" s="133"/>
      <c r="E25" s="152" t="str">
        <f>IF(AND(G17="Mumbai"),"Developed","Developing")</f>
        <v>Developing</v>
      </c>
      <c r="F25" s="152"/>
      <c r="G25" s="152"/>
      <c r="H25" s="152"/>
    </row>
    <row r="26" spans="1:12" x14ac:dyDescent="0.3">
      <c r="A26" s="133" t="s">
        <v>23</v>
      </c>
      <c r="B26" s="133"/>
      <c r="C26" s="133"/>
      <c r="D26" s="133"/>
      <c r="E26" s="152" t="s">
        <v>24</v>
      </c>
      <c r="F26" s="152"/>
      <c r="G26" s="152"/>
      <c r="H26" s="152"/>
    </row>
    <row r="27" spans="1:12" x14ac:dyDescent="0.3">
      <c r="A27" s="133" t="s">
        <v>87</v>
      </c>
      <c r="B27" s="133"/>
      <c r="C27" s="133"/>
      <c r="D27" s="133"/>
      <c r="E27" s="152" t="s">
        <v>88</v>
      </c>
      <c r="F27" s="152"/>
      <c r="G27" s="152"/>
      <c r="H27" s="152"/>
    </row>
    <row r="28" spans="1:12" ht="15" customHeight="1" x14ac:dyDescent="0.3">
      <c r="A28" s="153" t="s">
        <v>33</v>
      </c>
      <c r="B28" s="153"/>
      <c r="C28" s="153"/>
      <c r="D28" s="153"/>
      <c r="E28" s="154" t="str">
        <f>IF(ISNUMBER(SEARCH("Shop",D54)),"Residential + Commercial",IF(ISNUMBER(SEARCH("Office",D54)),"Residential + Commercial",IF(SEARCH("Flats",D54),"Residential","")))</f>
        <v>Residential + Commercial</v>
      </c>
      <c r="F28" s="154"/>
      <c r="G28" s="154"/>
      <c r="H28" s="154"/>
    </row>
    <row r="29" spans="1:12" x14ac:dyDescent="0.3">
      <c r="A29" s="153" t="s">
        <v>99</v>
      </c>
      <c r="B29" s="153"/>
      <c r="C29" s="153"/>
      <c r="D29" s="153"/>
      <c r="E29" s="153" t="s">
        <v>34</v>
      </c>
      <c r="F29" s="153"/>
      <c r="G29" s="153"/>
      <c r="H29" s="153"/>
    </row>
    <row r="30" spans="1:12" s="28" customFormat="1" x14ac:dyDescent="0.3">
      <c r="A30" s="147" t="s">
        <v>100</v>
      </c>
      <c r="B30" s="147"/>
      <c r="C30" s="145" t="s">
        <v>29</v>
      </c>
      <c r="D30" s="145"/>
      <c r="E30" s="145"/>
      <c r="F30" s="145" t="s">
        <v>31</v>
      </c>
      <c r="G30" s="145"/>
      <c r="H30" s="145"/>
      <c r="L30" s="56"/>
    </row>
    <row r="31" spans="1:12" s="28" customFormat="1" x14ac:dyDescent="0.3">
      <c r="A31" s="146" t="s">
        <v>25</v>
      </c>
      <c r="B31" s="146" t="s">
        <v>30</v>
      </c>
      <c r="C31" s="103" t="s">
        <v>30</v>
      </c>
      <c r="D31" s="103"/>
      <c r="E31" s="103"/>
      <c r="F31" s="103" t="s">
        <v>184</v>
      </c>
      <c r="G31" s="103"/>
      <c r="H31" s="103"/>
      <c r="L31" s="56"/>
    </row>
    <row r="32" spans="1:12" x14ac:dyDescent="0.3">
      <c r="A32" s="146" t="s">
        <v>26</v>
      </c>
      <c r="B32" s="146" t="s">
        <v>30</v>
      </c>
      <c r="C32" s="103" t="s">
        <v>30</v>
      </c>
      <c r="D32" s="103"/>
      <c r="E32" s="103"/>
      <c r="F32" s="103" t="s">
        <v>181</v>
      </c>
      <c r="G32" s="103"/>
      <c r="H32" s="103"/>
    </row>
    <row r="33" spans="1:12" s="28" customFormat="1" x14ac:dyDescent="0.3">
      <c r="A33" s="146" t="s">
        <v>28</v>
      </c>
      <c r="B33" s="146" t="s">
        <v>30</v>
      </c>
      <c r="C33" s="103" t="s">
        <v>30</v>
      </c>
      <c r="D33" s="103"/>
      <c r="E33" s="103"/>
      <c r="F33" s="103" t="s">
        <v>185</v>
      </c>
      <c r="G33" s="103"/>
      <c r="H33" s="103"/>
      <c r="L33" s="56"/>
    </row>
    <row r="34" spans="1:12" x14ac:dyDescent="0.3">
      <c r="A34" s="146" t="s">
        <v>27</v>
      </c>
      <c r="B34" s="146" t="s">
        <v>30</v>
      </c>
      <c r="C34" s="103" t="s">
        <v>30</v>
      </c>
      <c r="D34" s="103"/>
      <c r="E34" s="103"/>
      <c r="F34" s="103" t="s">
        <v>184</v>
      </c>
      <c r="G34" s="103"/>
      <c r="H34" s="103"/>
    </row>
    <row r="35" spans="1:12" x14ac:dyDescent="0.3">
      <c r="A35" s="133" t="s">
        <v>32</v>
      </c>
      <c r="B35" s="133"/>
      <c r="C35" s="133"/>
      <c r="D35" s="133"/>
      <c r="E35" s="133"/>
      <c r="F35" s="133"/>
      <c r="G35" s="133"/>
      <c r="H35" s="133"/>
    </row>
    <row r="36" spans="1:12" ht="15.75" customHeight="1" x14ac:dyDescent="0.3">
      <c r="A36" s="133" t="s">
        <v>238</v>
      </c>
      <c r="B36" s="133"/>
      <c r="C36" s="149" t="s">
        <v>240</v>
      </c>
      <c r="D36" s="150"/>
      <c r="E36" s="150"/>
      <c r="F36" s="150"/>
      <c r="G36" s="150"/>
      <c r="H36" s="151"/>
    </row>
    <row r="37" spans="1:12" ht="15.75" customHeight="1" x14ac:dyDescent="0.3">
      <c r="A37" s="133" t="s">
        <v>214</v>
      </c>
      <c r="B37" s="133"/>
      <c r="C37" s="184" t="s">
        <v>213</v>
      </c>
      <c r="D37" s="185"/>
      <c r="E37" s="185"/>
      <c r="F37" s="185"/>
      <c r="G37" s="185"/>
      <c r="H37" s="186"/>
    </row>
    <row r="38" spans="1:12" x14ac:dyDescent="0.3">
      <c r="A38" s="148" t="s">
        <v>35</v>
      </c>
      <c r="B38" s="148"/>
      <c r="C38" s="148"/>
      <c r="D38" s="148"/>
      <c r="E38" s="148"/>
      <c r="F38" s="148"/>
      <c r="G38" s="148"/>
      <c r="H38" s="148"/>
    </row>
    <row r="39" spans="1:12" x14ac:dyDescent="0.3">
      <c r="A39" s="133" t="s">
        <v>36</v>
      </c>
      <c r="B39" s="133"/>
      <c r="C39" s="133"/>
      <c r="D39" s="133"/>
      <c r="E39" s="144">
        <v>14281.08</v>
      </c>
      <c r="F39" s="144"/>
      <c r="G39" s="144"/>
      <c r="H39" s="144"/>
    </row>
    <row r="40" spans="1:12" x14ac:dyDescent="0.3">
      <c r="A40" s="133" t="s">
        <v>37</v>
      </c>
      <c r="B40" s="133"/>
      <c r="C40" s="133"/>
      <c r="D40" s="133"/>
      <c r="E40" s="159">
        <v>1.1000000000000001</v>
      </c>
      <c r="F40" s="159"/>
      <c r="G40" s="159"/>
      <c r="H40" s="159"/>
    </row>
    <row r="41" spans="1:12" x14ac:dyDescent="0.3">
      <c r="A41" s="133" t="s">
        <v>38</v>
      </c>
      <c r="B41" s="133"/>
      <c r="C41" s="133"/>
      <c r="D41" s="133"/>
      <c r="E41" s="159">
        <f>E43/E39-E40</f>
        <v>0.52064703789909439</v>
      </c>
      <c r="F41" s="159"/>
      <c r="G41" s="159"/>
      <c r="H41" s="159"/>
    </row>
    <row r="42" spans="1:12" x14ac:dyDescent="0.3">
      <c r="A42" s="133" t="s">
        <v>39</v>
      </c>
      <c r="B42" s="133"/>
      <c r="C42" s="133"/>
      <c r="D42" s="133"/>
      <c r="E42" s="159">
        <f>E40+E41</f>
        <v>1.6206470378990945</v>
      </c>
      <c r="F42" s="159"/>
      <c r="G42" s="159"/>
      <c r="H42" s="159"/>
    </row>
    <row r="43" spans="1:12" x14ac:dyDescent="0.3">
      <c r="A43" s="133" t="s">
        <v>98</v>
      </c>
      <c r="B43" s="133"/>
      <c r="C43" s="133"/>
      <c r="D43" s="133"/>
      <c r="E43" s="160">
        <v>23144.59</v>
      </c>
      <c r="F43" s="160"/>
      <c r="G43" s="160"/>
      <c r="H43" s="160"/>
    </row>
    <row r="44" spans="1:12" x14ac:dyDescent="0.3">
      <c r="A44" s="142" t="s">
        <v>40</v>
      </c>
      <c r="B44" s="142"/>
      <c r="C44" s="142"/>
      <c r="D44" s="142"/>
      <c r="E44" s="142" t="s">
        <v>234</v>
      </c>
      <c r="F44" s="142"/>
      <c r="G44" s="142"/>
      <c r="H44" s="142"/>
    </row>
    <row r="45" spans="1:12" x14ac:dyDescent="0.3">
      <c r="A45" s="148" t="s">
        <v>41</v>
      </c>
      <c r="B45" s="148"/>
      <c r="C45" s="148"/>
      <c r="D45" s="148"/>
      <c r="E45" s="148"/>
      <c r="F45" s="148"/>
      <c r="G45" s="148"/>
      <c r="H45" s="148"/>
    </row>
    <row r="46" spans="1:12" ht="33.75" customHeight="1" x14ac:dyDescent="0.3">
      <c r="A46" s="125" t="s">
        <v>159</v>
      </c>
      <c r="B46" s="127"/>
      <c r="C46" s="129" t="s">
        <v>186</v>
      </c>
      <c r="D46" s="130"/>
      <c r="E46" s="130"/>
      <c r="F46" s="130"/>
      <c r="G46" s="130"/>
      <c r="H46" s="131"/>
    </row>
    <row r="47" spans="1:12" ht="34.5" customHeight="1" x14ac:dyDescent="0.3">
      <c r="A47" s="152" t="s">
        <v>42</v>
      </c>
      <c r="B47" s="152"/>
      <c r="C47" s="152" t="s">
        <v>200</v>
      </c>
      <c r="D47" s="152"/>
      <c r="E47" s="152"/>
      <c r="F47" s="24" t="s">
        <v>43</v>
      </c>
      <c r="G47" s="161">
        <v>45091</v>
      </c>
      <c r="H47" s="161"/>
    </row>
    <row r="48" spans="1:12" ht="34.5" customHeight="1" x14ac:dyDescent="0.3">
      <c r="A48" s="142" t="s">
        <v>44</v>
      </c>
      <c r="B48" s="142"/>
      <c r="C48" s="152" t="str">
        <f>C47</f>
        <v>V.P.S10/0057/20/TMC/TD-DP/TPS/4420/23</v>
      </c>
      <c r="D48" s="152"/>
      <c r="E48" s="152"/>
      <c r="F48" s="24" t="s">
        <v>43</v>
      </c>
      <c r="G48" s="161">
        <f>G47</f>
        <v>45091</v>
      </c>
      <c r="H48" s="161"/>
    </row>
    <row r="49" spans="1:14" s="30" customFormat="1" x14ac:dyDescent="0.3">
      <c r="A49" s="152" t="s">
        <v>45</v>
      </c>
      <c r="B49" s="152"/>
      <c r="C49" s="152" t="s">
        <v>219</v>
      </c>
      <c r="D49" s="142"/>
      <c r="E49" s="142"/>
      <c r="F49" s="29" t="s">
        <v>43</v>
      </c>
      <c r="G49" s="161">
        <f>G47</f>
        <v>45091</v>
      </c>
      <c r="H49" s="161"/>
      <c r="L49" s="57"/>
    </row>
    <row r="50" spans="1:14" s="30" customFormat="1" ht="31.5" customHeight="1" x14ac:dyDescent="0.3">
      <c r="A50" s="152"/>
      <c r="B50" s="152"/>
      <c r="C50" s="125" t="s">
        <v>220</v>
      </c>
      <c r="D50" s="126"/>
      <c r="E50" s="126"/>
      <c r="F50" s="126"/>
      <c r="G50" s="126"/>
      <c r="H50" s="127"/>
      <c r="L50" s="57"/>
    </row>
    <row r="51" spans="1:14" x14ac:dyDescent="0.3">
      <c r="A51" s="120" t="s">
        <v>46</v>
      </c>
      <c r="B51" s="120"/>
      <c r="C51" s="120" t="s">
        <v>111</v>
      </c>
      <c r="D51" s="119"/>
      <c r="E51" s="119" t="s">
        <v>47</v>
      </c>
      <c r="F51" s="25" t="s">
        <v>43</v>
      </c>
      <c r="G51" s="176" t="s">
        <v>30</v>
      </c>
      <c r="H51" s="176"/>
    </row>
    <row r="52" spans="1:14" x14ac:dyDescent="0.3">
      <c r="A52" s="191" t="s">
        <v>49</v>
      </c>
      <c r="B52" s="191"/>
      <c r="C52" s="191"/>
      <c r="D52" s="191"/>
      <c r="E52" s="191"/>
      <c r="F52" s="191"/>
      <c r="G52" s="191"/>
      <c r="H52" s="191"/>
    </row>
    <row r="53" spans="1:14" x14ac:dyDescent="0.3">
      <c r="A53" s="152" t="s">
        <v>97</v>
      </c>
      <c r="B53" s="152"/>
      <c r="C53" s="152"/>
      <c r="D53" s="187">
        <f>E43</f>
        <v>23144.59</v>
      </c>
      <c r="E53" s="142"/>
      <c r="F53" s="142"/>
      <c r="G53" s="142"/>
      <c r="H53" s="142"/>
    </row>
    <row r="54" spans="1:14" x14ac:dyDescent="0.3">
      <c r="A54" s="152" t="s">
        <v>50</v>
      </c>
      <c r="B54" s="142"/>
      <c r="C54" s="142"/>
      <c r="D54" s="142" t="s">
        <v>231</v>
      </c>
      <c r="E54" s="142"/>
      <c r="F54" s="142"/>
      <c r="G54" s="142"/>
      <c r="H54" s="142"/>
      <c r="I54" s="31"/>
    </row>
    <row r="55" spans="1:14" ht="31.5" customHeight="1" x14ac:dyDescent="0.3">
      <c r="A55" s="109" t="s">
        <v>51</v>
      </c>
      <c r="B55" s="110"/>
      <c r="C55" s="178"/>
      <c r="D55" s="163" t="s">
        <v>221</v>
      </c>
      <c r="E55" s="177"/>
      <c r="F55" s="177"/>
      <c r="G55" s="177"/>
      <c r="H55" s="177"/>
    </row>
    <row r="56" spans="1:14" ht="15.75" customHeight="1" x14ac:dyDescent="0.3">
      <c r="A56" s="109" t="s">
        <v>95</v>
      </c>
      <c r="B56" s="110"/>
      <c r="C56" s="110"/>
      <c r="D56" s="188" t="s">
        <v>201</v>
      </c>
      <c r="E56" s="189"/>
      <c r="F56" s="189"/>
      <c r="G56" s="189"/>
      <c r="H56" s="190"/>
    </row>
    <row r="57" spans="1:14" ht="15.75" customHeight="1" x14ac:dyDescent="0.3">
      <c r="A57" s="111"/>
      <c r="B57" s="112"/>
      <c r="C57" s="112"/>
      <c r="D57" s="106" t="s">
        <v>222</v>
      </c>
      <c r="E57" s="107"/>
      <c r="F57" s="107"/>
      <c r="G57" s="107"/>
      <c r="H57" s="108"/>
    </row>
    <row r="58" spans="1:14" ht="31.5" customHeight="1" x14ac:dyDescent="0.3">
      <c r="A58" s="133" t="s">
        <v>48</v>
      </c>
      <c r="B58" s="133"/>
      <c r="C58" s="133"/>
      <c r="D58" s="179" t="s">
        <v>236</v>
      </c>
      <c r="E58" s="179"/>
      <c r="F58" s="179"/>
      <c r="G58" s="179"/>
      <c r="H58" s="179"/>
      <c r="J58" s="32"/>
      <c r="K58" s="31"/>
      <c r="N58" s="31"/>
    </row>
    <row r="59" spans="1:14" ht="15.75" customHeight="1" x14ac:dyDescent="0.3">
      <c r="A59" s="133" t="s">
        <v>93</v>
      </c>
      <c r="B59" s="133"/>
      <c r="C59" s="133"/>
      <c r="D59" s="157" t="str">
        <f>(IF(G51="NA","60 Years After Completion",IF(G51&lt;&gt;"NA",""&amp;60-ROUNDDOWN((E3-G51)/360,0)&amp;" Years"," ")))</f>
        <v>60 Years After Completion</v>
      </c>
      <c r="E59" s="157"/>
      <c r="F59" s="157"/>
      <c r="G59" s="157"/>
      <c r="H59" s="157"/>
      <c r="N59" s="31"/>
    </row>
    <row r="60" spans="1:14" ht="15.75" customHeight="1" x14ac:dyDescent="0.3">
      <c r="A60" s="133" t="s">
        <v>94</v>
      </c>
      <c r="B60" s="133"/>
      <c r="C60" s="133"/>
      <c r="D60" s="153" t="s">
        <v>24</v>
      </c>
      <c r="E60" s="153"/>
      <c r="F60" s="153"/>
      <c r="G60" s="153"/>
      <c r="H60" s="153"/>
      <c r="J60" s="16"/>
      <c r="K60" s="16"/>
    </row>
    <row r="61" spans="1:14" ht="15" customHeight="1" x14ac:dyDescent="0.3">
      <c r="A61" s="133" t="s">
        <v>80</v>
      </c>
      <c r="B61" s="133"/>
      <c r="C61" s="133"/>
      <c r="D61" s="152" t="s">
        <v>215</v>
      </c>
      <c r="E61" s="153"/>
      <c r="F61" s="153"/>
      <c r="G61" s="153"/>
      <c r="H61" s="153"/>
    </row>
    <row r="62" spans="1:14" x14ac:dyDescent="0.3">
      <c r="A62" s="153" t="s">
        <v>157</v>
      </c>
      <c r="B62" s="153"/>
      <c r="C62" s="153"/>
      <c r="D62" s="153" t="s">
        <v>30</v>
      </c>
      <c r="E62" s="153"/>
      <c r="F62" s="153"/>
      <c r="G62" s="153"/>
      <c r="H62" s="153"/>
      <c r="I62" s="33"/>
      <c r="J62" s="33"/>
      <c r="K62" s="33"/>
      <c r="L62" s="58"/>
      <c r="M62" s="33"/>
      <c r="N62" s="33"/>
    </row>
    <row r="63" spans="1:14" ht="15.75" customHeight="1" x14ac:dyDescent="0.3">
      <c r="A63" s="164" t="s">
        <v>92</v>
      </c>
      <c r="B63" s="164"/>
      <c r="C63" s="164"/>
      <c r="D63" s="163" t="str">
        <f ca="1">(IF(G69&gt;95%,"Nothing",IF(G69&gt;0%,"Cement, Aggregate, Steel, etc",IF(G69=0%,"Work not yet Started"))))</f>
        <v>Cement, Aggregate, Steel, etc</v>
      </c>
      <c r="E63" s="163"/>
      <c r="F63" s="163"/>
      <c r="G63" s="163"/>
      <c r="H63" s="163"/>
      <c r="J63" s="16"/>
    </row>
    <row r="64" spans="1:14" ht="33" customHeight="1" thickBot="1" x14ac:dyDescent="0.35">
      <c r="A64" s="162" t="s">
        <v>124</v>
      </c>
      <c r="B64" s="162"/>
      <c r="C64" s="162"/>
      <c r="D64" s="163" t="str">
        <f ca="1">(IF(D63="Nothing","Yes",IF(D63="Cement, Aggregate, Steel, etc","Under Construction",IF(D63="Work not yet Started","Work not yet Started"))))</f>
        <v>Under Construction</v>
      </c>
      <c r="E64" s="163"/>
      <c r="F64" s="163" t="str">
        <f ca="1">(IF(D63="Nothing","Yes",IF(D63="Cement, Aggregate, Steel, etc","Under Construction",IF(D63="Work not yet Started","Work not yet Started"))))</f>
        <v>Under Construction</v>
      </c>
      <c r="G64" s="163"/>
      <c r="H64" s="163"/>
    </row>
    <row r="65" spans="1:10" ht="15.75" customHeight="1" x14ac:dyDescent="0.3">
      <c r="A65" s="113" t="s">
        <v>149</v>
      </c>
      <c r="B65" s="114"/>
      <c r="C65" s="115" t="str">
        <f>D56</f>
        <v>Building Z (Nova) = B + G + 1st to 23rd Floor.</v>
      </c>
      <c r="D65" s="116"/>
      <c r="E65" s="116"/>
      <c r="F65" s="116"/>
      <c r="G65" s="116"/>
      <c r="H65" s="117"/>
      <c r="I65" s="15" t="str">
        <f ca="1">(IF(E69&gt;99%,"All work completed. Please provide OC.",IF(E69&gt;89.8%,"Plinth, RCC, Brick, Plaster, Flooring, Painting work Completed. Finishing work is in process.",IF(E69&lt;94%,(IF(C69=0,"Work not yet Started.",IF(D69=25%,"Piling work in process",IF(D69=50%,"Excavation work in process",IF(D69=100%,"Excavation work Completed. ","0")))&amp;(IF(C70=0%,"",IF(C70=J71,"Footing work is process",IF(C70=J72,"Footing work Completed",IF(C70=J73,"1st Basement Completed",IF(C70=J74,"1st &amp; 2nd Basement Completed",IF(C70=J75,"1st to 3rd Basement Completed",IF(C70=J76,"1st to 4th Basement Completed",IF(C70=J77,"Plinth work is process",IF(C70=J78,"Plinth work completed","0")))))))))))&amp;(IF(C71=(D66+F66+H66),", RCC Slab Completed",IF(C71&gt;0,", RCC upto "&amp;C71&amp;" Slab Completed",""))&amp;(IF(C72=H66,", Brickwork Completed",IF(C72&gt;0,", Brickwork upto "&amp;C72&amp;" Floor Completed",""))&amp;(IF(C73=H66,", Internal Plaster Completed",IF(C73&gt;0,", Internal Plaster upto "&amp;C73&amp;" Floor Completed",""))&amp;(IF(C74=H66,", External Plaster Completed",IF(C74&gt;0,", External Plaster upto "&amp;C74&amp;" Floor Completed",""))&amp;(IF(C75=H66,", Flooring Completed",IF(C75&gt;0,", Flooring upto "&amp;C75&amp;" Floor Completed",""))&amp;(IF(C76=H66,", Painting Completed",IF(C76&gt;0,", Painting upto "&amp;C76&amp;" Floor Completed",""))&amp;(IF(C77&gt;0,", Finishing upto "&amp;C77&amp;" Floor Completed","")&amp;(IF(C71&gt;0.5,".",""))))))))))))))</f>
        <v>Excavation work Completed. Plinth work completed, RCC Slab Completed, Brickwork Completed, Internal Plaster Completed, External Plaster upto 22 Floor Completed, Flooring upto 20 Floor Completed, Painting upto 16 Floor Completed.</v>
      </c>
      <c r="J65" s="34"/>
    </row>
    <row r="66" spans="1:10" x14ac:dyDescent="0.3">
      <c r="A66" s="18" t="s">
        <v>151</v>
      </c>
      <c r="B66" s="26">
        <v>1</v>
      </c>
      <c r="C66" s="26" t="s">
        <v>77</v>
      </c>
      <c r="D66" s="26">
        <v>1</v>
      </c>
      <c r="E66" s="26" t="s">
        <v>76</v>
      </c>
      <c r="F66" s="26">
        <v>0</v>
      </c>
      <c r="G66" s="26" t="s">
        <v>86</v>
      </c>
      <c r="H66" s="19">
        <f ca="1">--TRIM(RIGHT(SUBSTITUTE(LEFT(C65,_xlfn.AGGREGATE(16,6,FIND({0,1,2,3,4,5,6,7,8,9},C65,ROW(INDIRECT("1:"&amp;LEN(C65)))),1))," ",REPT(" ",LEN(C65))),LEN(C65)))</f>
        <v>23</v>
      </c>
      <c r="I66" s="16"/>
      <c r="J66" s="35"/>
    </row>
    <row r="67" spans="1:10" ht="68.400000000000006" customHeight="1" x14ac:dyDescent="0.3">
      <c r="A67" s="118" t="s">
        <v>96</v>
      </c>
      <c r="B67" s="119"/>
      <c r="C67" s="120" t="str">
        <f ca="1">(IF($G$51="NA",I65,"All work Completed. OC Received."))</f>
        <v>Excavation work Completed. Plinth work completed, RCC Slab Completed, Brickwork Completed, Internal Plaster Completed, External Plaster upto 22 Floor Completed, Flooring upto 20 Floor Completed, Painting upto 16 Floor Completed.</v>
      </c>
      <c r="D67" s="120"/>
      <c r="E67" s="120"/>
      <c r="F67" s="120"/>
      <c r="G67" s="120"/>
      <c r="H67" s="121"/>
      <c r="I67" s="16" t="s">
        <v>110</v>
      </c>
      <c r="J67" s="35"/>
    </row>
    <row r="68" spans="1:10" ht="15.75" customHeight="1" x14ac:dyDescent="0.3">
      <c r="A68" s="102" t="s">
        <v>52</v>
      </c>
      <c r="B68" s="103"/>
      <c r="C68" s="23" t="s">
        <v>148</v>
      </c>
      <c r="D68" s="23" t="s">
        <v>89</v>
      </c>
      <c r="E68" s="97" t="s">
        <v>91</v>
      </c>
      <c r="F68" s="97"/>
      <c r="G68" s="97" t="s">
        <v>90</v>
      </c>
      <c r="H68" s="122"/>
      <c r="I68" s="14" t="s">
        <v>150</v>
      </c>
      <c r="J68" s="36">
        <f ca="1">H66*25%</f>
        <v>5.75</v>
      </c>
    </row>
    <row r="69" spans="1:10" x14ac:dyDescent="0.3">
      <c r="A69" s="102" t="s">
        <v>137</v>
      </c>
      <c r="B69" s="103"/>
      <c r="C69" s="37">
        <v>23</v>
      </c>
      <c r="D69" s="38">
        <f ca="1">((100/H66)*C69)/100</f>
        <v>1</v>
      </c>
      <c r="E69" s="98">
        <f ca="1">(((C70/H66*10)+(40/(D66+F66+H66)*C71)+(7.5/(H66)*C72)+(7.5/(H66)*C73)+(10/H66*C74)+(10/H66*C75)+(5/H66*C76)+(5/H66*C77)+(5/H66*C78))/100)</f>
        <v>0.86739130434782608</v>
      </c>
      <c r="F69" s="98"/>
      <c r="G69" s="98">
        <f ca="1">((((C69/H66)*20)+((C70/H66)*25)+(30/(H66+F66+D66)*C71)+(5/H66*C72)+(5/H66*C73)+(5/H66*C74)+(5/H66*C75)+(0/H66*C76)+(0/H66*C77)+(5/H66*C78))/100)</f>
        <v>0.94130434782608685</v>
      </c>
      <c r="H69" s="100"/>
      <c r="I69" s="14" t="s">
        <v>105</v>
      </c>
      <c r="J69" s="39">
        <f ca="1">H66*50%</f>
        <v>11.5</v>
      </c>
    </row>
    <row r="70" spans="1:10" x14ac:dyDescent="0.3">
      <c r="A70" s="102" t="s">
        <v>53</v>
      </c>
      <c r="B70" s="103"/>
      <c r="C70" s="40">
        <v>23</v>
      </c>
      <c r="D70" s="38">
        <f ca="1">((100/H66)*C70)/100</f>
        <v>1</v>
      </c>
      <c r="E70" s="98"/>
      <c r="F70" s="98"/>
      <c r="G70" s="98"/>
      <c r="H70" s="100"/>
      <c r="I70" s="14" t="s">
        <v>106</v>
      </c>
      <c r="J70" s="39">
        <f ca="1">H66</f>
        <v>23</v>
      </c>
    </row>
    <row r="71" spans="1:10" ht="15.75" customHeight="1" x14ac:dyDescent="0.3">
      <c r="A71" s="102" t="s">
        <v>138</v>
      </c>
      <c r="B71" s="103"/>
      <c r="C71" s="40">
        <v>24</v>
      </c>
      <c r="D71" s="38">
        <f ca="1">((100/(D66+F66+H66))*C71)/100</f>
        <v>1</v>
      </c>
      <c r="E71" s="98"/>
      <c r="F71" s="98"/>
      <c r="G71" s="98"/>
      <c r="H71" s="100"/>
      <c r="I71" s="14" t="s">
        <v>107</v>
      </c>
      <c r="J71" s="41">
        <f ca="1">(IF(B66&gt;1,(H66/(B66+2)),H66/4))</f>
        <v>5.75</v>
      </c>
    </row>
    <row r="72" spans="1:10" ht="15.75" customHeight="1" x14ac:dyDescent="0.3">
      <c r="A72" s="102" t="s">
        <v>145</v>
      </c>
      <c r="B72" s="103" t="s">
        <v>139</v>
      </c>
      <c r="C72" s="40">
        <f>C71-1</f>
        <v>23</v>
      </c>
      <c r="D72" s="38">
        <f ca="1">((100/H66)*C72)/100</f>
        <v>1</v>
      </c>
      <c r="E72" s="98"/>
      <c r="F72" s="98"/>
      <c r="G72" s="98"/>
      <c r="H72" s="100"/>
      <c r="I72" s="14" t="s">
        <v>108</v>
      </c>
      <c r="J72" s="41">
        <f ca="1">(IF(B66&gt;1,(H66/(B66+2)+J71),H66/4+J71))</f>
        <v>11.5</v>
      </c>
    </row>
    <row r="73" spans="1:10" ht="15.75" customHeight="1" x14ac:dyDescent="0.3">
      <c r="A73" s="102" t="s">
        <v>146</v>
      </c>
      <c r="B73" s="103" t="s">
        <v>139</v>
      </c>
      <c r="C73" s="40">
        <v>23</v>
      </c>
      <c r="D73" s="38">
        <f ca="1">((100/H66)*C73)/100</f>
        <v>1</v>
      </c>
      <c r="E73" s="98"/>
      <c r="F73" s="98"/>
      <c r="G73" s="98"/>
      <c r="H73" s="100"/>
      <c r="I73" s="14" t="s">
        <v>155</v>
      </c>
      <c r="J73" s="41">
        <f>(IF(B66&gt;1,(H66/(B66+2)+J72),0))</f>
        <v>0</v>
      </c>
    </row>
    <row r="74" spans="1:10" ht="15" customHeight="1" x14ac:dyDescent="0.3">
      <c r="A74" s="102" t="s">
        <v>144</v>
      </c>
      <c r="B74" s="103" t="s">
        <v>141</v>
      </c>
      <c r="C74" s="40">
        <v>22</v>
      </c>
      <c r="D74" s="38">
        <f ca="1">((100/(H66))*C74)/100</f>
        <v>0.9565217391304347</v>
      </c>
      <c r="E74" s="98"/>
      <c r="F74" s="98"/>
      <c r="G74" s="98"/>
      <c r="H74" s="100"/>
      <c r="I74" s="14" t="s">
        <v>152</v>
      </c>
      <c r="J74" s="41">
        <f>(IF(B66&gt;2,(H66/(B66+2)+J73),0))</f>
        <v>0</v>
      </c>
    </row>
    <row r="75" spans="1:10" ht="15.75" customHeight="1" x14ac:dyDescent="0.3">
      <c r="A75" s="102" t="s">
        <v>140</v>
      </c>
      <c r="B75" s="103" t="s">
        <v>140</v>
      </c>
      <c r="C75" s="37">
        <v>20</v>
      </c>
      <c r="D75" s="38">
        <f ca="1">((100/H66)*C75)/100</f>
        <v>0.86956521739130432</v>
      </c>
      <c r="E75" s="98"/>
      <c r="F75" s="98"/>
      <c r="G75" s="98"/>
      <c r="H75" s="100"/>
      <c r="I75" s="14" t="s">
        <v>153</v>
      </c>
      <c r="J75" s="42">
        <f>(IF(B66&gt;3,(H66/(B66+2)+J74),0))</f>
        <v>0</v>
      </c>
    </row>
    <row r="76" spans="1:10" ht="15.75" customHeight="1" x14ac:dyDescent="0.3">
      <c r="A76" s="102" t="s">
        <v>147</v>
      </c>
      <c r="B76" s="103"/>
      <c r="C76" s="37">
        <v>16</v>
      </c>
      <c r="D76" s="38">
        <f ca="1">((100/H66)*C76)/100</f>
        <v>0.69565217391304346</v>
      </c>
      <c r="E76" s="98"/>
      <c r="F76" s="98"/>
      <c r="G76" s="98"/>
      <c r="H76" s="100"/>
      <c r="I76" s="14" t="s">
        <v>154</v>
      </c>
      <c r="J76" s="41">
        <f>(IF(B66&gt;4,(H66/(B66+2)+J75),0))</f>
        <v>0</v>
      </c>
    </row>
    <row r="77" spans="1:10" ht="15.75" customHeight="1" x14ac:dyDescent="0.3">
      <c r="A77" s="102" t="s">
        <v>142</v>
      </c>
      <c r="B77" s="103" t="s">
        <v>142</v>
      </c>
      <c r="C77" s="37">
        <v>0</v>
      </c>
      <c r="D77" s="38">
        <f ca="1">((100/(H66))*C77)/100</f>
        <v>0</v>
      </c>
      <c r="E77" s="98"/>
      <c r="F77" s="98"/>
      <c r="G77" s="98"/>
      <c r="H77" s="100"/>
      <c r="I77" s="14" t="s">
        <v>156</v>
      </c>
      <c r="J77" s="41">
        <f ca="1">(IF(B66=1,(H66/(B66+3)+J72),IF(B66=0,(H66/4+J72),IF(B66&gt;1,0))))</f>
        <v>17.25</v>
      </c>
    </row>
    <row r="78" spans="1:10" ht="16.2" thickBot="1" x14ac:dyDescent="0.35">
      <c r="A78" s="104" t="s">
        <v>143</v>
      </c>
      <c r="B78" s="105"/>
      <c r="C78" s="43">
        <v>0</v>
      </c>
      <c r="D78" s="44">
        <f ca="1">((100/(H66))*C78)/100</f>
        <v>0</v>
      </c>
      <c r="E78" s="99"/>
      <c r="F78" s="99"/>
      <c r="G78" s="99"/>
      <c r="H78" s="101"/>
      <c r="I78" s="17" t="s">
        <v>109</v>
      </c>
      <c r="J78" s="45">
        <f ca="1">(IF(B66&gt;1.5,(H66/(B66+2)+J72+MAX(0,J73-J72)+MAX(0,J74-J73)+MAX(0,J75-J74)+MAX(0,J76-J75)+MAX(0,J77-J76)),IF(B66=1,(H66/(B66+3)+J77),IF(B66=0,H66/4+J77))))</f>
        <v>23</v>
      </c>
    </row>
    <row r="79" spans="1:10" ht="15.75" customHeight="1" x14ac:dyDescent="0.3">
      <c r="A79" s="113" t="s">
        <v>149</v>
      </c>
      <c r="B79" s="114"/>
      <c r="C79" s="115" t="str">
        <f>D57</f>
        <v>Building Y (Flora) = B + G + 1st to 23rd Floor</v>
      </c>
      <c r="D79" s="116"/>
      <c r="E79" s="116"/>
      <c r="F79" s="116"/>
      <c r="G79" s="116"/>
      <c r="H79" s="117"/>
      <c r="I79" s="15" t="str">
        <f ca="1">(IF(E83&gt;99%,"All work completed. Please provide OC.",IF(E83&gt;89.8%,"Plinth, RCC, Brick, Plaster, Flooring, Painting work Completed. Finishing work is in process.",IF(E83&lt;94%,(IF(C83=0,"Work not yet Started.",IF(D83=25%,"Piling work in process",IF(D83=50%,"Excavation work in process",IF(D83=100%,"Excavation work Completed. ","0")))&amp;(IF(C84=0%,"",IF(C84=J85,"Footing work is process",IF(C84=J86,"Footing work Completed",IF(C84=J87,"1st Basement Completed",IF(C84=J88,"1st &amp; 2nd Basement Completed",IF(C84=J89,"1st to 3rd Basement Completed",IF(C84=J90,"1st to 4th Basement Completed",IF(C84=J91,"Plinth work is process",IF(C84=J92,"Plinth work completed","0")))))))))))&amp;(IF(C85=(D80+F80+H80),", RCC Slab Completed",IF(C85&gt;0,", RCC upto "&amp;C85&amp;" Slab Completed",""))&amp;(IF(C86=H80,", Brickwork Completed",IF(C86&gt;0,", Brickwork upto "&amp;C86&amp;" Floor Completed",""))&amp;(IF(C87=H80,", Internal Plaster Completed",IF(C87&gt;0,", Internal Plaster upto "&amp;C87&amp;" Floor Completed",""))&amp;(IF(C88=H80,", External Plaster Completed",IF(C88&gt;0,", External Plaster upto "&amp;C88&amp;" Floor Completed",""))&amp;(IF(C89=H80,", Flooring Completed",IF(C89&gt;0,", Flooring upto "&amp;C89&amp;" Floor Completed",""))&amp;(IF(C90=H80,", Painting Completed",IF(C90&gt;0,", Painting upto "&amp;C90&amp;" Floor Completed",""))&amp;(IF(C91&gt;0,", Finishing upto "&amp;C91&amp;" Floor Completed","")&amp;(IF(C85&gt;0.5,".",""))))))))))))))</f>
        <v>Excavation work Completed. Plinth work completed, RCC upto 16 Slab Completed, Brickwork upto 15 Floor Completed, Internal Plaster upto 11.25 Floor Completed, External Plaster upto 3 Floor Completed.</v>
      </c>
      <c r="J79" s="34"/>
    </row>
    <row r="80" spans="1:10" x14ac:dyDescent="0.3">
      <c r="A80" s="18" t="s">
        <v>151</v>
      </c>
      <c r="B80" s="26">
        <v>1</v>
      </c>
      <c r="C80" s="26" t="s">
        <v>77</v>
      </c>
      <c r="D80" s="26">
        <v>1</v>
      </c>
      <c r="E80" s="26" t="s">
        <v>76</v>
      </c>
      <c r="F80" s="26">
        <v>0</v>
      </c>
      <c r="G80" s="26" t="s">
        <v>86</v>
      </c>
      <c r="H80" s="19">
        <f ca="1">--TRIM(RIGHT(SUBSTITUTE(LEFT(C79,_xlfn.AGGREGATE(16,6,FIND({0,1,2,3,4,5,6,7,8,9},C79,ROW(INDIRECT("1:"&amp;LEN(C79)))),1))," ",REPT(" ",LEN(C79))),LEN(C79)))</f>
        <v>23</v>
      </c>
      <c r="I80" s="16"/>
      <c r="J80" s="35"/>
    </row>
    <row r="81" spans="1:12" ht="49.8" customHeight="1" x14ac:dyDescent="0.3">
      <c r="A81" s="118" t="s">
        <v>96</v>
      </c>
      <c r="B81" s="119"/>
      <c r="C81" s="120" t="str">
        <f ca="1">(IF($G$51="NA",I79,"All work Completed. OC Received."))</f>
        <v>Excavation work Completed. Plinth work completed, RCC upto 16 Slab Completed, Brickwork upto 15 Floor Completed, Internal Plaster upto 11.25 Floor Completed, External Plaster upto 3 Floor Completed.</v>
      </c>
      <c r="D81" s="120"/>
      <c r="E81" s="120"/>
      <c r="F81" s="120"/>
      <c r="G81" s="120"/>
      <c r="H81" s="121"/>
      <c r="I81" s="16" t="s">
        <v>110</v>
      </c>
      <c r="J81" s="35"/>
    </row>
    <row r="82" spans="1:12" ht="15.75" customHeight="1" x14ac:dyDescent="0.3">
      <c r="A82" s="96" t="s">
        <v>52</v>
      </c>
      <c r="B82" s="97"/>
      <c r="C82" s="23" t="s">
        <v>148</v>
      </c>
      <c r="D82" s="23" t="s">
        <v>89</v>
      </c>
      <c r="E82" s="97" t="s">
        <v>91</v>
      </c>
      <c r="F82" s="97"/>
      <c r="G82" s="97" t="s">
        <v>90</v>
      </c>
      <c r="H82" s="122"/>
      <c r="I82" s="14" t="s">
        <v>150</v>
      </c>
      <c r="J82" s="36">
        <f ca="1">H80*25%</f>
        <v>5.75</v>
      </c>
    </row>
    <row r="83" spans="1:12" x14ac:dyDescent="0.3">
      <c r="A83" s="96" t="s">
        <v>137</v>
      </c>
      <c r="B83" s="97"/>
      <c r="C83" s="37">
        <f ca="1">J84</f>
        <v>23</v>
      </c>
      <c r="D83" s="38">
        <f ca="1">((100/H80)*C83)/100</f>
        <v>1</v>
      </c>
      <c r="E83" s="98">
        <f ca="1">(((C84/H80*10)+(40/(D80+F80+H80)*C85)+(7.5/(H80)*C86)+(7.5/(H80)*C87)+(10/H80*C88)+(10/H80*C89)+(5/H80*C90)+(5/H80*C91)+(5/H80*C92))/100)</f>
        <v>0.46530797101449273</v>
      </c>
      <c r="F83" s="98"/>
      <c r="G83" s="98">
        <f ca="1">((((C83/H80)*20)+((C84/H80)*25)+(30/(H80+F80+D80)*C85)+(5/H80*C86)+(5/H80*C87)+(5/H80*C88)+(5/H80*C89)+(0/H80*C90)+(0/H80*C91)+(5/H80*C92))/100)</f>
        <v>0.7135869565217392</v>
      </c>
      <c r="H83" s="100"/>
      <c r="I83" s="14" t="s">
        <v>105</v>
      </c>
      <c r="J83" s="39">
        <f ca="1">H80*50%</f>
        <v>11.5</v>
      </c>
    </row>
    <row r="84" spans="1:12" x14ac:dyDescent="0.3">
      <c r="A84" s="96" t="s">
        <v>53</v>
      </c>
      <c r="B84" s="97"/>
      <c r="C84" s="40">
        <f ca="1">J92</f>
        <v>23</v>
      </c>
      <c r="D84" s="38">
        <f ca="1">((100/H80)*C84)/100</f>
        <v>1</v>
      </c>
      <c r="E84" s="98"/>
      <c r="F84" s="98"/>
      <c r="G84" s="98"/>
      <c r="H84" s="100"/>
      <c r="I84" s="14" t="s">
        <v>106</v>
      </c>
      <c r="J84" s="39">
        <f ca="1">H80</f>
        <v>23</v>
      </c>
    </row>
    <row r="85" spans="1:12" ht="15.75" customHeight="1" x14ac:dyDescent="0.3">
      <c r="A85" s="102" t="s">
        <v>138</v>
      </c>
      <c r="B85" s="103"/>
      <c r="C85" s="37">
        <v>16</v>
      </c>
      <c r="D85" s="38">
        <f ca="1">((100/(D80+F80+H80))*C85)/100</f>
        <v>0.66666666666666674</v>
      </c>
      <c r="E85" s="98"/>
      <c r="F85" s="98"/>
      <c r="G85" s="98"/>
      <c r="H85" s="100"/>
      <c r="I85" s="14" t="s">
        <v>107</v>
      </c>
      <c r="J85" s="41">
        <f ca="1">(IF(B80&gt;1,(H80/(B80+2)),H80/4))</f>
        <v>5.75</v>
      </c>
    </row>
    <row r="86" spans="1:12" ht="15.75" customHeight="1" x14ac:dyDescent="0.3">
      <c r="A86" s="102" t="s">
        <v>145</v>
      </c>
      <c r="B86" s="103" t="s">
        <v>139</v>
      </c>
      <c r="C86" s="37">
        <f>C85-D80</f>
        <v>15</v>
      </c>
      <c r="D86" s="38">
        <f ca="1">((100/H80)*C86)/100</f>
        <v>0.65217391304347827</v>
      </c>
      <c r="E86" s="98"/>
      <c r="F86" s="98"/>
      <c r="G86" s="98"/>
      <c r="H86" s="100"/>
      <c r="I86" s="14" t="s">
        <v>108</v>
      </c>
      <c r="J86" s="41">
        <f ca="1">(IF(B80&gt;1,(H80/(B80+2)+J85),H80/4+J85))</f>
        <v>11.5</v>
      </c>
    </row>
    <row r="87" spans="1:12" ht="15.75" customHeight="1" x14ac:dyDescent="0.3">
      <c r="A87" s="102" t="s">
        <v>146</v>
      </c>
      <c r="B87" s="103" t="s">
        <v>139</v>
      </c>
      <c r="C87" s="40">
        <f>C86*0.75</f>
        <v>11.25</v>
      </c>
      <c r="D87" s="38">
        <f ca="1">((100/H80)*C87)/100</f>
        <v>0.48913043478260865</v>
      </c>
      <c r="E87" s="98"/>
      <c r="F87" s="98"/>
      <c r="G87" s="98"/>
      <c r="H87" s="100"/>
      <c r="I87" s="14" t="s">
        <v>155</v>
      </c>
      <c r="J87" s="41">
        <f>(IF(B80&gt;1,(H80/(B80+2)+J86),0))</f>
        <v>0</v>
      </c>
    </row>
    <row r="88" spans="1:12" ht="15" customHeight="1" x14ac:dyDescent="0.3">
      <c r="A88" s="102" t="s">
        <v>144</v>
      </c>
      <c r="B88" s="103" t="s">
        <v>141</v>
      </c>
      <c r="C88" s="40">
        <v>3</v>
      </c>
      <c r="D88" s="38">
        <f ca="1">((100/(H80))*C88)/100</f>
        <v>0.13043478260869565</v>
      </c>
      <c r="E88" s="98"/>
      <c r="F88" s="98"/>
      <c r="G88" s="98"/>
      <c r="H88" s="100"/>
      <c r="I88" s="14" t="s">
        <v>152</v>
      </c>
      <c r="J88" s="41">
        <f>(IF(B80&gt;2,(H80/(B80+2)+J87),0))</f>
        <v>0</v>
      </c>
    </row>
    <row r="89" spans="1:12" ht="15.75" customHeight="1" x14ac:dyDescent="0.3">
      <c r="A89" s="102" t="s">
        <v>140</v>
      </c>
      <c r="B89" s="103" t="s">
        <v>140</v>
      </c>
      <c r="C89" s="37">
        <v>0</v>
      </c>
      <c r="D89" s="38">
        <f ca="1">((100/H80)*C89)/100</f>
        <v>0</v>
      </c>
      <c r="E89" s="98"/>
      <c r="F89" s="98"/>
      <c r="G89" s="98"/>
      <c r="H89" s="100"/>
      <c r="I89" s="14" t="s">
        <v>153</v>
      </c>
      <c r="J89" s="42">
        <f>(IF(B80&gt;3,(H80/(B80+2)+J88),0))</f>
        <v>0</v>
      </c>
    </row>
    <row r="90" spans="1:12" ht="15.75" customHeight="1" x14ac:dyDescent="0.3">
      <c r="A90" s="102" t="s">
        <v>147</v>
      </c>
      <c r="B90" s="103"/>
      <c r="C90" s="37">
        <v>0</v>
      </c>
      <c r="D90" s="38">
        <f ca="1">((100/H80)*C90)/100</f>
        <v>0</v>
      </c>
      <c r="E90" s="98"/>
      <c r="F90" s="98"/>
      <c r="G90" s="98"/>
      <c r="H90" s="100"/>
      <c r="I90" s="14" t="s">
        <v>154</v>
      </c>
      <c r="J90" s="41">
        <f>(IF(B80&gt;4,(H80/(B80+2)+J89),0))</f>
        <v>0</v>
      </c>
    </row>
    <row r="91" spans="1:12" ht="15.75" customHeight="1" x14ac:dyDescent="0.3">
      <c r="A91" s="102" t="s">
        <v>142</v>
      </c>
      <c r="B91" s="103" t="s">
        <v>142</v>
      </c>
      <c r="C91" s="37">
        <v>0</v>
      </c>
      <c r="D91" s="38">
        <f ca="1">((100/(H80))*C91)/100</f>
        <v>0</v>
      </c>
      <c r="E91" s="98"/>
      <c r="F91" s="98"/>
      <c r="G91" s="98"/>
      <c r="H91" s="100"/>
      <c r="I91" s="14" t="s">
        <v>156</v>
      </c>
      <c r="J91" s="41">
        <f ca="1">(IF(B80=1,(H80/(B80+3)+J86),IF(B80=0,(H80/4+J86),IF(B80&gt;1,0))))</f>
        <v>17.25</v>
      </c>
    </row>
    <row r="92" spans="1:12" ht="16.2" thickBot="1" x14ac:dyDescent="0.35">
      <c r="A92" s="104" t="s">
        <v>143</v>
      </c>
      <c r="B92" s="105"/>
      <c r="C92" s="43">
        <v>0</v>
      </c>
      <c r="D92" s="44">
        <f ca="1">((100/(H80))*C92)/100</f>
        <v>0</v>
      </c>
      <c r="E92" s="99"/>
      <c r="F92" s="99"/>
      <c r="G92" s="99"/>
      <c r="H92" s="101"/>
      <c r="I92" s="17" t="s">
        <v>109</v>
      </c>
      <c r="J92" s="45">
        <f ca="1">(IF(B80&gt;1.5,(H80/(B80+2)+J86+MAX(0,J87-J86)+MAX(0,J88-J87)+MAX(0,J89-J88)+MAX(0,J90-J89)+MAX(0,J91-J90)),IF(B80=1,(H80/(B80+3)+J91),IF(B80=0,H80/4+J91))))</f>
        <v>23</v>
      </c>
    </row>
    <row r="93" spans="1:12" x14ac:dyDescent="0.3">
      <c r="A93" s="148" t="s">
        <v>54</v>
      </c>
      <c r="B93" s="148"/>
      <c r="C93" s="148"/>
      <c r="D93" s="148"/>
      <c r="E93" s="148"/>
      <c r="F93" s="148"/>
      <c r="G93" s="148"/>
      <c r="H93" s="148"/>
    </row>
    <row r="94" spans="1:12" x14ac:dyDescent="0.3">
      <c r="A94" s="133" t="s">
        <v>162</v>
      </c>
      <c r="B94" s="133"/>
      <c r="C94" s="133"/>
      <c r="D94" s="133"/>
      <c r="E94" s="133"/>
      <c r="F94" s="192">
        <v>6100</v>
      </c>
      <c r="G94" s="192"/>
      <c r="H94" s="192"/>
      <c r="I94" s="63" t="s">
        <v>193</v>
      </c>
      <c r="J94" s="63" t="s">
        <v>194</v>
      </c>
      <c r="K94" s="63" t="s">
        <v>195</v>
      </c>
      <c r="L94" s="64">
        <v>44747</v>
      </c>
    </row>
    <row r="95" spans="1:12" x14ac:dyDescent="0.3">
      <c r="A95" s="133" t="s">
        <v>163</v>
      </c>
      <c r="B95" s="133"/>
      <c r="C95" s="133"/>
      <c r="D95" s="133"/>
      <c r="E95" s="133"/>
      <c r="F95" s="132">
        <v>10000</v>
      </c>
      <c r="G95" s="132"/>
      <c r="H95" s="132"/>
      <c r="I95" s="65" t="s">
        <v>198</v>
      </c>
      <c r="J95" s="65" t="s">
        <v>194</v>
      </c>
      <c r="K95" s="65" t="s">
        <v>195</v>
      </c>
      <c r="L95" s="66">
        <v>44767</v>
      </c>
    </row>
    <row r="96" spans="1:12" s="46" customFormat="1" hidden="1" x14ac:dyDescent="0.25">
      <c r="A96" s="133" t="s">
        <v>197</v>
      </c>
      <c r="B96" s="133"/>
      <c r="C96" s="133"/>
      <c r="D96" s="133"/>
      <c r="E96" s="133"/>
      <c r="F96" s="132">
        <v>30</v>
      </c>
      <c r="G96" s="132"/>
      <c r="H96" s="132"/>
      <c r="I96" s="123" t="s">
        <v>196</v>
      </c>
      <c r="J96" s="124"/>
      <c r="K96" s="124"/>
      <c r="L96" s="124"/>
    </row>
    <row r="97" spans="1:12" s="46" customFormat="1" hidden="1" x14ac:dyDescent="0.3">
      <c r="A97" s="133" t="s">
        <v>101</v>
      </c>
      <c r="B97" s="133"/>
      <c r="C97" s="133"/>
      <c r="D97" s="133"/>
      <c r="E97" s="133"/>
      <c r="F97" s="132"/>
      <c r="G97" s="132"/>
      <c r="H97" s="132"/>
      <c r="J97" s="27"/>
      <c r="K97" s="27"/>
      <c r="L97" s="32"/>
    </row>
    <row r="98" spans="1:12" s="46" customFormat="1" hidden="1" x14ac:dyDescent="0.3">
      <c r="A98" s="133" t="s">
        <v>102</v>
      </c>
      <c r="B98" s="133"/>
      <c r="C98" s="133"/>
      <c r="D98" s="133"/>
      <c r="E98" s="133"/>
      <c r="F98" s="132"/>
      <c r="G98" s="132"/>
      <c r="H98" s="132"/>
      <c r="J98" s="27"/>
      <c r="K98" s="27"/>
      <c r="L98" s="32"/>
    </row>
    <row r="99" spans="1:12" s="46" customFormat="1" hidden="1" x14ac:dyDescent="0.3">
      <c r="A99" s="133" t="s">
        <v>103</v>
      </c>
      <c r="B99" s="133"/>
      <c r="C99" s="133"/>
      <c r="D99" s="133"/>
      <c r="E99" s="133"/>
      <c r="F99" s="132"/>
      <c r="G99" s="132"/>
      <c r="H99" s="132"/>
      <c r="J99" s="27"/>
      <c r="K99" s="27"/>
      <c r="L99" s="32"/>
    </row>
    <row r="100" spans="1:12" s="46" customFormat="1" hidden="1" x14ac:dyDescent="0.3">
      <c r="A100" s="133" t="s">
        <v>104</v>
      </c>
      <c r="B100" s="133"/>
      <c r="C100" s="133"/>
      <c r="D100" s="133"/>
      <c r="E100" s="133"/>
      <c r="F100" s="132"/>
      <c r="G100" s="132"/>
      <c r="H100" s="132"/>
      <c r="J100" s="27"/>
      <c r="K100" s="27"/>
      <c r="L100" s="32"/>
    </row>
    <row r="101" spans="1:12" s="46" customFormat="1" x14ac:dyDescent="0.25">
      <c r="A101" s="142" t="s">
        <v>192</v>
      </c>
      <c r="B101" s="142"/>
      <c r="C101" s="142"/>
      <c r="D101" s="142"/>
      <c r="E101" s="142"/>
      <c r="F101" s="132">
        <v>50000</v>
      </c>
      <c r="G101" s="132"/>
      <c r="H101" s="132"/>
    </row>
    <row r="102" spans="1:12" s="46" customFormat="1" x14ac:dyDescent="0.25">
      <c r="A102" s="142" t="s">
        <v>189</v>
      </c>
      <c r="B102" s="142"/>
      <c r="C102" s="142"/>
      <c r="D102" s="142"/>
      <c r="E102" s="142"/>
      <c r="F102" s="132">
        <v>25000</v>
      </c>
      <c r="G102" s="132"/>
      <c r="H102" s="132"/>
      <c r="L102" s="59"/>
    </row>
    <row r="103" spans="1:12" s="46" customFormat="1" hidden="1" x14ac:dyDescent="0.25">
      <c r="A103" s="142" t="s">
        <v>188</v>
      </c>
      <c r="B103" s="142"/>
      <c r="C103" s="142"/>
      <c r="D103" s="142"/>
      <c r="E103" s="142"/>
      <c r="F103" s="132">
        <v>5400</v>
      </c>
      <c r="G103" s="132"/>
      <c r="H103" s="132"/>
      <c r="L103" s="59"/>
    </row>
    <row r="104" spans="1:12" x14ac:dyDescent="0.3">
      <c r="A104" s="133" t="s">
        <v>55</v>
      </c>
      <c r="B104" s="133"/>
      <c r="C104" s="133"/>
      <c r="D104" s="133"/>
      <c r="E104" s="133"/>
      <c r="F104" s="132">
        <v>250000</v>
      </c>
      <c r="G104" s="132"/>
      <c r="H104" s="132"/>
    </row>
    <row r="105" spans="1:12" s="47" customFormat="1" x14ac:dyDescent="0.3">
      <c r="A105" s="148" t="s">
        <v>56</v>
      </c>
      <c r="B105" s="148"/>
      <c r="C105" s="148"/>
      <c r="D105" s="148"/>
      <c r="E105" s="148"/>
      <c r="F105" s="132">
        <f>F94*0.8</f>
        <v>4880</v>
      </c>
      <c r="G105" s="132"/>
      <c r="H105" s="132"/>
      <c r="L105" s="60"/>
    </row>
    <row r="106" spans="1:12" s="48" customFormat="1" ht="15.75" customHeight="1" x14ac:dyDescent="0.3">
      <c r="A106" s="167" t="s">
        <v>81</v>
      </c>
      <c r="B106" s="167"/>
      <c r="C106" s="167"/>
      <c r="D106" s="167"/>
      <c r="E106" s="167"/>
      <c r="F106" s="167"/>
      <c r="G106" s="167"/>
      <c r="H106" s="167"/>
      <c r="L106" s="61"/>
    </row>
    <row r="107" spans="1:12" s="48" customFormat="1" ht="15.75" customHeight="1" x14ac:dyDescent="0.3">
      <c r="A107" s="68" t="s">
        <v>57</v>
      </c>
      <c r="B107" s="68"/>
      <c r="C107" s="92" t="s">
        <v>84</v>
      </c>
      <c r="D107" s="92"/>
      <c r="E107" s="94" t="s">
        <v>58</v>
      </c>
      <c r="F107" s="94"/>
      <c r="G107" s="68" t="s">
        <v>59</v>
      </c>
      <c r="H107" s="68"/>
      <c r="L107" s="61"/>
    </row>
    <row r="108" spans="1:12" s="48" customFormat="1" x14ac:dyDescent="0.3">
      <c r="A108" s="20" t="s">
        <v>171</v>
      </c>
      <c r="B108" s="20" t="s">
        <v>172</v>
      </c>
      <c r="C108" s="89">
        <f>COUNT(D124:D126)</f>
        <v>3</v>
      </c>
      <c r="D108" s="90"/>
      <c r="E108" s="91">
        <f>SUM(D124:D126)</f>
        <v>546.05772000000002</v>
      </c>
      <c r="F108" s="143"/>
      <c r="G108" s="91">
        <f>SUM(F124:F126)</f>
        <v>873.69235200000003</v>
      </c>
      <c r="H108" s="143"/>
      <c r="L108" s="61"/>
    </row>
    <row r="109" spans="1:12" s="48" customFormat="1" x14ac:dyDescent="0.3">
      <c r="A109" s="20" t="s">
        <v>223</v>
      </c>
      <c r="B109" s="20" t="s">
        <v>224</v>
      </c>
      <c r="C109" s="89">
        <f>COUNT(D129:D135)</f>
        <v>7</v>
      </c>
      <c r="D109" s="90"/>
      <c r="E109" s="89">
        <f>SUM(D129:D135)</f>
        <v>1448.0809199999999</v>
      </c>
      <c r="F109" s="90"/>
      <c r="G109" s="89">
        <f>SUM(F129:F135)</f>
        <v>2316.9294719999998</v>
      </c>
      <c r="H109" s="90"/>
      <c r="L109" s="61"/>
    </row>
    <row r="110" spans="1:12" s="48" customFormat="1" ht="15.75" customHeight="1" x14ac:dyDescent="0.3">
      <c r="A110" s="68" t="s">
        <v>229</v>
      </c>
      <c r="B110" s="68"/>
      <c r="C110" s="95">
        <f>SUM(C108:C109)</f>
        <v>10</v>
      </c>
      <c r="D110" s="92"/>
      <c r="E110" s="93">
        <f>SUM(E108:E109)</f>
        <v>1994.1386399999999</v>
      </c>
      <c r="F110" s="94"/>
      <c r="G110" s="68">
        <f>SUM(G108:G109)</f>
        <v>3190.6218239999998</v>
      </c>
      <c r="H110" s="68"/>
      <c r="L110" s="61"/>
    </row>
    <row r="111" spans="1:12" s="48" customFormat="1" ht="15.75" customHeight="1" x14ac:dyDescent="0.3">
      <c r="A111" s="168" t="s">
        <v>75</v>
      </c>
      <c r="B111" s="169"/>
      <c r="C111" s="169"/>
      <c r="D111" s="169"/>
      <c r="E111" s="169"/>
      <c r="F111" s="169"/>
      <c r="G111" s="169"/>
      <c r="H111" s="170"/>
      <c r="L111" s="61"/>
    </row>
    <row r="112" spans="1:12" s="48" customFormat="1" ht="15.75" customHeight="1" x14ac:dyDescent="0.3">
      <c r="A112" s="68" t="s">
        <v>57</v>
      </c>
      <c r="B112" s="68"/>
      <c r="C112" s="92" t="s">
        <v>84</v>
      </c>
      <c r="D112" s="92"/>
      <c r="E112" s="94" t="s">
        <v>58</v>
      </c>
      <c r="F112" s="94"/>
      <c r="G112" s="68" t="s">
        <v>59</v>
      </c>
      <c r="H112" s="68"/>
      <c r="L112" s="61"/>
    </row>
    <row r="113" spans="1:14" s="48" customFormat="1" x14ac:dyDescent="0.3">
      <c r="A113" s="20" t="s">
        <v>171</v>
      </c>
      <c r="B113" s="20" t="s">
        <v>172</v>
      </c>
      <c r="C113" s="90">
        <f>COUNT(D142:D149)+COUNT(D151:D165)*3+COUNT(D167:D182)*6+COUNT(D184:D198)+COUNT(D200:D214)*2+COUNT(D217:D230)+COUNT(D233:D246)*9+COUNT(D248:D260)</f>
        <v>347</v>
      </c>
      <c r="D113" s="90"/>
      <c r="E113" s="91">
        <f>SUM(D142:D149)+SUM(D151:D165)*3+SUM(D167:D182)*6+SUM(D184:D198)+SUM(D200:D214)*2+SUM(D217:D230)+SUM(D233:D246)*9+SUM(D248:D260)</f>
        <v>91502.085109500011</v>
      </c>
      <c r="F113" s="91"/>
      <c r="G113" s="91">
        <f>SUM(F142:F149)+SUM(F151:F165)*3+SUM(F167:F182)*6+SUM(F184:F198)+SUM(F200:F214)*2+SUM(F217:F230)+SUM(F233:F246)*9+SUM(F248:F260)</f>
        <v>137924.47834424998</v>
      </c>
      <c r="H113" s="91"/>
      <c r="L113" s="61"/>
    </row>
    <row r="114" spans="1:14" s="48" customFormat="1" x14ac:dyDescent="0.3">
      <c r="A114" s="20" t="s">
        <v>223</v>
      </c>
      <c r="B114" s="20" t="s">
        <v>224</v>
      </c>
      <c r="C114" s="91">
        <f>COUNT(D264:D273)*19+COUNT(D275:D276,D278:D284)*4</f>
        <v>226</v>
      </c>
      <c r="D114" s="91"/>
      <c r="E114" s="91">
        <f>SUM(D264:D273)*19+SUM(D275:D276,D278:D284)*4</f>
        <v>73335.966209999999</v>
      </c>
      <c r="F114" s="91"/>
      <c r="G114" s="91">
        <f>SUM(F264:F273)*19+SUM(F275:F276,F278:F284)*4</f>
        <v>110003.94931499998</v>
      </c>
      <c r="H114" s="91"/>
      <c r="L114" s="61"/>
    </row>
    <row r="115" spans="1:14" s="48" customFormat="1" ht="15.75" customHeight="1" x14ac:dyDescent="0.3">
      <c r="A115" s="68" t="s">
        <v>229</v>
      </c>
      <c r="B115" s="68"/>
      <c r="C115" s="92">
        <f>SUM(C113:C114)</f>
        <v>573</v>
      </c>
      <c r="D115" s="92"/>
      <c r="E115" s="93">
        <f>SUM(E113:E114)</f>
        <v>164838.05131950002</v>
      </c>
      <c r="F115" s="94"/>
      <c r="G115" s="68">
        <f>SUM(G113:G114)</f>
        <v>247928.42765924995</v>
      </c>
      <c r="H115" s="68"/>
      <c r="L115" s="61"/>
    </row>
    <row r="116" spans="1:14" s="48" customFormat="1" ht="15.75" customHeight="1" x14ac:dyDescent="0.3">
      <c r="A116" s="68" t="s">
        <v>230</v>
      </c>
      <c r="B116" s="68"/>
      <c r="C116" s="95">
        <f>C110+C115</f>
        <v>583</v>
      </c>
      <c r="D116" s="92"/>
      <c r="E116" s="93">
        <f>E110+E115</f>
        <v>166832.18995950001</v>
      </c>
      <c r="F116" s="94"/>
      <c r="G116" s="68">
        <f>G110+G115</f>
        <v>251119.04948324995</v>
      </c>
      <c r="H116" s="68"/>
      <c r="L116" s="61"/>
    </row>
    <row r="117" spans="1:14" s="47" customFormat="1" x14ac:dyDescent="0.3">
      <c r="A117" s="128" t="s">
        <v>60</v>
      </c>
      <c r="B117" s="128"/>
      <c r="C117" s="128"/>
      <c r="D117" s="128"/>
      <c r="E117" s="128"/>
      <c r="F117" s="128"/>
      <c r="G117" s="128"/>
      <c r="H117" s="128"/>
      <c r="L117" s="60"/>
    </row>
    <row r="118" spans="1:14" x14ac:dyDescent="0.3">
      <c r="A118" s="128" t="s">
        <v>61</v>
      </c>
      <c r="B118" s="128"/>
      <c r="C118" s="128"/>
      <c r="D118" s="128"/>
      <c r="E118" s="128"/>
      <c r="F118" s="128"/>
      <c r="G118" s="128"/>
      <c r="H118" s="128"/>
    </row>
    <row r="119" spans="1:14" ht="47.25" customHeight="1" x14ac:dyDescent="0.3">
      <c r="A119" s="134" t="s">
        <v>126</v>
      </c>
      <c r="B119" s="134" t="s">
        <v>125</v>
      </c>
      <c r="C119" s="134" t="s">
        <v>62</v>
      </c>
      <c r="D119" s="134" t="s">
        <v>63</v>
      </c>
      <c r="E119" s="136" t="s">
        <v>64</v>
      </c>
      <c r="F119" s="22" t="s">
        <v>158</v>
      </c>
      <c r="G119" s="138" t="s">
        <v>65</v>
      </c>
      <c r="H119" s="139"/>
    </row>
    <row r="120" spans="1:14" s="50" customFormat="1" x14ac:dyDescent="0.3">
      <c r="A120" s="135"/>
      <c r="B120" s="135"/>
      <c r="C120" s="135"/>
      <c r="D120" s="135"/>
      <c r="E120" s="137"/>
      <c r="F120" s="13">
        <v>0.6</v>
      </c>
      <c r="G120" s="140"/>
      <c r="H120" s="141"/>
      <c r="L120" s="62"/>
    </row>
    <row r="121" spans="1:14" x14ac:dyDescent="0.3">
      <c r="A121" s="84" t="s">
        <v>225</v>
      </c>
      <c r="B121" s="84"/>
      <c r="C121" s="84"/>
      <c r="D121" s="84"/>
      <c r="E121" s="84"/>
      <c r="F121" s="84"/>
      <c r="G121" s="84"/>
      <c r="H121" s="84"/>
    </row>
    <row r="122" spans="1:14" x14ac:dyDescent="0.3">
      <c r="A122" s="128" t="s">
        <v>187</v>
      </c>
      <c r="B122" s="128"/>
      <c r="C122" s="128"/>
      <c r="D122" s="128"/>
      <c r="E122" s="128"/>
      <c r="F122" s="128"/>
      <c r="G122" s="128"/>
      <c r="H122" s="128"/>
    </row>
    <row r="123" spans="1:14" s="50" customFormat="1" x14ac:dyDescent="0.3">
      <c r="A123" s="86" t="s">
        <v>165</v>
      </c>
      <c r="B123" s="87"/>
      <c r="C123" s="87"/>
      <c r="D123" s="87"/>
      <c r="E123" s="87"/>
      <c r="F123" s="87"/>
      <c r="G123" s="87"/>
      <c r="H123" s="88"/>
      <c r="J123" s="49"/>
      <c r="L123" s="62"/>
    </row>
    <row r="124" spans="1:14" s="50" customFormat="1" ht="15.75" customHeight="1" x14ac:dyDescent="0.3">
      <c r="A124" s="81">
        <v>1</v>
      </c>
      <c r="B124" s="83"/>
      <c r="C124" s="21" t="s">
        <v>166</v>
      </c>
      <c r="D124" s="21">
        <f>(15.05)*10.764</f>
        <v>161.9982</v>
      </c>
      <c r="E124" s="21">
        <v>0</v>
      </c>
      <c r="F124" s="21">
        <f>D124*(($F$120)+1)+(IF(E124&lt;101,E124,IF(E124&lt;201,E124/2,IF(E124&lt;=301,E124/3,E124/4))))</f>
        <v>259.19711999999998</v>
      </c>
      <c r="G124" s="73" t="str">
        <f>A123</f>
        <v xml:space="preserve">Ground Floor for Commercial </v>
      </c>
      <c r="H124" s="74"/>
      <c r="I124" s="49"/>
      <c r="L124" s="80"/>
      <c r="M124" s="80"/>
      <c r="N124" s="49"/>
    </row>
    <row r="125" spans="1:14" s="50" customFormat="1" ht="15.75" customHeight="1" x14ac:dyDescent="0.3">
      <c r="A125" s="81">
        <f t="shared" ref="A125:A126" si="0">A124+1</f>
        <v>2</v>
      </c>
      <c r="B125" s="83"/>
      <c r="C125" s="21" t="s">
        <v>166</v>
      </c>
      <c r="D125" s="21">
        <f>(16.03)*10.764</f>
        <v>172.54692</v>
      </c>
      <c r="E125" s="21">
        <v>0</v>
      </c>
      <c r="F125" s="21">
        <f>D125*(($F$120)+1)+(IF(E125&lt;101,E125,IF(E125&lt;201,E125/2,IF(E125&lt;=301,E125/3,E125/4))))</f>
        <v>276.07507200000003</v>
      </c>
      <c r="G125" s="75"/>
      <c r="H125" s="76"/>
      <c r="I125" s="49">
        <f>5500000/F125</f>
        <v>19922.117415946919</v>
      </c>
      <c r="J125" s="50">
        <f>2100000/F125</f>
        <v>7606.6266497251872</v>
      </c>
      <c r="L125" s="80"/>
      <c r="M125" s="80"/>
      <c r="N125" s="49"/>
    </row>
    <row r="126" spans="1:14" s="50" customFormat="1" ht="15.75" customHeight="1" x14ac:dyDescent="0.3">
      <c r="A126" s="81">
        <f t="shared" si="0"/>
        <v>3</v>
      </c>
      <c r="B126" s="83"/>
      <c r="C126" s="21" t="s">
        <v>166</v>
      </c>
      <c r="D126" s="21">
        <f>(19.65)*10.764</f>
        <v>211.51259999999996</v>
      </c>
      <c r="E126" s="21">
        <v>0</v>
      </c>
      <c r="F126" s="21">
        <f>D126*(($F$120)+1)+(IF(E126&lt;101,E126,IF(E126&lt;201,E126/2,IF(E126&lt;=301,E126/3,E126/4))))</f>
        <v>338.42015999999995</v>
      </c>
      <c r="G126" s="77"/>
      <c r="H126" s="78"/>
      <c r="I126" s="49">
        <f>5500000/F126</f>
        <v>16251.986879268661</v>
      </c>
      <c r="J126" s="50">
        <f>2100000/F126</f>
        <v>6205.3040811753071</v>
      </c>
      <c r="L126" s="80"/>
      <c r="M126" s="80"/>
      <c r="N126" s="49"/>
    </row>
    <row r="127" spans="1:14" x14ac:dyDescent="0.3">
      <c r="A127" s="84" t="s">
        <v>226</v>
      </c>
      <c r="B127" s="84"/>
      <c r="C127" s="84"/>
      <c r="D127" s="84"/>
      <c r="E127" s="84"/>
      <c r="F127" s="84"/>
      <c r="G127" s="84"/>
      <c r="H127" s="84"/>
    </row>
    <row r="128" spans="1:14" s="50" customFormat="1" x14ac:dyDescent="0.3">
      <c r="A128" s="86" t="s">
        <v>239</v>
      </c>
      <c r="B128" s="87"/>
      <c r="C128" s="87"/>
      <c r="D128" s="87"/>
      <c r="E128" s="87"/>
      <c r="F128" s="87"/>
      <c r="G128" s="87"/>
      <c r="H128" s="88"/>
      <c r="J128" s="49"/>
      <c r="L128" s="62"/>
    </row>
    <row r="129" spans="1:14" s="50" customFormat="1" x14ac:dyDescent="0.3">
      <c r="A129" s="81">
        <v>1</v>
      </c>
      <c r="B129" s="83"/>
      <c r="C129" s="21" t="s">
        <v>166</v>
      </c>
      <c r="D129" s="55">
        <f>(12.73)*10.764</f>
        <v>137.02572000000001</v>
      </c>
      <c r="E129" s="21">
        <v>0</v>
      </c>
      <c r="F129" s="21">
        <f t="shared" ref="F129:F135" si="1">D129*(($F$120)+1)+(IF(E129&lt;101,E129,IF(E129&lt;201,E129/2,IF(E129&lt;=301,E129/3,E129/4))))</f>
        <v>219.24115200000003</v>
      </c>
      <c r="G129" s="73" t="str">
        <f>A128</f>
        <v>Ground Floor for Commercial, Meter Room, Entrance Lobby &amp; Society Office</v>
      </c>
      <c r="H129" s="74"/>
      <c r="I129" s="49">
        <f>2.85*2.65+1.9*1.275+1.3*2.02</f>
        <v>12.600999999999999</v>
      </c>
      <c r="L129" s="80"/>
      <c r="M129" s="80"/>
      <c r="N129" s="49"/>
    </row>
    <row r="130" spans="1:14" s="50" customFormat="1" x14ac:dyDescent="0.3">
      <c r="A130" s="81">
        <f t="shared" ref="A130:A135" si="2">A129+1</f>
        <v>2</v>
      </c>
      <c r="B130" s="83"/>
      <c r="C130" s="21" t="s">
        <v>166</v>
      </c>
      <c r="D130" s="55">
        <f>(16.77)*10.764</f>
        <v>180.51227999999998</v>
      </c>
      <c r="E130" s="21">
        <v>0</v>
      </c>
      <c r="F130" s="21">
        <f t="shared" si="1"/>
        <v>288.81964799999997</v>
      </c>
      <c r="G130" s="75"/>
      <c r="H130" s="76"/>
      <c r="I130" s="49"/>
      <c r="L130" s="80"/>
      <c r="M130" s="80"/>
      <c r="N130" s="49"/>
    </row>
    <row r="131" spans="1:14" s="50" customFormat="1" x14ac:dyDescent="0.3">
      <c r="A131" s="81">
        <f t="shared" si="2"/>
        <v>3</v>
      </c>
      <c r="B131" s="83"/>
      <c r="C131" s="21" t="s">
        <v>166</v>
      </c>
      <c r="D131" s="55">
        <f>(24.78)*10.764</f>
        <v>266.73192</v>
      </c>
      <c r="E131" s="21">
        <v>0</v>
      </c>
      <c r="F131" s="21">
        <f t="shared" si="1"/>
        <v>426.771072</v>
      </c>
      <c r="G131" s="75"/>
      <c r="H131" s="76"/>
      <c r="I131" s="49"/>
      <c r="L131" s="80"/>
      <c r="M131" s="80"/>
      <c r="N131" s="49"/>
    </row>
    <row r="132" spans="1:14" s="50" customFormat="1" x14ac:dyDescent="0.3">
      <c r="A132" s="81">
        <f t="shared" si="2"/>
        <v>4</v>
      </c>
      <c r="B132" s="83"/>
      <c r="C132" s="21" t="s">
        <v>166</v>
      </c>
      <c r="D132" s="55">
        <f>(25.51)*10.764</f>
        <v>274.58963999999997</v>
      </c>
      <c r="E132" s="21">
        <v>0</v>
      </c>
      <c r="F132" s="21">
        <f t="shared" si="1"/>
        <v>439.34342399999997</v>
      </c>
      <c r="G132" s="75"/>
      <c r="H132" s="76"/>
      <c r="I132" s="49"/>
      <c r="L132" s="80"/>
      <c r="M132" s="80"/>
      <c r="N132" s="49"/>
    </row>
    <row r="133" spans="1:14" s="50" customFormat="1" x14ac:dyDescent="0.3">
      <c r="A133" s="81">
        <f t="shared" si="2"/>
        <v>5</v>
      </c>
      <c r="B133" s="83"/>
      <c r="C133" s="21" t="s">
        <v>166</v>
      </c>
      <c r="D133" s="55">
        <f>(24.84)*10.764</f>
        <v>267.37775999999997</v>
      </c>
      <c r="E133" s="21">
        <v>0</v>
      </c>
      <c r="F133" s="21">
        <f t="shared" si="1"/>
        <v>427.80441599999995</v>
      </c>
      <c r="G133" s="75"/>
      <c r="H133" s="76"/>
      <c r="I133" s="49"/>
      <c r="L133" s="80"/>
      <c r="M133" s="80"/>
      <c r="N133" s="49"/>
    </row>
    <row r="134" spans="1:14" s="50" customFormat="1" x14ac:dyDescent="0.3">
      <c r="A134" s="81">
        <f t="shared" si="2"/>
        <v>6</v>
      </c>
      <c r="B134" s="83"/>
      <c r="C134" s="21" t="s">
        <v>166</v>
      </c>
      <c r="D134" s="55">
        <f>(17.21)*10.764</f>
        <v>185.24843999999999</v>
      </c>
      <c r="E134" s="21">
        <v>0</v>
      </c>
      <c r="F134" s="21">
        <f t="shared" si="1"/>
        <v>296.39750399999997</v>
      </c>
      <c r="G134" s="75"/>
      <c r="H134" s="76"/>
      <c r="I134" s="49"/>
      <c r="L134" s="80"/>
      <c r="M134" s="80"/>
      <c r="N134" s="49"/>
    </row>
    <row r="135" spans="1:14" s="50" customFormat="1" x14ac:dyDescent="0.3">
      <c r="A135" s="81">
        <f t="shared" si="2"/>
        <v>7</v>
      </c>
      <c r="B135" s="83"/>
      <c r="C135" s="21" t="s">
        <v>166</v>
      </c>
      <c r="D135" s="55">
        <f>(12.69)*10.764</f>
        <v>136.59515999999999</v>
      </c>
      <c r="E135" s="21">
        <v>0</v>
      </c>
      <c r="F135" s="21">
        <f t="shared" si="1"/>
        <v>218.552256</v>
      </c>
      <c r="G135" s="77"/>
      <c r="H135" s="78"/>
      <c r="I135" s="49"/>
      <c r="L135" s="80"/>
      <c r="M135" s="80"/>
      <c r="N135" s="49"/>
    </row>
    <row r="136" spans="1:14" s="50" customFormat="1" x14ac:dyDescent="0.3">
      <c r="A136" s="81"/>
      <c r="B136" s="82"/>
      <c r="C136" s="82"/>
      <c r="D136" s="82"/>
      <c r="E136" s="82"/>
      <c r="F136" s="82"/>
      <c r="G136" s="82"/>
      <c r="H136" s="83"/>
      <c r="I136" s="49"/>
      <c r="L136" s="62"/>
      <c r="N136" s="49"/>
    </row>
    <row r="137" spans="1:14" ht="47.25" customHeight="1" x14ac:dyDescent="0.3">
      <c r="A137" s="138" t="s">
        <v>127</v>
      </c>
      <c r="B137" s="138" t="s">
        <v>128</v>
      </c>
      <c r="C137" s="134" t="s">
        <v>62</v>
      </c>
      <c r="D137" s="134" t="s">
        <v>63</v>
      </c>
      <c r="E137" s="136" t="s">
        <v>169</v>
      </c>
      <c r="F137" s="22" t="s">
        <v>158</v>
      </c>
      <c r="G137" s="138" t="s">
        <v>65</v>
      </c>
      <c r="H137" s="139"/>
      <c r="I137" s="49"/>
    </row>
    <row r="138" spans="1:14" s="50" customFormat="1" x14ac:dyDescent="0.3">
      <c r="A138" s="140"/>
      <c r="B138" s="140"/>
      <c r="C138" s="135"/>
      <c r="D138" s="135"/>
      <c r="E138" s="137"/>
      <c r="F138" s="13">
        <v>0.5</v>
      </c>
      <c r="G138" s="140"/>
      <c r="H138" s="141"/>
      <c r="I138" s="49"/>
      <c r="L138" s="62"/>
    </row>
    <row r="139" spans="1:14" x14ac:dyDescent="0.3">
      <c r="A139" s="84" t="s">
        <v>225</v>
      </c>
      <c r="B139" s="84"/>
      <c r="C139" s="84"/>
      <c r="D139" s="84"/>
      <c r="E139" s="84"/>
      <c r="F139" s="84"/>
      <c r="G139" s="84"/>
      <c r="H139" s="84"/>
    </row>
    <row r="140" spans="1:14" x14ac:dyDescent="0.3">
      <c r="A140" s="128" t="s">
        <v>187</v>
      </c>
      <c r="B140" s="128"/>
      <c r="C140" s="128"/>
      <c r="D140" s="128"/>
      <c r="E140" s="128"/>
      <c r="F140" s="128"/>
      <c r="G140" s="128"/>
      <c r="H140" s="128"/>
    </row>
    <row r="141" spans="1:14" s="50" customFormat="1" x14ac:dyDescent="0.3">
      <c r="A141" s="79" t="s">
        <v>167</v>
      </c>
      <c r="B141" s="79"/>
      <c r="C141" s="79"/>
      <c r="D141" s="79"/>
      <c r="E141" s="79"/>
      <c r="F141" s="79"/>
      <c r="G141" s="79"/>
      <c r="H141" s="79"/>
      <c r="I141" s="49"/>
      <c r="L141" s="80"/>
      <c r="M141" s="80"/>
    </row>
    <row r="142" spans="1:14" s="50" customFormat="1" x14ac:dyDescent="0.3">
      <c r="A142" s="72">
        <v>2</v>
      </c>
      <c r="B142" s="72"/>
      <c r="C142" s="21" t="s">
        <v>191</v>
      </c>
      <c r="D142" s="21">
        <f>(27.88+1.05*2)*10.764</f>
        <v>322.70472000000001</v>
      </c>
      <c r="E142" s="21">
        <f>5.85*1.5*10.764</f>
        <v>94.454099999999983</v>
      </c>
      <c r="F142" s="21">
        <f t="shared" ref="F142:F143" si="3">D142*(($F$138)+1)+(IF(E142&lt;101,E142,IF(E142&lt;201,E142/2,IF(E142&lt;=301,E142/3,E142/4))))</f>
        <v>578.51117999999997</v>
      </c>
      <c r="G142" s="72" t="str">
        <f>A141</f>
        <v>Ground Floor for Residential</v>
      </c>
      <c r="H142" s="72"/>
      <c r="I142" s="49"/>
      <c r="J142" s="50">
        <f>2.6*3.9+2.6*2.875+2.25*2.075+1.15*1.03+1.05*2+0.9*0.9</f>
        <v>26.378250000000001</v>
      </c>
      <c r="K142" s="50">
        <f>2.05*1.275</f>
        <v>2.6137499999999996</v>
      </c>
      <c r="L142" s="62"/>
      <c r="N142" s="49"/>
    </row>
    <row r="143" spans="1:14" s="50" customFormat="1" x14ac:dyDescent="0.3">
      <c r="A143" s="72">
        <v>4</v>
      </c>
      <c r="B143" s="72"/>
      <c r="C143" s="21" t="s">
        <v>168</v>
      </c>
      <c r="D143" s="21">
        <f>(18.97+1.33*1.3)*10.764</f>
        <v>222.80403599999997</v>
      </c>
      <c r="E143" s="21">
        <f>(4.98*1.5)*10.764</f>
        <v>80.407080000000008</v>
      </c>
      <c r="F143" s="21">
        <f t="shared" si="3"/>
        <v>414.61313399999995</v>
      </c>
      <c r="G143" s="72" t="str">
        <f t="shared" ref="G143:G149" si="4">G142</f>
        <v>Ground Floor for Residential</v>
      </c>
      <c r="H143" s="72"/>
      <c r="I143" s="49">
        <f>1500000/F143</f>
        <v>3617.830398976218</v>
      </c>
      <c r="L143" s="62"/>
      <c r="N143" s="49"/>
    </row>
    <row r="144" spans="1:14" s="50" customFormat="1" x14ac:dyDescent="0.3">
      <c r="A144" s="72">
        <v>6</v>
      </c>
      <c r="B144" s="72"/>
      <c r="C144" s="21" t="s">
        <v>168</v>
      </c>
      <c r="D144" s="21">
        <f>(18.9+1.33*1.3)*10.764</f>
        <v>222.05055599999997</v>
      </c>
      <c r="E144" s="21">
        <f t="shared" ref="E144:E148" si="5">(4.98*1.5)*10.764</f>
        <v>80.407080000000008</v>
      </c>
      <c r="F144" s="21">
        <f>D144*(($F$138)+1)+(IF(E144&lt;101,E144,IF(E144&lt;201,E144/2,IF(E144&lt;=301,E144/3,E144/4))))</f>
        <v>413.48291399999999</v>
      </c>
      <c r="G144" s="72" t="str">
        <f t="shared" si="4"/>
        <v>Ground Floor for Residential</v>
      </c>
      <c r="H144" s="72"/>
      <c r="I144" s="49"/>
      <c r="L144" s="62"/>
      <c r="N144" s="49"/>
    </row>
    <row r="145" spans="1:14" s="50" customFormat="1" x14ac:dyDescent="0.3">
      <c r="A145" s="72">
        <v>8</v>
      </c>
      <c r="B145" s="72"/>
      <c r="C145" s="21" t="s">
        <v>168</v>
      </c>
      <c r="D145" s="21">
        <f>(18.9+1.33*1.3)*10.764</f>
        <v>222.05055599999997</v>
      </c>
      <c r="E145" s="21">
        <f t="shared" si="5"/>
        <v>80.407080000000008</v>
      </c>
      <c r="F145" s="21">
        <f t="shared" ref="F145:F147" si="6">D145*(($F$138)+1)+(IF(E145&lt;101,E145,IF(E145&lt;201,E145/2,IF(E145&lt;=301,E145/3,E145/4))))</f>
        <v>413.48291399999999</v>
      </c>
      <c r="G145" s="72" t="str">
        <f t="shared" si="4"/>
        <v>Ground Floor for Residential</v>
      </c>
      <c r="H145" s="72"/>
      <c r="I145" s="49"/>
      <c r="L145" s="62"/>
      <c r="N145" s="49"/>
    </row>
    <row r="146" spans="1:14" s="50" customFormat="1" x14ac:dyDescent="0.3">
      <c r="A146" s="72">
        <v>10</v>
      </c>
      <c r="B146" s="72"/>
      <c r="C146" s="21" t="s">
        <v>168</v>
      </c>
      <c r="D146" s="21">
        <f>(18.87+1.33*1.3)*10.764</f>
        <v>221.72763599999999</v>
      </c>
      <c r="E146" s="21">
        <f t="shared" si="5"/>
        <v>80.407080000000008</v>
      </c>
      <c r="F146" s="21">
        <f t="shared" si="6"/>
        <v>412.99853400000001</v>
      </c>
      <c r="G146" s="72" t="str">
        <f t="shared" si="4"/>
        <v>Ground Floor for Residential</v>
      </c>
      <c r="H146" s="72"/>
      <c r="I146" s="49"/>
      <c r="L146" s="62"/>
      <c r="N146" s="49"/>
    </row>
    <row r="147" spans="1:14" s="50" customFormat="1" x14ac:dyDescent="0.3">
      <c r="A147" s="72">
        <v>12</v>
      </c>
      <c r="B147" s="72"/>
      <c r="C147" s="21" t="s">
        <v>168</v>
      </c>
      <c r="D147" s="21">
        <f>(19+1.33*1.3)*10.764</f>
        <v>223.12695599999998</v>
      </c>
      <c r="E147" s="21">
        <f t="shared" si="5"/>
        <v>80.407080000000008</v>
      </c>
      <c r="F147" s="21">
        <f t="shared" si="6"/>
        <v>415.09751399999999</v>
      </c>
      <c r="G147" s="72" t="str">
        <f t="shared" si="4"/>
        <v>Ground Floor for Residential</v>
      </c>
      <c r="H147" s="72"/>
      <c r="I147" s="49"/>
      <c r="L147" s="62"/>
      <c r="N147" s="49"/>
    </row>
    <row r="148" spans="1:14" s="50" customFormat="1" x14ac:dyDescent="0.3">
      <c r="A148" s="72">
        <v>14</v>
      </c>
      <c r="B148" s="72"/>
      <c r="C148" s="21" t="s">
        <v>168</v>
      </c>
      <c r="D148" s="21">
        <f>(18.97+1.33*1.3)*10.764</f>
        <v>222.80403599999997</v>
      </c>
      <c r="E148" s="21">
        <f t="shared" si="5"/>
        <v>80.407080000000008</v>
      </c>
      <c r="F148" s="21">
        <f t="shared" ref="F148" si="7">D148*(($F$138)+1)+(IF(E148&lt;101,E148,IF(E148&lt;201,E148/2,IF(E148&lt;=301,E148/3,E148/4))))</f>
        <v>414.61313399999995</v>
      </c>
      <c r="G148" s="72" t="str">
        <f t="shared" si="4"/>
        <v>Ground Floor for Residential</v>
      </c>
      <c r="H148" s="72"/>
      <c r="I148" s="49">
        <f>(3.18*4.15+0.65*2.87+1.42*0.65+1.27*2.05+1*0.15)*10.764</f>
        <v>201.70659599999999</v>
      </c>
      <c r="L148" s="62"/>
      <c r="N148" s="49"/>
    </row>
    <row r="149" spans="1:14" s="50" customFormat="1" x14ac:dyDescent="0.3">
      <c r="A149" s="72">
        <v>16</v>
      </c>
      <c r="B149" s="72"/>
      <c r="C149" s="21" t="s">
        <v>191</v>
      </c>
      <c r="D149" s="21">
        <f>(28.34+1.05*2)*10.764</f>
        <v>327.65616</v>
      </c>
      <c r="E149" s="21">
        <f>5.85*1.5*10.764</f>
        <v>94.454099999999983</v>
      </c>
      <c r="F149" s="21">
        <f t="shared" ref="F149" si="8">D149*(($F$138)+1)+(IF(E149&lt;101,E149,IF(E149&lt;201,E149/2,IF(E149&lt;=301,E149/3,E149/4))))</f>
        <v>585.93833999999993</v>
      </c>
      <c r="G149" s="72" t="str">
        <f t="shared" si="4"/>
        <v>Ground Floor for Residential</v>
      </c>
      <c r="H149" s="72"/>
      <c r="I149" s="49">
        <f>(0.9*1.67+2.4*2.15+1.42*0.825+3.15*4.3+1.27*2.05)*10.764</f>
        <v>258.15301199999999</v>
      </c>
      <c r="J149" s="50">
        <f>2000000/F149</f>
        <v>3413.3284399856821</v>
      </c>
      <c r="K149" s="50">
        <f>2.1+2.6*3.875+2.6*2.625+2.4*2.05+2.175*1.29+1+1.05*2</f>
        <v>29.825749999999999</v>
      </c>
      <c r="L149" s="62"/>
      <c r="N149" s="49"/>
    </row>
    <row r="150" spans="1:14" s="50" customFormat="1" ht="15.75" customHeight="1" x14ac:dyDescent="0.3">
      <c r="A150" s="86" t="s">
        <v>203</v>
      </c>
      <c r="B150" s="87"/>
      <c r="C150" s="87"/>
      <c r="D150" s="87"/>
      <c r="E150" s="87"/>
      <c r="F150" s="87"/>
      <c r="G150" s="87"/>
      <c r="H150" s="88"/>
      <c r="I150" s="49"/>
      <c r="L150" s="62"/>
    </row>
    <row r="151" spans="1:14" s="50" customFormat="1" ht="15.75" customHeight="1" x14ac:dyDescent="0.3">
      <c r="A151" s="81">
        <v>1</v>
      </c>
      <c r="B151" s="83"/>
      <c r="C151" s="21" t="s">
        <v>191</v>
      </c>
      <c r="D151" s="55">
        <f>(27.37+1.075*1.85)*10.764</f>
        <v>316.017585</v>
      </c>
      <c r="E151" s="21">
        <v>0</v>
      </c>
      <c r="F151" s="21">
        <f t="shared" ref="F151:F165" si="9">D151*(($F$138)+1)+(IF(E151&lt;101,E151,IF(E151&lt;201,E151/2,IF(E151&lt;=301,E151/3,E151/4))))</f>
        <v>474.02637749999997</v>
      </c>
      <c r="G151" s="73" t="str">
        <f>A150</f>
        <v>1st, 3rd &amp; 4th Floor for Residential</v>
      </c>
      <c r="H151" s="74"/>
      <c r="I151" s="49"/>
      <c r="L151" s="62"/>
    </row>
    <row r="152" spans="1:14" s="50" customFormat="1" ht="15.75" customHeight="1" x14ac:dyDescent="0.3">
      <c r="A152" s="81">
        <v>2</v>
      </c>
      <c r="B152" s="83"/>
      <c r="C152" s="21" t="s">
        <v>191</v>
      </c>
      <c r="D152" s="55">
        <f>(27.88+1.075*2.025)*10.764</f>
        <v>323.53220249999998</v>
      </c>
      <c r="E152" s="21">
        <v>0</v>
      </c>
      <c r="F152" s="21">
        <f t="shared" si="9"/>
        <v>485.29830374999995</v>
      </c>
      <c r="G152" s="75"/>
      <c r="H152" s="76"/>
      <c r="I152" s="49"/>
      <c r="L152" s="62"/>
    </row>
    <row r="153" spans="1:14" s="50" customFormat="1" ht="15.75" customHeight="1" x14ac:dyDescent="0.3">
      <c r="A153" s="81">
        <v>3</v>
      </c>
      <c r="B153" s="83"/>
      <c r="C153" s="21" t="s">
        <v>168</v>
      </c>
      <c r="D153" s="55">
        <f>(18.96+1.3*1.33)*10.764</f>
        <v>222.69639599999999</v>
      </c>
      <c r="E153" s="21">
        <v>0</v>
      </c>
      <c r="F153" s="21">
        <f t="shared" si="9"/>
        <v>334.04459399999996</v>
      </c>
      <c r="G153" s="75"/>
      <c r="H153" s="76"/>
      <c r="I153" s="49"/>
      <c r="L153" s="62"/>
    </row>
    <row r="154" spans="1:14" s="50" customFormat="1" ht="15.75" customHeight="1" x14ac:dyDescent="0.3">
      <c r="A154" s="81">
        <v>4</v>
      </c>
      <c r="B154" s="83"/>
      <c r="C154" s="21" t="s">
        <v>168</v>
      </c>
      <c r="D154" s="55">
        <f>(18.97+1.3*1.33)*10.764</f>
        <v>222.80403599999997</v>
      </c>
      <c r="E154" s="21">
        <v>0</v>
      </c>
      <c r="F154" s="21">
        <f t="shared" si="9"/>
        <v>334.20605399999994</v>
      </c>
      <c r="G154" s="75"/>
      <c r="H154" s="76"/>
      <c r="I154" s="49"/>
      <c r="J154" s="55">
        <v>10.763999999999999</v>
      </c>
      <c r="L154" s="62"/>
    </row>
    <row r="155" spans="1:14" s="50" customFormat="1" ht="15.75" customHeight="1" x14ac:dyDescent="0.3">
      <c r="A155" s="81">
        <v>5</v>
      </c>
      <c r="B155" s="83"/>
      <c r="C155" s="21" t="s">
        <v>168</v>
      </c>
      <c r="D155" s="55">
        <f>(18.99+1.3*1.33)*10.764</f>
        <v>223.01931599999998</v>
      </c>
      <c r="E155" s="21">
        <v>0</v>
      </c>
      <c r="F155" s="21">
        <f t="shared" si="9"/>
        <v>334.52897399999995</v>
      </c>
      <c r="G155" s="75"/>
      <c r="H155" s="76"/>
      <c r="I155" s="49"/>
      <c r="L155" s="62"/>
    </row>
    <row r="156" spans="1:14" s="50" customFormat="1" ht="15.75" customHeight="1" x14ac:dyDescent="0.3">
      <c r="A156" s="81">
        <v>6</v>
      </c>
      <c r="B156" s="83"/>
      <c r="C156" s="21" t="s">
        <v>168</v>
      </c>
      <c r="D156" s="55">
        <f>(18.9+1.3*1.33)*10.764</f>
        <v>222.05055599999997</v>
      </c>
      <c r="E156" s="21">
        <v>0</v>
      </c>
      <c r="F156" s="21">
        <f t="shared" si="9"/>
        <v>333.07583399999999</v>
      </c>
      <c r="G156" s="75"/>
      <c r="H156" s="76"/>
      <c r="I156" s="49"/>
      <c r="L156" s="62"/>
    </row>
    <row r="157" spans="1:14" s="50" customFormat="1" ht="15.75" customHeight="1" x14ac:dyDescent="0.3">
      <c r="A157" s="81">
        <v>7</v>
      </c>
      <c r="B157" s="83"/>
      <c r="C157" s="21" t="s">
        <v>168</v>
      </c>
      <c r="D157" s="55">
        <f>(18.91+1.3*1.33)*10.764</f>
        <v>222.15819599999998</v>
      </c>
      <c r="E157" s="21">
        <v>0</v>
      </c>
      <c r="F157" s="21">
        <f t="shared" si="9"/>
        <v>333.23729399999996</v>
      </c>
      <c r="G157" s="75"/>
      <c r="H157" s="76"/>
      <c r="I157" s="49"/>
      <c r="L157" s="62"/>
    </row>
    <row r="158" spans="1:14" s="50" customFormat="1" ht="15.75" customHeight="1" x14ac:dyDescent="0.3">
      <c r="A158" s="81">
        <v>8</v>
      </c>
      <c r="B158" s="83"/>
      <c r="C158" s="21" t="s">
        <v>168</v>
      </c>
      <c r="D158" s="55">
        <f>(18.9+1.3*1.33)*10.764</f>
        <v>222.05055599999997</v>
      </c>
      <c r="E158" s="21">
        <v>0</v>
      </c>
      <c r="F158" s="21">
        <f t="shared" si="9"/>
        <v>333.07583399999999</v>
      </c>
      <c r="G158" s="75"/>
      <c r="H158" s="76"/>
      <c r="I158" s="49"/>
      <c r="L158" s="62"/>
    </row>
    <row r="159" spans="1:14" s="50" customFormat="1" ht="15.75" customHeight="1" x14ac:dyDescent="0.3">
      <c r="A159" s="81">
        <v>9</v>
      </c>
      <c r="B159" s="83"/>
      <c r="C159" s="21" t="s">
        <v>168</v>
      </c>
      <c r="D159" s="55">
        <f>(18.92+1.3*1.33)*10.764</f>
        <v>222.26583600000001</v>
      </c>
      <c r="E159" s="21">
        <v>0</v>
      </c>
      <c r="F159" s="21">
        <f t="shared" si="9"/>
        <v>333.398754</v>
      </c>
      <c r="G159" s="75"/>
      <c r="H159" s="76"/>
      <c r="I159" s="49"/>
      <c r="L159" s="62"/>
    </row>
    <row r="160" spans="1:14" s="50" customFormat="1" ht="15.75" customHeight="1" x14ac:dyDescent="0.3">
      <c r="A160" s="81">
        <v>10</v>
      </c>
      <c r="B160" s="83"/>
      <c r="C160" s="21" t="s">
        <v>191</v>
      </c>
      <c r="D160" s="55">
        <f>(29.17+1.3*1.33)*10.764</f>
        <v>332.596836</v>
      </c>
      <c r="E160" s="21">
        <v>0</v>
      </c>
      <c r="F160" s="21">
        <f t="shared" si="9"/>
        <v>498.89525400000002</v>
      </c>
      <c r="G160" s="75"/>
      <c r="H160" s="76"/>
      <c r="I160" s="49"/>
      <c r="L160" s="62"/>
    </row>
    <row r="161" spans="1:12" s="50" customFormat="1" ht="15.75" customHeight="1" x14ac:dyDescent="0.3">
      <c r="A161" s="81">
        <v>11</v>
      </c>
      <c r="B161" s="83"/>
      <c r="C161" s="21" t="s">
        <v>168</v>
      </c>
      <c r="D161" s="55">
        <f>(19.02+1.3*1.33)*10.764</f>
        <v>223.34223599999999</v>
      </c>
      <c r="E161" s="21">
        <v>0</v>
      </c>
      <c r="F161" s="21">
        <f t="shared" si="9"/>
        <v>335.01335399999999</v>
      </c>
      <c r="G161" s="75"/>
      <c r="H161" s="76"/>
      <c r="I161" s="49"/>
      <c r="L161" s="62"/>
    </row>
    <row r="162" spans="1:12" s="50" customFormat="1" ht="15.75" customHeight="1" x14ac:dyDescent="0.3">
      <c r="A162" s="81">
        <v>13</v>
      </c>
      <c r="B162" s="83"/>
      <c r="C162" s="21" t="s">
        <v>168</v>
      </c>
      <c r="D162" s="55">
        <f>(18.96+1.3*1.33)*10.764</f>
        <v>222.69639599999999</v>
      </c>
      <c r="E162" s="21">
        <v>0</v>
      </c>
      <c r="F162" s="21">
        <f t="shared" si="9"/>
        <v>334.04459399999996</v>
      </c>
      <c r="G162" s="75"/>
      <c r="H162" s="76"/>
      <c r="I162" s="49"/>
      <c r="L162" s="62"/>
    </row>
    <row r="163" spans="1:12" s="50" customFormat="1" ht="15.75" customHeight="1" x14ac:dyDescent="0.3">
      <c r="A163" s="81">
        <v>14</v>
      </c>
      <c r="B163" s="83"/>
      <c r="C163" s="21" t="s">
        <v>191</v>
      </c>
      <c r="D163" s="55">
        <f>(28.15+1.3*1.33)*10.764</f>
        <v>321.61755599999998</v>
      </c>
      <c r="E163" s="21">
        <v>0</v>
      </c>
      <c r="F163" s="21">
        <f t="shared" si="9"/>
        <v>482.426334</v>
      </c>
      <c r="G163" s="75"/>
      <c r="H163" s="76"/>
      <c r="I163" s="49"/>
      <c r="L163" s="62"/>
    </row>
    <row r="164" spans="1:12" s="50" customFormat="1" ht="15.75" customHeight="1" x14ac:dyDescent="0.3">
      <c r="A164" s="81">
        <v>15</v>
      </c>
      <c r="B164" s="83"/>
      <c r="C164" s="21" t="s">
        <v>191</v>
      </c>
      <c r="D164" s="55">
        <f>(27.83+1.075*2.025)*10.764</f>
        <v>322.99400249999997</v>
      </c>
      <c r="E164" s="21">
        <v>0</v>
      </c>
      <c r="F164" s="21">
        <f t="shared" si="9"/>
        <v>484.49100374999995</v>
      </c>
      <c r="G164" s="75"/>
      <c r="H164" s="76"/>
      <c r="I164" s="49">
        <f>2000000/F164</f>
        <v>4128.0436262383337</v>
      </c>
      <c r="L164" s="62"/>
    </row>
    <row r="165" spans="1:12" s="50" customFormat="1" ht="15.75" customHeight="1" x14ac:dyDescent="0.3">
      <c r="A165" s="81">
        <v>16</v>
      </c>
      <c r="B165" s="83"/>
      <c r="C165" s="21" t="s">
        <v>191</v>
      </c>
      <c r="D165" s="55">
        <f>(28.34+1.075*2.025)*10.764</f>
        <v>328.48364249999997</v>
      </c>
      <c r="E165" s="21">
        <v>0</v>
      </c>
      <c r="F165" s="21">
        <f t="shared" si="9"/>
        <v>492.72546374999996</v>
      </c>
      <c r="G165" s="77"/>
      <c r="H165" s="78"/>
      <c r="I165" s="49">
        <f>2000000/F165</f>
        <v>4059.0554926440013</v>
      </c>
      <c r="J165" s="50">
        <f>1700000/F165</f>
        <v>3450.1971687474011</v>
      </c>
      <c r="L165" s="62"/>
    </row>
    <row r="166" spans="1:12" s="50" customFormat="1" ht="15.75" customHeight="1" x14ac:dyDescent="0.3">
      <c r="A166" s="86" t="s">
        <v>202</v>
      </c>
      <c r="B166" s="87"/>
      <c r="C166" s="87"/>
      <c r="D166" s="87"/>
      <c r="E166" s="87"/>
      <c r="F166" s="87"/>
      <c r="G166" s="87"/>
      <c r="H166" s="88"/>
      <c r="I166" s="49"/>
      <c r="L166" s="62"/>
    </row>
    <row r="167" spans="1:12" s="50" customFormat="1" ht="15.75" customHeight="1" x14ac:dyDescent="0.3">
      <c r="A167" s="81">
        <v>1</v>
      </c>
      <c r="B167" s="83"/>
      <c r="C167" s="21" t="s">
        <v>191</v>
      </c>
      <c r="D167" s="55">
        <f>(27.37+1.075*1.85)*10.764</f>
        <v>316.017585</v>
      </c>
      <c r="E167" s="21">
        <v>0</v>
      </c>
      <c r="F167" s="21">
        <f t="shared" ref="F167:F172" si="10">D167*(($F$138)+1)+(IF(E167&lt;101,E167,IF(E167&lt;201,E167/2,IF(E167&lt;=301,E167/3,E167/4))))</f>
        <v>474.02637749999997</v>
      </c>
      <c r="G167" s="73" t="str">
        <f>A166</f>
        <v>2nd, 5th, 6th, 7th, 9th &amp; 10th Floor for Residential</v>
      </c>
      <c r="H167" s="74"/>
      <c r="I167" s="49"/>
      <c r="L167" s="62"/>
    </row>
    <row r="168" spans="1:12" s="50" customFormat="1" ht="15.75" customHeight="1" x14ac:dyDescent="0.3">
      <c r="A168" s="81">
        <v>2</v>
      </c>
      <c r="B168" s="83"/>
      <c r="C168" s="21" t="s">
        <v>191</v>
      </c>
      <c r="D168" s="55">
        <f>(27.88+1.075*2.025)*10.764</f>
        <v>323.53220249999998</v>
      </c>
      <c r="E168" s="21">
        <v>0</v>
      </c>
      <c r="F168" s="21">
        <f t="shared" si="10"/>
        <v>485.29830374999995</v>
      </c>
      <c r="G168" s="75"/>
      <c r="H168" s="76"/>
      <c r="I168" s="49"/>
      <c r="L168" s="62"/>
    </row>
    <row r="169" spans="1:12" s="50" customFormat="1" ht="15.75" customHeight="1" x14ac:dyDescent="0.3">
      <c r="A169" s="81">
        <v>3</v>
      </c>
      <c r="B169" s="83"/>
      <c r="C169" s="21" t="s">
        <v>168</v>
      </c>
      <c r="D169" s="55">
        <f>(18.96+1.3*1.33)*10.764</f>
        <v>222.69639599999999</v>
      </c>
      <c r="E169" s="21">
        <v>0</v>
      </c>
      <c r="F169" s="21">
        <f t="shared" si="10"/>
        <v>334.04459399999996</v>
      </c>
      <c r="G169" s="75"/>
      <c r="H169" s="76"/>
      <c r="I169" s="49"/>
      <c r="L169" s="62"/>
    </row>
    <row r="170" spans="1:12" s="50" customFormat="1" ht="15.75" customHeight="1" x14ac:dyDescent="0.3">
      <c r="A170" s="81">
        <v>4</v>
      </c>
      <c r="B170" s="83"/>
      <c r="C170" s="21" t="s">
        <v>168</v>
      </c>
      <c r="D170" s="55">
        <f>(18.97+1.3*1.33)*10.764</f>
        <v>222.80403599999997</v>
      </c>
      <c r="E170" s="21">
        <v>0</v>
      </c>
      <c r="F170" s="21">
        <f t="shared" si="10"/>
        <v>334.20605399999994</v>
      </c>
      <c r="G170" s="75"/>
      <c r="H170" s="76"/>
      <c r="I170" s="49"/>
      <c r="J170" s="55">
        <v>10.763999999999999</v>
      </c>
      <c r="L170" s="62"/>
    </row>
    <row r="171" spans="1:12" s="50" customFormat="1" ht="15.75" customHeight="1" x14ac:dyDescent="0.3">
      <c r="A171" s="81">
        <v>5</v>
      </c>
      <c r="B171" s="83"/>
      <c r="C171" s="21" t="s">
        <v>168</v>
      </c>
      <c r="D171" s="55">
        <f>(18.99+1.3*1.33)*10.764</f>
        <v>223.01931599999998</v>
      </c>
      <c r="E171" s="21">
        <v>0</v>
      </c>
      <c r="F171" s="21">
        <f t="shared" si="10"/>
        <v>334.52897399999995</v>
      </c>
      <c r="G171" s="75"/>
      <c r="H171" s="76"/>
      <c r="I171" s="49"/>
      <c r="L171" s="62"/>
    </row>
    <row r="172" spans="1:12" s="50" customFormat="1" ht="15.75" customHeight="1" x14ac:dyDescent="0.3">
      <c r="A172" s="81">
        <v>6</v>
      </c>
      <c r="B172" s="83"/>
      <c r="C172" s="21" t="s">
        <v>168</v>
      </c>
      <c r="D172" s="55">
        <f>(18.9+1.3*1.33)*10.764</f>
        <v>222.05055599999997</v>
      </c>
      <c r="E172" s="21">
        <v>0</v>
      </c>
      <c r="F172" s="21">
        <f t="shared" si="10"/>
        <v>333.07583399999999</v>
      </c>
      <c r="G172" s="75"/>
      <c r="H172" s="76"/>
      <c r="I172" s="49"/>
      <c r="L172" s="62"/>
    </row>
    <row r="173" spans="1:12" s="50" customFormat="1" ht="15.75" customHeight="1" x14ac:dyDescent="0.3">
      <c r="A173" s="81">
        <v>7</v>
      </c>
      <c r="B173" s="83"/>
      <c r="C173" s="21" t="s">
        <v>168</v>
      </c>
      <c r="D173" s="55">
        <f>(18.91+1.3*1.33)*10.764</f>
        <v>222.15819599999998</v>
      </c>
      <c r="E173" s="21">
        <v>0</v>
      </c>
      <c r="F173" s="21">
        <f t="shared" ref="F173:F178" si="11">D173*(($F$138)+1)+(IF(E173&lt;101,E173,IF(E173&lt;201,E173/2,IF(E173&lt;=301,E173/3,E173/4))))</f>
        <v>333.23729399999996</v>
      </c>
      <c r="G173" s="75"/>
      <c r="H173" s="76"/>
      <c r="I173" s="49"/>
      <c r="L173" s="62"/>
    </row>
    <row r="174" spans="1:12" s="50" customFormat="1" ht="15.75" customHeight="1" x14ac:dyDescent="0.3">
      <c r="A174" s="81">
        <v>8</v>
      </c>
      <c r="B174" s="83"/>
      <c r="C174" s="21" t="s">
        <v>168</v>
      </c>
      <c r="D174" s="55">
        <f>(18.9+1.3*1.33)*10.764</f>
        <v>222.05055599999997</v>
      </c>
      <c r="E174" s="21">
        <v>0</v>
      </c>
      <c r="F174" s="21">
        <f t="shared" si="11"/>
        <v>333.07583399999999</v>
      </c>
      <c r="G174" s="75"/>
      <c r="H174" s="76"/>
      <c r="I174" s="49"/>
      <c r="L174" s="62"/>
    </row>
    <row r="175" spans="1:12" s="50" customFormat="1" ht="15.75" customHeight="1" x14ac:dyDescent="0.3">
      <c r="A175" s="81">
        <v>9</v>
      </c>
      <c r="B175" s="83"/>
      <c r="C175" s="21" t="s">
        <v>168</v>
      </c>
      <c r="D175" s="55">
        <f>(18.92+1.3*1.33)*10.764</f>
        <v>222.26583600000001</v>
      </c>
      <c r="E175" s="21">
        <v>0</v>
      </c>
      <c r="F175" s="21">
        <f t="shared" si="11"/>
        <v>333.398754</v>
      </c>
      <c r="G175" s="75"/>
      <c r="H175" s="76"/>
      <c r="I175" s="49"/>
      <c r="L175" s="62"/>
    </row>
    <row r="176" spans="1:12" s="50" customFormat="1" ht="15.75" customHeight="1" x14ac:dyDescent="0.3">
      <c r="A176" s="81">
        <v>10</v>
      </c>
      <c r="B176" s="83"/>
      <c r="C176" s="21" t="s">
        <v>168</v>
      </c>
      <c r="D176" s="55">
        <f>(18.87+1.3*1.33)*10.764</f>
        <v>221.72763599999999</v>
      </c>
      <c r="E176" s="21">
        <v>0</v>
      </c>
      <c r="F176" s="21">
        <f t="shared" si="11"/>
        <v>332.591454</v>
      </c>
      <c r="G176" s="75"/>
      <c r="H176" s="76"/>
      <c r="I176" s="49"/>
      <c r="L176" s="62"/>
    </row>
    <row r="177" spans="1:12" s="50" customFormat="1" ht="15.75" customHeight="1" x14ac:dyDescent="0.3">
      <c r="A177" s="81">
        <v>11</v>
      </c>
      <c r="B177" s="83"/>
      <c r="C177" s="21" t="s">
        <v>168</v>
      </c>
      <c r="D177" s="55">
        <f>(19.02+1.3*1.33)*10.764</f>
        <v>223.34223599999999</v>
      </c>
      <c r="E177" s="21">
        <v>0</v>
      </c>
      <c r="F177" s="21">
        <f t="shared" si="11"/>
        <v>335.01335399999999</v>
      </c>
      <c r="G177" s="75"/>
      <c r="H177" s="76"/>
      <c r="I177" s="49"/>
      <c r="L177" s="62"/>
    </row>
    <row r="178" spans="1:12" s="50" customFormat="1" ht="15.75" customHeight="1" x14ac:dyDescent="0.3">
      <c r="A178" s="81">
        <v>12</v>
      </c>
      <c r="B178" s="83"/>
      <c r="C178" s="21" t="s">
        <v>168</v>
      </c>
      <c r="D178" s="55">
        <f>(18.96+1.3*1.33)*10.764</f>
        <v>222.69639599999999</v>
      </c>
      <c r="E178" s="21">
        <v>0</v>
      </c>
      <c r="F178" s="21">
        <f t="shared" si="11"/>
        <v>334.04459399999996</v>
      </c>
      <c r="G178" s="75"/>
      <c r="H178" s="76"/>
      <c r="I178" s="49"/>
      <c r="L178" s="62"/>
    </row>
    <row r="179" spans="1:12" s="50" customFormat="1" ht="15.75" customHeight="1" x14ac:dyDescent="0.3">
      <c r="A179" s="81">
        <v>13</v>
      </c>
      <c r="B179" s="83"/>
      <c r="C179" s="21" t="s">
        <v>168</v>
      </c>
      <c r="D179" s="55">
        <f>(18.96+1.3*1.33)*10.764</f>
        <v>222.69639599999999</v>
      </c>
      <c r="E179" s="21">
        <v>0</v>
      </c>
      <c r="F179" s="21">
        <f t="shared" ref="F179:F182" si="12">D179*(($F$138)+1)+(IF(E179&lt;101,E179,IF(E179&lt;201,E179/2,IF(E179&lt;=301,E179/3,E179/4))))</f>
        <v>334.04459399999996</v>
      </c>
      <c r="G179" s="75"/>
      <c r="H179" s="76"/>
      <c r="I179" s="49"/>
      <c r="L179" s="62"/>
    </row>
    <row r="180" spans="1:12" s="50" customFormat="1" ht="15.75" customHeight="1" x14ac:dyDescent="0.3">
      <c r="A180" s="81">
        <v>14</v>
      </c>
      <c r="B180" s="83"/>
      <c r="C180" s="21" t="s">
        <v>168</v>
      </c>
      <c r="D180" s="55">
        <f>(18.67+1.3*1.33)*10.764</f>
        <v>219.574836</v>
      </c>
      <c r="E180" s="21">
        <v>0</v>
      </c>
      <c r="F180" s="21">
        <f t="shared" si="12"/>
        <v>329.36225400000001</v>
      </c>
      <c r="G180" s="75"/>
      <c r="H180" s="76"/>
      <c r="I180" s="49"/>
      <c r="L180" s="62"/>
    </row>
    <row r="181" spans="1:12" s="50" customFormat="1" ht="15.75" customHeight="1" x14ac:dyDescent="0.3">
      <c r="A181" s="81">
        <v>15</v>
      </c>
      <c r="B181" s="83"/>
      <c r="C181" s="21" t="s">
        <v>191</v>
      </c>
      <c r="D181" s="55">
        <f>(27.83+1.075*2.025)*10.764</f>
        <v>322.99400249999997</v>
      </c>
      <c r="E181" s="21">
        <v>0</v>
      </c>
      <c r="F181" s="21">
        <f t="shared" si="12"/>
        <v>484.49100374999995</v>
      </c>
      <c r="G181" s="75"/>
      <c r="H181" s="76"/>
      <c r="I181" s="49">
        <f>2000000/F181</f>
        <v>4128.0436262383337</v>
      </c>
      <c r="L181" s="62"/>
    </row>
    <row r="182" spans="1:12" s="50" customFormat="1" ht="15.75" customHeight="1" x14ac:dyDescent="0.3">
      <c r="A182" s="81">
        <v>16</v>
      </c>
      <c r="B182" s="83"/>
      <c r="C182" s="21" t="s">
        <v>191</v>
      </c>
      <c r="D182" s="55">
        <f>(28.34+1.075*2.025)*10.764</f>
        <v>328.48364249999997</v>
      </c>
      <c r="E182" s="21">
        <v>0</v>
      </c>
      <c r="F182" s="21">
        <f t="shared" si="12"/>
        <v>492.72546374999996</v>
      </c>
      <c r="G182" s="77"/>
      <c r="H182" s="78"/>
      <c r="I182" s="49">
        <f>2000000/F182</f>
        <v>4059.0554926440013</v>
      </c>
      <c r="J182" s="50">
        <f>1700000/F182</f>
        <v>3450.1971687474011</v>
      </c>
      <c r="L182" s="62"/>
    </row>
    <row r="183" spans="1:12" s="50" customFormat="1" ht="15.75" customHeight="1" x14ac:dyDescent="0.3">
      <c r="A183" s="86" t="s">
        <v>204</v>
      </c>
      <c r="B183" s="87"/>
      <c r="C183" s="87"/>
      <c r="D183" s="87"/>
      <c r="E183" s="87"/>
      <c r="F183" s="87"/>
      <c r="G183" s="87"/>
      <c r="H183" s="88"/>
      <c r="I183" s="49"/>
      <c r="L183" s="62"/>
    </row>
    <row r="184" spans="1:12" s="50" customFormat="1" ht="15.75" customHeight="1" x14ac:dyDescent="0.3">
      <c r="A184" s="81">
        <v>1</v>
      </c>
      <c r="B184" s="83"/>
      <c r="C184" s="21" t="s">
        <v>191</v>
      </c>
      <c r="D184" s="55">
        <f>(27.37+1.075*1.85)*10.764</f>
        <v>316.017585</v>
      </c>
      <c r="E184" s="21">
        <v>0</v>
      </c>
      <c r="F184" s="21">
        <f t="shared" ref="F184:F198" si="13">D184*(($F$138)+1)+(IF(E184&lt;101,E184,IF(E184&lt;201,E184/2,IF(E184&lt;=301,E184/3,E184/4))))</f>
        <v>474.02637749999997</v>
      </c>
      <c r="G184" s="73" t="str">
        <f>A183</f>
        <v>11th Floor for Residential</v>
      </c>
      <c r="H184" s="74"/>
      <c r="I184" s="49"/>
      <c r="L184" s="62"/>
    </row>
    <row r="185" spans="1:12" s="50" customFormat="1" ht="15.75" customHeight="1" x14ac:dyDescent="0.3">
      <c r="A185" s="81">
        <v>2</v>
      </c>
      <c r="B185" s="83"/>
      <c r="C185" s="21" t="s">
        <v>191</v>
      </c>
      <c r="D185" s="55">
        <f>(27.88+1.075*2.025)*10.764</f>
        <v>323.53220249999998</v>
      </c>
      <c r="E185" s="21">
        <v>0</v>
      </c>
      <c r="F185" s="21">
        <f t="shared" si="13"/>
        <v>485.29830374999995</v>
      </c>
      <c r="G185" s="75"/>
      <c r="H185" s="76"/>
      <c r="I185" s="49"/>
      <c r="L185" s="62"/>
    </row>
    <row r="186" spans="1:12" s="50" customFormat="1" ht="15.75" customHeight="1" x14ac:dyDescent="0.3">
      <c r="A186" s="81">
        <v>3</v>
      </c>
      <c r="B186" s="83"/>
      <c r="C186" s="21" t="s">
        <v>191</v>
      </c>
      <c r="D186" s="55">
        <f>(28.58+1.3*1.33)*10.764</f>
        <v>326.24607599999996</v>
      </c>
      <c r="E186" s="21">
        <v>0</v>
      </c>
      <c r="F186" s="21">
        <f t="shared" si="13"/>
        <v>489.36911399999997</v>
      </c>
      <c r="G186" s="75"/>
      <c r="H186" s="76"/>
      <c r="I186" s="49"/>
      <c r="L186" s="62"/>
    </row>
    <row r="187" spans="1:12" s="50" customFormat="1" ht="15.75" customHeight="1" x14ac:dyDescent="0.3">
      <c r="A187" s="81">
        <v>4</v>
      </c>
      <c r="B187" s="83"/>
      <c r="C187" s="21" t="s">
        <v>168</v>
      </c>
      <c r="D187" s="55">
        <f>(18.97+1.3*1.33)*10.764</f>
        <v>222.80403599999997</v>
      </c>
      <c r="E187" s="21">
        <v>0</v>
      </c>
      <c r="F187" s="21">
        <f t="shared" si="13"/>
        <v>334.20605399999994</v>
      </c>
      <c r="G187" s="75"/>
      <c r="H187" s="76"/>
      <c r="I187" s="49"/>
      <c r="J187" s="55">
        <v>10.763999999999999</v>
      </c>
      <c r="L187" s="62"/>
    </row>
    <row r="188" spans="1:12" s="50" customFormat="1" ht="15.75" customHeight="1" x14ac:dyDescent="0.3">
      <c r="A188" s="81">
        <v>6</v>
      </c>
      <c r="B188" s="83"/>
      <c r="C188" s="21" t="s">
        <v>168</v>
      </c>
      <c r="D188" s="55">
        <f>(18.9+1.3*1.33)*10.764</f>
        <v>222.05055599999997</v>
      </c>
      <c r="E188" s="21">
        <v>0</v>
      </c>
      <c r="F188" s="21">
        <f t="shared" si="13"/>
        <v>333.07583399999999</v>
      </c>
      <c r="G188" s="75"/>
      <c r="H188" s="76"/>
      <c r="I188" s="49"/>
      <c r="L188" s="62"/>
    </row>
    <row r="189" spans="1:12" s="50" customFormat="1" ht="15.75" customHeight="1" x14ac:dyDescent="0.3">
      <c r="A189" s="81">
        <v>7</v>
      </c>
      <c r="B189" s="83"/>
      <c r="C189" s="21" t="s">
        <v>191</v>
      </c>
      <c r="D189" s="55">
        <f>(29.39+1.3*1.33)*10.764</f>
        <v>334.96491599999996</v>
      </c>
      <c r="E189" s="21">
        <v>0</v>
      </c>
      <c r="F189" s="21">
        <f t="shared" si="13"/>
        <v>502.44737399999997</v>
      </c>
      <c r="G189" s="75"/>
      <c r="H189" s="76"/>
      <c r="I189" s="49"/>
      <c r="L189" s="62"/>
    </row>
    <row r="190" spans="1:12" s="50" customFormat="1" ht="15.75" customHeight="1" x14ac:dyDescent="0.3">
      <c r="A190" s="81">
        <v>8</v>
      </c>
      <c r="B190" s="83"/>
      <c r="C190" s="21" t="s">
        <v>168</v>
      </c>
      <c r="D190" s="55">
        <f>(18.9+1.3*1.33)*10.764</f>
        <v>222.05055599999997</v>
      </c>
      <c r="E190" s="21">
        <v>0</v>
      </c>
      <c r="F190" s="21">
        <f t="shared" si="13"/>
        <v>333.07583399999999</v>
      </c>
      <c r="G190" s="75"/>
      <c r="H190" s="76"/>
      <c r="I190" s="49"/>
      <c r="L190" s="62"/>
    </row>
    <row r="191" spans="1:12" s="50" customFormat="1" ht="15.75" customHeight="1" x14ac:dyDescent="0.3">
      <c r="A191" s="81">
        <v>9</v>
      </c>
      <c r="B191" s="83"/>
      <c r="C191" s="21" t="s">
        <v>168</v>
      </c>
      <c r="D191" s="55">
        <f>(18.92+1.3*1.33)*10.764</f>
        <v>222.26583600000001</v>
      </c>
      <c r="E191" s="21">
        <v>0</v>
      </c>
      <c r="F191" s="21">
        <f t="shared" si="13"/>
        <v>333.398754</v>
      </c>
      <c r="G191" s="75"/>
      <c r="H191" s="76"/>
      <c r="I191" s="49"/>
      <c r="L191" s="62"/>
    </row>
    <row r="192" spans="1:12" s="50" customFormat="1" ht="15.75" customHeight="1" x14ac:dyDescent="0.3">
      <c r="A192" s="81">
        <v>10</v>
      </c>
      <c r="B192" s="83"/>
      <c r="C192" s="21" t="s">
        <v>168</v>
      </c>
      <c r="D192" s="55">
        <f>(18.87+1.3*1.33)*10.764</f>
        <v>221.72763599999999</v>
      </c>
      <c r="E192" s="21">
        <v>0</v>
      </c>
      <c r="F192" s="21">
        <f t="shared" si="13"/>
        <v>332.591454</v>
      </c>
      <c r="G192" s="75"/>
      <c r="H192" s="76"/>
      <c r="I192" s="49"/>
      <c r="L192" s="62"/>
    </row>
    <row r="193" spans="1:12" s="50" customFormat="1" ht="15.75" customHeight="1" x14ac:dyDescent="0.3">
      <c r="A193" s="81">
        <v>11</v>
      </c>
      <c r="B193" s="83"/>
      <c r="C193" s="21" t="s">
        <v>168</v>
      </c>
      <c r="D193" s="55">
        <f>(19.02+1.3*1.33)*10.764</f>
        <v>223.34223599999999</v>
      </c>
      <c r="E193" s="21">
        <v>0</v>
      </c>
      <c r="F193" s="21">
        <f t="shared" si="13"/>
        <v>335.01335399999999</v>
      </c>
      <c r="G193" s="75"/>
      <c r="H193" s="76"/>
      <c r="I193" s="49"/>
      <c r="L193" s="62"/>
    </row>
    <row r="194" spans="1:12" s="50" customFormat="1" ht="15.75" customHeight="1" x14ac:dyDescent="0.3">
      <c r="A194" s="81">
        <v>12</v>
      </c>
      <c r="B194" s="83"/>
      <c r="C194" s="21" t="s">
        <v>168</v>
      </c>
      <c r="D194" s="55">
        <f>(19+1.3*1.33)*10.764</f>
        <v>223.12695599999998</v>
      </c>
      <c r="E194" s="21">
        <v>0</v>
      </c>
      <c r="F194" s="21">
        <f t="shared" si="13"/>
        <v>334.69043399999998</v>
      </c>
      <c r="G194" s="75"/>
      <c r="H194" s="76"/>
      <c r="I194" s="49"/>
      <c r="L194" s="62"/>
    </row>
    <row r="195" spans="1:12" s="50" customFormat="1" ht="15.75" customHeight="1" x14ac:dyDescent="0.3">
      <c r="A195" s="81">
        <v>13</v>
      </c>
      <c r="B195" s="83"/>
      <c r="C195" s="21" t="s">
        <v>168</v>
      </c>
      <c r="D195" s="55">
        <f>(18.96+1.3*1.33)*10.764</f>
        <v>222.69639599999999</v>
      </c>
      <c r="E195" s="21">
        <v>0</v>
      </c>
      <c r="F195" s="21">
        <f t="shared" si="13"/>
        <v>334.04459399999996</v>
      </c>
      <c r="G195" s="75"/>
      <c r="H195" s="76"/>
      <c r="I195" s="49"/>
      <c r="L195" s="62"/>
    </row>
    <row r="196" spans="1:12" s="50" customFormat="1" ht="15.75" customHeight="1" x14ac:dyDescent="0.3">
      <c r="A196" s="81">
        <v>14</v>
      </c>
      <c r="B196" s="83"/>
      <c r="C196" s="21" t="s">
        <v>168</v>
      </c>
      <c r="D196" s="55">
        <f>(18.67+1.3*1.33)*10.764</f>
        <v>219.574836</v>
      </c>
      <c r="E196" s="21">
        <v>0</v>
      </c>
      <c r="F196" s="21">
        <f t="shared" si="13"/>
        <v>329.36225400000001</v>
      </c>
      <c r="G196" s="75"/>
      <c r="H196" s="76"/>
      <c r="I196" s="49"/>
      <c r="L196" s="62"/>
    </row>
    <row r="197" spans="1:12" s="50" customFormat="1" ht="15.75" customHeight="1" x14ac:dyDescent="0.3">
      <c r="A197" s="81">
        <v>15</v>
      </c>
      <c r="B197" s="83"/>
      <c r="C197" s="21" t="s">
        <v>191</v>
      </c>
      <c r="D197" s="55">
        <f>(27.83+1.075*2.025)*10.764</f>
        <v>322.99400249999997</v>
      </c>
      <c r="E197" s="21">
        <v>0</v>
      </c>
      <c r="F197" s="21">
        <f t="shared" si="13"/>
        <v>484.49100374999995</v>
      </c>
      <c r="G197" s="75"/>
      <c r="H197" s="76"/>
      <c r="I197" s="49">
        <f>2000000/F197</f>
        <v>4128.0436262383337</v>
      </c>
      <c r="L197" s="62"/>
    </row>
    <row r="198" spans="1:12" s="50" customFormat="1" ht="15.75" customHeight="1" x14ac:dyDescent="0.3">
      <c r="A198" s="81">
        <v>16</v>
      </c>
      <c r="B198" s="83"/>
      <c r="C198" s="21" t="s">
        <v>191</v>
      </c>
      <c r="D198" s="55">
        <f>(28.34+1.075*2.025)*10.764</f>
        <v>328.48364249999997</v>
      </c>
      <c r="E198" s="21">
        <v>0</v>
      </c>
      <c r="F198" s="21">
        <f t="shared" si="13"/>
        <v>492.72546374999996</v>
      </c>
      <c r="G198" s="77"/>
      <c r="H198" s="78"/>
      <c r="I198" s="49">
        <f>2000000/F198</f>
        <v>4059.0554926440013</v>
      </c>
      <c r="J198" s="50">
        <f>1700000/F198</f>
        <v>3450.1971687474011</v>
      </c>
      <c r="L198" s="62"/>
    </row>
    <row r="199" spans="1:12" s="50" customFormat="1" x14ac:dyDescent="0.3">
      <c r="A199" s="86" t="s">
        <v>205</v>
      </c>
      <c r="B199" s="87"/>
      <c r="C199" s="87"/>
      <c r="D199" s="87"/>
      <c r="E199" s="87"/>
      <c r="F199" s="87"/>
      <c r="G199" s="87"/>
      <c r="H199" s="88"/>
      <c r="I199" s="49"/>
      <c r="L199" s="62"/>
    </row>
    <row r="200" spans="1:12" s="50" customFormat="1" ht="15.75" customHeight="1" x14ac:dyDescent="0.3">
      <c r="A200" s="81">
        <v>1</v>
      </c>
      <c r="B200" s="83"/>
      <c r="C200" s="21" t="s">
        <v>191</v>
      </c>
      <c r="D200" s="55">
        <f>(27.37+1.075*1.85)*10.764</f>
        <v>316.017585</v>
      </c>
      <c r="E200" s="21">
        <v>0</v>
      </c>
      <c r="F200" s="21">
        <f t="shared" ref="F200" si="14">D200*(($F$138)+1)+(IF(E200&lt;101,E200,IF(E200&lt;201,E200/2,IF(E200&lt;=301,E200/3,E200/4))))</f>
        <v>474.02637749999997</v>
      </c>
      <c r="G200" s="73" t="str">
        <f>A199</f>
        <v>8th &amp; 18th Floor (Part Refuge Area)</v>
      </c>
      <c r="H200" s="74"/>
      <c r="I200" s="49"/>
      <c r="L200" s="62"/>
    </row>
    <row r="201" spans="1:12" s="50" customFormat="1" ht="15.75" customHeight="1" x14ac:dyDescent="0.3">
      <c r="A201" s="81">
        <v>2</v>
      </c>
      <c r="B201" s="83"/>
      <c r="C201" s="21" t="s">
        <v>191</v>
      </c>
      <c r="D201" s="55">
        <f>(27.88+1.075*2.025)*10.764</f>
        <v>323.53220249999998</v>
      </c>
      <c r="E201" s="21">
        <v>0</v>
      </c>
      <c r="F201" s="21">
        <f t="shared" ref="F201:F205" si="15">D201*(($F$138)+1)+(IF(E201&lt;101,E201,IF(E201&lt;201,E201/2,IF(E201&lt;=301,E201/3,E201/4))))</f>
        <v>485.29830374999995</v>
      </c>
      <c r="G201" s="75"/>
      <c r="H201" s="76"/>
      <c r="I201" s="49">
        <f>1700000/F201</f>
        <v>3503.0000864700119</v>
      </c>
      <c r="L201" s="62"/>
    </row>
    <row r="202" spans="1:12" s="50" customFormat="1" ht="15.75" customHeight="1" x14ac:dyDescent="0.3">
      <c r="A202" s="81">
        <v>3</v>
      </c>
      <c r="B202" s="83"/>
      <c r="C202" s="21" t="s">
        <v>168</v>
      </c>
      <c r="D202" s="55">
        <f>(18.96+1.3*1.33)*10.764</f>
        <v>222.69639599999999</v>
      </c>
      <c r="E202" s="21">
        <v>0</v>
      </c>
      <c r="F202" s="21">
        <f t="shared" si="15"/>
        <v>334.04459399999996</v>
      </c>
      <c r="G202" s="75"/>
      <c r="H202" s="76"/>
      <c r="I202" s="49"/>
      <c r="L202" s="62"/>
    </row>
    <row r="203" spans="1:12" s="50" customFormat="1" ht="15.75" customHeight="1" x14ac:dyDescent="0.3">
      <c r="A203" s="81">
        <v>4</v>
      </c>
      <c r="B203" s="83"/>
      <c r="C203" s="21" t="s">
        <v>168</v>
      </c>
      <c r="D203" s="55">
        <f>(18.97+1.3*1.33)*10.764</f>
        <v>222.80403599999997</v>
      </c>
      <c r="E203" s="21">
        <v>0</v>
      </c>
      <c r="F203" s="21">
        <f t="shared" si="15"/>
        <v>334.20605399999994</v>
      </c>
      <c r="G203" s="75"/>
      <c r="H203" s="76"/>
      <c r="I203" s="49"/>
      <c r="L203" s="62"/>
    </row>
    <row r="204" spans="1:12" s="50" customFormat="1" ht="15.75" customHeight="1" x14ac:dyDescent="0.3">
      <c r="A204" s="81">
        <v>5</v>
      </c>
      <c r="B204" s="83"/>
      <c r="C204" s="21" t="s">
        <v>168</v>
      </c>
      <c r="D204" s="55">
        <f>(18.99+1.3*1.33)*10.764</f>
        <v>223.01931599999998</v>
      </c>
      <c r="E204" s="21">
        <v>0</v>
      </c>
      <c r="F204" s="21">
        <f t="shared" si="15"/>
        <v>334.52897399999995</v>
      </c>
      <c r="G204" s="75"/>
      <c r="H204" s="76"/>
      <c r="I204" s="49"/>
      <c r="L204" s="62"/>
    </row>
    <row r="205" spans="1:12" s="50" customFormat="1" ht="15.75" customHeight="1" x14ac:dyDescent="0.3">
      <c r="A205" s="81">
        <v>6</v>
      </c>
      <c r="B205" s="83"/>
      <c r="C205" s="21" t="s">
        <v>168</v>
      </c>
      <c r="D205" s="55">
        <f>(18.9+1.3*1.33)*10.764</f>
        <v>222.05055599999997</v>
      </c>
      <c r="E205" s="21">
        <v>0</v>
      </c>
      <c r="F205" s="21">
        <f t="shared" si="15"/>
        <v>333.07583399999999</v>
      </c>
      <c r="G205" s="75"/>
      <c r="H205" s="76"/>
      <c r="I205" s="49"/>
      <c r="L205" s="62"/>
    </row>
    <row r="206" spans="1:12" s="50" customFormat="1" ht="15.75" customHeight="1" x14ac:dyDescent="0.3">
      <c r="A206" s="81">
        <v>7</v>
      </c>
      <c r="B206" s="83"/>
      <c r="C206" s="21" t="s">
        <v>168</v>
      </c>
      <c r="D206" s="55">
        <f>(18.91+1.3*1.33)*10.764</f>
        <v>222.15819599999998</v>
      </c>
      <c r="E206" s="21">
        <v>0</v>
      </c>
      <c r="F206" s="21">
        <f t="shared" ref="F206:F211" si="16">D206*(($F$138)+1)+(IF(E206&lt;101,E206,IF(E206&lt;201,E206/2,IF(E206&lt;=301,E206/3,E206/4))))</f>
        <v>333.23729399999996</v>
      </c>
      <c r="G206" s="75"/>
      <c r="H206" s="76"/>
      <c r="I206" s="49"/>
      <c r="L206" s="62"/>
    </row>
    <row r="207" spans="1:12" s="50" customFormat="1" ht="15.75" customHeight="1" x14ac:dyDescent="0.3">
      <c r="A207" s="81">
        <v>8</v>
      </c>
      <c r="B207" s="83"/>
      <c r="C207" s="21" t="s">
        <v>168</v>
      </c>
      <c r="D207" s="55">
        <f>(18.9+1.3*1.33)*10.764</f>
        <v>222.05055599999997</v>
      </c>
      <c r="E207" s="21">
        <v>0</v>
      </c>
      <c r="F207" s="21">
        <f t="shared" si="16"/>
        <v>333.07583399999999</v>
      </c>
      <c r="G207" s="75"/>
      <c r="H207" s="76"/>
      <c r="I207" s="49"/>
      <c r="L207" s="62"/>
    </row>
    <row r="208" spans="1:12" s="50" customFormat="1" ht="15.75" customHeight="1" x14ac:dyDescent="0.3">
      <c r="A208" s="81">
        <v>9</v>
      </c>
      <c r="B208" s="83"/>
      <c r="C208" s="21" t="s">
        <v>168</v>
      </c>
      <c r="D208" s="55">
        <f>(18.92+1.3*1.33)*10.764</f>
        <v>222.26583600000001</v>
      </c>
      <c r="E208" s="21">
        <v>0</v>
      </c>
      <c r="F208" s="21">
        <f t="shared" si="16"/>
        <v>333.398754</v>
      </c>
      <c r="G208" s="75"/>
      <c r="H208" s="76"/>
      <c r="I208" s="49"/>
      <c r="L208" s="62"/>
    </row>
    <row r="209" spans="1:12" s="50" customFormat="1" ht="15.75" customHeight="1" x14ac:dyDescent="0.3">
      <c r="A209" s="81">
        <v>10</v>
      </c>
      <c r="B209" s="83"/>
      <c r="C209" s="21" t="s">
        <v>168</v>
      </c>
      <c r="D209" s="55">
        <f>(18.87+1.3*1.33)*10.764</f>
        <v>221.72763599999999</v>
      </c>
      <c r="E209" s="21">
        <v>0</v>
      </c>
      <c r="F209" s="21">
        <f t="shared" si="16"/>
        <v>332.591454</v>
      </c>
      <c r="G209" s="75"/>
      <c r="H209" s="76"/>
      <c r="I209" s="49"/>
      <c r="L209" s="62"/>
    </row>
    <row r="210" spans="1:12" s="50" customFormat="1" ht="15.75" customHeight="1" x14ac:dyDescent="0.3">
      <c r="A210" s="81">
        <v>11</v>
      </c>
      <c r="B210" s="83"/>
      <c r="C210" s="21" t="s">
        <v>168</v>
      </c>
      <c r="D210" s="55">
        <f>(19.02+1.3*1.33)*10.764</f>
        <v>223.34223599999999</v>
      </c>
      <c r="E210" s="21">
        <v>0</v>
      </c>
      <c r="F210" s="21">
        <f t="shared" si="16"/>
        <v>335.01335399999999</v>
      </c>
      <c r="G210" s="75"/>
      <c r="H210" s="76"/>
      <c r="I210" s="49"/>
      <c r="L210" s="62"/>
    </row>
    <row r="211" spans="1:12" s="50" customFormat="1" ht="15.75" customHeight="1" x14ac:dyDescent="0.3">
      <c r="A211" s="81">
        <v>12</v>
      </c>
      <c r="B211" s="83"/>
      <c r="C211" s="21" t="s">
        <v>168</v>
      </c>
      <c r="D211" s="55">
        <f>(19+1.3*1.33)*10.764</f>
        <v>223.12695599999998</v>
      </c>
      <c r="E211" s="21">
        <v>0</v>
      </c>
      <c r="F211" s="21">
        <f t="shared" si="16"/>
        <v>334.69043399999998</v>
      </c>
      <c r="G211" s="75"/>
      <c r="H211" s="76"/>
      <c r="I211" s="49"/>
      <c r="L211" s="62"/>
    </row>
    <row r="212" spans="1:12" s="50" customFormat="1" ht="15.75" customHeight="1" x14ac:dyDescent="0.3">
      <c r="A212" s="81">
        <v>13</v>
      </c>
      <c r="B212" s="83"/>
      <c r="C212" s="21" t="s">
        <v>168</v>
      </c>
      <c r="D212" s="55">
        <f>(18.96+1.3*1.33)*10.764</f>
        <v>222.69639599999999</v>
      </c>
      <c r="E212" s="21">
        <v>0</v>
      </c>
      <c r="F212" s="21">
        <f>D212*(($F$138)+1)+(IF(E212&lt;101,E212,IF(E212&lt;201,E212/2,IF(E212&lt;=301,E212/3,E212/4))))</f>
        <v>334.04459399999996</v>
      </c>
      <c r="G212" s="75"/>
      <c r="H212" s="76"/>
      <c r="I212" s="49"/>
      <c r="L212" s="62"/>
    </row>
    <row r="213" spans="1:12" s="50" customFormat="1" ht="15.75" customHeight="1" x14ac:dyDescent="0.3">
      <c r="A213" s="81">
        <v>14</v>
      </c>
      <c r="B213" s="83"/>
      <c r="C213" s="21" t="s">
        <v>168</v>
      </c>
      <c r="D213" s="55">
        <f>(18.67+1.3*1.33)*10.764</f>
        <v>219.574836</v>
      </c>
      <c r="E213" s="21">
        <v>0</v>
      </c>
      <c r="F213" s="21">
        <f>D213*(($F$138)+1)+(IF(E213&lt;101,E213,IF(E213&lt;201,E213/2,IF(E213&lt;=301,E213/3,E213/4))))</f>
        <v>329.36225400000001</v>
      </c>
      <c r="G213" s="75"/>
      <c r="H213" s="76"/>
      <c r="I213" s="49"/>
      <c r="L213" s="62"/>
    </row>
    <row r="214" spans="1:12" s="50" customFormat="1" ht="15.75" customHeight="1" x14ac:dyDescent="0.3">
      <c r="A214" s="81">
        <v>15</v>
      </c>
      <c r="B214" s="83"/>
      <c r="C214" s="21" t="s">
        <v>191</v>
      </c>
      <c r="D214" s="55">
        <f>(27.83+1.075*2.025)*10.764</f>
        <v>322.99400249999997</v>
      </c>
      <c r="E214" s="21">
        <v>0</v>
      </c>
      <c r="F214" s="21">
        <f t="shared" ref="F214" si="17">D214*(($F$138)+1)+(IF(E214&lt;101,E214,IF(E214&lt;201,E214/2,IF(E214&lt;=301,E214/3,E214/4))))</f>
        <v>484.49100374999995</v>
      </c>
      <c r="G214" s="75"/>
      <c r="H214" s="76"/>
      <c r="I214" s="49"/>
      <c r="L214" s="62"/>
    </row>
    <row r="215" spans="1:12" s="50" customFormat="1" ht="15.75" customHeight="1" x14ac:dyDescent="0.3">
      <c r="A215" s="81">
        <v>16</v>
      </c>
      <c r="B215" s="83"/>
      <c r="C215" s="77" t="s">
        <v>170</v>
      </c>
      <c r="D215" s="85"/>
      <c r="E215" s="85"/>
      <c r="F215" s="78"/>
      <c r="G215" s="77"/>
      <c r="H215" s="78"/>
      <c r="I215" s="49"/>
      <c r="L215" s="62"/>
    </row>
    <row r="216" spans="1:12" s="50" customFormat="1" x14ac:dyDescent="0.3">
      <c r="A216" s="86" t="s">
        <v>208</v>
      </c>
      <c r="B216" s="87"/>
      <c r="C216" s="87"/>
      <c r="D216" s="87"/>
      <c r="E216" s="87"/>
      <c r="F216" s="87"/>
      <c r="G216" s="87"/>
      <c r="H216" s="88"/>
      <c r="I216" s="49"/>
      <c r="L216" s="62"/>
    </row>
    <row r="217" spans="1:12" s="50" customFormat="1" ht="15.75" customHeight="1" x14ac:dyDescent="0.3">
      <c r="A217" s="81">
        <v>1</v>
      </c>
      <c r="B217" s="83"/>
      <c r="C217" s="21" t="s">
        <v>191</v>
      </c>
      <c r="D217" s="55">
        <f>(27.37+1.075*1.85)*10.764</f>
        <v>316.017585</v>
      </c>
      <c r="E217" s="21">
        <v>0</v>
      </c>
      <c r="F217" s="21">
        <f t="shared" ref="F217:F227" si="18">D217*(($F$138)+1)+(IF(E217&lt;101,E217,IF(E217&lt;201,E217/2,IF(E217&lt;=301,E217/3,E217/4))))</f>
        <v>474.02637749999997</v>
      </c>
      <c r="G217" s="73" t="str">
        <f>A216</f>
        <v>13th Floor (Part Refuge Area)</v>
      </c>
      <c r="H217" s="74"/>
      <c r="I217" s="49"/>
      <c r="L217" s="62"/>
    </row>
    <row r="218" spans="1:12" s="50" customFormat="1" ht="15.75" customHeight="1" x14ac:dyDescent="0.3">
      <c r="A218" s="81">
        <v>2</v>
      </c>
      <c r="B218" s="83"/>
      <c r="C218" s="21" t="s">
        <v>191</v>
      </c>
      <c r="D218" s="55">
        <f>(27.88+1.075*2.025)*10.764</f>
        <v>323.53220249999998</v>
      </c>
      <c r="E218" s="21">
        <v>0</v>
      </c>
      <c r="F218" s="21">
        <f t="shared" si="18"/>
        <v>485.29830374999995</v>
      </c>
      <c r="G218" s="75"/>
      <c r="H218" s="76"/>
      <c r="I218" s="49">
        <f>1700000/F218</f>
        <v>3503.0000864700119</v>
      </c>
      <c r="L218" s="62"/>
    </row>
    <row r="219" spans="1:12" s="50" customFormat="1" ht="15.75" customHeight="1" x14ac:dyDescent="0.3">
      <c r="A219" s="81">
        <v>3</v>
      </c>
      <c r="B219" s="83"/>
      <c r="C219" s="21" t="s">
        <v>191</v>
      </c>
      <c r="D219" s="55">
        <f>(28.58+1.3*1.33)*10.764</f>
        <v>326.24607599999996</v>
      </c>
      <c r="E219" s="21">
        <v>0</v>
      </c>
      <c r="F219" s="21">
        <f t="shared" si="18"/>
        <v>489.36911399999997</v>
      </c>
      <c r="G219" s="75"/>
      <c r="H219" s="76"/>
      <c r="I219" s="49"/>
      <c r="L219" s="62"/>
    </row>
    <row r="220" spans="1:12" s="50" customFormat="1" ht="15.75" customHeight="1" x14ac:dyDescent="0.3">
      <c r="A220" s="81">
        <v>4</v>
      </c>
      <c r="B220" s="83"/>
      <c r="C220" s="21" t="s">
        <v>168</v>
      </c>
      <c r="D220" s="55">
        <f>(18.97+1.3*1.33)*10.764</f>
        <v>222.80403599999997</v>
      </c>
      <c r="E220" s="21">
        <v>0</v>
      </c>
      <c r="F220" s="21">
        <f t="shared" si="18"/>
        <v>334.20605399999994</v>
      </c>
      <c r="G220" s="75"/>
      <c r="H220" s="76"/>
      <c r="I220" s="49"/>
      <c r="L220" s="62"/>
    </row>
    <row r="221" spans="1:12" s="50" customFormat="1" ht="15.75" customHeight="1" x14ac:dyDescent="0.3">
      <c r="A221" s="81">
        <v>6</v>
      </c>
      <c r="B221" s="83"/>
      <c r="C221" s="21" t="s">
        <v>168</v>
      </c>
      <c r="D221" s="55">
        <f>(18.9+1.3*1.33)*10.764</f>
        <v>222.05055599999997</v>
      </c>
      <c r="E221" s="21">
        <v>0</v>
      </c>
      <c r="F221" s="21">
        <f t="shared" si="18"/>
        <v>333.07583399999999</v>
      </c>
      <c r="G221" s="75"/>
      <c r="H221" s="76"/>
      <c r="I221" s="49"/>
      <c r="L221" s="62"/>
    </row>
    <row r="222" spans="1:12" s="50" customFormat="1" ht="15.75" customHeight="1" x14ac:dyDescent="0.3">
      <c r="A222" s="81">
        <v>7</v>
      </c>
      <c r="B222" s="83"/>
      <c r="C222" s="21" t="s">
        <v>191</v>
      </c>
      <c r="D222" s="55">
        <f>(29.39+1.3*1.33)*10.764</f>
        <v>334.96491599999996</v>
      </c>
      <c r="E222" s="21">
        <v>0</v>
      </c>
      <c r="F222" s="21">
        <f t="shared" si="18"/>
        <v>502.44737399999997</v>
      </c>
      <c r="G222" s="75"/>
      <c r="H222" s="76"/>
      <c r="I222" s="49"/>
      <c r="L222" s="62"/>
    </row>
    <row r="223" spans="1:12" s="50" customFormat="1" ht="15.75" customHeight="1" x14ac:dyDescent="0.3">
      <c r="A223" s="81">
        <v>8</v>
      </c>
      <c r="B223" s="83"/>
      <c r="C223" s="21" t="s">
        <v>168</v>
      </c>
      <c r="D223" s="55">
        <f>(18.9+1.3*1.33)*10.764</f>
        <v>222.05055599999997</v>
      </c>
      <c r="E223" s="21">
        <v>0</v>
      </c>
      <c r="F223" s="21">
        <f t="shared" si="18"/>
        <v>333.07583399999999</v>
      </c>
      <c r="G223" s="75"/>
      <c r="H223" s="76"/>
      <c r="I223" s="49"/>
      <c r="L223" s="62"/>
    </row>
    <row r="224" spans="1:12" s="50" customFormat="1" ht="15.75" customHeight="1" x14ac:dyDescent="0.3">
      <c r="A224" s="81">
        <v>9</v>
      </c>
      <c r="B224" s="83"/>
      <c r="C224" s="21" t="s">
        <v>168</v>
      </c>
      <c r="D224" s="55">
        <f>(18.92+1.3*1.33)*10.764</f>
        <v>222.26583600000001</v>
      </c>
      <c r="E224" s="21">
        <v>0</v>
      </c>
      <c r="F224" s="21">
        <f t="shared" si="18"/>
        <v>333.398754</v>
      </c>
      <c r="G224" s="75"/>
      <c r="H224" s="76"/>
      <c r="I224" s="49"/>
      <c r="L224" s="62"/>
    </row>
    <row r="225" spans="1:12" s="50" customFormat="1" ht="15.75" customHeight="1" x14ac:dyDescent="0.3">
      <c r="A225" s="81">
        <v>10</v>
      </c>
      <c r="B225" s="83"/>
      <c r="C225" s="21" t="s">
        <v>168</v>
      </c>
      <c r="D225" s="55">
        <f>(18.87+1.3*1.33)*10.764</f>
        <v>221.72763599999999</v>
      </c>
      <c r="E225" s="21">
        <v>0</v>
      </c>
      <c r="F225" s="21">
        <f t="shared" si="18"/>
        <v>332.591454</v>
      </c>
      <c r="G225" s="75"/>
      <c r="H225" s="76"/>
      <c r="I225" s="49"/>
      <c r="L225" s="62"/>
    </row>
    <row r="226" spans="1:12" s="50" customFormat="1" ht="15.75" customHeight="1" x14ac:dyDescent="0.3">
      <c r="A226" s="81">
        <v>11</v>
      </c>
      <c r="B226" s="83"/>
      <c r="C226" s="21" t="s">
        <v>168</v>
      </c>
      <c r="D226" s="55">
        <f>(19.02+1.3*1.33)*10.764</f>
        <v>223.34223599999999</v>
      </c>
      <c r="E226" s="21">
        <v>0</v>
      </c>
      <c r="F226" s="21">
        <f t="shared" si="18"/>
        <v>335.01335399999999</v>
      </c>
      <c r="G226" s="75"/>
      <c r="H226" s="76"/>
      <c r="I226" s="49"/>
      <c r="L226" s="62"/>
    </row>
    <row r="227" spans="1:12" s="50" customFormat="1" ht="15.75" customHeight="1" x14ac:dyDescent="0.3">
      <c r="A227" s="81">
        <v>12</v>
      </c>
      <c r="B227" s="83"/>
      <c r="C227" s="21" t="s">
        <v>168</v>
      </c>
      <c r="D227" s="55">
        <f>(19+1.3*1.33)*10.764</f>
        <v>223.12695599999998</v>
      </c>
      <c r="E227" s="21">
        <v>0</v>
      </c>
      <c r="F227" s="21">
        <f t="shared" si="18"/>
        <v>334.69043399999998</v>
      </c>
      <c r="G227" s="75"/>
      <c r="H227" s="76"/>
      <c r="I227" s="49"/>
      <c r="L227" s="62"/>
    </row>
    <row r="228" spans="1:12" s="50" customFormat="1" ht="15.75" customHeight="1" x14ac:dyDescent="0.3">
      <c r="A228" s="81">
        <v>13</v>
      </c>
      <c r="B228" s="83"/>
      <c r="C228" s="21" t="s">
        <v>168</v>
      </c>
      <c r="D228" s="55">
        <f>(18.96+1.3*1.33)*10.764</f>
        <v>222.69639599999999</v>
      </c>
      <c r="E228" s="21">
        <v>0</v>
      </c>
      <c r="F228" s="21">
        <f>D228*(($F$138)+1)+(IF(E228&lt;101,E228,IF(E228&lt;201,E228/2,IF(E228&lt;=301,E228/3,E228/4))))</f>
        <v>334.04459399999996</v>
      </c>
      <c r="G228" s="75"/>
      <c r="H228" s="76"/>
      <c r="I228" s="49"/>
      <c r="L228" s="62"/>
    </row>
    <row r="229" spans="1:12" s="50" customFormat="1" ht="15.75" customHeight="1" x14ac:dyDescent="0.3">
      <c r="A229" s="81">
        <v>14</v>
      </c>
      <c r="B229" s="83"/>
      <c r="C229" s="21" t="s">
        <v>168</v>
      </c>
      <c r="D229" s="55">
        <f>(18.67+1.3*1.33)*10.764</f>
        <v>219.574836</v>
      </c>
      <c r="E229" s="21">
        <v>0</v>
      </c>
      <c r="F229" s="21">
        <f>D229*(($F$138)+1)+(IF(E229&lt;101,E229,IF(E229&lt;201,E229/2,IF(E229&lt;=301,E229/3,E229/4))))</f>
        <v>329.36225400000001</v>
      </c>
      <c r="G229" s="75"/>
      <c r="H229" s="76"/>
      <c r="I229" s="49"/>
      <c r="L229" s="62"/>
    </row>
    <row r="230" spans="1:12" s="50" customFormat="1" ht="15.75" customHeight="1" x14ac:dyDescent="0.3">
      <c r="A230" s="81">
        <v>15</v>
      </c>
      <c r="B230" s="83"/>
      <c r="C230" s="21" t="s">
        <v>191</v>
      </c>
      <c r="D230" s="55">
        <f>(27.83+1.075*2.025)*10.764</f>
        <v>322.99400249999997</v>
      </c>
      <c r="E230" s="21">
        <v>0</v>
      </c>
      <c r="F230" s="21">
        <f t="shared" ref="F230" si="19">D230*(($F$138)+1)+(IF(E230&lt;101,E230,IF(E230&lt;201,E230/2,IF(E230&lt;=301,E230/3,E230/4))))</f>
        <v>484.49100374999995</v>
      </c>
      <c r="G230" s="75"/>
      <c r="H230" s="76"/>
      <c r="I230" s="49"/>
      <c r="L230" s="62"/>
    </row>
    <row r="231" spans="1:12" s="50" customFormat="1" ht="15.75" customHeight="1" x14ac:dyDescent="0.3">
      <c r="A231" s="81">
        <v>16</v>
      </c>
      <c r="B231" s="83"/>
      <c r="C231" s="77" t="s">
        <v>170</v>
      </c>
      <c r="D231" s="85"/>
      <c r="E231" s="85"/>
      <c r="F231" s="78"/>
      <c r="G231" s="77"/>
      <c r="H231" s="78"/>
      <c r="I231" s="49"/>
      <c r="L231" s="62"/>
    </row>
    <row r="232" spans="1:12" s="50" customFormat="1" ht="15.75" customHeight="1" x14ac:dyDescent="0.3">
      <c r="A232" s="86" t="s">
        <v>206</v>
      </c>
      <c r="B232" s="87"/>
      <c r="C232" s="87"/>
      <c r="D232" s="87"/>
      <c r="E232" s="87"/>
      <c r="F232" s="87"/>
      <c r="G232" s="87"/>
      <c r="H232" s="88"/>
      <c r="I232" s="49"/>
      <c r="L232" s="62"/>
    </row>
    <row r="233" spans="1:12" s="50" customFormat="1" ht="15.75" customHeight="1" x14ac:dyDescent="0.3">
      <c r="A233" s="81">
        <v>1</v>
      </c>
      <c r="B233" s="83"/>
      <c r="C233" s="21" t="s">
        <v>191</v>
      </c>
      <c r="D233" s="55">
        <f>(27.37+1.075*1.85)*10.764</f>
        <v>316.017585</v>
      </c>
      <c r="E233" s="21">
        <v>0</v>
      </c>
      <c r="F233" s="21">
        <f t="shared" ref="F233:F246" si="20">D233*(($F$138)+1)+(IF(E233&lt;101,E233,IF(E233&lt;201,E233/2,IF(E233&lt;=301,E233/3,E233/4))))</f>
        <v>474.02637749999997</v>
      </c>
      <c r="G233" s="73" t="str">
        <f>A232</f>
        <v>12th, 14th, 15th, 16th, 17th, 19th, 20th, 21st &amp; 22nd Floor for Residential</v>
      </c>
      <c r="H233" s="74"/>
      <c r="I233" s="49"/>
      <c r="L233" s="62"/>
    </row>
    <row r="234" spans="1:12" s="50" customFormat="1" ht="15.75" customHeight="1" x14ac:dyDescent="0.3">
      <c r="A234" s="81">
        <v>2</v>
      </c>
      <c r="B234" s="83"/>
      <c r="C234" s="21" t="s">
        <v>191</v>
      </c>
      <c r="D234" s="55">
        <f>(27.88+1.075*2.025)*10.764</f>
        <v>323.53220249999998</v>
      </c>
      <c r="E234" s="21">
        <v>0</v>
      </c>
      <c r="F234" s="21">
        <f t="shared" si="20"/>
        <v>485.29830374999995</v>
      </c>
      <c r="G234" s="75"/>
      <c r="H234" s="76"/>
      <c r="I234" s="49"/>
      <c r="L234" s="62"/>
    </row>
    <row r="235" spans="1:12" s="50" customFormat="1" ht="15.75" customHeight="1" x14ac:dyDescent="0.3">
      <c r="A235" s="81">
        <v>3</v>
      </c>
      <c r="B235" s="83"/>
      <c r="C235" s="21" t="s">
        <v>191</v>
      </c>
      <c r="D235" s="55">
        <f>(28.58+1.3*1.33)*10.764</f>
        <v>326.24607599999996</v>
      </c>
      <c r="E235" s="21">
        <v>0</v>
      </c>
      <c r="F235" s="21">
        <f t="shared" si="20"/>
        <v>489.36911399999997</v>
      </c>
      <c r="G235" s="75"/>
      <c r="H235" s="76"/>
      <c r="I235" s="49"/>
      <c r="L235" s="62"/>
    </row>
    <row r="236" spans="1:12" s="50" customFormat="1" ht="15.75" customHeight="1" x14ac:dyDescent="0.3">
      <c r="A236" s="81">
        <v>4</v>
      </c>
      <c r="B236" s="83"/>
      <c r="C236" s="21" t="s">
        <v>168</v>
      </c>
      <c r="D236" s="55">
        <f>(18.97+1.3*1.33)*10.764</f>
        <v>222.80403599999997</v>
      </c>
      <c r="E236" s="21">
        <v>0</v>
      </c>
      <c r="F236" s="21">
        <f t="shared" si="20"/>
        <v>334.20605399999994</v>
      </c>
      <c r="G236" s="75"/>
      <c r="H236" s="76"/>
      <c r="I236" s="49"/>
      <c r="J236" s="55">
        <v>10.763999999999999</v>
      </c>
      <c r="L236" s="62"/>
    </row>
    <row r="237" spans="1:12" s="50" customFormat="1" ht="15.75" customHeight="1" x14ac:dyDescent="0.3">
      <c r="A237" s="81">
        <v>6</v>
      </c>
      <c r="B237" s="83"/>
      <c r="C237" s="21" t="s">
        <v>168</v>
      </c>
      <c r="D237" s="55">
        <f>(18.9+1.3*1.33)*10.764</f>
        <v>222.05055599999997</v>
      </c>
      <c r="E237" s="21">
        <v>0</v>
      </c>
      <c r="F237" s="21">
        <f t="shared" si="20"/>
        <v>333.07583399999999</v>
      </c>
      <c r="G237" s="75"/>
      <c r="H237" s="76"/>
      <c r="I237" s="49"/>
      <c r="L237" s="62"/>
    </row>
    <row r="238" spans="1:12" s="50" customFormat="1" ht="15.75" customHeight="1" x14ac:dyDescent="0.3">
      <c r="A238" s="81">
        <v>7</v>
      </c>
      <c r="B238" s="83"/>
      <c r="C238" s="21" t="s">
        <v>191</v>
      </c>
      <c r="D238" s="55">
        <f>(29.39+1.3*1.33)*10.764</f>
        <v>334.96491599999996</v>
      </c>
      <c r="E238" s="21">
        <v>0</v>
      </c>
      <c r="F238" s="21">
        <f t="shared" si="20"/>
        <v>502.44737399999997</v>
      </c>
      <c r="G238" s="75"/>
      <c r="H238" s="76"/>
      <c r="I238" s="49"/>
      <c r="L238" s="62"/>
    </row>
    <row r="239" spans="1:12" s="50" customFormat="1" ht="15.75" customHeight="1" x14ac:dyDescent="0.3">
      <c r="A239" s="81">
        <v>8</v>
      </c>
      <c r="B239" s="83"/>
      <c r="C239" s="21" t="s">
        <v>168</v>
      </c>
      <c r="D239" s="55">
        <f>(18.9+1.3*1.33)*10.764</f>
        <v>222.05055599999997</v>
      </c>
      <c r="E239" s="21">
        <v>0</v>
      </c>
      <c r="F239" s="21">
        <f t="shared" si="20"/>
        <v>333.07583399999999</v>
      </c>
      <c r="G239" s="75"/>
      <c r="H239" s="76"/>
      <c r="I239" s="49"/>
      <c r="L239" s="62"/>
    </row>
    <row r="240" spans="1:12" s="50" customFormat="1" ht="15.75" customHeight="1" x14ac:dyDescent="0.3">
      <c r="A240" s="81">
        <v>9</v>
      </c>
      <c r="B240" s="83"/>
      <c r="C240" s="21" t="s">
        <v>168</v>
      </c>
      <c r="D240" s="55">
        <f>(18.92+1.3*1.33)*10.764</f>
        <v>222.26583600000001</v>
      </c>
      <c r="E240" s="21">
        <v>0</v>
      </c>
      <c r="F240" s="21">
        <f t="shared" si="20"/>
        <v>333.398754</v>
      </c>
      <c r="G240" s="75"/>
      <c r="H240" s="76"/>
      <c r="I240" s="49"/>
      <c r="L240" s="62"/>
    </row>
    <row r="241" spans="1:12" s="50" customFormat="1" ht="15.75" customHeight="1" x14ac:dyDescent="0.3">
      <c r="A241" s="81">
        <v>10</v>
      </c>
      <c r="B241" s="83"/>
      <c r="C241" s="21" t="s">
        <v>191</v>
      </c>
      <c r="D241" s="55">
        <f>(29.17+1.3*1.33)*10.764</f>
        <v>332.596836</v>
      </c>
      <c r="E241" s="21">
        <v>0</v>
      </c>
      <c r="F241" s="21">
        <f t="shared" si="20"/>
        <v>498.89525400000002</v>
      </c>
      <c r="G241" s="75"/>
      <c r="H241" s="76"/>
      <c r="I241" s="49"/>
      <c r="L241" s="62"/>
    </row>
    <row r="242" spans="1:12" s="50" customFormat="1" ht="15.75" customHeight="1" x14ac:dyDescent="0.3">
      <c r="A242" s="81">
        <v>11</v>
      </c>
      <c r="B242" s="83"/>
      <c r="C242" s="21" t="s">
        <v>168</v>
      </c>
      <c r="D242" s="55">
        <f>(19.02+1.3*1.33)*10.764</f>
        <v>223.34223599999999</v>
      </c>
      <c r="E242" s="21">
        <v>0</v>
      </c>
      <c r="F242" s="21">
        <f t="shared" si="20"/>
        <v>335.01335399999999</v>
      </c>
      <c r="G242" s="75"/>
      <c r="H242" s="76"/>
      <c r="I242" s="49"/>
      <c r="L242" s="62"/>
    </row>
    <row r="243" spans="1:12" s="50" customFormat="1" ht="15.75" customHeight="1" x14ac:dyDescent="0.3">
      <c r="A243" s="81">
        <v>13</v>
      </c>
      <c r="B243" s="83"/>
      <c r="C243" s="21" t="s">
        <v>168</v>
      </c>
      <c r="D243" s="55">
        <f>(18.96+1.3*1.33)*10.764</f>
        <v>222.69639599999999</v>
      </c>
      <c r="E243" s="21">
        <v>0</v>
      </c>
      <c r="F243" s="21">
        <f t="shared" si="20"/>
        <v>334.04459399999996</v>
      </c>
      <c r="G243" s="75"/>
      <c r="H243" s="76"/>
      <c r="I243" s="49"/>
      <c r="L243" s="62"/>
    </row>
    <row r="244" spans="1:12" s="50" customFormat="1" ht="15.75" customHeight="1" x14ac:dyDescent="0.3">
      <c r="A244" s="81">
        <v>14</v>
      </c>
      <c r="B244" s="83"/>
      <c r="C244" s="21" t="s">
        <v>191</v>
      </c>
      <c r="D244" s="55">
        <f>(28.15+1.3*1.33)*10.764</f>
        <v>321.61755599999998</v>
      </c>
      <c r="E244" s="21">
        <v>0</v>
      </c>
      <c r="F244" s="21">
        <f t="shared" si="20"/>
        <v>482.426334</v>
      </c>
      <c r="G244" s="75"/>
      <c r="H244" s="76"/>
      <c r="I244" s="49"/>
      <c r="L244" s="62"/>
    </row>
    <row r="245" spans="1:12" s="50" customFormat="1" ht="15.75" customHeight="1" x14ac:dyDescent="0.3">
      <c r="A245" s="81">
        <v>15</v>
      </c>
      <c r="B245" s="83"/>
      <c r="C245" s="21" t="s">
        <v>191</v>
      </c>
      <c r="D245" s="55">
        <f>(27.83+1.075*2.025)*10.764</f>
        <v>322.99400249999997</v>
      </c>
      <c r="E245" s="21">
        <v>0</v>
      </c>
      <c r="F245" s="21">
        <f t="shared" si="20"/>
        <v>484.49100374999995</v>
      </c>
      <c r="G245" s="75"/>
      <c r="H245" s="76"/>
      <c r="I245" s="49">
        <f>2000000/F245</f>
        <v>4128.0436262383337</v>
      </c>
      <c r="L245" s="62"/>
    </row>
    <row r="246" spans="1:12" s="50" customFormat="1" ht="15.75" customHeight="1" x14ac:dyDescent="0.3">
      <c r="A246" s="81">
        <v>16</v>
      </c>
      <c r="B246" s="83"/>
      <c r="C246" s="21" t="s">
        <v>191</v>
      </c>
      <c r="D246" s="55">
        <f>(28.34+1.075*2.025)*10.764</f>
        <v>328.48364249999997</v>
      </c>
      <c r="E246" s="21">
        <v>0</v>
      </c>
      <c r="F246" s="21">
        <f t="shared" si="20"/>
        <v>492.72546374999996</v>
      </c>
      <c r="G246" s="77"/>
      <c r="H246" s="78"/>
      <c r="I246" s="49">
        <f>2000000/F246</f>
        <v>4059.0554926440013</v>
      </c>
      <c r="J246" s="50">
        <f>1700000/F246</f>
        <v>3450.1971687474011</v>
      </c>
      <c r="L246" s="62"/>
    </row>
    <row r="247" spans="1:12" s="50" customFormat="1" x14ac:dyDescent="0.3">
      <c r="A247" s="86" t="s">
        <v>207</v>
      </c>
      <c r="B247" s="87"/>
      <c r="C247" s="87"/>
      <c r="D247" s="87"/>
      <c r="E247" s="87"/>
      <c r="F247" s="87"/>
      <c r="G247" s="87"/>
      <c r="H247" s="88"/>
      <c r="I247" s="49"/>
      <c r="L247" s="62"/>
    </row>
    <row r="248" spans="1:12" s="50" customFormat="1" ht="15.75" customHeight="1" x14ac:dyDescent="0.3">
      <c r="A248" s="81">
        <v>1</v>
      </c>
      <c r="B248" s="83"/>
      <c r="C248" s="21" t="s">
        <v>191</v>
      </c>
      <c r="D248" s="55">
        <f>(27.37+1.075*1.85)*10.764</f>
        <v>316.017585</v>
      </c>
      <c r="E248" s="21">
        <v>0</v>
      </c>
      <c r="F248" s="21">
        <f t="shared" ref="F248:F257" si="21">D248*(($F$138)+1)+(IF(E248&lt;101,E248,IF(E248&lt;201,E248/2,IF(E248&lt;=301,E248/3,E248/4))))</f>
        <v>474.02637749999997</v>
      </c>
      <c r="G248" s="73" t="str">
        <f>A247</f>
        <v>23rd Floor (Part Refuge Area)</v>
      </c>
      <c r="H248" s="74"/>
      <c r="I248" s="49"/>
      <c r="L248" s="62"/>
    </row>
    <row r="249" spans="1:12" s="50" customFormat="1" ht="15.75" customHeight="1" x14ac:dyDescent="0.3">
      <c r="A249" s="81">
        <v>2</v>
      </c>
      <c r="B249" s="83"/>
      <c r="C249" s="21" t="s">
        <v>191</v>
      </c>
      <c r="D249" s="55">
        <f>(27.88+1.075*2.025)*10.764</f>
        <v>323.53220249999998</v>
      </c>
      <c r="E249" s="21">
        <v>0</v>
      </c>
      <c r="F249" s="21">
        <f t="shared" si="21"/>
        <v>485.29830374999995</v>
      </c>
      <c r="G249" s="75"/>
      <c r="H249" s="76"/>
      <c r="I249" s="49">
        <f>1700000/F249</f>
        <v>3503.0000864700119</v>
      </c>
      <c r="L249" s="62"/>
    </row>
    <row r="250" spans="1:12" s="50" customFormat="1" ht="15.75" customHeight="1" x14ac:dyDescent="0.3">
      <c r="A250" s="81">
        <v>3</v>
      </c>
      <c r="B250" s="83"/>
      <c r="C250" s="21" t="s">
        <v>191</v>
      </c>
      <c r="D250" s="55">
        <f>(28.58+1.3*1.33)*10.764</f>
        <v>326.24607599999996</v>
      </c>
      <c r="E250" s="21">
        <v>0</v>
      </c>
      <c r="F250" s="21">
        <f t="shared" si="21"/>
        <v>489.36911399999997</v>
      </c>
      <c r="G250" s="75"/>
      <c r="H250" s="76"/>
      <c r="I250" s="49"/>
      <c r="L250" s="62"/>
    </row>
    <row r="251" spans="1:12" s="50" customFormat="1" ht="15.75" customHeight="1" x14ac:dyDescent="0.3">
      <c r="A251" s="81">
        <v>4</v>
      </c>
      <c r="B251" s="83"/>
      <c r="C251" s="21" t="s">
        <v>168</v>
      </c>
      <c r="D251" s="55">
        <f>(18.97+1.3*1.33)*10.764</f>
        <v>222.80403599999997</v>
      </c>
      <c r="E251" s="21">
        <v>0</v>
      </c>
      <c r="F251" s="21">
        <f t="shared" si="21"/>
        <v>334.20605399999994</v>
      </c>
      <c r="G251" s="75"/>
      <c r="H251" s="76"/>
      <c r="I251" s="49"/>
      <c r="L251" s="62"/>
    </row>
    <row r="252" spans="1:12" s="50" customFormat="1" ht="15.75" customHeight="1" x14ac:dyDescent="0.3">
      <c r="A252" s="81">
        <v>6</v>
      </c>
      <c r="B252" s="83"/>
      <c r="C252" s="21" t="s">
        <v>168</v>
      </c>
      <c r="D252" s="55">
        <f>(18.9+1.3*1.33)*10.764</f>
        <v>222.05055599999997</v>
      </c>
      <c r="E252" s="21">
        <v>0</v>
      </c>
      <c r="F252" s="21">
        <f t="shared" si="21"/>
        <v>333.07583399999999</v>
      </c>
      <c r="G252" s="75"/>
      <c r="H252" s="76"/>
      <c r="I252" s="49"/>
      <c r="L252" s="62"/>
    </row>
    <row r="253" spans="1:12" s="50" customFormat="1" ht="15.75" customHeight="1" x14ac:dyDescent="0.3">
      <c r="A253" s="81">
        <v>7</v>
      </c>
      <c r="B253" s="83"/>
      <c r="C253" s="21" t="s">
        <v>191</v>
      </c>
      <c r="D253" s="55">
        <f>(29.39+1.3*1.33)*10.764</f>
        <v>334.96491599999996</v>
      </c>
      <c r="E253" s="21">
        <v>0</v>
      </c>
      <c r="F253" s="21">
        <f t="shared" si="21"/>
        <v>502.44737399999997</v>
      </c>
      <c r="G253" s="75"/>
      <c r="H253" s="76"/>
      <c r="I253" s="49"/>
      <c r="L253" s="62"/>
    </row>
    <row r="254" spans="1:12" s="50" customFormat="1" ht="15.75" customHeight="1" x14ac:dyDescent="0.3">
      <c r="A254" s="81">
        <v>8</v>
      </c>
      <c r="B254" s="83"/>
      <c r="C254" s="21" t="s">
        <v>168</v>
      </c>
      <c r="D254" s="55">
        <f>(18.9+1.3*1.33)*10.764</f>
        <v>222.05055599999997</v>
      </c>
      <c r="E254" s="21">
        <v>0</v>
      </c>
      <c r="F254" s="21">
        <f t="shared" si="21"/>
        <v>333.07583399999999</v>
      </c>
      <c r="G254" s="75"/>
      <c r="H254" s="76"/>
      <c r="I254" s="49"/>
      <c r="L254" s="62"/>
    </row>
    <row r="255" spans="1:12" s="50" customFormat="1" ht="15.75" customHeight="1" x14ac:dyDescent="0.3">
      <c r="A255" s="81">
        <v>9</v>
      </c>
      <c r="B255" s="83"/>
      <c r="C255" s="21" t="s">
        <v>168</v>
      </c>
      <c r="D255" s="55">
        <f>(18.92+1.3*1.33)*10.764</f>
        <v>222.26583600000001</v>
      </c>
      <c r="E255" s="21">
        <v>0</v>
      </c>
      <c r="F255" s="21">
        <f t="shared" si="21"/>
        <v>333.398754</v>
      </c>
      <c r="G255" s="75"/>
      <c r="H255" s="76"/>
      <c r="I255" s="49"/>
      <c r="L255" s="62"/>
    </row>
    <row r="256" spans="1:12" s="50" customFormat="1" ht="15.75" customHeight="1" x14ac:dyDescent="0.3">
      <c r="A256" s="81">
        <v>10</v>
      </c>
      <c r="B256" s="83"/>
      <c r="C256" s="21" t="s">
        <v>191</v>
      </c>
      <c r="D256" s="55">
        <f>(29.17+1.3*1.33)*10.764</f>
        <v>332.596836</v>
      </c>
      <c r="E256" s="21">
        <v>0</v>
      </c>
      <c r="F256" s="21">
        <f t="shared" si="21"/>
        <v>498.89525400000002</v>
      </c>
      <c r="G256" s="75"/>
      <c r="H256" s="76"/>
      <c r="I256" s="49"/>
      <c r="L256" s="62"/>
    </row>
    <row r="257" spans="1:14" s="50" customFormat="1" ht="15.75" customHeight="1" x14ac:dyDescent="0.3">
      <c r="A257" s="81">
        <v>11</v>
      </c>
      <c r="B257" s="83"/>
      <c r="C257" s="21" t="s">
        <v>168</v>
      </c>
      <c r="D257" s="55">
        <f>(19.02+1.3*1.33)*10.764</f>
        <v>223.34223599999999</v>
      </c>
      <c r="E257" s="21">
        <v>0</v>
      </c>
      <c r="F257" s="21">
        <f t="shared" si="21"/>
        <v>335.01335399999999</v>
      </c>
      <c r="G257" s="75"/>
      <c r="H257" s="76"/>
      <c r="I257" s="49"/>
      <c r="L257" s="62"/>
    </row>
    <row r="258" spans="1:14" s="50" customFormat="1" ht="15.75" customHeight="1" x14ac:dyDescent="0.3">
      <c r="A258" s="81">
        <v>13</v>
      </c>
      <c r="B258" s="83"/>
      <c r="C258" s="21" t="s">
        <v>168</v>
      </c>
      <c r="D258" s="55">
        <f>(18.96+1.3*1.33)*10.764</f>
        <v>222.69639599999999</v>
      </c>
      <c r="E258" s="21">
        <v>0</v>
      </c>
      <c r="F258" s="21">
        <f>D258*(($F$138)+1)+(IF(E258&lt;101,E258,IF(E258&lt;201,E258/2,IF(E258&lt;=301,E258/3,E258/4))))</f>
        <v>334.04459399999996</v>
      </c>
      <c r="G258" s="75"/>
      <c r="H258" s="76"/>
      <c r="I258" s="49"/>
      <c r="L258" s="62"/>
    </row>
    <row r="259" spans="1:14" s="50" customFormat="1" ht="15.75" customHeight="1" x14ac:dyDescent="0.3">
      <c r="A259" s="81">
        <v>14</v>
      </c>
      <c r="B259" s="83"/>
      <c r="C259" s="21" t="s">
        <v>191</v>
      </c>
      <c r="D259" s="55">
        <f>(28.15+1.3*1.33)*10.764</f>
        <v>321.61755599999998</v>
      </c>
      <c r="E259" s="21">
        <v>0</v>
      </c>
      <c r="F259" s="21">
        <f>D259*(($F$138)+1)+(IF(E259&lt;101,E259,IF(E259&lt;201,E259/2,IF(E259&lt;=301,E259/3,E259/4))))</f>
        <v>482.426334</v>
      </c>
      <c r="G259" s="75"/>
      <c r="H259" s="76"/>
      <c r="I259" s="49"/>
      <c r="L259" s="62"/>
    </row>
    <row r="260" spans="1:14" s="50" customFormat="1" ht="15.75" customHeight="1" x14ac:dyDescent="0.3">
      <c r="A260" s="81">
        <v>15</v>
      </c>
      <c r="B260" s="83"/>
      <c r="C260" s="21" t="s">
        <v>191</v>
      </c>
      <c r="D260" s="55">
        <f>(27.83+1.075*2.025)*10.764</f>
        <v>322.99400249999997</v>
      </c>
      <c r="E260" s="21">
        <v>0</v>
      </c>
      <c r="F260" s="21">
        <f t="shared" ref="F260" si="22">D260*(($F$138)+1)+(IF(E260&lt;101,E260,IF(E260&lt;201,E260/2,IF(E260&lt;=301,E260/3,E260/4))))</f>
        <v>484.49100374999995</v>
      </c>
      <c r="G260" s="75"/>
      <c r="H260" s="76"/>
      <c r="I260" s="49"/>
      <c r="L260" s="62"/>
    </row>
    <row r="261" spans="1:14" s="50" customFormat="1" ht="15.75" customHeight="1" x14ac:dyDescent="0.3">
      <c r="A261" s="81">
        <v>16</v>
      </c>
      <c r="B261" s="83"/>
      <c r="C261" s="77" t="s">
        <v>170</v>
      </c>
      <c r="D261" s="85"/>
      <c r="E261" s="85"/>
      <c r="F261" s="78"/>
      <c r="G261" s="77"/>
      <c r="H261" s="78"/>
      <c r="I261" s="49"/>
      <c r="L261" s="62"/>
    </row>
    <row r="262" spans="1:14" x14ac:dyDescent="0.3">
      <c r="A262" s="84" t="s">
        <v>226</v>
      </c>
      <c r="B262" s="84"/>
      <c r="C262" s="84"/>
      <c r="D262" s="84"/>
      <c r="E262" s="84"/>
      <c r="F262" s="84"/>
      <c r="G262" s="84"/>
      <c r="H262" s="84"/>
    </row>
    <row r="263" spans="1:14" s="50" customFormat="1" x14ac:dyDescent="0.3">
      <c r="A263" s="79" t="s">
        <v>227</v>
      </c>
      <c r="B263" s="79"/>
      <c r="C263" s="79"/>
      <c r="D263" s="79"/>
      <c r="E263" s="79"/>
      <c r="F263" s="79"/>
      <c r="G263" s="79"/>
      <c r="H263" s="79"/>
      <c r="I263" s="49"/>
      <c r="L263" s="80"/>
      <c r="M263" s="80"/>
    </row>
    <row r="264" spans="1:14" s="50" customFormat="1" ht="15.75" customHeight="1" x14ac:dyDescent="0.3">
      <c r="A264" s="72">
        <v>1</v>
      </c>
      <c r="B264" s="72"/>
      <c r="C264" s="21" t="s">
        <v>191</v>
      </c>
      <c r="D264" s="55">
        <f>(29.18+1.95*1.2)*10.764</f>
        <v>339.28127999999998</v>
      </c>
      <c r="E264" s="21">
        <v>0</v>
      </c>
      <c r="F264" s="21">
        <f t="shared" ref="F264:F265" si="23">D264*(($F$138)+1)+(IF(E264&lt;101,E264,IF(E264&lt;201,E264/2,IF(E264&lt;=301,E264/3,E264/4))))</f>
        <v>508.92192</v>
      </c>
      <c r="G264" s="73" t="str">
        <f>A263</f>
        <v>1st to 7th, 9th to 12th, 14th to 17th, 19th to 22nd Floor for Residential</v>
      </c>
      <c r="H264" s="74"/>
      <c r="I264" s="67">
        <f>1.225+2.15*1.3+2.6*4.625+2.675*1.525+2.6*2.9+2.05*1.2</f>
        <v>30.124375000000001</v>
      </c>
      <c r="J264" s="55">
        <v>10.763999999999999</v>
      </c>
      <c r="L264" s="62"/>
      <c r="N264" s="49"/>
    </row>
    <row r="265" spans="1:14" s="50" customFormat="1" ht="15.75" customHeight="1" x14ac:dyDescent="0.3">
      <c r="A265" s="72">
        <v>2</v>
      </c>
      <c r="B265" s="72"/>
      <c r="C265" s="21" t="s">
        <v>191</v>
      </c>
      <c r="D265" s="55">
        <f>(31.72+1.95*1.2)*10.764</f>
        <v>366.62184000000002</v>
      </c>
      <c r="E265" s="21">
        <v>0</v>
      </c>
      <c r="F265" s="21">
        <f t="shared" si="23"/>
        <v>549.93276000000003</v>
      </c>
      <c r="G265" s="75"/>
      <c r="H265" s="76"/>
      <c r="I265" s="49"/>
      <c r="L265" s="62"/>
      <c r="N265" s="49"/>
    </row>
    <row r="266" spans="1:14" s="50" customFormat="1" ht="15.75" customHeight="1" x14ac:dyDescent="0.3">
      <c r="A266" s="72">
        <v>3</v>
      </c>
      <c r="B266" s="72"/>
      <c r="C266" s="21" t="s">
        <v>168</v>
      </c>
      <c r="D266" s="55">
        <f>(24.53+1.2*1.225)*10.764</f>
        <v>279.86399999999998</v>
      </c>
      <c r="E266" s="21">
        <v>0</v>
      </c>
      <c r="F266" s="21">
        <f>D266*(($F$138)+1)+(IF(E266&lt;101,E266,IF(E266&lt;201,E266/2,IF(E266&lt;=301,E266/3,E266/4))))</f>
        <v>419.79599999999994</v>
      </c>
      <c r="G266" s="75"/>
      <c r="H266" s="76"/>
      <c r="I266" s="49"/>
      <c r="L266" s="62"/>
      <c r="N266" s="49"/>
    </row>
    <row r="267" spans="1:14" s="50" customFormat="1" ht="15.75" customHeight="1" x14ac:dyDescent="0.3">
      <c r="A267" s="72">
        <v>4</v>
      </c>
      <c r="B267" s="72"/>
      <c r="C267" s="21" t="s">
        <v>168</v>
      </c>
      <c r="D267" s="55">
        <f>(27.18+1.2*1.225)*10.764</f>
        <v>308.38859999999994</v>
      </c>
      <c r="E267" s="21">
        <v>0</v>
      </c>
      <c r="F267" s="21">
        <f t="shared" ref="F267:F271" si="24">D267*(($F$138)+1)+(IF(E267&lt;101,E267,IF(E267&lt;201,E267/2,IF(E267&lt;=301,E267/3,E267/4))))</f>
        <v>462.58289999999988</v>
      </c>
      <c r="G267" s="75"/>
      <c r="H267" s="76"/>
      <c r="I267" s="49"/>
      <c r="L267" s="62"/>
      <c r="N267" s="49"/>
    </row>
    <row r="268" spans="1:14" s="50" customFormat="1" ht="15.75" customHeight="1" x14ac:dyDescent="0.3">
      <c r="A268" s="72">
        <v>5</v>
      </c>
      <c r="B268" s="72"/>
      <c r="C268" s="21" t="s">
        <v>168</v>
      </c>
      <c r="D268" s="55">
        <f>(25.26+1.2*1.225)*10.764</f>
        <v>287.72172</v>
      </c>
      <c r="E268" s="21">
        <v>0</v>
      </c>
      <c r="F268" s="21">
        <f t="shared" si="24"/>
        <v>431.58258000000001</v>
      </c>
      <c r="G268" s="75"/>
      <c r="H268" s="76"/>
      <c r="I268" s="49"/>
      <c r="L268" s="62"/>
      <c r="N268" s="49"/>
    </row>
    <row r="269" spans="1:14" s="50" customFormat="1" ht="15.75" customHeight="1" x14ac:dyDescent="0.3">
      <c r="A269" s="72">
        <v>6</v>
      </c>
      <c r="B269" s="72"/>
      <c r="C269" s="21" t="s">
        <v>168</v>
      </c>
      <c r="D269" s="55">
        <f>(26.37+1.2*1.225)*10.764</f>
        <v>299.66976</v>
      </c>
      <c r="E269" s="21">
        <v>0</v>
      </c>
      <c r="F269" s="21">
        <f t="shared" si="24"/>
        <v>449.50463999999999</v>
      </c>
      <c r="G269" s="75"/>
      <c r="H269" s="76"/>
      <c r="I269" s="49"/>
      <c r="L269" s="62"/>
      <c r="N269" s="49"/>
    </row>
    <row r="270" spans="1:14" s="50" customFormat="1" ht="15.75" customHeight="1" x14ac:dyDescent="0.3">
      <c r="A270" s="72">
        <v>7</v>
      </c>
      <c r="B270" s="72"/>
      <c r="C270" s="21" t="s">
        <v>168</v>
      </c>
      <c r="D270" s="55">
        <f>(25.94+1.2*1.225)*10.764</f>
        <v>295.04123999999996</v>
      </c>
      <c r="E270" s="21">
        <v>0</v>
      </c>
      <c r="F270" s="21">
        <f t="shared" si="24"/>
        <v>442.56185999999991</v>
      </c>
      <c r="G270" s="75"/>
      <c r="H270" s="76"/>
      <c r="I270" s="49"/>
      <c r="L270" s="62"/>
      <c r="N270" s="49"/>
    </row>
    <row r="271" spans="1:14" s="50" customFormat="1" ht="15.75" customHeight="1" x14ac:dyDescent="0.3">
      <c r="A271" s="72">
        <v>8</v>
      </c>
      <c r="B271" s="72"/>
      <c r="C271" s="21" t="s">
        <v>191</v>
      </c>
      <c r="D271" s="55">
        <f>(29.85+2.05*1.35)*10.764</f>
        <v>351.09476999999998</v>
      </c>
      <c r="E271" s="21">
        <v>0</v>
      </c>
      <c r="F271" s="21">
        <f t="shared" si="24"/>
        <v>526.642155</v>
      </c>
      <c r="G271" s="75"/>
      <c r="H271" s="76"/>
      <c r="I271" s="49"/>
      <c r="L271" s="62"/>
      <c r="N271" s="49"/>
    </row>
    <row r="272" spans="1:14" s="50" customFormat="1" ht="15.75" customHeight="1" x14ac:dyDescent="0.3">
      <c r="A272" s="72">
        <v>9</v>
      </c>
      <c r="B272" s="72"/>
      <c r="C272" s="21" t="s">
        <v>191</v>
      </c>
      <c r="D272" s="55">
        <f>(30.93+2.05*1.35)*10.764</f>
        <v>362.71988999999996</v>
      </c>
      <c r="E272" s="21">
        <v>0</v>
      </c>
      <c r="F272" s="21">
        <f t="shared" ref="F272:F273" si="25">D272*(($F$138)+1)+(IF(E272&lt;101,E272,IF(E272&lt;201,E272/2,IF(E272&lt;=301,E272/3,E272/4))))</f>
        <v>544.079835</v>
      </c>
      <c r="G272" s="75"/>
      <c r="H272" s="76"/>
      <c r="I272" s="49">
        <f>1*2.115+2*4.625+2.575*1.625+2*2.85+2.15*1.3+2.15*1.3</f>
        <v>26.839375000000004</v>
      </c>
      <c r="L272" s="62"/>
      <c r="N272" s="49"/>
    </row>
    <row r="273" spans="1:14" s="50" customFormat="1" ht="15.75" customHeight="1" x14ac:dyDescent="0.3">
      <c r="A273" s="72">
        <v>10</v>
      </c>
      <c r="B273" s="72"/>
      <c r="C273" s="21" t="s">
        <v>191</v>
      </c>
      <c r="D273" s="55">
        <f>(29.45+2.05*1.35)*10.764</f>
        <v>346.78917000000001</v>
      </c>
      <c r="E273" s="21">
        <v>0</v>
      </c>
      <c r="F273" s="21">
        <f t="shared" si="25"/>
        <v>520.18375500000002</v>
      </c>
      <c r="G273" s="77"/>
      <c r="H273" s="78"/>
      <c r="I273" s="49"/>
      <c r="L273" s="62"/>
      <c r="N273" s="49"/>
    </row>
    <row r="274" spans="1:14" s="50" customFormat="1" x14ac:dyDescent="0.3">
      <c r="A274" s="79" t="s">
        <v>228</v>
      </c>
      <c r="B274" s="79"/>
      <c r="C274" s="79"/>
      <c r="D274" s="79"/>
      <c r="E274" s="79"/>
      <c r="F274" s="79"/>
      <c r="G274" s="79"/>
      <c r="H274" s="79"/>
      <c r="I274" s="49"/>
      <c r="L274" s="80"/>
      <c r="M274" s="80"/>
    </row>
    <row r="275" spans="1:14" s="50" customFormat="1" ht="15.75" customHeight="1" x14ac:dyDescent="0.3">
      <c r="A275" s="72">
        <v>1</v>
      </c>
      <c r="B275" s="72"/>
      <c r="C275" s="21" t="s">
        <v>191</v>
      </c>
      <c r="D275" s="55">
        <f>(29.18+1.95*1.2)*10.764</f>
        <v>339.28127999999998</v>
      </c>
      <c r="E275" s="21">
        <v>0</v>
      </c>
      <c r="F275" s="21">
        <f t="shared" ref="F275:F276" si="26">D275*(($F$138)+1)+(IF(E275&lt;101,E275,IF(E275&lt;201,E275/2,IF(E275&lt;=301,E275/3,E275/4))))</f>
        <v>508.92192</v>
      </c>
      <c r="G275" s="73" t="str">
        <f>A274</f>
        <v>8th, 13th, 18th &amp; 23rd Floor (Part Refuge Area)</v>
      </c>
      <c r="H275" s="74"/>
      <c r="I275" s="49"/>
      <c r="L275" s="62"/>
      <c r="N275" s="49"/>
    </row>
    <row r="276" spans="1:14" s="50" customFormat="1" ht="15.75" customHeight="1" x14ac:dyDescent="0.3">
      <c r="A276" s="72">
        <v>2</v>
      </c>
      <c r="B276" s="72"/>
      <c r="C276" s="21" t="s">
        <v>191</v>
      </c>
      <c r="D276" s="55">
        <f>(31.72+1.95*1.2)*10.764</f>
        <v>366.62184000000002</v>
      </c>
      <c r="E276" s="21">
        <v>0</v>
      </c>
      <c r="F276" s="21">
        <f t="shared" si="26"/>
        <v>549.93276000000003</v>
      </c>
      <c r="G276" s="75"/>
      <c r="H276" s="76"/>
      <c r="I276" s="49"/>
      <c r="L276" s="62"/>
      <c r="N276" s="49"/>
    </row>
    <row r="277" spans="1:14" s="50" customFormat="1" ht="15.75" customHeight="1" x14ac:dyDescent="0.3">
      <c r="A277" s="72">
        <v>3</v>
      </c>
      <c r="B277" s="72"/>
      <c r="C277" s="81" t="s">
        <v>170</v>
      </c>
      <c r="D277" s="82"/>
      <c r="E277" s="82"/>
      <c r="F277" s="83"/>
      <c r="G277" s="75"/>
      <c r="H277" s="76"/>
      <c r="I277" s="49"/>
      <c r="L277" s="62"/>
      <c r="N277" s="49"/>
    </row>
    <row r="278" spans="1:14" s="50" customFormat="1" ht="15.75" customHeight="1" x14ac:dyDescent="0.3">
      <c r="A278" s="72">
        <v>4</v>
      </c>
      <c r="B278" s="72"/>
      <c r="C278" s="21" t="s">
        <v>168</v>
      </c>
      <c r="D278" s="55">
        <f>(27.18+1.2*1.225)*10.764</f>
        <v>308.38859999999994</v>
      </c>
      <c r="E278" s="21">
        <v>0</v>
      </c>
      <c r="F278" s="21">
        <f t="shared" ref="F278:F284" si="27">D278*(($F$138)+1)+(IF(E278&lt;101,E278,IF(E278&lt;201,E278/2,IF(E278&lt;=301,E278/3,E278/4))))</f>
        <v>462.58289999999988</v>
      </c>
      <c r="G278" s="75"/>
      <c r="H278" s="76"/>
      <c r="I278" s="49"/>
      <c r="L278" s="62"/>
      <c r="N278" s="49"/>
    </row>
    <row r="279" spans="1:14" s="50" customFormat="1" ht="15.75" customHeight="1" x14ac:dyDescent="0.3">
      <c r="A279" s="72">
        <v>5</v>
      </c>
      <c r="B279" s="72"/>
      <c r="C279" s="21" t="s">
        <v>168</v>
      </c>
      <c r="D279" s="55">
        <f>(25.26+1.2*1.225)*10.764</f>
        <v>287.72172</v>
      </c>
      <c r="E279" s="21">
        <v>0</v>
      </c>
      <c r="F279" s="21">
        <f t="shared" si="27"/>
        <v>431.58258000000001</v>
      </c>
      <c r="G279" s="75"/>
      <c r="H279" s="76"/>
      <c r="I279" s="49"/>
      <c r="L279" s="62"/>
      <c r="N279" s="49"/>
    </row>
    <row r="280" spans="1:14" s="50" customFormat="1" ht="15.75" customHeight="1" x14ac:dyDescent="0.3">
      <c r="A280" s="72">
        <v>6</v>
      </c>
      <c r="B280" s="72"/>
      <c r="C280" s="21" t="s">
        <v>168</v>
      </c>
      <c r="D280" s="55">
        <f>(26.37+1.2*1.225)*10.764</f>
        <v>299.66976</v>
      </c>
      <c r="E280" s="21">
        <v>0</v>
      </c>
      <c r="F280" s="21">
        <f t="shared" si="27"/>
        <v>449.50463999999999</v>
      </c>
      <c r="G280" s="75"/>
      <c r="H280" s="76"/>
      <c r="I280" s="49"/>
      <c r="L280" s="62"/>
      <c r="N280" s="49"/>
    </row>
    <row r="281" spans="1:14" s="50" customFormat="1" ht="15.75" customHeight="1" x14ac:dyDescent="0.3">
      <c r="A281" s="72">
        <v>7</v>
      </c>
      <c r="B281" s="72"/>
      <c r="C281" s="21" t="s">
        <v>168</v>
      </c>
      <c r="D281" s="55">
        <f>(25.94+1.2*1.225)*10.764</f>
        <v>295.04123999999996</v>
      </c>
      <c r="E281" s="21">
        <v>0</v>
      </c>
      <c r="F281" s="21">
        <f t="shared" si="27"/>
        <v>442.56185999999991</v>
      </c>
      <c r="G281" s="75"/>
      <c r="H281" s="76"/>
      <c r="I281" s="49"/>
      <c r="L281" s="62"/>
      <c r="N281" s="49"/>
    </row>
    <row r="282" spans="1:14" s="50" customFormat="1" ht="15.75" customHeight="1" x14ac:dyDescent="0.3">
      <c r="A282" s="72">
        <v>8</v>
      </c>
      <c r="B282" s="72"/>
      <c r="C282" s="21" t="s">
        <v>191</v>
      </c>
      <c r="D282" s="55">
        <f>(29.85+2.05*1.35)*10.764</f>
        <v>351.09476999999998</v>
      </c>
      <c r="E282" s="21">
        <v>0</v>
      </c>
      <c r="F282" s="21">
        <f t="shared" si="27"/>
        <v>526.642155</v>
      </c>
      <c r="G282" s="75"/>
      <c r="H282" s="76"/>
      <c r="I282" s="49"/>
      <c r="L282" s="62"/>
      <c r="N282" s="49"/>
    </row>
    <row r="283" spans="1:14" s="50" customFormat="1" ht="15.75" customHeight="1" x14ac:dyDescent="0.3">
      <c r="A283" s="72">
        <v>9</v>
      </c>
      <c r="B283" s="72"/>
      <c r="C283" s="21" t="s">
        <v>191</v>
      </c>
      <c r="D283" s="55">
        <f>(30.93+2.05*1.35)*10.764</f>
        <v>362.71988999999996</v>
      </c>
      <c r="E283" s="21">
        <v>0</v>
      </c>
      <c r="F283" s="21">
        <f t="shared" si="27"/>
        <v>544.079835</v>
      </c>
      <c r="G283" s="75"/>
      <c r="H283" s="76"/>
      <c r="I283" s="49"/>
      <c r="L283" s="62"/>
      <c r="N283" s="49"/>
    </row>
    <row r="284" spans="1:14" s="50" customFormat="1" ht="15.75" customHeight="1" x14ac:dyDescent="0.3">
      <c r="A284" s="72">
        <v>10</v>
      </c>
      <c r="B284" s="72"/>
      <c r="C284" s="21" t="s">
        <v>191</v>
      </c>
      <c r="D284" s="55">
        <f>(29.45+2.05*1.35)*10.764</f>
        <v>346.78917000000001</v>
      </c>
      <c r="E284" s="21">
        <v>0</v>
      </c>
      <c r="F284" s="21">
        <f t="shared" si="27"/>
        <v>520.18375500000002</v>
      </c>
      <c r="G284" s="77"/>
      <c r="H284" s="78"/>
      <c r="I284" s="49"/>
      <c r="L284" s="62"/>
      <c r="N284" s="49"/>
    </row>
    <row r="285" spans="1:14" s="48" customFormat="1" x14ac:dyDescent="0.3">
      <c r="A285" s="171" t="s">
        <v>73</v>
      </c>
      <c r="B285" s="171"/>
      <c r="C285" s="171"/>
      <c r="D285" s="171"/>
      <c r="E285" s="171"/>
      <c r="F285" s="171"/>
      <c r="G285" s="171"/>
      <c r="H285" s="171"/>
      <c r="L285" s="61"/>
    </row>
    <row r="286" spans="1:14" s="48" customFormat="1" ht="36.75" customHeight="1" x14ac:dyDescent="0.3">
      <c r="A286" s="20" t="s">
        <v>161</v>
      </c>
      <c r="B286" s="172" t="s">
        <v>242</v>
      </c>
      <c r="C286" s="173"/>
      <c r="D286" s="173"/>
      <c r="E286" s="173"/>
      <c r="F286" s="173"/>
      <c r="G286" s="173"/>
      <c r="H286" s="174"/>
      <c r="L286" s="61"/>
    </row>
    <row r="287" spans="1:14" s="48" customFormat="1" x14ac:dyDescent="0.3">
      <c r="A287" s="20" t="s">
        <v>161</v>
      </c>
      <c r="B287" s="172" t="str">
        <f>(IF(F137="Saleable area Loading :","We have considered Saleable area of Flats as per our Calculation.","We considered Saleable area of Flat as per Builder area Sheet."))</f>
        <v>We have considered Saleable area of Flats as per our Calculation.</v>
      </c>
      <c r="C287" s="173"/>
      <c r="D287" s="173"/>
      <c r="E287" s="173"/>
      <c r="F287" s="173"/>
      <c r="G287" s="173"/>
      <c r="H287" s="174"/>
      <c r="L287" s="61"/>
    </row>
    <row r="288" spans="1:14" s="48" customFormat="1" x14ac:dyDescent="0.3">
      <c r="A288" s="20" t="s">
        <v>161</v>
      </c>
      <c r="B288" s="172" t="str">
        <f>(IF(F119="Saleable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88" s="173"/>
      <c r="D288" s="173"/>
      <c r="E288" s="173"/>
      <c r="F288" s="173"/>
      <c r="G288" s="173"/>
      <c r="H288" s="174"/>
      <c r="L288" s="61"/>
    </row>
    <row r="289" spans="1:12" s="48" customFormat="1" x14ac:dyDescent="0.3">
      <c r="A289" s="20" t="s">
        <v>161</v>
      </c>
      <c r="B289" s="69" t="s">
        <v>131</v>
      </c>
      <c r="C289" s="70"/>
      <c r="D289" s="70"/>
      <c r="E289" s="70"/>
      <c r="F289" s="70"/>
      <c r="G289" s="70"/>
      <c r="H289" s="71"/>
      <c r="L289" s="61"/>
    </row>
    <row r="290" spans="1:12" s="48" customFormat="1" x14ac:dyDescent="0.3">
      <c r="A290" s="20" t="s">
        <v>161</v>
      </c>
      <c r="B290" s="69" t="s">
        <v>209</v>
      </c>
      <c r="C290" s="70"/>
      <c r="D290" s="70"/>
      <c r="E290" s="70"/>
      <c r="F290" s="70"/>
      <c r="G290" s="70"/>
      <c r="H290" s="71"/>
      <c r="L290" s="61"/>
    </row>
    <row r="291" spans="1:12" s="48" customFormat="1" x14ac:dyDescent="0.3">
      <c r="A291" s="20" t="s">
        <v>161</v>
      </c>
      <c r="B291" s="69" t="s">
        <v>160</v>
      </c>
      <c r="C291" s="70"/>
      <c r="D291" s="70"/>
      <c r="E291" s="70"/>
      <c r="F291" s="70"/>
      <c r="G291" s="70"/>
      <c r="H291" s="71"/>
      <c r="L291" s="61"/>
    </row>
    <row r="292" spans="1:12" s="48" customFormat="1" x14ac:dyDescent="0.3">
      <c r="A292" s="20" t="s">
        <v>161</v>
      </c>
      <c r="B292" s="69" t="s">
        <v>132</v>
      </c>
      <c r="C292" s="70"/>
      <c r="D292" s="70"/>
      <c r="E292" s="70"/>
      <c r="F292" s="70"/>
      <c r="G292" s="70"/>
      <c r="H292" s="71"/>
      <c r="L292" s="61"/>
    </row>
    <row r="293" spans="1:12" s="48" customFormat="1" ht="34.5" customHeight="1" x14ac:dyDescent="0.3">
      <c r="A293" s="20" t="s">
        <v>161</v>
      </c>
      <c r="B293" s="69" t="s">
        <v>164</v>
      </c>
      <c r="C293" s="70"/>
      <c r="D293" s="70"/>
      <c r="E293" s="70"/>
      <c r="F293" s="70"/>
      <c r="G293" s="70"/>
      <c r="H293" s="71"/>
      <c r="L293" s="61"/>
    </row>
    <row r="294" spans="1:12" s="48" customFormat="1" x14ac:dyDescent="0.3">
      <c r="A294" s="20" t="s">
        <v>161</v>
      </c>
      <c r="B294" s="69" t="s">
        <v>133</v>
      </c>
      <c r="C294" s="70"/>
      <c r="D294" s="70"/>
      <c r="E294" s="70"/>
      <c r="F294" s="70"/>
      <c r="G294" s="70"/>
      <c r="H294" s="71"/>
      <c r="L294" s="61"/>
    </row>
    <row r="295" spans="1:12" s="48" customFormat="1" hidden="1" x14ac:dyDescent="0.3">
      <c r="A295" s="20" t="s">
        <v>161</v>
      </c>
      <c r="B295" s="180" t="s">
        <v>134</v>
      </c>
      <c r="C295" s="181"/>
      <c r="D295" s="181"/>
      <c r="E295" s="181"/>
      <c r="F295" s="181"/>
      <c r="G295" s="181"/>
      <c r="H295" s="182"/>
      <c r="L295" s="61"/>
    </row>
    <row r="296" spans="1:12" s="48" customFormat="1" x14ac:dyDescent="0.3">
      <c r="A296" s="20" t="s">
        <v>161</v>
      </c>
      <c r="B296" s="69" t="s">
        <v>210</v>
      </c>
      <c r="C296" s="70"/>
      <c r="D296" s="70"/>
      <c r="E296" s="70"/>
      <c r="F296" s="70"/>
      <c r="G296" s="70"/>
      <c r="H296" s="71"/>
      <c r="L296" s="61"/>
    </row>
    <row r="297" spans="1:12" s="48" customFormat="1" x14ac:dyDescent="0.3">
      <c r="A297" s="20" t="s">
        <v>161</v>
      </c>
      <c r="B297" s="69" t="s">
        <v>237</v>
      </c>
      <c r="C297" s="70"/>
      <c r="D297" s="70"/>
      <c r="E297" s="70"/>
      <c r="F297" s="70"/>
      <c r="G297" s="70"/>
      <c r="H297" s="71"/>
      <c r="L297" s="61"/>
    </row>
    <row r="298" spans="1:12" s="48" customFormat="1" hidden="1" x14ac:dyDescent="0.3">
      <c r="A298" s="20" t="s">
        <v>161</v>
      </c>
      <c r="B298" s="69" t="s">
        <v>199</v>
      </c>
      <c r="C298" s="70"/>
      <c r="D298" s="70"/>
      <c r="E298" s="70"/>
      <c r="F298" s="70"/>
      <c r="G298" s="70"/>
      <c r="H298" s="71"/>
      <c r="L298" s="61"/>
    </row>
    <row r="299" spans="1:12" s="48" customFormat="1" x14ac:dyDescent="0.3">
      <c r="A299" s="20" t="s">
        <v>161</v>
      </c>
      <c r="B299" s="69" t="s">
        <v>232</v>
      </c>
      <c r="C299" s="70"/>
      <c r="D299" s="70"/>
      <c r="E299" s="70"/>
      <c r="F299" s="70"/>
      <c r="G299" s="70"/>
      <c r="H299" s="71"/>
      <c r="L299" s="61"/>
    </row>
    <row r="300" spans="1:12" s="48" customFormat="1" x14ac:dyDescent="0.3">
      <c r="A300" s="20" t="s">
        <v>161</v>
      </c>
      <c r="B300" s="69" t="s">
        <v>233</v>
      </c>
      <c r="C300" s="70"/>
      <c r="D300" s="70"/>
      <c r="E300" s="70"/>
      <c r="F300" s="70"/>
      <c r="G300" s="70"/>
      <c r="H300" s="71"/>
      <c r="L300" s="61"/>
    </row>
    <row r="301" spans="1:12" x14ac:dyDescent="0.3">
      <c r="A301" s="183" t="s">
        <v>66</v>
      </c>
      <c r="B301" s="183"/>
      <c r="C301" s="183"/>
      <c r="D301" s="183"/>
      <c r="E301" s="183"/>
      <c r="F301" s="183"/>
      <c r="G301" s="183"/>
      <c r="H301" s="183"/>
    </row>
    <row r="302" spans="1:12" x14ac:dyDescent="0.3">
      <c r="A302" s="133" t="s">
        <v>67</v>
      </c>
      <c r="B302" s="133"/>
      <c r="C302" s="133"/>
      <c r="D302" s="133"/>
      <c r="E302" s="133"/>
      <c r="F302" s="133"/>
      <c r="G302" s="133"/>
      <c r="H302" s="133"/>
    </row>
    <row r="303" spans="1:12" ht="15.75" customHeight="1" x14ac:dyDescent="0.3">
      <c r="A303" s="175" t="s">
        <v>68</v>
      </c>
      <c r="B303" s="175"/>
      <c r="C303" s="175"/>
      <c r="D303" s="175"/>
      <c r="E303" s="175"/>
      <c r="F303" s="175"/>
      <c r="G303" s="175"/>
      <c r="H303" s="175"/>
    </row>
    <row r="304" spans="1:12" x14ac:dyDescent="0.3">
      <c r="A304" s="133" t="s">
        <v>69</v>
      </c>
      <c r="B304" s="133"/>
      <c r="C304" s="133"/>
      <c r="D304" s="133"/>
      <c r="E304" s="133"/>
      <c r="F304" s="133"/>
      <c r="G304" s="133"/>
      <c r="H304" s="133"/>
    </row>
    <row r="305" spans="1:8" x14ac:dyDescent="0.3">
      <c r="A305" s="133" t="s">
        <v>70</v>
      </c>
      <c r="B305" s="133"/>
      <c r="C305" s="133"/>
      <c r="D305" s="133"/>
      <c r="E305" s="133"/>
      <c r="F305" s="133"/>
      <c r="G305" s="133"/>
      <c r="H305" s="133"/>
    </row>
    <row r="306" spans="1:8" x14ac:dyDescent="0.3">
      <c r="A306" s="133" t="s">
        <v>135</v>
      </c>
      <c r="B306" s="133"/>
      <c r="C306" s="133"/>
      <c r="D306" s="133"/>
      <c r="E306" s="133"/>
      <c r="F306" s="133"/>
      <c r="G306" s="133"/>
      <c r="H306" s="133"/>
    </row>
    <row r="307" spans="1:8" ht="32.25" hidden="1" customHeight="1" x14ac:dyDescent="0.3">
      <c r="A307" s="153" t="s">
        <v>136</v>
      </c>
      <c r="B307" s="153"/>
      <c r="C307" s="153"/>
      <c r="D307" s="153"/>
      <c r="E307" s="153"/>
      <c r="F307" s="153"/>
      <c r="G307" s="153"/>
      <c r="H307" s="153"/>
    </row>
    <row r="308" spans="1:8" x14ac:dyDescent="0.3">
      <c r="A308" s="166" t="s">
        <v>83</v>
      </c>
      <c r="B308" s="166"/>
      <c r="C308" s="166" t="s">
        <v>244</v>
      </c>
      <c r="D308" s="166"/>
      <c r="E308" s="166" t="s">
        <v>112</v>
      </c>
      <c r="F308" s="166"/>
      <c r="G308" s="166" t="s">
        <v>243</v>
      </c>
      <c r="H308" s="166"/>
    </row>
    <row r="309" spans="1:8" x14ac:dyDescent="0.3">
      <c r="A309" s="165" t="s">
        <v>85</v>
      </c>
      <c r="B309" s="165"/>
      <c r="C309" s="165"/>
      <c r="D309" s="165"/>
      <c r="E309" s="165"/>
      <c r="F309" s="165"/>
      <c r="G309" s="165"/>
      <c r="H309" s="165"/>
    </row>
    <row r="310" spans="1:8" x14ac:dyDescent="0.3">
      <c r="A310" s="165"/>
      <c r="B310" s="165"/>
      <c r="C310" s="165"/>
      <c r="D310" s="165"/>
      <c r="E310" s="165"/>
      <c r="F310" s="165"/>
      <c r="G310" s="165"/>
      <c r="H310" s="165"/>
    </row>
    <row r="311" spans="1:8" x14ac:dyDescent="0.3">
      <c r="A311" s="165"/>
      <c r="B311" s="165"/>
      <c r="C311" s="165"/>
      <c r="D311" s="165"/>
      <c r="E311" s="165"/>
      <c r="F311" s="165"/>
      <c r="G311" s="165"/>
      <c r="H311" s="165"/>
    </row>
    <row r="312" spans="1:8" x14ac:dyDescent="0.3">
      <c r="A312" s="165"/>
      <c r="B312" s="165"/>
      <c r="C312" s="165"/>
      <c r="D312" s="165"/>
      <c r="E312" s="165"/>
      <c r="F312" s="165"/>
      <c r="G312" s="165"/>
      <c r="H312" s="165"/>
    </row>
    <row r="313" spans="1:8" x14ac:dyDescent="0.3">
      <c r="A313" s="51" t="s">
        <v>71</v>
      </c>
      <c r="B313" s="52"/>
      <c r="C313" s="52"/>
      <c r="D313" s="51" t="str">
        <f>E8</f>
        <v>Marathon Nexworld Nova &amp; Flora</v>
      </c>
      <c r="F313" s="52"/>
      <c r="G313" s="52"/>
      <c r="H313" s="52"/>
    </row>
    <row r="314" spans="1:8" x14ac:dyDescent="0.3">
      <c r="A314" s="52"/>
      <c r="B314" s="52"/>
      <c r="C314" s="52"/>
      <c r="D314" s="52"/>
      <c r="E314" s="52"/>
      <c r="F314" s="52"/>
      <c r="G314" s="52"/>
      <c r="H314" s="52"/>
    </row>
    <row r="315" spans="1:8" x14ac:dyDescent="0.3">
      <c r="A315" s="52"/>
      <c r="B315" s="52"/>
      <c r="C315" s="52"/>
      <c r="D315" s="52"/>
      <c r="E315" s="52"/>
      <c r="F315" s="52"/>
      <c r="G315" s="52"/>
      <c r="H315" s="52"/>
    </row>
    <row r="316" spans="1:8" ht="15" customHeight="1" x14ac:dyDescent="0.3"/>
    <row r="356" spans="1:1" x14ac:dyDescent="0.3">
      <c r="A356" s="54" t="s">
        <v>235</v>
      </c>
    </row>
    <row r="395" spans="1:1" x14ac:dyDescent="0.3">
      <c r="A395" s="54" t="s">
        <v>72</v>
      </c>
    </row>
  </sheetData>
  <mergeCells count="473">
    <mergeCell ref="A10:D10"/>
    <mergeCell ref="E10:H10"/>
    <mergeCell ref="A37:B37"/>
    <mergeCell ref="C37:H37"/>
    <mergeCell ref="L126:M126"/>
    <mergeCell ref="B297:H297"/>
    <mergeCell ref="B296:H296"/>
    <mergeCell ref="E40:H40"/>
    <mergeCell ref="A40:D40"/>
    <mergeCell ref="A47:B47"/>
    <mergeCell ref="C47:E47"/>
    <mergeCell ref="G47:H47"/>
    <mergeCell ref="G49:H49"/>
    <mergeCell ref="D53:H53"/>
    <mergeCell ref="C49:E49"/>
    <mergeCell ref="D56:H56"/>
    <mergeCell ref="C48:E48"/>
    <mergeCell ref="A51:B51"/>
    <mergeCell ref="C51:E51"/>
    <mergeCell ref="A48:B48"/>
    <mergeCell ref="A52:H52"/>
    <mergeCell ref="A53:C53"/>
    <mergeCell ref="A54:C54"/>
    <mergeCell ref="F94:H94"/>
    <mergeCell ref="A93:H93"/>
    <mergeCell ref="G108:H108"/>
    <mergeCell ref="C112:D112"/>
    <mergeCell ref="B294:H294"/>
    <mergeCell ref="B295:H295"/>
    <mergeCell ref="B298:H298"/>
    <mergeCell ref="A301:H301"/>
    <mergeCell ref="A302:H302"/>
    <mergeCell ref="A148:B148"/>
    <mergeCell ref="G148:H148"/>
    <mergeCell ref="A149:B149"/>
    <mergeCell ref="G149:H149"/>
    <mergeCell ref="G144:H144"/>
    <mergeCell ref="A168:B168"/>
    <mergeCell ref="F104:H104"/>
    <mergeCell ref="A105:E105"/>
    <mergeCell ref="F105:H105"/>
    <mergeCell ref="A141:H141"/>
    <mergeCell ref="A169:B169"/>
    <mergeCell ref="A167:B167"/>
    <mergeCell ref="A150:H150"/>
    <mergeCell ref="A161:B161"/>
    <mergeCell ref="A162:B162"/>
    <mergeCell ref="A163:B163"/>
    <mergeCell ref="D54:H54"/>
    <mergeCell ref="G51:H51"/>
    <mergeCell ref="A69:B69"/>
    <mergeCell ref="G68:H68"/>
    <mergeCell ref="A67:B67"/>
    <mergeCell ref="A65:B65"/>
    <mergeCell ref="A126:B126"/>
    <mergeCell ref="A119:A120"/>
    <mergeCell ref="C137:C138"/>
    <mergeCell ref="A73:B73"/>
    <mergeCell ref="A100:E100"/>
    <mergeCell ref="D55:H55"/>
    <mergeCell ref="A55:C55"/>
    <mergeCell ref="A70:B70"/>
    <mergeCell ref="A72:B72"/>
    <mergeCell ref="E68:F68"/>
    <mergeCell ref="A59:C59"/>
    <mergeCell ref="D58:H58"/>
    <mergeCell ref="E69:F78"/>
    <mergeCell ref="G69:H78"/>
    <mergeCell ref="A77:B77"/>
    <mergeCell ref="A60:C60"/>
    <mergeCell ref="A112:B112"/>
    <mergeCell ref="D137:D138"/>
    <mergeCell ref="A304:H304"/>
    <mergeCell ref="A111:H111"/>
    <mergeCell ref="A307:H307"/>
    <mergeCell ref="A305:H305"/>
    <mergeCell ref="A285:H285"/>
    <mergeCell ref="C119:C120"/>
    <mergeCell ref="B292:H292"/>
    <mergeCell ref="B288:H288"/>
    <mergeCell ref="B286:H286"/>
    <mergeCell ref="B287:H287"/>
    <mergeCell ref="B289:H289"/>
    <mergeCell ref="B290:H290"/>
    <mergeCell ref="A306:H306"/>
    <mergeCell ref="A147:B147"/>
    <mergeCell ref="A303:H303"/>
    <mergeCell ref="A142:B142"/>
    <mergeCell ref="E137:E138"/>
    <mergeCell ref="G137:H138"/>
    <mergeCell ref="A136:H136"/>
    <mergeCell ref="A137:A138"/>
    <mergeCell ref="G146:H146"/>
    <mergeCell ref="A203:B203"/>
    <mergeCell ref="A171:B171"/>
    <mergeCell ref="A170:B170"/>
    <mergeCell ref="A309:H312"/>
    <mergeCell ref="A308:B308"/>
    <mergeCell ref="E308:F308"/>
    <mergeCell ref="C308:D308"/>
    <mergeCell ref="G308:H308"/>
    <mergeCell ref="A106:H106"/>
    <mergeCell ref="A175:B175"/>
    <mergeCell ref="A173:B173"/>
    <mergeCell ref="B137:B138"/>
    <mergeCell ref="A166:H166"/>
    <mergeCell ref="A155:B155"/>
    <mergeCell ref="A156:B156"/>
    <mergeCell ref="A157:B157"/>
    <mergeCell ref="A158:B158"/>
    <mergeCell ref="A159:B159"/>
    <mergeCell ref="A160:B160"/>
    <mergeCell ref="A146:B146"/>
    <mergeCell ref="A143:B143"/>
    <mergeCell ref="A144:B144"/>
    <mergeCell ref="A200:B200"/>
    <mergeCell ref="A201:B201"/>
    <mergeCell ref="A202:B202"/>
    <mergeCell ref="A145:B145"/>
    <mergeCell ref="A172:B172"/>
    <mergeCell ref="G48:H48"/>
    <mergeCell ref="A49:B50"/>
    <mergeCell ref="B119:B120"/>
    <mergeCell ref="A61:C61"/>
    <mergeCell ref="D61:H61"/>
    <mergeCell ref="A64:C64"/>
    <mergeCell ref="D64:H64"/>
    <mergeCell ref="A62:C62"/>
    <mergeCell ref="D62:H62"/>
    <mergeCell ref="A63:C63"/>
    <mergeCell ref="D63:H63"/>
    <mergeCell ref="C65:H65"/>
    <mergeCell ref="A78:B78"/>
    <mergeCell ref="A75:B75"/>
    <mergeCell ref="A68:B68"/>
    <mergeCell ref="A71:B71"/>
    <mergeCell ref="A103:E103"/>
    <mergeCell ref="A98:E98"/>
    <mergeCell ref="F98:H98"/>
    <mergeCell ref="A99:E99"/>
    <mergeCell ref="A101:E101"/>
    <mergeCell ref="G112:H112"/>
    <mergeCell ref="D60:H60"/>
    <mergeCell ref="C67:H67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D59:H59"/>
    <mergeCell ref="A15:B15"/>
    <mergeCell ref="A12:D12"/>
    <mergeCell ref="E12:H12"/>
    <mergeCell ref="A13:D13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C36:H36"/>
    <mergeCell ref="L124:M124"/>
    <mergeCell ref="A76:B76"/>
    <mergeCell ref="C113:D113"/>
    <mergeCell ref="E113:F113"/>
    <mergeCell ref="G113:H113"/>
    <mergeCell ref="F99:H99"/>
    <mergeCell ref="A94:E94"/>
    <mergeCell ref="A123:H123"/>
    <mergeCell ref="E119:E120"/>
    <mergeCell ref="G119:H120"/>
    <mergeCell ref="E112:F112"/>
    <mergeCell ref="E107:F107"/>
    <mergeCell ref="A117:H117"/>
    <mergeCell ref="A107:B107"/>
    <mergeCell ref="F100:H100"/>
    <mergeCell ref="C107:D107"/>
    <mergeCell ref="F103:H103"/>
    <mergeCell ref="F101:H101"/>
    <mergeCell ref="A118:H118"/>
    <mergeCell ref="G107:H107"/>
    <mergeCell ref="A102:E102"/>
    <mergeCell ref="C108:D108"/>
    <mergeCell ref="E108:F108"/>
    <mergeCell ref="A104:E104"/>
    <mergeCell ref="A164:B164"/>
    <mergeCell ref="A165:B165"/>
    <mergeCell ref="A183:H183"/>
    <mergeCell ref="A184:B184"/>
    <mergeCell ref="G184:H198"/>
    <mergeCell ref="A185:B185"/>
    <mergeCell ref="G143:H143"/>
    <mergeCell ref="A174:B174"/>
    <mergeCell ref="A151:B151"/>
    <mergeCell ref="G151:H165"/>
    <mergeCell ref="A152:B152"/>
    <mergeCell ref="A153:B153"/>
    <mergeCell ref="A154:B154"/>
    <mergeCell ref="G147:H147"/>
    <mergeCell ref="A192:B192"/>
    <mergeCell ref="A193:B193"/>
    <mergeCell ref="A194:B194"/>
    <mergeCell ref="B293:H293"/>
    <mergeCell ref="A46:B46"/>
    <mergeCell ref="C46:H46"/>
    <mergeCell ref="B291:H291"/>
    <mergeCell ref="F95:H95"/>
    <mergeCell ref="A95:E95"/>
    <mergeCell ref="G145:H145"/>
    <mergeCell ref="G142:H142"/>
    <mergeCell ref="D119:D120"/>
    <mergeCell ref="A96:E96"/>
    <mergeCell ref="A124:B124"/>
    <mergeCell ref="A125:B125"/>
    <mergeCell ref="A97:E97"/>
    <mergeCell ref="F97:H97"/>
    <mergeCell ref="F96:H96"/>
    <mergeCell ref="F102:H102"/>
    <mergeCell ref="A58:C58"/>
    <mergeCell ref="A205:B205"/>
    <mergeCell ref="A186:B186"/>
    <mergeCell ref="A187:B187"/>
    <mergeCell ref="A188:B188"/>
    <mergeCell ref="A189:B189"/>
    <mergeCell ref="A190:B190"/>
    <mergeCell ref="A191:B191"/>
    <mergeCell ref="I96:L96"/>
    <mergeCell ref="A214:B214"/>
    <mergeCell ref="A215:B215"/>
    <mergeCell ref="C50:H50"/>
    <mergeCell ref="A122:H122"/>
    <mergeCell ref="A140:H140"/>
    <mergeCell ref="A209:B209"/>
    <mergeCell ref="A210:B210"/>
    <mergeCell ref="A211:B211"/>
    <mergeCell ref="A212:B212"/>
    <mergeCell ref="A213:B213"/>
    <mergeCell ref="A181:B181"/>
    <mergeCell ref="A182:B182"/>
    <mergeCell ref="A206:B206"/>
    <mergeCell ref="A207:B207"/>
    <mergeCell ref="A208:B208"/>
    <mergeCell ref="A176:B176"/>
    <mergeCell ref="A177:B177"/>
    <mergeCell ref="A178:B178"/>
    <mergeCell ref="A179:B179"/>
    <mergeCell ref="A180:B180"/>
    <mergeCell ref="A199:H199"/>
    <mergeCell ref="G167:H182"/>
    <mergeCell ref="L141:M141"/>
    <mergeCell ref="A238:B238"/>
    <mergeCell ref="A239:B239"/>
    <mergeCell ref="A240:B240"/>
    <mergeCell ref="A241:B241"/>
    <mergeCell ref="A242:B242"/>
    <mergeCell ref="A243:B243"/>
    <mergeCell ref="A244:B244"/>
    <mergeCell ref="A245:B245"/>
    <mergeCell ref="A246:B246"/>
    <mergeCell ref="C215:F215"/>
    <mergeCell ref="A216:H216"/>
    <mergeCell ref="A217:B217"/>
    <mergeCell ref="A195:B195"/>
    <mergeCell ref="A196:B196"/>
    <mergeCell ref="A197:B197"/>
    <mergeCell ref="A198:B198"/>
    <mergeCell ref="A229:B229"/>
    <mergeCell ref="A230:B230"/>
    <mergeCell ref="A220:B220"/>
    <mergeCell ref="G200:H215"/>
    <mergeCell ref="A204:B204"/>
    <mergeCell ref="A257:B257"/>
    <mergeCell ref="A258:B258"/>
    <mergeCell ref="A259:B259"/>
    <mergeCell ref="A260:B260"/>
    <mergeCell ref="A261:B261"/>
    <mergeCell ref="G217:H231"/>
    <mergeCell ref="A218:B218"/>
    <mergeCell ref="A219:B219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31:B231"/>
    <mergeCell ref="A232:H232"/>
    <mergeCell ref="A233:B233"/>
    <mergeCell ref="G233:H246"/>
    <mergeCell ref="A234:B234"/>
    <mergeCell ref="A235:B235"/>
    <mergeCell ref="A236:B236"/>
    <mergeCell ref="A237:B237"/>
    <mergeCell ref="D57:H57"/>
    <mergeCell ref="A56:C57"/>
    <mergeCell ref="A79:B79"/>
    <mergeCell ref="C79:H79"/>
    <mergeCell ref="A81:B81"/>
    <mergeCell ref="C81:H81"/>
    <mergeCell ref="A82:B82"/>
    <mergeCell ref="E82:F82"/>
    <mergeCell ref="G82:H82"/>
    <mergeCell ref="A74:B74"/>
    <mergeCell ref="A83:B83"/>
    <mergeCell ref="E83:F92"/>
    <mergeCell ref="G83:H92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G124:H126"/>
    <mergeCell ref="A132:B132"/>
    <mergeCell ref="L132:M132"/>
    <mergeCell ref="C109:D109"/>
    <mergeCell ref="E109:F109"/>
    <mergeCell ref="G109:H109"/>
    <mergeCell ref="C114:D114"/>
    <mergeCell ref="E114:F114"/>
    <mergeCell ref="G114:H114"/>
    <mergeCell ref="A121:H121"/>
    <mergeCell ref="A127:H127"/>
    <mergeCell ref="A129:B129"/>
    <mergeCell ref="A115:B115"/>
    <mergeCell ref="C115:D115"/>
    <mergeCell ref="E115:F115"/>
    <mergeCell ref="G115:H115"/>
    <mergeCell ref="A110:B110"/>
    <mergeCell ref="C110:D110"/>
    <mergeCell ref="E110:F110"/>
    <mergeCell ref="G110:H110"/>
    <mergeCell ref="A116:B116"/>
    <mergeCell ref="C116:D116"/>
    <mergeCell ref="E116:F116"/>
    <mergeCell ref="L125:M125"/>
    <mergeCell ref="A128:H128"/>
    <mergeCell ref="A135:B135"/>
    <mergeCell ref="L135:M135"/>
    <mergeCell ref="G129:H135"/>
    <mergeCell ref="L129:M129"/>
    <mergeCell ref="A130:B130"/>
    <mergeCell ref="L130:M130"/>
    <mergeCell ref="A131:B131"/>
    <mergeCell ref="L131:M131"/>
    <mergeCell ref="A133:B133"/>
    <mergeCell ref="A271:B271"/>
    <mergeCell ref="A262:H262"/>
    <mergeCell ref="A263:H263"/>
    <mergeCell ref="L263:M263"/>
    <mergeCell ref="A264:B264"/>
    <mergeCell ref="A265:B265"/>
    <mergeCell ref="A266:B266"/>
    <mergeCell ref="L133:M133"/>
    <mergeCell ref="A134:B134"/>
    <mergeCell ref="L134:M134"/>
    <mergeCell ref="A139:H139"/>
    <mergeCell ref="C231:F231"/>
    <mergeCell ref="C261:F261"/>
    <mergeCell ref="A247:H247"/>
    <mergeCell ref="A248:B248"/>
    <mergeCell ref="G248:H261"/>
    <mergeCell ref="A249:B249"/>
    <mergeCell ref="A250:B250"/>
    <mergeCell ref="A251:B251"/>
    <mergeCell ref="A252:B252"/>
    <mergeCell ref="A253:B253"/>
    <mergeCell ref="A254:B254"/>
    <mergeCell ref="A255:B255"/>
    <mergeCell ref="A256:B256"/>
    <mergeCell ref="G116:H116"/>
    <mergeCell ref="B299:H299"/>
    <mergeCell ref="B300:H300"/>
    <mergeCell ref="A272:B272"/>
    <mergeCell ref="A273:B273"/>
    <mergeCell ref="G264:H273"/>
    <mergeCell ref="A274:H274"/>
    <mergeCell ref="L274:M274"/>
    <mergeCell ref="A275:B275"/>
    <mergeCell ref="G275:H284"/>
    <mergeCell ref="A276:B276"/>
    <mergeCell ref="A277:B277"/>
    <mergeCell ref="A278:B278"/>
    <mergeCell ref="A279:B279"/>
    <mergeCell ref="A280:B280"/>
    <mergeCell ref="A281:B281"/>
    <mergeCell ref="A282:B282"/>
    <mergeCell ref="A283:B283"/>
    <mergeCell ref="A284:B284"/>
    <mergeCell ref="C277:F277"/>
    <mergeCell ref="A267:B267"/>
    <mergeCell ref="A268:B268"/>
    <mergeCell ref="A269:B269"/>
    <mergeCell ref="A270:B270"/>
  </mergeCells>
  <hyperlinks>
    <hyperlink ref="C37" r:id="rId1" xr:uid="{00000000-0004-0000-0000-000000000000}"/>
  </hyperlinks>
  <printOptions horizontalCentered="1"/>
  <pageMargins left="0.39370078740157499" right="0.39370078740157499" top="0.78740157480314998" bottom="0.78740157480314998" header="0.196850393700787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4" max="16383" man="1"/>
    <brk id="105" max="7" man="1"/>
    <brk id="312" max="16383" man="1"/>
    <brk id="355" max="16383" man="1"/>
    <brk id="39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B16" sqref="B16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93" t="s">
        <v>113</v>
      </c>
      <c r="C3" s="193"/>
      <c r="D3" s="193"/>
      <c r="E3" s="193"/>
      <c r="F3" s="193"/>
      <c r="G3" s="193"/>
      <c r="H3" s="193"/>
    </row>
    <row r="4" spans="1:9" x14ac:dyDescent="0.3">
      <c r="A4" s="2"/>
      <c r="B4" s="3" t="s">
        <v>114</v>
      </c>
      <c r="C4" s="3" t="s">
        <v>115</v>
      </c>
      <c r="D4" s="3" t="s">
        <v>74</v>
      </c>
      <c r="E4" s="3" t="s">
        <v>116</v>
      </c>
      <c r="F4" s="3" t="s">
        <v>122</v>
      </c>
      <c r="G4" s="3" t="s">
        <v>123</v>
      </c>
      <c r="H4" s="3" t="s">
        <v>117</v>
      </c>
    </row>
    <row r="5" spans="1:9" ht="15" customHeight="1" x14ac:dyDescent="0.3">
      <c r="A5" s="2"/>
      <c r="B5" s="5" t="s">
        <v>118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118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118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118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118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119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119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120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121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G16" sqref="G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2025-09-11T07:08:59Z</cp:lastPrinted>
  <dcterms:created xsi:type="dcterms:W3CDTF">2019-07-16T09:29:46Z</dcterms:created>
  <dcterms:modified xsi:type="dcterms:W3CDTF">2025-09-11T07:08:59Z</dcterms:modified>
</cp:coreProperties>
</file>