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A4B29B39-0EF4-40FC-8E0B-EF0465520BD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J130" i="1" l="1"/>
  <c r="E129" i="1"/>
  <c r="E128" i="1"/>
  <c r="E127" i="1"/>
  <c r="I127" i="1"/>
  <c r="E126" i="1"/>
  <c r="K109" i="1"/>
  <c r="K108" i="1"/>
  <c r="K107" i="1"/>
  <c r="K132" i="1" l="1"/>
  <c r="I132" i="1"/>
  <c r="K131" i="1"/>
  <c r="I131" i="1"/>
  <c r="J132" i="1" l="1"/>
  <c r="D139" i="1"/>
  <c r="F139" i="1" s="1"/>
  <c r="J139" i="1" s="1"/>
  <c r="D138" i="1"/>
  <c r="F138" i="1" s="1"/>
  <c r="J138" i="1" s="1"/>
  <c r="D137" i="1"/>
  <c r="F137" i="1" s="1"/>
  <c r="D136" i="1"/>
  <c r="F136" i="1" s="1"/>
  <c r="D133" i="1"/>
  <c r="F133" i="1" s="1"/>
  <c r="D132" i="1"/>
  <c r="F132" i="1" s="1"/>
  <c r="D134" i="1"/>
  <c r="F134" i="1" s="1"/>
  <c r="D131" i="1"/>
  <c r="F131" i="1" s="1"/>
  <c r="J131" i="1"/>
  <c r="I126" i="1"/>
  <c r="J126" i="1"/>
  <c r="G136" i="1"/>
  <c r="G131" i="1"/>
  <c r="K114" i="1"/>
  <c r="K119" i="1"/>
  <c r="I121" i="1"/>
  <c r="I120" i="1"/>
  <c r="I119" i="1"/>
  <c r="I118" i="1"/>
  <c r="I117" i="1"/>
  <c r="I116" i="1"/>
  <c r="I115" i="1"/>
  <c r="I114" i="1"/>
  <c r="J119" i="1"/>
  <c r="J121" i="1"/>
  <c r="J112" i="1"/>
  <c r="I112" i="1"/>
  <c r="J109" i="1"/>
  <c r="I109" i="1"/>
  <c r="J108" i="1"/>
  <c r="I108" i="1"/>
  <c r="J107" i="1"/>
  <c r="I107" i="1"/>
  <c r="E112" i="1"/>
  <c r="E111" i="1"/>
  <c r="E110" i="1"/>
  <c r="E109" i="1"/>
  <c r="E108" i="1"/>
  <c r="E107" i="1"/>
  <c r="D129" i="1"/>
  <c r="D126" i="1"/>
  <c r="D128" i="1"/>
  <c r="D127" i="1"/>
  <c r="D121" i="1"/>
  <c r="D120" i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21" i="1"/>
  <c r="F120" i="1"/>
  <c r="A115" i="1"/>
  <c r="A116" i="1" s="1"/>
  <c r="A117" i="1" s="1"/>
  <c r="A118" i="1" s="1"/>
  <c r="A119" i="1" s="1"/>
  <c r="A120" i="1" s="1"/>
  <c r="A121" i="1" s="1"/>
  <c r="G114" i="1"/>
  <c r="D112" i="1"/>
  <c r="D111" i="1"/>
  <c r="D110" i="1"/>
  <c r="D109" i="1"/>
  <c r="D108" i="1"/>
  <c r="D107" i="1"/>
  <c r="A136" i="1"/>
  <c r="F112" i="1" l="1"/>
  <c r="F108" i="1"/>
  <c r="F109" i="1"/>
  <c r="I137" i="1"/>
  <c r="J137" i="1"/>
  <c r="F107" i="1"/>
  <c r="F111" i="1"/>
  <c r="I111" i="1" s="1"/>
  <c r="I136" i="1"/>
  <c r="J136" i="1"/>
  <c r="F110" i="1"/>
  <c r="E100" i="1"/>
  <c r="C100" i="1"/>
  <c r="E96" i="1"/>
  <c r="C96" i="1"/>
  <c r="F114" i="1"/>
  <c r="G97" i="1" s="1"/>
  <c r="C97" i="1"/>
  <c r="E97" i="1"/>
  <c r="E42" i="1"/>
  <c r="A137" i="1"/>
  <c r="A132" i="1"/>
  <c r="E101" i="1" l="1"/>
  <c r="C101" i="1"/>
  <c r="Z12" i="1"/>
  <c r="I14" i="1"/>
  <c r="A133" i="1"/>
  <c r="A138" i="1"/>
  <c r="F126" i="1" l="1"/>
  <c r="A139" i="1"/>
  <c r="A134" i="1"/>
  <c r="E43" i="1" l="1"/>
  <c r="E44" i="1" s="1"/>
  <c r="C15" i="1" l="1"/>
  <c r="E30" i="1" l="1"/>
  <c r="F127" i="1" l="1"/>
  <c r="F128" i="1"/>
  <c r="F129" i="1"/>
  <c r="A127" i="1"/>
  <c r="A128" i="1" s="1"/>
  <c r="A129" i="1" s="1"/>
  <c r="G126" i="1"/>
  <c r="G100" i="1" l="1"/>
  <c r="F93" i="1"/>
  <c r="G96" i="1" l="1"/>
  <c r="G101" i="1" s="1"/>
  <c r="B142" i="1"/>
  <c r="B14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2" i="1"/>
  <c r="A108" i="1"/>
  <c r="A109" i="1" s="1"/>
  <c r="A110" i="1" s="1"/>
  <c r="A111" i="1" s="1"/>
  <c r="A112" i="1" s="1"/>
  <c r="G107" i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<sst xmlns="http://schemas.openxmlformats.org/spreadsheetml/2006/main" count="405" uniqueCount="286">
  <si>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</si>
  <si>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</si>
  <si>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</si>
  <si>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</si>
  <si>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</si>
  <si>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</si>
  <si>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</si>
  <si>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</si>
  <si>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</si>
  <si>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</si>
  <si>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</si>
  <si>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</si>
  <si>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</si>
  <si>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</si>
  <si>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</si>
  <si>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</si>
  <si>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</si>
  <si>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</si>
  <si>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</si>
  <si>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</si>
  <si>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</si>
  <si>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</si>
  <si>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</si>
  <si>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</si>
  <si>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</si>
  <si>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</si>
  <si>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</si>
  <si>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</si>
  <si>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</si>
  <si>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</si>
  <si>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</si>
  <si>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</si>
  <si>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</si>
  <si>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</si>
  <si>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</si>
  <si>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</si>
  <si>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</si>
  <si>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</si>
  <si>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</si>
  <si>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</si>
  <si>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</si>
  <si>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</si>
  <si>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</si>
  <si>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</si>
  <si>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</si>
  <si>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</si>
  <si>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</si>
  <si>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</si>
  <si>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</si>
  <si>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</si>
  <si>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</si>
  <si>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</si>
  <si>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</si>
  <si>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</si>
  <si>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</si>
  <si>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</si>
  <si>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</si>
  <si>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</si>
  <si>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</si>
  <si>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</si>
  <si>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</si>
  <si>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</si>
  <si>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</si>
  <si>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</si>
  <si>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</si>
  <si>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</si>
  <si>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</si>
  <si>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</si>
  <si>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</si>
  <si>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</si>
  <si>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</si>
  <si>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</si>
  <si>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</si>
  <si>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</si>
  <si>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</si>
  <si>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</si>
  <si>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</si>
  <si>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</si>
  <si>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</si>
  <si>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</si>
  <si>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</si>
  <si>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</si>
  <si>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</si>
  <si>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</si>
  <si>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</si>
  <si>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</si>
  <si>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</si>
  <si>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</si>
  <si>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</si>
  <si>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</si>
  <si>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</si>
  <si>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</si>
  <si>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</si>
  <si>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</si>
  <si>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</si>
  <si>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</si>
  <si>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</si>
  <si>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</si>
  <si>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</si>
  <si>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</si>
  <si>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</si>
  <si>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</si>
  <si>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</si>
  <si>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</si>
  <si>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</si>
  <si>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</si>
  <si>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</si>
  <si>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</si>
  <si>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</si>
  <si>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</si>
  <si>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</si>
  <si>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</si>
  <si>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</si>
  <si>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</si>
  <si>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</si>
  <si>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</si>
  <si>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</si>
  <si>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</si>
  <si>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</si>
  <si>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</si>
  <si>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</si>
  <si>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</si>
  <si>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</si>
  <si>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</si>
  <si>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</si>
  <si>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</si>
  <si>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</si>
  <si>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</si>
  <si>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</si>
  <si>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</si>
  <si>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</si>
  <si>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</si>
  <si>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</si>
  <si>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</si>
  <si>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</si>
  <si>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</si>
  <si>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</si>
  <si>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</si>
  <si>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</si>
  <si>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</si>
  <si>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</si>
  <si>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</si>
  <si>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</si>
  <si>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</si>
  <si>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</si>
  <si>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</si>
  <si>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</si>
  <si>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</si>
  <si>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</si>
  <si>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</si>
  <si>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</si>
  <si>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</si>
  <si>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</si>
  <si>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</si>
  <si>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</si>
  <si>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</si>
  <si>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</si>
  <si>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</si>
  <si>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</si>
  <si>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</si>
  <si>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</si>
  <si>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</si>
  <si>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</si>
  <si>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</si>
  <si>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</si>
  <si>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</si>
  <si>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</si>
  <si>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</si>
  <si>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</si>
  <si>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</si>
  <si>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</si>
  <si>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</si>
  <si>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</si>
  <si>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</si>
  <si>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</si>
  <si>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</si>
  <si>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</si>
  <si>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</si>
  <si>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</si>
  <si>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</si>
  <si>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</si>
  <si>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</si>
  <si>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</si>
  <si>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</si>
  <si>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</si>
  <si>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</si>
  <si>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</si>
  <si>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</si>
  <si>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</si>
  <si>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</si>
  <si>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</si>
  <si>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</si>
  <si>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</si>
  <si>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</si>
  <si>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</si>
  <si>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</si>
  <si>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</si>
  <si>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</si>
  <si>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</si>
  <si>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</si>
  <si>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</si>
  <si>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</si>
  <si>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</si>
  <si>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</si>
  <si>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</si>
  <si>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</si>
  <si>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</si>
  <si>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</si>
  <si>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</si>
  <si>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</si>
  <si>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</si>
  <si>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</si>
  <si>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</si>
  <si>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</si>
  <si>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</si>
  <si>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</si>
  <si>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</si>
  <si>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</si>
  <si>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</si>
  <si>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</si>
  <si>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</si>
  <si>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</si>
  <si>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</si>
  <si>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</si>
  <si>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</si>
  <si>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</si>
  <si>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</si>
  <si>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</si>
  <si>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</si>
  <si>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</si>
  <si>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</si>
  <si>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</si>
  <si>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t>Axis Thane</t>
  </si>
  <si>
    <t>Moon Star Developers LLP</t>
  </si>
  <si>
    <t>Midtown Eve</t>
  </si>
  <si>
    <t>Mr. Vinod 9324959300</t>
  </si>
  <si>
    <t>P51700049094</t>
  </si>
  <si>
    <t>Survey No</t>
  </si>
  <si>
    <t>Wadeghar</t>
  </si>
  <si>
    <t>Khadakpada</t>
  </si>
  <si>
    <t>Veer Savarkar Marg</t>
  </si>
  <si>
    <t>Kalyan West</t>
  </si>
  <si>
    <t>Raunak City</t>
  </si>
  <si>
    <t>45.00 M. Wide Road</t>
  </si>
  <si>
    <t>30.00 M. Wide Road</t>
  </si>
  <si>
    <t>Other Plot</t>
  </si>
  <si>
    <t>Internal Road</t>
  </si>
  <si>
    <t>Kalyan Dombivli Municipal Corporation (KDMC)</t>
  </si>
  <si>
    <t>KDMC/TPD/BP/KD/2022-23/
APL/00094/19</t>
  </si>
  <si>
    <t>As per RERA - 30/06/2026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</si>
  <si>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</si>
  <si>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Shop</t>
  </si>
  <si>
    <t>Office</t>
  </si>
  <si>
    <t>1BHK</t>
  </si>
  <si>
    <t>2BHK</t>
  </si>
  <si>
    <t>1st Floor For Commercial, Store Room &amp; Tower Parking</t>
  </si>
  <si>
    <t>301 ,.., 2201</t>
  </si>
  <si>
    <t>7th, 12th, 17th &amp; 21st Floor (Refuge Area at Staircase)</t>
  </si>
  <si>
    <t>3rd to 6th, 8th to 11th, 13th to 16th, 18th to 20th &amp; 22nd Floor</t>
  </si>
  <si>
    <t>Shops</t>
  </si>
  <si>
    <t>Offices</t>
  </si>
  <si>
    <t>Flats - 84, Shops - 06, Offices - 08</t>
  </si>
  <si>
    <t>We considered Gross carpet area = Net carpet + Balcony + Chajja.</t>
  </si>
  <si>
    <t>Flats</t>
  </si>
  <si>
    <t>19.261792,73.120624</t>
  </si>
  <si>
    <t>https://maps.app.goo.gl/wNhsAUYshsWi4xRY8</t>
  </si>
  <si>
    <t>4.10KM from Kalyan Railway Station</t>
  </si>
  <si>
    <t>https://midtowneve.com/</t>
  </si>
  <si>
    <t>Ground Floor For Commercial, Society Office, Meter Room, Pump Room &amp; Tower Parking</t>
  </si>
  <si>
    <t>40, H. No.1, Plot A</t>
  </si>
  <si>
    <t>Open Plot/B5, Raunak City</t>
  </si>
  <si>
    <t>Veer Savarkar Marg/Raunak City Rd</t>
  </si>
  <si>
    <t>Ground + 1st to 22nd Floor (Residential + Commercial)</t>
  </si>
  <si>
    <t>Gr + 1st to 22nd Floor</t>
  </si>
  <si>
    <t>Tower parking space, Vitrified tiles flooring, Granite Kitchen Platform, Decorative Entrance, etc.</t>
  </si>
  <si>
    <t>5800to 6800</t>
  </si>
  <si>
    <t>2nd Floor For Residential</t>
  </si>
  <si>
    <t>Approved Plans, CC &amp; Cost Sheet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</si>
  <si>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</si>
  <si>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6200 to 6500</t>
  </si>
  <si>
    <t>Rushikesh</t>
  </si>
  <si>
    <t xml:space="preserve">Recommended Rates/Other Charges of the Property have been revised on 30/12/2023.
</t>
  </si>
  <si>
    <t>Mr. Shahabaz 8779633346</t>
  </si>
  <si>
    <t>Construction work is in process at the time of Visit. Internal photo was not allowed.</t>
  </si>
  <si>
    <t>Mangesh Laxman Bapardekar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</si>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</sst>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26" fillId="0" borderId="0" xfId="10"/>
    <xf numFmtId="0" fontId="7" fillId="2" borderId="0" xfId="1" applyFont="1" applyFill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vertical="top"/>
      <protection locked="0"/>
    </xf>
    <xf numFmtId="0" fontId="8" fillId="0" borderId="20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6370</xdr:colOff>
      <xdr:row>124</xdr:row>
      <xdr:rowOff>175846</xdr:rowOff>
    </xdr:from>
    <xdr:to>
      <xdr:col>18</xdr:col>
      <xdr:colOff>403069</xdr:colOff>
      <xdr:row>139</xdr:row>
      <xdr:rowOff>88443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0457" y="28436107"/>
          <a:ext cx="5747264" cy="2894335"/>
        </a:xfrm>
        <a:prstGeom prst="rect">
          <a:avLst/>
        </a:prstGeom>
      </xdr:spPr>
    </xdr:pic>
    <xdr:clientData/>
  </xdr:twoCellAnchor>
  <xdr:twoCellAnchor editAs="oneCell">
    <xdr:from>
      <xdr:col>2</xdr:col>
      <xdr:colOff>246965</xdr:colOff>
      <xdr:row>233</xdr:row>
      <xdr:rowOff>157932</xdr:rowOff>
    </xdr:from>
    <xdr:to>
      <xdr:col>5</xdr:col>
      <xdr:colOff>581816</xdr:colOff>
      <xdr:row>245</xdr:row>
      <xdr:rowOff>161637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6420" y="47748296"/>
          <a:ext cx="3036487" cy="2358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219803</xdr:colOff>
      <xdr:row>206</xdr:row>
      <xdr:rowOff>14654</xdr:rowOff>
    </xdr:from>
    <xdr:to>
      <xdr:col>6</xdr:col>
      <xdr:colOff>604480</xdr:colOff>
      <xdr:row>233</xdr:row>
      <xdr:rowOff>73329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0418" y="44525712"/>
          <a:ext cx="4839447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572779</xdr:colOff>
      <xdr:row>271</xdr:row>
      <xdr:rowOff>123120</xdr:rowOff>
    </xdr:from>
    <xdr:to>
      <xdr:col>7</xdr:col>
      <xdr:colOff>236779</xdr:colOff>
      <xdr:row>289</xdr:row>
      <xdr:rowOff>18236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2779" y="57690755"/>
          <a:ext cx="5760000" cy="345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666750</xdr:colOff>
      <xdr:row>274</xdr:row>
      <xdr:rowOff>29308</xdr:rowOff>
    </xdr:from>
    <xdr:to>
      <xdr:col>3</xdr:col>
      <xdr:colOff>754673</xdr:colOff>
      <xdr:row>283</xdr:row>
      <xdr:rowOff>117230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3260481" y="58190423"/>
          <a:ext cx="87923" cy="186836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43961</xdr:colOff>
      <xdr:row>279</xdr:row>
      <xdr:rowOff>95250</xdr:rowOff>
    </xdr:from>
    <xdr:to>
      <xdr:col>3</xdr:col>
      <xdr:colOff>674077</xdr:colOff>
      <xdr:row>283</xdr:row>
      <xdr:rowOff>124557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2637692" y="59245500"/>
          <a:ext cx="630116" cy="820615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36634</xdr:colOff>
      <xdr:row>277</xdr:row>
      <xdr:rowOff>131885</xdr:rowOff>
    </xdr:from>
    <xdr:to>
      <xdr:col>3</xdr:col>
      <xdr:colOff>43961</xdr:colOff>
      <xdr:row>279</xdr:row>
      <xdr:rowOff>102577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2630365" y="58886481"/>
          <a:ext cx="7327" cy="366346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51288</xdr:colOff>
      <xdr:row>274</xdr:row>
      <xdr:rowOff>36635</xdr:rowOff>
    </xdr:from>
    <xdr:to>
      <xdr:col>3</xdr:col>
      <xdr:colOff>754673</xdr:colOff>
      <xdr:row>277</xdr:row>
      <xdr:rowOff>131885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2645019" y="58197750"/>
          <a:ext cx="703385" cy="688731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581025</xdr:colOff>
      <xdr:row>249</xdr:row>
      <xdr:rowOff>57150</xdr:rowOff>
    </xdr:from>
    <xdr:to>
      <xdr:col>7</xdr:col>
      <xdr:colOff>245025</xdr:colOff>
      <xdr:row>270</xdr:row>
      <xdr:rowOff>68537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53730525"/>
          <a:ext cx="5760000" cy="421191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515471</xdr:colOff>
      <xdr:row>61</xdr:row>
      <xdr:rowOff>280148</xdr:rowOff>
    </xdr:from>
    <xdr:to>
      <xdr:col>19</xdr:col>
      <xdr:colOff>323485</xdr:colOff>
      <xdr:row>81</xdr:row>
      <xdr:rowOff>70131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1030" y="14253883"/>
          <a:ext cx="5410955" cy="4686954"/>
        </a:xfrm>
        <a:prstGeom prst="rect">
          <a:avLst/>
        </a:prstGeom>
      </xdr:spPr>
    </xdr:pic>
    <xdr:clientData/>
  </xdr:twoCellAnchor>
  <xdr:twoCellAnchor>
    <xdr:from>
      <xdr:col>8</xdr:col>
      <xdr:colOff>833302</xdr:colOff>
      <xdr:row>161</xdr:row>
      <xdr:rowOff>58240</xdr:rowOff>
    </xdr:from>
    <xdr:to>
      <xdr:col>16</xdr:col>
      <xdr:colOff>175261</xdr:colOff>
      <xdr:row>196</xdr:row>
      <xdr:rowOff>17418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7386502" y="33982480"/>
          <a:ext cx="5978979" cy="6885758"/>
          <a:chOff x="827314" y="1878777"/>
          <a:chExt cx="5380208" cy="6195003"/>
        </a:xfrm>
      </xdr:grpSpPr>
      <xdr:pic>
        <xdr:nvPicPr>
          <xdr:cNvPr id="26" name="Picture 25" descr="https://vsjcllp.vsjadon.com/upload/insp-236788-1525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56876" y="6332774"/>
            <a:ext cx="1304395" cy="17410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788-843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7314" y="1878777"/>
            <a:ext cx="3238916" cy="432305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6788-845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7314" y="6332774"/>
            <a:ext cx="2319499" cy="17410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6788-844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7066" y="1878777"/>
            <a:ext cx="1995269" cy="266313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6788-847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0231" y="6332774"/>
            <a:ext cx="1304395" cy="174100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788-849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12252" y="4672850"/>
            <a:ext cx="1995270" cy="14976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342900</xdr:colOff>
      <xdr:row>163</xdr:row>
      <xdr:rowOff>30480</xdr:rowOff>
    </xdr:from>
    <xdr:to>
      <xdr:col>7</xdr:col>
      <xdr:colOff>160020</xdr:colOff>
      <xdr:row>203</xdr:row>
      <xdr:rowOff>83820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6EAB944-D704-98B3-BEB4-5CFB80625EF5}"/>
            </a:ext>
          </a:extLst>
        </xdr:cNvPr>
        <xdr:cNvGrpSpPr/>
      </xdr:nvGrpSpPr>
      <xdr:grpSpPr>
        <a:xfrm>
          <a:off x="342900" y="34350960"/>
          <a:ext cx="5646420" cy="6979920"/>
          <a:chOff x="187229" y="324091"/>
          <a:chExt cx="5894408" cy="811410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7D13522-AFE6-3897-5B79-EEF6B29EA159}"/>
              </a:ext>
            </a:extLst>
          </xdr:cNvPr>
          <xdr:cNvGrpSpPr/>
        </xdr:nvGrpSpPr>
        <xdr:grpSpPr>
          <a:xfrm>
            <a:off x="187229" y="324091"/>
            <a:ext cx="5894408" cy="3844006"/>
            <a:chOff x="187229" y="324091"/>
            <a:chExt cx="5894408" cy="3844006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639B232-8CFA-778B-8C0C-20F8DE453B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01637" y="32409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FD4CC3CB-E072-C5D8-4C17-2C3234B837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7229" y="32409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9997873-8813-EDD7-A561-DFD7880FC879}"/>
              </a:ext>
            </a:extLst>
          </xdr:cNvPr>
          <xdr:cNvGrpSpPr/>
        </xdr:nvGrpSpPr>
        <xdr:grpSpPr>
          <a:xfrm>
            <a:off x="1718635" y="6638191"/>
            <a:ext cx="2831596" cy="1800000"/>
            <a:chOff x="909479" y="6534019"/>
            <a:chExt cx="2831596" cy="180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90B350E7-66B1-4D5A-700F-DC2E0AE892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92481" y="65340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CC3F4E38-A8C1-054E-0E5B-C8551C8BAD4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9479" y="653401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99C2ADE-A999-1D9E-DEC4-4CF011FAC342}"/>
              </a:ext>
            </a:extLst>
          </xdr:cNvPr>
          <xdr:cNvGrpSpPr/>
        </xdr:nvGrpSpPr>
        <xdr:grpSpPr>
          <a:xfrm>
            <a:off x="572557" y="4323144"/>
            <a:ext cx="5123752" cy="2160000"/>
            <a:chOff x="-303803" y="4305782"/>
            <a:chExt cx="5123752" cy="216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10D9EEC4-6BE0-02CD-74E5-27A6C939E3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303803" y="430578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B6593B5E-02FE-140F-FB6F-B7103E6FEA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48917" y="430578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D6C6ADA3-D7DC-CAF0-CBFF-DE1FE2BC68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01637" y="430578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idtowneve.com/" TargetMode="External"/><Relationship Id="rId1" Type="http://schemas.openxmlformats.org/officeDocument/2006/relationships/hyperlink" Target="https://maps.app.goo.gl/wNhsAUYshsWi4xRY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48"/>
  <sheetViews>
    <sheetView tabSelected="1" view="pageBreakPreview" zoomScaleNormal="100" zoomScaleSheetLayoutView="100" workbookViewId="0">
      <selection activeCell="I13" sqref="I13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1.3320312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17" t="s">
        <v>278</v>
      </c>
      <c r="B1" s="117"/>
      <c r="C1" s="117"/>
      <c r="D1" s="117"/>
      <c r="E1" s="117"/>
      <c r="F1" s="117"/>
      <c r="G1" s="117"/>
      <c r="H1" s="117"/>
    </row>
    <row r="2" spans="1:26" ht="16.5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26" x14ac:dyDescent="0.3">
      <c r="A3" s="67" t="s">
        <v>1</v>
      </c>
      <c r="B3" s="67"/>
      <c r="C3" s="67"/>
      <c r="D3" s="67"/>
      <c r="E3" s="67" t="str">
        <f ca="1">TEXT(TODAY(),"DD/MM/YYYY")</f>
        <v>09/09/2025</v>
      </c>
      <c r="F3" s="67"/>
      <c r="G3" s="67"/>
      <c r="H3" s="67"/>
      <c r="K3" s="58" t="s">
        <v>267</v>
      </c>
    </row>
    <row r="4" spans="1:26" ht="15" customHeight="1" x14ac:dyDescent="0.3">
      <c r="A4" s="67" t="s">
        <v>2</v>
      </c>
      <c r="B4" s="67"/>
      <c r="C4" s="67"/>
      <c r="D4" s="67"/>
      <c r="E4" s="67" t="s">
        <v>232</v>
      </c>
      <c r="F4" s="67"/>
      <c r="G4" s="67"/>
      <c r="H4" s="67"/>
    </row>
    <row r="5" spans="1:26" x14ac:dyDescent="0.3">
      <c r="A5" s="67" t="s">
        <v>3</v>
      </c>
      <c r="B5" s="67"/>
      <c r="C5" s="67"/>
      <c r="D5" s="67"/>
      <c r="E5" s="119">
        <v>45908</v>
      </c>
      <c r="F5" s="67"/>
      <c r="G5" s="67"/>
      <c r="H5" s="67"/>
    </row>
    <row r="6" spans="1:26" ht="16.5" customHeight="1" x14ac:dyDescent="0.3">
      <c r="A6" s="67" t="s">
        <v>4</v>
      </c>
      <c r="B6" s="67"/>
      <c r="C6" s="67"/>
      <c r="D6" s="67"/>
      <c r="E6" s="67" t="s">
        <v>233</v>
      </c>
      <c r="F6" s="67"/>
      <c r="G6" s="67"/>
      <c r="H6" s="67"/>
    </row>
    <row r="7" spans="1:26" ht="15" customHeight="1" x14ac:dyDescent="0.3">
      <c r="A7" s="67" t="s">
        <v>5</v>
      </c>
      <c r="B7" s="67"/>
      <c r="C7" s="67"/>
      <c r="D7" s="67"/>
      <c r="E7" s="67" t="str">
        <f>E6</f>
        <v>Moon Star Developers LLP</v>
      </c>
      <c r="F7" s="67"/>
      <c r="G7" s="67"/>
      <c r="H7" s="67"/>
    </row>
    <row r="8" spans="1:26" x14ac:dyDescent="0.3">
      <c r="A8" s="67" t="s">
        <v>6</v>
      </c>
      <c r="B8" s="67"/>
      <c r="C8" s="67"/>
      <c r="D8" s="67"/>
      <c r="E8" s="118" t="s">
        <v>234</v>
      </c>
      <c r="F8" s="118"/>
      <c r="G8" s="118"/>
      <c r="H8" s="118"/>
    </row>
    <row r="9" spans="1:26" x14ac:dyDescent="0.3">
      <c r="A9" s="67" t="s">
        <v>167</v>
      </c>
      <c r="B9" s="67"/>
      <c r="C9" s="67"/>
      <c r="D9" s="67"/>
      <c r="E9" s="67" t="s">
        <v>235</v>
      </c>
      <c r="F9" s="67"/>
      <c r="G9" s="67"/>
      <c r="H9" s="67"/>
    </row>
    <row r="10" spans="1:26" x14ac:dyDescent="0.3">
      <c r="A10" s="67" t="s">
        <v>168</v>
      </c>
      <c r="B10" s="67"/>
      <c r="C10" s="67"/>
      <c r="D10" s="67"/>
      <c r="E10" s="121" t="s">
        <v>282</v>
      </c>
      <c r="F10" s="121"/>
      <c r="G10" s="121"/>
      <c r="H10" s="121"/>
    </row>
    <row r="11" spans="1:26" x14ac:dyDescent="0.3">
      <c r="A11" s="67" t="s">
        <v>7</v>
      </c>
      <c r="B11" s="67"/>
      <c r="C11" s="67"/>
      <c r="D11" s="67"/>
      <c r="E11" s="67" t="s">
        <v>122</v>
      </c>
      <c r="F11" s="67"/>
      <c r="G11" s="67"/>
      <c r="H11" s="67"/>
    </row>
    <row r="12" spans="1:26" x14ac:dyDescent="0.3">
      <c r="A12" s="67" t="s">
        <v>170</v>
      </c>
      <c r="B12" s="67"/>
      <c r="C12" s="67"/>
      <c r="D12" s="67"/>
      <c r="E12" s="67" t="s">
        <v>29</v>
      </c>
      <c r="F12" s="67"/>
      <c r="G12" s="67"/>
      <c r="H12" s="67"/>
      <c r="S12" s="55" t="s">
        <v>177</v>
      </c>
      <c r="T12" s="55" t="s">
        <v>187</v>
      </c>
      <c r="U12" s="55" t="s">
        <v>171</v>
      </c>
      <c r="V12" s="55" t="s">
        <v>192</v>
      </c>
      <c r="W12" s="55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3">
      <c r="A13" s="92" t="s">
        <v>8</v>
      </c>
      <c r="B13" s="92"/>
      <c r="C13" s="92"/>
      <c r="D13" s="92"/>
      <c r="E13" s="120" t="s">
        <v>277</v>
      </c>
      <c r="F13" s="120"/>
      <c r="G13" s="120"/>
      <c r="H13" s="120"/>
      <c r="S13" s="55" t="s">
        <v>178</v>
      </c>
      <c r="T13" s="55" t="s">
        <v>185</v>
      </c>
      <c r="U13" s="55" t="s">
        <v>207</v>
      </c>
      <c r="V13" s="55" t="s">
        <v>193</v>
      </c>
      <c r="W13" s="55" t="s">
        <v>211</v>
      </c>
      <c r="X13"/>
      <c r="Y13"/>
      <c r="Z13"/>
    </row>
    <row r="14" spans="1:26" x14ac:dyDescent="0.3">
      <c r="A14" s="92" t="s">
        <v>9</v>
      </c>
      <c r="B14" s="92"/>
      <c r="C14" s="92"/>
      <c r="D14" s="92"/>
      <c r="E14" s="120" t="s">
        <v>236</v>
      </c>
      <c r="F14" s="67"/>
      <c r="G14" s="67"/>
      <c r="H14" s="67"/>
      <c r="I14" s="87" t="e">
        <f ca="1">OFFSET($D$4,1,MATCH($J12,$D$4:$H$4,0)-1,15,1)</f>
        <v>#N/A</v>
      </c>
      <c r="J14" s="88"/>
      <c r="K14" s="88"/>
      <c r="L14" s="88"/>
      <c r="M14" s="88"/>
      <c r="N14" s="88"/>
      <c r="O14" s="88"/>
      <c r="P14" s="88"/>
      <c r="S14" s="55" t="s">
        <v>179</v>
      </c>
      <c r="T14" s="55" t="s">
        <v>186</v>
      </c>
      <c r="U14" s="55" t="s">
        <v>208</v>
      </c>
      <c r="V14" s="55" t="s">
        <v>194</v>
      </c>
      <c r="W14" s="55" t="s">
        <v>224</v>
      </c>
      <c r="X14"/>
      <c r="Y14"/>
      <c r="Z14"/>
    </row>
    <row r="15" spans="1:26" ht="33" customHeight="1" x14ac:dyDescent="0.3">
      <c r="A15" s="71" t="s">
        <v>10</v>
      </c>
      <c r="B15" s="71"/>
      <c r="C15" s="7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Midtown Eve, Survey No.40, H. No.1, Plot A, near Raunak City, Veer Savarkar Marg, Khadakpada, Wadeghar, Kalyan West, Ulhasnagar, Thane  - 421301.</v>
      </c>
      <c r="D15" s="71"/>
      <c r="E15" s="71"/>
      <c r="F15" s="71"/>
      <c r="G15" s="71"/>
      <c r="H15" s="71"/>
      <c r="S15" s="55" t="s">
        <v>180</v>
      </c>
      <c r="T15" s="55" t="s">
        <v>188</v>
      </c>
      <c r="U15" s="55" t="s">
        <v>209</v>
      </c>
      <c r="V15" s="55" t="s">
        <v>195</v>
      </c>
      <c r="W15" s="55" t="s">
        <v>212</v>
      </c>
      <c r="X15"/>
      <c r="Y15"/>
      <c r="Z15"/>
    </row>
    <row r="16" spans="1:26" x14ac:dyDescent="0.3">
      <c r="A16" s="120" t="s">
        <v>237</v>
      </c>
      <c r="B16" s="120"/>
      <c r="C16" s="120" t="s">
        <v>269</v>
      </c>
      <c r="D16" s="120"/>
      <c r="E16" s="120"/>
      <c r="F16" s="120"/>
      <c r="G16" s="120"/>
      <c r="H16" s="120"/>
      <c r="S16" s="55" t="s">
        <v>181</v>
      </c>
      <c r="T16" s="55" t="s">
        <v>189</v>
      </c>
      <c r="U16" s="55"/>
      <c r="V16" s="55" t="s">
        <v>196</v>
      </c>
      <c r="W16" s="55" t="s">
        <v>213</v>
      </c>
      <c r="X16"/>
      <c r="Y16"/>
      <c r="Z16"/>
    </row>
    <row r="17" spans="1:26" ht="15.75" customHeight="1" x14ac:dyDescent="0.3">
      <c r="A17" s="120" t="s">
        <v>163</v>
      </c>
      <c r="B17" s="120"/>
      <c r="C17" s="120" t="s">
        <v>239</v>
      </c>
      <c r="D17" s="120"/>
      <c r="E17" s="120"/>
      <c r="F17" s="120"/>
      <c r="G17" s="120"/>
      <c r="H17" s="120"/>
      <c r="S17" s="55" t="s">
        <v>182</v>
      </c>
      <c r="T17" s="55" t="s">
        <v>187</v>
      </c>
      <c r="U17" s="55"/>
      <c r="V17" s="55" t="s">
        <v>197</v>
      </c>
      <c r="W17" s="55" t="s">
        <v>214</v>
      </c>
      <c r="X17"/>
      <c r="Y17"/>
      <c r="Z17"/>
    </row>
    <row r="18" spans="1:26" ht="15.75" customHeight="1" x14ac:dyDescent="0.3">
      <c r="A18" s="71" t="s">
        <v>11</v>
      </c>
      <c r="B18" s="71"/>
      <c r="C18" s="67" t="s">
        <v>240</v>
      </c>
      <c r="D18" s="67"/>
      <c r="E18" s="71" t="s">
        <v>73</v>
      </c>
      <c r="F18" s="71"/>
      <c r="G18" s="120" t="s">
        <v>238</v>
      </c>
      <c r="H18" s="120"/>
      <c r="S18" s="55" t="s">
        <v>183</v>
      </c>
      <c r="T18" s="55" t="s">
        <v>190</v>
      </c>
      <c r="U18" s="55"/>
      <c r="V18" s="55" t="s">
        <v>198</v>
      </c>
      <c r="W18" s="55" t="s">
        <v>215</v>
      </c>
      <c r="X18"/>
      <c r="Y18"/>
      <c r="Z18"/>
    </row>
    <row r="19" spans="1:26" x14ac:dyDescent="0.3">
      <c r="A19" s="92" t="s">
        <v>13</v>
      </c>
      <c r="B19" s="92"/>
      <c r="C19" s="120" t="s">
        <v>241</v>
      </c>
      <c r="D19" s="120"/>
      <c r="E19" s="120" t="s">
        <v>12</v>
      </c>
      <c r="F19" s="120"/>
      <c r="G19" s="122" t="s">
        <v>177</v>
      </c>
      <c r="H19" s="122"/>
      <c r="S19" s="55" t="s">
        <v>184</v>
      </c>
      <c r="T19" s="55" t="s">
        <v>191</v>
      </c>
      <c r="U19" s="55"/>
      <c r="V19" s="55" t="s">
        <v>199</v>
      </c>
      <c r="W19" s="55" t="s">
        <v>216</v>
      </c>
      <c r="X19"/>
      <c r="Y19"/>
      <c r="Z19"/>
    </row>
    <row r="20" spans="1:26" x14ac:dyDescent="0.3">
      <c r="A20" s="92" t="s">
        <v>74</v>
      </c>
      <c r="B20" s="92"/>
      <c r="C20" s="120" t="s">
        <v>182</v>
      </c>
      <c r="D20" s="120"/>
      <c r="E20" s="120" t="s">
        <v>14</v>
      </c>
      <c r="F20" s="120"/>
      <c r="G20" s="120">
        <v>421301</v>
      </c>
      <c r="H20" s="120"/>
      <c r="S20" s="55"/>
      <c r="T20" s="55"/>
      <c r="U20" s="55"/>
      <c r="V20" s="55" t="s">
        <v>200</v>
      </c>
      <c r="W20" s="55" t="s">
        <v>217</v>
      </c>
      <c r="X20"/>
      <c r="Y20"/>
      <c r="Z20"/>
    </row>
    <row r="21" spans="1:26" ht="32.25" customHeight="1" x14ac:dyDescent="0.3">
      <c r="A21" s="92" t="s">
        <v>123</v>
      </c>
      <c r="B21" s="92"/>
      <c r="C21" s="120" t="s">
        <v>242</v>
      </c>
      <c r="D21" s="120"/>
      <c r="E21" s="120" t="s">
        <v>15</v>
      </c>
      <c r="F21" s="120"/>
      <c r="G21" s="120" t="s">
        <v>266</v>
      </c>
      <c r="H21" s="120"/>
      <c r="S21" s="55"/>
      <c r="T21" s="55"/>
      <c r="U21" s="55"/>
      <c r="V21" s="55" t="s">
        <v>201</v>
      </c>
      <c r="W21" s="55" t="s">
        <v>218</v>
      </c>
      <c r="X21"/>
      <c r="Y21"/>
      <c r="Z21"/>
    </row>
    <row r="22" spans="1:26" ht="15" customHeight="1" x14ac:dyDescent="0.3">
      <c r="A22" s="71" t="s">
        <v>76</v>
      </c>
      <c r="B22" s="71"/>
      <c r="C22" s="71"/>
      <c r="D22" s="71"/>
      <c r="E22" s="67" t="s">
        <v>16</v>
      </c>
      <c r="F22" s="67"/>
      <c r="G22" s="67"/>
      <c r="H22" s="67"/>
      <c r="S22" s="55"/>
      <c r="T22" s="55"/>
      <c r="U22" s="55"/>
      <c r="V22" s="55" t="s">
        <v>202</v>
      </c>
      <c r="W22" s="55" t="s">
        <v>219</v>
      </c>
      <c r="X22"/>
      <c r="Y22"/>
      <c r="Z22"/>
    </row>
    <row r="23" spans="1:26" ht="18.75" customHeight="1" x14ac:dyDescent="0.3">
      <c r="A23" s="71"/>
      <c r="B23" s="71"/>
      <c r="C23" s="71"/>
      <c r="D23" s="71"/>
      <c r="E23" s="67"/>
      <c r="F23" s="67"/>
      <c r="G23" s="67"/>
      <c r="H23" s="67"/>
      <c r="S23" s="55"/>
      <c r="T23" s="55"/>
      <c r="U23" s="55"/>
      <c r="V23" s="55" t="s">
        <v>203</v>
      </c>
      <c r="W23" s="55" t="s">
        <v>220</v>
      </c>
      <c r="X23"/>
      <c r="Y23"/>
      <c r="Z23"/>
    </row>
    <row r="24" spans="1:26" ht="15" customHeight="1" x14ac:dyDescent="0.3">
      <c r="A24" s="71" t="s">
        <v>17</v>
      </c>
      <c r="B24" s="71"/>
      <c r="C24" s="71"/>
      <c r="D24" s="71"/>
      <c r="E24" s="120" t="s">
        <v>18</v>
      </c>
      <c r="F24" s="120"/>
      <c r="G24" s="120"/>
      <c r="H24" s="120"/>
      <c r="S24" s="55"/>
      <c r="T24" s="55"/>
      <c r="U24" s="55"/>
      <c r="V24" s="55" t="s">
        <v>204</v>
      </c>
      <c r="W24" s="55" t="s">
        <v>221</v>
      </c>
      <c r="X24"/>
      <c r="Y24"/>
      <c r="Z24"/>
    </row>
    <row r="25" spans="1:26" ht="15" customHeight="1" x14ac:dyDescent="0.3">
      <c r="A25" s="92" t="s">
        <v>19</v>
      </c>
      <c r="B25" s="92"/>
      <c r="C25" s="92"/>
      <c r="D25" s="92"/>
      <c r="E25" s="120" t="str">
        <f>IF(AND(G19="Mumbai"),"Upper Class","Middle Class")</f>
        <v>Middle Class</v>
      </c>
      <c r="F25" s="120"/>
      <c r="G25" s="120"/>
      <c r="H25" s="120"/>
      <c r="S25" s="55"/>
      <c r="T25" s="55"/>
      <c r="U25" s="55"/>
      <c r="V25" s="55" t="s">
        <v>205</v>
      </c>
      <c r="W25" s="55" t="s">
        <v>222</v>
      </c>
      <c r="X25"/>
      <c r="Y25"/>
      <c r="Z25"/>
    </row>
    <row r="26" spans="1:26" x14ac:dyDescent="0.3">
      <c r="A26" s="92" t="s">
        <v>20</v>
      </c>
      <c r="B26" s="92"/>
      <c r="C26" s="92"/>
      <c r="D26" s="92"/>
      <c r="E26" s="120" t="s">
        <v>21</v>
      </c>
      <c r="F26" s="120"/>
      <c r="G26" s="120"/>
      <c r="H26" s="120"/>
      <c r="S26" s="55"/>
      <c r="T26" s="55"/>
      <c r="U26" s="55"/>
      <c r="V26" s="55" t="s">
        <v>206</v>
      </c>
      <c r="W26" s="55" t="s">
        <v>223</v>
      </c>
      <c r="X26"/>
      <c r="Y26"/>
      <c r="Z26"/>
    </row>
    <row r="27" spans="1:26" ht="15.75" customHeight="1" x14ac:dyDescent="0.3">
      <c r="A27" s="92" t="s">
        <v>22</v>
      </c>
      <c r="B27" s="92"/>
      <c r="C27" s="92"/>
      <c r="D27" s="92"/>
      <c r="E27" s="120" t="str">
        <f>IF(AND(G19="Mumbai"),"Developed","Developing")</f>
        <v>Developing</v>
      </c>
      <c r="F27" s="120"/>
      <c r="G27" s="120"/>
      <c r="H27" s="120"/>
    </row>
    <row r="28" spans="1:26" x14ac:dyDescent="0.3">
      <c r="A28" s="92" t="s">
        <v>23</v>
      </c>
      <c r="B28" s="92"/>
      <c r="C28" s="92"/>
      <c r="D28" s="92"/>
      <c r="E28" s="120" t="s">
        <v>24</v>
      </c>
      <c r="F28" s="120"/>
      <c r="G28" s="120"/>
      <c r="H28" s="120"/>
    </row>
    <row r="29" spans="1:26" ht="15.75" customHeight="1" x14ac:dyDescent="0.3">
      <c r="A29" s="92" t="s">
        <v>81</v>
      </c>
      <c r="B29" s="92"/>
      <c r="C29" s="92"/>
      <c r="D29" s="92"/>
      <c r="E29" s="120" t="s">
        <v>82</v>
      </c>
      <c r="F29" s="120"/>
      <c r="G29" s="120"/>
      <c r="H29" s="120"/>
    </row>
    <row r="30" spans="1:26" ht="15" customHeight="1" x14ac:dyDescent="0.3">
      <c r="A30" s="92" t="s">
        <v>32</v>
      </c>
      <c r="B30" s="92"/>
      <c r="C30" s="92"/>
      <c r="D30" s="92"/>
      <c r="E30" s="12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0"/>
      <c r="G30" s="120"/>
      <c r="H30" s="120"/>
    </row>
    <row r="31" spans="1:26" ht="15.75" customHeight="1" x14ac:dyDescent="0.3">
      <c r="A31" s="92" t="s">
        <v>93</v>
      </c>
      <c r="B31" s="92"/>
      <c r="C31" s="92"/>
      <c r="D31" s="92"/>
      <c r="E31" s="120" t="s">
        <v>33</v>
      </c>
      <c r="F31" s="120"/>
      <c r="G31" s="120"/>
      <c r="H31" s="120"/>
    </row>
    <row r="32" spans="1:26" s="22" customFormat="1" x14ac:dyDescent="0.3">
      <c r="A32" s="135" t="s">
        <v>94</v>
      </c>
      <c r="B32" s="135"/>
      <c r="C32" s="132" t="s">
        <v>172</v>
      </c>
      <c r="D32" s="133"/>
      <c r="E32" s="134"/>
      <c r="F32" s="132" t="s">
        <v>30</v>
      </c>
      <c r="G32" s="133"/>
      <c r="H32" s="134"/>
    </row>
    <row r="33" spans="1:8" s="22" customFormat="1" x14ac:dyDescent="0.3">
      <c r="A33" s="131" t="s">
        <v>25</v>
      </c>
      <c r="B33" s="131" t="s">
        <v>29</v>
      </c>
      <c r="C33" s="93" t="s">
        <v>245</v>
      </c>
      <c r="D33" s="94"/>
      <c r="E33" s="95"/>
      <c r="F33" s="93" t="s">
        <v>270</v>
      </c>
      <c r="G33" s="94"/>
      <c r="H33" s="95"/>
    </row>
    <row r="34" spans="1:8" x14ac:dyDescent="0.3">
      <c r="A34" s="131" t="s">
        <v>26</v>
      </c>
      <c r="B34" s="131" t="s">
        <v>29</v>
      </c>
      <c r="C34" s="93" t="s">
        <v>244</v>
      </c>
      <c r="D34" s="94"/>
      <c r="E34" s="95"/>
      <c r="F34" s="93" t="s">
        <v>271</v>
      </c>
      <c r="G34" s="94"/>
      <c r="H34" s="95"/>
    </row>
    <row r="35" spans="1:8" s="22" customFormat="1" x14ac:dyDescent="0.3">
      <c r="A35" s="131" t="s">
        <v>28</v>
      </c>
      <c r="B35" s="131" t="s">
        <v>29</v>
      </c>
      <c r="C35" s="93" t="s">
        <v>243</v>
      </c>
      <c r="D35" s="94"/>
      <c r="E35" s="95"/>
      <c r="F35" s="93" t="s">
        <v>246</v>
      </c>
      <c r="G35" s="94"/>
      <c r="H35" s="95"/>
    </row>
    <row r="36" spans="1:8" x14ac:dyDescent="0.3">
      <c r="A36" s="131" t="s">
        <v>27</v>
      </c>
      <c r="B36" s="131" t="s">
        <v>29</v>
      </c>
      <c r="C36" s="93" t="s">
        <v>245</v>
      </c>
      <c r="D36" s="94"/>
      <c r="E36" s="95"/>
      <c r="F36" s="93" t="s">
        <v>242</v>
      </c>
      <c r="G36" s="94"/>
      <c r="H36" s="95"/>
    </row>
    <row r="37" spans="1:8" x14ac:dyDescent="0.3">
      <c r="A37" s="92" t="s">
        <v>31</v>
      </c>
      <c r="B37" s="92"/>
      <c r="C37" s="92"/>
      <c r="D37" s="92"/>
      <c r="E37" s="92"/>
      <c r="F37" s="92"/>
      <c r="G37" s="92"/>
      <c r="H37" s="92"/>
    </row>
    <row r="38" spans="1:8" ht="15.75" customHeight="1" x14ac:dyDescent="0.3">
      <c r="A38" s="92" t="s">
        <v>165</v>
      </c>
      <c r="B38" s="92"/>
      <c r="C38" s="71" t="s">
        <v>264</v>
      </c>
      <c r="D38" s="92"/>
      <c r="E38" s="92"/>
      <c r="F38" s="92"/>
      <c r="G38" s="92"/>
      <c r="H38" s="92"/>
    </row>
    <row r="39" spans="1:8" x14ac:dyDescent="0.3">
      <c r="A39" s="92" t="s">
        <v>162</v>
      </c>
      <c r="B39" s="92"/>
      <c r="C39" s="153" t="s">
        <v>265</v>
      </c>
      <c r="D39" s="120"/>
      <c r="E39" s="120"/>
      <c r="F39" s="120"/>
      <c r="G39" s="120"/>
      <c r="H39" s="120"/>
    </row>
    <row r="40" spans="1:8" x14ac:dyDescent="0.3">
      <c r="A40" s="107" t="s">
        <v>34</v>
      </c>
      <c r="B40" s="107"/>
      <c r="C40" s="107"/>
      <c r="D40" s="107"/>
      <c r="E40" s="107"/>
      <c r="F40" s="107"/>
      <c r="G40" s="107"/>
      <c r="H40" s="107"/>
    </row>
    <row r="41" spans="1:8" x14ac:dyDescent="0.3">
      <c r="A41" s="92" t="s">
        <v>35</v>
      </c>
      <c r="B41" s="92"/>
      <c r="C41" s="92"/>
      <c r="D41" s="92"/>
      <c r="E41" s="149">
        <v>1545</v>
      </c>
      <c r="F41" s="149"/>
      <c r="G41" s="149"/>
      <c r="H41" s="149"/>
    </row>
    <row r="42" spans="1:8" x14ac:dyDescent="0.3">
      <c r="A42" s="92" t="s">
        <v>36</v>
      </c>
      <c r="B42" s="92"/>
      <c r="C42" s="92"/>
      <c r="D42" s="92"/>
      <c r="E42" s="96">
        <f>1699.5/E41</f>
        <v>1.1000000000000001</v>
      </c>
      <c r="F42" s="96"/>
      <c r="G42" s="96"/>
      <c r="H42" s="96"/>
    </row>
    <row r="43" spans="1:8" x14ac:dyDescent="0.3">
      <c r="A43" s="92" t="s">
        <v>37</v>
      </c>
      <c r="B43" s="92"/>
      <c r="C43" s="92"/>
      <c r="D43" s="92"/>
      <c r="E43" s="96">
        <f>E45/E41-E42</f>
        <v>3.7529385113268607</v>
      </c>
      <c r="F43" s="96"/>
      <c r="G43" s="96"/>
      <c r="H43" s="96"/>
    </row>
    <row r="44" spans="1:8" x14ac:dyDescent="0.3">
      <c r="A44" s="92" t="s">
        <v>38</v>
      </c>
      <c r="B44" s="92"/>
      <c r="C44" s="92"/>
      <c r="D44" s="92"/>
      <c r="E44" s="96">
        <f>E42+E43</f>
        <v>4.8529385113268608</v>
      </c>
      <c r="F44" s="96"/>
      <c r="G44" s="96"/>
      <c r="H44" s="96"/>
    </row>
    <row r="45" spans="1:8" x14ac:dyDescent="0.3">
      <c r="A45" s="92" t="s">
        <v>92</v>
      </c>
      <c r="B45" s="92"/>
      <c r="C45" s="92"/>
      <c r="D45" s="92"/>
      <c r="E45" s="152">
        <v>7497.79</v>
      </c>
      <c r="F45" s="152"/>
      <c r="G45" s="152"/>
      <c r="H45" s="152"/>
    </row>
    <row r="46" spans="1:8" x14ac:dyDescent="0.3">
      <c r="A46" s="67" t="s">
        <v>39</v>
      </c>
      <c r="B46" s="67"/>
      <c r="C46" s="67"/>
      <c r="D46" s="67"/>
      <c r="E46" s="67" t="s">
        <v>122</v>
      </c>
      <c r="F46" s="67"/>
      <c r="G46" s="67"/>
      <c r="H46" s="67"/>
    </row>
    <row r="47" spans="1:8" x14ac:dyDescent="0.3">
      <c r="A47" s="107" t="s">
        <v>40</v>
      </c>
      <c r="B47" s="107"/>
      <c r="C47" s="107"/>
      <c r="D47" s="107"/>
      <c r="E47" s="107"/>
      <c r="F47" s="107"/>
      <c r="G47" s="107"/>
      <c r="H47" s="107"/>
    </row>
    <row r="48" spans="1:8" ht="33.75" customHeight="1" x14ac:dyDescent="0.3">
      <c r="A48" s="142" t="s">
        <v>151</v>
      </c>
      <c r="B48" s="144"/>
      <c r="C48" s="145" t="s">
        <v>247</v>
      </c>
      <c r="D48" s="146"/>
      <c r="E48" s="146"/>
      <c r="F48" s="146"/>
      <c r="G48" s="146"/>
      <c r="H48" s="147"/>
    </row>
    <row r="49" spans="1:14" ht="32.25" customHeight="1" x14ac:dyDescent="0.3">
      <c r="A49" s="142" t="s">
        <v>41</v>
      </c>
      <c r="B49" s="144"/>
      <c r="C49" s="142" t="s">
        <v>248</v>
      </c>
      <c r="D49" s="143"/>
      <c r="E49" s="144"/>
      <c r="F49" s="18" t="s">
        <v>42</v>
      </c>
      <c r="G49" s="127">
        <v>45055</v>
      </c>
      <c r="H49" s="144"/>
    </row>
    <row r="50" spans="1:14" ht="32.25" customHeight="1" x14ac:dyDescent="0.3">
      <c r="A50" s="142" t="s">
        <v>43</v>
      </c>
      <c r="B50" s="144"/>
      <c r="C50" s="142" t="str">
        <f>C49</f>
        <v>KDMC/TPD/BP/KD/2022-23/
APL/00094/19</v>
      </c>
      <c r="D50" s="143"/>
      <c r="E50" s="144"/>
      <c r="F50" s="18" t="s">
        <v>42</v>
      </c>
      <c r="G50" s="127">
        <f>G49</f>
        <v>45055</v>
      </c>
      <c r="H50" s="128"/>
    </row>
    <row r="51" spans="1:14" s="23" customFormat="1" ht="32.25" customHeight="1" x14ac:dyDescent="0.3">
      <c r="A51" s="71" t="s">
        <v>230</v>
      </c>
      <c r="B51" s="71"/>
      <c r="C51" s="142" t="str">
        <f>C50</f>
        <v>KDMC/TPD/BP/KD/2022-23/
APL/00094/19</v>
      </c>
      <c r="D51" s="143"/>
      <c r="E51" s="144"/>
      <c r="F51" s="18" t="s">
        <v>42</v>
      </c>
      <c r="G51" s="127">
        <f>G50</f>
        <v>45055</v>
      </c>
      <c r="H51" s="128"/>
    </row>
    <row r="52" spans="1:14" s="23" customFormat="1" x14ac:dyDescent="0.3">
      <c r="A52" s="71" t="s">
        <v>231</v>
      </c>
      <c r="B52" s="71"/>
      <c r="C52" s="142" t="s">
        <v>272</v>
      </c>
      <c r="D52" s="143"/>
      <c r="E52" s="143"/>
      <c r="F52" s="143"/>
      <c r="G52" s="143"/>
      <c r="H52" s="144"/>
    </row>
    <row r="53" spans="1:14" x14ac:dyDescent="0.3">
      <c r="A53" s="89" t="s">
        <v>44</v>
      </c>
      <c r="B53" s="90"/>
      <c r="C53" s="89" t="s">
        <v>106</v>
      </c>
      <c r="D53" s="91"/>
      <c r="E53" s="90"/>
      <c r="F53" s="46" t="s">
        <v>42</v>
      </c>
      <c r="G53" s="129" t="s">
        <v>29</v>
      </c>
      <c r="H53" s="130"/>
    </row>
    <row r="54" spans="1:14" x14ac:dyDescent="0.3">
      <c r="A54" s="148" t="s">
        <v>46</v>
      </c>
      <c r="B54" s="148"/>
      <c r="C54" s="148"/>
      <c r="D54" s="148"/>
      <c r="E54" s="148"/>
      <c r="F54" s="148"/>
      <c r="G54" s="148"/>
      <c r="H54" s="148"/>
    </row>
    <row r="55" spans="1:14" x14ac:dyDescent="0.3">
      <c r="A55" s="71" t="s">
        <v>91</v>
      </c>
      <c r="B55" s="71"/>
      <c r="C55" s="71"/>
      <c r="D55" s="92">
        <f>E45</f>
        <v>7497.79</v>
      </c>
      <c r="E55" s="92"/>
      <c r="F55" s="92"/>
      <c r="G55" s="92"/>
      <c r="H55" s="92"/>
    </row>
    <row r="56" spans="1:14" x14ac:dyDescent="0.3">
      <c r="A56" s="120" t="s">
        <v>47</v>
      </c>
      <c r="B56" s="67"/>
      <c r="C56" s="67"/>
      <c r="D56" s="121" t="s">
        <v>261</v>
      </c>
      <c r="E56" s="121"/>
      <c r="F56" s="121"/>
      <c r="G56" s="121"/>
      <c r="H56" s="121"/>
      <c r="I56" s="24"/>
    </row>
    <row r="57" spans="1:14" x14ac:dyDescent="0.3">
      <c r="A57" s="124" t="s">
        <v>48</v>
      </c>
      <c r="B57" s="125"/>
      <c r="C57" s="126"/>
      <c r="D57" s="70" t="s">
        <v>273</v>
      </c>
      <c r="E57" s="123"/>
      <c r="F57" s="123"/>
      <c r="G57" s="123"/>
      <c r="H57" s="123"/>
    </row>
    <row r="58" spans="1:14" ht="15.75" customHeight="1" x14ac:dyDescent="0.3">
      <c r="A58" s="124" t="s">
        <v>89</v>
      </c>
      <c r="B58" s="125"/>
      <c r="C58" s="125"/>
      <c r="D58" s="154" t="s">
        <v>273</v>
      </c>
      <c r="E58" s="155"/>
      <c r="F58" s="155"/>
      <c r="G58" s="155"/>
      <c r="H58" s="156"/>
    </row>
    <row r="59" spans="1:14" ht="15.75" customHeight="1" x14ac:dyDescent="0.3">
      <c r="A59" s="92" t="s">
        <v>45</v>
      </c>
      <c r="B59" s="92"/>
      <c r="C59" s="92"/>
      <c r="D59" s="150" t="s">
        <v>249</v>
      </c>
      <c r="E59" s="150"/>
      <c r="F59" s="150"/>
      <c r="G59" s="150"/>
      <c r="H59" s="150"/>
      <c r="J59" s="25"/>
      <c r="K59" s="24"/>
      <c r="N59" s="24"/>
    </row>
    <row r="60" spans="1:14" ht="15.75" customHeight="1" x14ac:dyDescent="0.3">
      <c r="A60" s="92" t="s">
        <v>87</v>
      </c>
      <c r="B60" s="92"/>
      <c r="C60" s="92"/>
      <c r="D60" s="151" t="str">
        <f>(IF(G53="NA","60 Years After Completion",IF(G53&lt;&gt;"NA",""&amp;60-ROUNDDOWN((E3-G53)/360,0)&amp;" Years"," ")))</f>
        <v>60 Years After Completion</v>
      </c>
      <c r="E60" s="151"/>
      <c r="F60" s="151"/>
      <c r="G60" s="151"/>
      <c r="H60" s="151"/>
      <c r="N60" s="24"/>
    </row>
    <row r="61" spans="1:14" ht="15.75" customHeight="1" x14ac:dyDescent="0.3">
      <c r="A61" s="92" t="s">
        <v>88</v>
      </c>
      <c r="B61" s="92"/>
      <c r="C61" s="92"/>
      <c r="D61" s="71" t="s">
        <v>24</v>
      </c>
      <c r="E61" s="71"/>
      <c r="F61" s="71"/>
      <c r="G61" s="71"/>
      <c r="H61" s="71"/>
      <c r="J61" s="26"/>
      <c r="K61" s="26"/>
    </row>
    <row r="62" spans="1:14" ht="31.5" customHeight="1" x14ac:dyDescent="0.3">
      <c r="A62" s="67" t="s">
        <v>250</v>
      </c>
      <c r="B62" s="67"/>
      <c r="C62" s="67"/>
      <c r="D62" s="68" t="s">
        <v>274</v>
      </c>
      <c r="E62" s="68"/>
      <c r="F62" s="68"/>
      <c r="G62" s="68"/>
      <c r="H62" s="68"/>
    </row>
    <row r="63" spans="1:14" x14ac:dyDescent="0.3">
      <c r="A63" s="71" t="s">
        <v>149</v>
      </c>
      <c r="B63" s="71"/>
      <c r="C63" s="71"/>
      <c r="D63" s="71" t="s">
        <v>29</v>
      </c>
      <c r="E63" s="71"/>
      <c r="F63" s="71"/>
      <c r="G63" s="71"/>
      <c r="H63" s="71"/>
      <c r="I63" s="27"/>
      <c r="J63" s="27"/>
      <c r="K63" s="27"/>
      <c r="L63" s="27"/>
      <c r="M63" s="27"/>
      <c r="N63" s="27"/>
    </row>
    <row r="64" spans="1:14" ht="15.75" customHeight="1" x14ac:dyDescent="0.3">
      <c r="A64" s="73" t="s">
        <v>86</v>
      </c>
      <c r="B64" s="73"/>
      <c r="C64" s="73"/>
      <c r="D64" s="70" t="str">
        <f ca="1">(IF(G70&gt;95%,"Nothing",IF(G70&gt;0%,"Cement, Aggregate, Steel, etc",IF(G70=0%,"Work not yet Started"))))</f>
        <v>Cement, Aggregate, Steel, etc</v>
      </c>
      <c r="E64" s="70"/>
      <c r="F64" s="70"/>
      <c r="G64" s="70"/>
      <c r="H64" s="70"/>
      <c r="J64" s="26"/>
    </row>
    <row r="65" spans="1:11" ht="33.75" customHeight="1" thickBot="1" x14ac:dyDescent="0.35">
      <c r="A65" s="69" t="s">
        <v>119</v>
      </c>
      <c r="B65" s="69"/>
      <c r="C65" s="69"/>
      <c r="D65" s="70" t="str">
        <f ca="1">(IF(D64="Nothing","Yes",IF(D64="Cement, Aggregate, Steel, etc","Under Construction",IF(D64="Work not yet Started","Work not yet Started"))))</f>
        <v>Under Construction</v>
      </c>
      <c r="E65" s="70"/>
      <c r="F65" s="70" t="str">
        <f ca="1">(IF(D64="Nothing","Yes",IF(D64="Cement, Aggregate, Steel, etc","Under Construction",IF(D64="Work not yet Started","Work not yet Started"))))</f>
        <v>Under Construction</v>
      </c>
      <c r="G65" s="70"/>
      <c r="H65" s="70"/>
    </row>
    <row r="66" spans="1:11" ht="15.75" customHeight="1" x14ac:dyDescent="0.3">
      <c r="A66" s="137" t="s">
        <v>141</v>
      </c>
      <c r="B66" s="138"/>
      <c r="C66" s="139" t="str">
        <f>D58</f>
        <v>Gr + 1st to 22nd Floor</v>
      </c>
      <c r="D66" s="140"/>
      <c r="E66" s="140"/>
      <c r="F66" s="140"/>
      <c r="G66" s="140"/>
      <c r="H66" s="141"/>
      <c r="I66" s="50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20 Floor, Internal Plaster upto 15 Floor, External Plaster upto 14 Floor, Flooring upto 5 Floor, Painting upto 3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20 Floor, Internal Plaster upto 15 Floor, External Plaster upto 14 Floor, Flooring upto 5 Floor, Painting upto 3 Floor</v>
      </c>
    </row>
    <row r="67" spans="1:11" x14ac:dyDescent="0.3">
      <c r="A67" s="16" t="s">
        <v>143</v>
      </c>
      <c r="B67" s="48">
        <f>IF(AND(ISNUMBER(SEARCH("1B",C66))),1,IF(AND(ISNUMBER(SEARCH("2B",C66))),2,IF(AND(ISNUMBER(SEARCH("3B",C66))),3,IF(AND(ISNUMBER(SEARCH("4B",C66))),4,IF(ISNUMBER(SEARCH("5B",C66)),5,0)))))</f>
        <v>0</v>
      </c>
      <c r="C67" s="48" t="s">
        <v>72</v>
      </c>
      <c r="D67" s="48">
        <v>1</v>
      </c>
      <c r="E67" s="48" t="s">
        <v>71</v>
      </c>
      <c r="F67" s="48">
        <v>0</v>
      </c>
      <c r="G67" s="49" t="s">
        <v>80</v>
      </c>
      <c r="H67" s="17">
        <f ca="1">--TRIM(RIGHT(SUBSTITUTE(LEFT(C66,_xlfn.AGGREGATE(16,6,FIND({0,1,2,3,4,5,6,7,8,9},C66,ROW(INDIRECT("1:"&amp;LEN(C66)))),1))," ",REPT(" ",LEN(C66))),LEN(C66)))</f>
        <v>22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50.25" customHeight="1" x14ac:dyDescent="0.3">
      <c r="A68" s="136" t="s">
        <v>90</v>
      </c>
      <c r="B68" s="118"/>
      <c r="C68" s="178" t="str">
        <f ca="1">I66</f>
        <v>Excavation, Plinth, RCC Slab Completed, Brickwork upto 20 Floor, Internal Plaster upto 15 Floor, External Plaster upto 14 Floor, Flooring upto 5 Floor, Painting upto 3 Floor Completed</v>
      </c>
      <c r="D68" s="178"/>
      <c r="E68" s="178"/>
      <c r="F68" s="178"/>
      <c r="G68" s="178"/>
      <c r="H68" s="179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1" ht="15.75" customHeight="1" x14ac:dyDescent="0.3">
      <c r="A69" s="65" t="s">
        <v>49</v>
      </c>
      <c r="B69" s="66"/>
      <c r="C69" s="44" t="s">
        <v>140</v>
      </c>
      <c r="D69" s="44" t="s">
        <v>83</v>
      </c>
      <c r="E69" s="66" t="s">
        <v>85</v>
      </c>
      <c r="F69" s="66"/>
      <c r="G69" s="66" t="s">
        <v>84</v>
      </c>
      <c r="H69" s="72"/>
      <c r="I69" s="14" t="s">
        <v>142</v>
      </c>
      <c r="J69" s="28">
        <f ca="1">H67*25%</f>
        <v>5.5</v>
      </c>
    </row>
    <row r="70" spans="1:11" x14ac:dyDescent="0.3">
      <c r="A70" s="65" t="s">
        <v>129</v>
      </c>
      <c r="B70" s="66"/>
      <c r="C70" s="44">
        <f ca="1">J71</f>
        <v>22</v>
      </c>
      <c r="D70" s="19">
        <f ca="1">((100/H67)*C70)/100</f>
        <v>1.0000000000000002</v>
      </c>
      <c r="E70" s="180">
        <f ca="1">(((C71/H67*10)+(40/(D67+F67+H67)*C72)+(7.5/(H67)*C73)+(7.5/(H67)*C74)+(10/H67*C75)+(10/H67*C76)+(5/H67*C77)+(5/H67*C78)+(5/H67*C79))/100)</f>
        <v>0.71250000000000002</v>
      </c>
      <c r="F70" s="181"/>
      <c r="G70" s="180">
        <f ca="1">((((C70/H67)*20)+((C71/H67)*25)+(30/(H67+F67+D67)*C72)+(5/H67*C73)+(5/H67*C74)+(5/H67*C75)+(5/H67*C76)+(0/H67*C77)+(0/H67*C78)+(5/H67*C79))/100)</f>
        <v>0.8727272727272728</v>
      </c>
      <c r="H70" s="186"/>
      <c r="I70" s="14" t="s">
        <v>101</v>
      </c>
      <c r="J70" s="29">
        <f ca="1">H67*50%</f>
        <v>11</v>
      </c>
    </row>
    <row r="71" spans="1:11" x14ac:dyDescent="0.3">
      <c r="A71" s="65" t="s">
        <v>50</v>
      </c>
      <c r="B71" s="66"/>
      <c r="C71" s="44">
        <f ca="1">J79</f>
        <v>22</v>
      </c>
      <c r="D71" s="19">
        <f ca="1">((100/H67)*C71)/100</f>
        <v>1.0000000000000002</v>
      </c>
      <c r="E71" s="182"/>
      <c r="F71" s="183"/>
      <c r="G71" s="182"/>
      <c r="H71" s="187"/>
      <c r="I71" s="14" t="s">
        <v>102</v>
      </c>
      <c r="J71" s="29">
        <f ca="1">H67</f>
        <v>22</v>
      </c>
    </row>
    <row r="72" spans="1:11" ht="15.75" customHeight="1" x14ac:dyDescent="0.3">
      <c r="A72" s="65" t="s">
        <v>130</v>
      </c>
      <c r="B72" s="66"/>
      <c r="C72" s="44">
        <v>23</v>
      </c>
      <c r="D72" s="19">
        <f ca="1">((100/(D67+F67+H67))*C72)/100</f>
        <v>1</v>
      </c>
      <c r="E72" s="182"/>
      <c r="F72" s="183"/>
      <c r="G72" s="182"/>
      <c r="H72" s="187"/>
      <c r="I72" s="14" t="s">
        <v>103</v>
      </c>
      <c r="J72" s="30">
        <f ca="1">(IF(B67&gt;1,(H67/(B67+2)),H67/4))</f>
        <v>5.5</v>
      </c>
    </row>
    <row r="73" spans="1:11" ht="15.75" customHeight="1" x14ac:dyDescent="0.3">
      <c r="A73" s="65" t="s">
        <v>137</v>
      </c>
      <c r="B73" s="66" t="s">
        <v>131</v>
      </c>
      <c r="C73" s="44">
        <v>20</v>
      </c>
      <c r="D73" s="19">
        <f ca="1">((100/H67)*C73)/100</f>
        <v>0.90909090909090917</v>
      </c>
      <c r="E73" s="182"/>
      <c r="F73" s="183"/>
      <c r="G73" s="182"/>
      <c r="H73" s="187"/>
      <c r="I73" s="14" t="s">
        <v>104</v>
      </c>
      <c r="J73" s="30">
        <f ca="1">(IF(B67&gt;1,(H67/(B67+2)+J72),H67/4+J72))</f>
        <v>11</v>
      </c>
    </row>
    <row r="74" spans="1:11" ht="15.75" customHeight="1" x14ac:dyDescent="0.3">
      <c r="A74" s="65" t="s">
        <v>138</v>
      </c>
      <c r="B74" s="66" t="s">
        <v>131</v>
      </c>
      <c r="C74" s="44">
        <v>15</v>
      </c>
      <c r="D74" s="19">
        <f ca="1">((100/H67)*C74)/100</f>
        <v>0.68181818181818188</v>
      </c>
      <c r="E74" s="182"/>
      <c r="F74" s="183"/>
      <c r="G74" s="182"/>
      <c r="H74" s="187"/>
      <c r="I74" s="14" t="s">
        <v>147</v>
      </c>
      <c r="J74" s="30">
        <f>(IF(B67&gt;1,(H67/(B67+2)+J73),0))</f>
        <v>0</v>
      </c>
      <c r="K74" s="21">
        <f>0.3*22</f>
        <v>6.6</v>
      </c>
    </row>
    <row r="75" spans="1:11" ht="15" customHeight="1" x14ac:dyDescent="0.3">
      <c r="A75" s="65" t="s">
        <v>136</v>
      </c>
      <c r="B75" s="66" t="s">
        <v>133</v>
      </c>
      <c r="C75" s="44">
        <v>14</v>
      </c>
      <c r="D75" s="19">
        <f ca="1">((100/(H67))*C75)/100</f>
        <v>0.63636363636363635</v>
      </c>
      <c r="E75" s="182"/>
      <c r="F75" s="183"/>
      <c r="G75" s="182"/>
      <c r="H75" s="187"/>
      <c r="I75" s="14" t="s">
        <v>144</v>
      </c>
      <c r="J75" s="30">
        <f>(IF(B67&gt;2,(H67/(B67+2)+J74),0))</f>
        <v>0</v>
      </c>
    </row>
    <row r="76" spans="1:11" ht="15.75" customHeight="1" x14ac:dyDescent="0.3">
      <c r="A76" s="65" t="s">
        <v>132</v>
      </c>
      <c r="B76" s="66" t="s">
        <v>132</v>
      </c>
      <c r="C76" s="44">
        <v>5</v>
      </c>
      <c r="D76" s="19">
        <f ca="1">((100/H67)*C76)/100</f>
        <v>0.22727272727272729</v>
      </c>
      <c r="E76" s="182"/>
      <c r="F76" s="183"/>
      <c r="G76" s="182"/>
      <c r="H76" s="187"/>
      <c r="I76" s="14" t="s">
        <v>145</v>
      </c>
      <c r="J76" s="31">
        <f>(IF(B67&gt;3,(H67/(B67+2)+J75),0))</f>
        <v>0</v>
      </c>
    </row>
    <row r="77" spans="1:11" ht="15.75" customHeight="1" x14ac:dyDescent="0.3">
      <c r="A77" s="65" t="s">
        <v>139</v>
      </c>
      <c r="B77" s="66"/>
      <c r="C77" s="44">
        <v>3</v>
      </c>
      <c r="D77" s="19">
        <f ca="1">((100/H67)*C77)/100</f>
        <v>0.13636363636363635</v>
      </c>
      <c r="E77" s="182"/>
      <c r="F77" s="183"/>
      <c r="G77" s="182"/>
      <c r="H77" s="187"/>
      <c r="I77" s="14" t="s">
        <v>146</v>
      </c>
      <c r="J77" s="30">
        <f>(IF(B67&gt;4,(H67/(B67+2)+J76),0))</f>
        <v>0</v>
      </c>
    </row>
    <row r="78" spans="1:11" ht="15.75" customHeight="1" x14ac:dyDescent="0.3">
      <c r="A78" s="65" t="s">
        <v>134</v>
      </c>
      <c r="B78" s="66" t="s">
        <v>134</v>
      </c>
      <c r="C78" s="44">
        <v>0</v>
      </c>
      <c r="D78" s="19">
        <f ca="1">((100/(H67))*C78)/100</f>
        <v>0</v>
      </c>
      <c r="E78" s="182"/>
      <c r="F78" s="183"/>
      <c r="G78" s="182"/>
      <c r="H78" s="187"/>
      <c r="I78" s="14" t="s">
        <v>148</v>
      </c>
      <c r="J78" s="30">
        <f ca="1">(IF(B67=1,(H67/(B67+3)+J73),IF(B67=0,(H67/4+J73),IF(B67&gt;1,0))))</f>
        <v>16.5</v>
      </c>
    </row>
    <row r="79" spans="1:11" ht="16.2" thickBot="1" x14ac:dyDescent="0.35">
      <c r="A79" s="81" t="s">
        <v>135</v>
      </c>
      <c r="B79" s="82"/>
      <c r="C79" s="45">
        <v>0</v>
      </c>
      <c r="D79" s="20">
        <f ca="1">((100/(H67))*C79)/100</f>
        <v>0</v>
      </c>
      <c r="E79" s="184"/>
      <c r="F79" s="185"/>
      <c r="G79" s="184"/>
      <c r="H79" s="188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22</v>
      </c>
    </row>
    <row r="80" spans="1:11" x14ac:dyDescent="0.3">
      <c r="A80" s="189" t="s">
        <v>156</v>
      </c>
      <c r="B80" s="189"/>
      <c r="C80" s="189"/>
      <c r="D80" s="189"/>
      <c r="E80" s="189"/>
      <c r="F80" s="174" t="s">
        <v>160</v>
      </c>
      <c r="G80" s="174"/>
      <c r="H80" s="174"/>
    </row>
    <row r="81" spans="1:12" x14ac:dyDescent="0.3">
      <c r="A81" s="92" t="s">
        <v>158</v>
      </c>
      <c r="B81" s="92"/>
      <c r="C81" s="92"/>
      <c r="D81" s="92"/>
      <c r="E81" s="92"/>
      <c r="F81" s="101">
        <v>6500</v>
      </c>
      <c r="G81" s="101"/>
      <c r="H81" s="101"/>
      <c r="I81" s="21" t="s">
        <v>275</v>
      </c>
    </row>
    <row r="82" spans="1:12" x14ac:dyDescent="0.3">
      <c r="A82" s="92" t="s">
        <v>157</v>
      </c>
      <c r="B82" s="92"/>
      <c r="C82" s="92"/>
      <c r="D82" s="92"/>
      <c r="E82" s="92"/>
      <c r="F82" s="101">
        <v>17000</v>
      </c>
      <c r="G82" s="101"/>
      <c r="H82" s="101"/>
      <c r="J82" s="60" t="s">
        <v>279</v>
      </c>
      <c r="K82" s="61">
        <v>45290</v>
      </c>
      <c r="L82" s="60" t="s">
        <v>280</v>
      </c>
    </row>
    <row r="83" spans="1:12" x14ac:dyDescent="0.3">
      <c r="A83" s="92" t="s">
        <v>159</v>
      </c>
      <c r="B83" s="92"/>
      <c r="C83" s="92"/>
      <c r="D83" s="92"/>
      <c r="E83" s="92"/>
      <c r="F83" s="101">
        <v>13000</v>
      </c>
      <c r="G83" s="101"/>
      <c r="H83" s="101"/>
    </row>
    <row r="84" spans="1:12" s="33" customFormat="1" hidden="1" x14ac:dyDescent="0.25">
      <c r="A84" s="92" t="s">
        <v>174</v>
      </c>
      <c r="B84" s="92"/>
      <c r="C84" s="92"/>
      <c r="D84" s="92"/>
      <c r="E84" s="92"/>
      <c r="F84" s="101"/>
      <c r="G84" s="101"/>
      <c r="H84" s="101"/>
    </row>
    <row r="85" spans="1:12" s="33" customFormat="1" hidden="1" x14ac:dyDescent="0.25">
      <c r="A85" s="92" t="s">
        <v>95</v>
      </c>
      <c r="B85" s="92"/>
      <c r="C85" s="92"/>
      <c r="D85" s="92"/>
      <c r="E85" s="92"/>
      <c r="F85" s="101"/>
      <c r="G85" s="101"/>
      <c r="H85" s="101"/>
    </row>
    <row r="86" spans="1:12" s="33" customFormat="1" hidden="1" x14ac:dyDescent="0.25">
      <c r="A86" s="92" t="s">
        <v>96</v>
      </c>
      <c r="B86" s="92"/>
      <c r="C86" s="92"/>
      <c r="D86" s="92"/>
      <c r="E86" s="92"/>
      <c r="F86" s="101"/>
      <c r="G86" s="101"/>
      <c r="H86" s="101"/>
    </row>
    <row r="87" spans="1:12" s="33" customFormat="1" hidden="1" x14ac:dyDescent="0.25">
      <c r="A87" s="92" t="s">
        <v>161</v>
      </c>
      <c r="B87" s="92"/>
      <c r="C87" s="92"/>
      <c r="D87" s="92"/>
      <c r="E87" s="92"/>
      <c r="F87" s="101"/>
      <c r="G87" s="101"/>
      <c r="H87" s="101"/>
    </row>
    <row r="88" spans="1:12" s="33" customFormat="1" hidden="1" x14ac:dyDescent="0.25">
      <c r="A88" s="92" t="s">
        <v>97</v>
      </c>
      <c r="B88" s="92"/>
      <c r="C88" s="92"/>
      <c r="D88" s="92"/>
      <c r="E88" s="92"/>
      <c r="F88" s="101"/>
      <c r="G88" s="101"/>
      <c r="H88" s="101"/>
    </row>
    <row r="89" spans="1:12" s="33" customFormat="1" hidden="1" x14ac:dyDescent="0.25">
      <c r="A89" s="92" t="s">
        <v>98</v>
      </c>
      <c r="B89" s="92"/>
      <c r="C89" s="92"/>
      <c r="D89" s="92"/>
      <c r="E89" s="92"/>
      <c r="F89" s="101"/>
      <c r="G89" s="101"/>
      <c r="H89" s="101"/>
    </row>
    <row r="90" spans="1:12" s="33" customFormat="1" hidden="1" x14ac:dyDescent="0.25">
      <c r="A90" s="92" t="s">
        <v>99</v>
      </c>
      <c r="B90" s="92"/>
      <c r="C90" s="92"/>
      <c r="D90" s="92"/>
      <c r="E90" s="92"/>
      <c r="F90" s="101"/>
      <c r="G90" s="101"/>
      <c r="H90" s="101"/>
    </row>
    <row r="91" spans="1:12" s="33" customFormat="1" hidden="1" x14ac:dyDescent="0.25">
      <c r="A91" s="92" t="s">
        <v>100</v>
      </c>
      <c r="B91" s="92"/>
      <c r="C91" s="92"/>
      <c r="D91" s="92"/>
      <c r="E91" s="92"/>
      <c r="F91" s="101"/>
      <c r="G91" s="101"/>
      <c r="H91" s="101"/>
    </row>
    <row r="92" spans="1:12" x14ac:dyDescent="0.3">
      <c r="A92" s="92" t="s">
        <v>51</v>
      </c>
      <c r="B92" s="92"/>
      <c r="C92" s="92"/>
      <c r="D92" s="92"/>
      <c r="E92" s="92"/>
      <c r="F92" s="106">
        <v>350000</v>
      </c>
      <c r="G92" s="106"/>
      <c r="H92" s="106"/>
    </row>
    <row r="93" spans="1:12" s="34" customFormat="1" x14ac:dyDescent="0.3">
      <c r="A93" s="107" t="s">
        <v>52</v>
      </c>
      <c r="B93" s="107"/>
      <c r="C93" s="107"/>
      <c r="D93" s="107"/>
      <c r="E93" s="107"/>
      <c r="F93" s="101">
        <f>F81*0.8</f>
        <v>5200</v>
      </c>
      <c r="G93" s="101"/>
      <c r="H93" s="101"/>
    </row>
    <row r="94" spans="1:12" s="35" customFormat="1" ht="15.75" customHeight="1" x14ac:dyDescent="0.3">
      <c r="A94" s="105" t="s">
        <v>75</v>
      </c>
      <c r="B94" s="105"/>
      <c r="C94" s="105"/>
      <c r="D94" s="105"/>
      <c r="E94" s="105"/>
      <c r="F94" s="105"/>
      <c r="G94" s="105"/>
      <c r="H94" s="105"/>
    </row>
    <row r="95" spans="1:12" s="35" customFormat="1" ht="15.75" customHeight="1" x14ac:dyDescent="0.3">
      <c r="A95" s="74" t="s">
        <v>53</v>
      </c>
      <c r="B95" s="74"/>
      <c r="C95" s="76" t="s">
        <v>78</v>
      </c>
      <c r="D95" s="76"/>
      <c r="E95" s="97" t="s">
        <v>54</v>
      </c>
      <c r="F95" s="97"/>
      <c r="G95" s="74" t="s">
        <v>55</v>
      </c>
      <c r="H95" s="74"/>
    </row>
    <row r="96" spans="1:12" s="35" customFormat="1" x14ac:dyDescent="0.3">
      <c r="A96" s="75" t="s">
        <v>259</v>
      </c>
      <c r="B96" s="75"/>
      <c r="C96" s="158">
        <f>COUNT(D107:D112)</f>
        <v>6</v>
      </c>
      <c r="D96" s="177"/>
      <c r="E96" s="159">
        <f>SUM(D107:D112)</f>
        <v>3154.0672800000002</v>
      </c>
      <c r="F96" s="176"/>
      <c r="G96" s="159">
        <f>SUM(F107:F112)</f>
        <v>6090.1501049999997</v>
      </c>
      <c r="H96" s="176"/>
    </row>
    <row r="97" spans="1:14" s="35" customFormat="1" x14ac:dyDescent="0.3">
      <c r="A97" s="75" t="s">
        <v>260</v>
      </c>
      <c r="B97" s="75"/>
      <c r="C97" s="158">
        <f>COUNT(D114:D121)</f>
        <v>8</v>
      </c>
      <c r="D97" s="177"/>
      <c r="E97" s="159">
        <f>SUM(D114:D121)</f>
        <v>3975.3604799999998</v>
      </c>
      <c r="F97" s="176"/>
      <c r="G97" s="159">
        <f>SUM(F114:F121)</f>
        <v>6161.8087439999999</v>
      </c>
      <c r="H97" s="176"/>
    </row>
    <row r="98" spans="1:14" s="35" customFormat="1" x14ac:dyDescent="0.3">
      <c r="A98" s="105" t="s">
        <v>70</v>
      </c>
      <c r="B98" s="105"/>
      <c r="C98" s="105"/>
      <c r="D98" s="105"/>
      <c r="E98" s="105"/>
      <c r="F98" s="105"/>
      <c r="G98" s="105"/>
      <c r="H98" s="105"/>
    </row>
    <row r="99" spans="1:14" s="35" customFormat="1" ht="15.75" customHeight="1" x14ac:dyDescent="0.3">
      <c r="A99" s="74" t="s">
        <v>53</v>
      </c>
      <c r="B99" s="74"/>
      <c r="C99" s="76" t="s">
        <v>78</v>
      </c>
      <c r="D99" s="76"/>
      <c r="E99" s="97" t="s">
        <v>54</v>
      </c>
      <c r="F99" s="97"/>
      <c r="G99" s="74" t="s">
        <v>55</v>
      </c>
      <c r="H99" s="74"/>
    </row>
    <row r="100" spans="1:14" s="35" customFormat="1" ht="16.2" thickBot="1" x14ac:dyDescent="0.35">
      <c r="A100" s="75" t="s">
        <v>263</v>
      </c>
      <c r="B100" s="75"/>
      <c r="C100" s="158">
        <f>COUNT(D126:D129)+COUNT(D131:D134)*16+COUNT(D136:D139)*4</f>
        <v>84</v>
      </c>
      <c r="D100" s="158"/>
      <c r="E100" s="159">
        <f>SUM(D126:D129)+SUM(D131:D134)*16+SUM(D136:D139)*4</f>
        <v>50822.226000000002</v>
      </c>
      <c r="F100" s="159"/>
      <c r="G100" s="159">
        <f>SUM(F126:F129)+SUM(F131:F134)*16+SUM(F136:F139)*4</f>
        <v>76668.99844499999</v>
      </c>
      <c r="H100" s="159"/>
    </row>
    <row r="101" spans="1:14" s="35" customFormat="1" ht="16.2" thickBot="1" x14ac:dyDescent="0.35">
      <c r="A101" s="77" t="s">
        <v>166</v>
      </c>
      <c r="B101" s="78"/>
      <c r="C101" s="79">
        <f>C96+C97+C100</f>
        <v>98</v>
      </c>
      <c r="D101" s="80"/>
      <c r="E101" s="79">
        <f t="shared" ref="E101" si="0">E96+E97+E100</f>
        <v>57951.653760000001</v>
      </c>
      <c r="F101" s="80"/>
      <c r="G101" s="79">
        <f t="shared" ref="G101" si="1">G96+G97+G100</f>
        <v>88920.957293999993</v>
      </c>
      <c r="H101" s="80"/>
    </row>
    <row r="102" spans="1:14" s="34" customFormat="1" x14ac:dyDescent="0.3">
      <c r="A102" s="174" t="s">
        <v>56</v>
      </c>
      <c r="B102" s="174"/>
      <c r="C102" s="174"/>
      <c r="D102" s="174"/>
      <c r="E102" s="174"/>
      <c r="F102" s="174"/>
      <c r="G102" s="174"/>
      <c r="H102" s="174"/>
    </row>
    <row r="103" spans="1:14" x14ac:dyDescent="0.3">
      <c r="A103" s="102" t="s">
        <v>173</v>
      </c>
      <c r="B103" s="102"/>
      <c r="C103" s="102"/>
      <c r="D103" s="102"/>
      <c r="E103" s="102"/>
      <c r="F103" s="102"/>
      <c r="G103" s="102"/>
      <c r="H103" s="102"/>
    </row>
    <row r="104" spans="1:14" ht="47.25" customHeight="1" x14ac:dyDescent="0.3">
      <c r="A104" s="112" t="s">
        <v>120</v>
      </c>
      <c r="B104" s="112" t="s">
        <v>175</v>
      </c>
      <c r="C104" s="112" t="s">
        <v>57</v>
      </c>
      <c r="D104" s="112" t="s">
        <v>58</v>
      </c>
      <c r="E104" s="114" t="s">
        <v>155</v>
      </c>
      <c r="F104" s="43" t="s">
        <v>150</v>
      </c>
      <c r="G104" s="83" t="s">
        <v>60</v>
      </c>
      <c r="H104" s="163"/>
    </row>
    <row r="105" spans="1:14" s="37" customFormat="1" x14ac:dyDescent="0.3">
      <c r="A105" s="113"/>
      <c r="B105" s="113"/>
      <c r="C105" s="113"/>
      <c r="D105" s="113"/>
      <c r="E105" s="115"/>
      <c r="F105" s="13">
        <v>0.55000000000000004</v>
      </c>
      <c r="G105" s="84"/>
      <c r="H105" s="164"/>
    </row>
    <row r="106" spans="1:14" s="37" customFormat="1" x14ac:dyDescent="0.3">
      <c r="A106" s="160" t="s">
        <v>268</v>
      </c>
      <c r="B106" s="161"/>
      <c r="C106" s="161"/>
      <c r="D106" s="161"/>
      <c r="E106" s="161"/>
      <c r="F106" s="161"/>
      <c r="G106" s="161"/>
      <c r="H106" s="162"/>
      <c r="J106" s="36"/>
    </row>
    <row r="107" spans="1:14" s="37" customFormat="1" ht="15.75" customHeight="1" x14ac:dyDescent="0.3">
      <c r="A107" s="85">
        <v>1</v>
      </c>
      <c r="B107" s="86"/>
      <c r="C107" s="42" t="s">
        <v>251</v>
      </c>
      <c r="D107" s="42">
        <f>(50.04)*10.764</f>
        <v>538.63055999999995</v>
      </c>
      <c r="E107" s="42">
        <f>25.02*10.764</f>
        <v>269.31527999999997</v>
      </c>
      <c r="F107" s="42">
        <f>(D107+E107/2)*(($F$105)+1)</f>
        <v>1043.59671</v>
      </c>
      <c r="G107" s="165" t="str">
        <f>A106</f>
        <v>Ground Floor For Commercial, Society Office, Meter Room, Pump Room &amp; Tower Parking</v>
      </c>
      <c r="H107" s="166"/>
      <c r="I107" s="56">
        <f>(1/2*8.6*5.9)+(3.7*0.8)+(4.9*4.7)</f>
        <v>51.36</v>
      </c>
      <c r="J107" s="37">
        <f>(2.5*10.2)</f>
        <v>25.5</v>
      </c>
      <c r="K107" s="37">
        <f>4.8*4.6+(0.5*4.6*3.4)+(0.5*3.6*2.5)+3.6*4</f>
        <v>48.8</v>
      </c>
      <c r="L107" s="157"/>
      <c r="M107" s="157"/>
      <c r="N107" s="36"/>
    </row>
    <row r="108" spans="1:14" s="37" customFormat="1" ht="15.75" customHeight="1" x14ac:dyDescent="0.3">
      <c r="A108" s="85">
        <f t="shared" ref="A108:A112" si="2">A107+1</f>
        <v>2</v>
      </c>
      <c r="B108" s="86"/>
      <c r="C108" s="42" t="s">
        <v>251</v>
      </c>
      <c r="D108" s="42">
        <f>(42.1)*10.764</f>
        <v>453.1644</v>
      </c>
      <c r="E108" s="42">
        <f>21.05*10.764</f>
        <v>226.5822</v>
      </c>
      <c r="F108" s="42">
        <f t="shared" ref="F108:F112" si="3">(D108+E108/2)*(($F$105)+1)</f>
        <v>878.00602500000002</v>
      </c>
      <c r="G108" s="167"/>
      <c r="H108" s="168"/>
      <c r="I108" s="56">
        <f>(5.6*6.6)+(1/2*5.6*2.1)</f>
        <v>42.839999999999996</v>
      </c>
      <c r="J108" s="56">
        <f>(5.6*2.6)+(1/2*5.6*2.1)</f>
        <v>20.439999999999998</v>
      </c>
      <c r="K108" s="37">
        <f>5.6*6.6+(0.5*5.6*1.9)</f>
        <v>42.279999999999994</v>
      </c>
      <c r="L108" s="157"/>
      <c r="M108" s="157"/>
      <c r="N108" s="36"/>
    </row>
    <row r="109" spans="1:14" s="37" customFormat="1" ht="15.75" customHeight="1" x14ac:dyDescent="0.3">
      <c r="A109" s="85">
        <f t="shared" si="2"/>
        <v>3</v>
      </c>
      <c r="B109" s="86"/>
      <c r="C109" s="42" t="s">
        <v>251</v>
      </c>
      <c r="D109" s="42">
        <f>(55.57)*10.764</f>
        <v>598.15548000000001</v>
      </c>
      <c r="E109" s="42">
        <f>27.79*10.764</f>
        <v>299.13155999999998</v>
      </c>
      <c r="F109" s="42">
        <f t="shared" si="3"/>
        <v>1158.9679530000001</v>
      </c>
      <c r="G109" s="167"/>
      <c r="H109" s="168"/>
      <c r="I109" s="56">
        <f>(8.8*6.25)+(6.25*0.15)</f>
        <v>55.937500000000007</v>
      </c>
      <c r="J109" s="37">
        <f>(6.25*4.5)</f>
        <v>28.125</v>
      </c>
      <c r="K109" s="37">
        <f>6.25*8.98</f>
        <v>56.125</v>
      </c>
      <c r="L109" s="157"/>
      <c r="M109" s="157"/>
      <c r="N109" s="36"/>
    </row>
    <row r="110" spans="1:14" s="37" customFormat="1" ht="15.75" customHeight="1" x14ac:dyDescent="0.3">
      <c r="A110" s="85">
        <f t="shared" si="2"/>
        <v>4</v>
      </c>
      <c r="B110" s="86"/>
      <c r="C110" s="42" t="s">
        <v>251</v>
      </c>
      <c r="D110" s="42">
        <f>(42.96)*10.764</f>
        <v>462.42143999999996</v>
      </c>
      <c r="E110" s="42">
        <f>21.48*10.764</f>
        <v>231.21071999999998</v>
      </c>
      <c r="F110" s="42">
        <f t="shared" si="3"/>
        <v>895.94154000000003</v>
      </c>
      <c r="G110" s="167"/>
      <c r="H110" s="168"/>
      <c r="I110" s="36"/>
      <c r="L110" s="157"/>
      <c r="M110" s="157"/>
      <c r="N110" s="36"/>
    </row>
    <row r="111" spans="1:14" s="37" customFormat="1" ht="15.75" customHeight="1" x14ac:dyDescent="0.3">
      <c r="A111" s="85">
        <f t="shared" si="2"/>
        <v>5</v>
      </c>
      <c r="B111" s="86"/>
      <c r="C111" s="42" t="s">
        <v>251</v>
      </c>
      <c r="D111" s="42">
        <f>(28.38)*10.764</f>
        <v>305.48231999999996</v>
      </c>
      <c r="E111" s="42">
        <f>11.69*10.764</f>
        <v>125.83115999999998</v>
      </c>
      <c r="F111" s="42">
        <f t="shared" si="3"/>
        <v>571.0167449999999</v>
      </c>
      <c r="G111" s="167"/>
      <c r="H111" s="168"/>
      <c r="I111" s="37">
        <f>10000000/F111</f>
        <v>17512.62128048452</v>
      </c>
      <c r="L111" s="157"/>
      <c r="M111" s="157"/>
      <c r="N111" s="36"/>
    </row>
    <row r="112" spans="1:14" s="37" customFormat="1" ht="15.75" customHeight="1" x14ac:dyDescent="0.3">
      <c r="A112" s="85">
        <f t="shared" si="2"/>
        <v>6</v>
      </c>
      <c r="B112" s="86"/>
      <c r="C112" s="42" t="s">
        <v>251</v>
      </c>
      <c r="D112" s="42">
        <f>(73.97)*10.764</f>
        <v>796.21307999999999</v>
      </c>
      <c r="E112" s="42">
        <f>36.98*10.764</f>
        <v>398.05271999999997</v>
      </c>
      <c r="F112" s="42">
        <f t="shared" si="3"/>
        <v>1542.621132</v>
      </c>
      <c r="G112" s="169"/>
      <c r="H112" s="170"/>
      <c r="I112" s="36">
        <f>((7*8.5)+(1/2*6*6.2))-(2.97*5.17+(1/2*1.2*1.5))</f>
        <v>61.845099999999995</v>
      </c>
      <c r="J112" s="56">
        <f>((2.5*8.5)+(1/2*6*6.2))-(1/2*1.2*1.5)</f>
        <v>38.950000000000003</v>
      </c>
      <c r="L112" s="157"/>
      <c r="M112" s="157"/>
      <c r="N112" s="36"/>
    </row>
    <row r="113" spans="1:14" s="37" customFormat="1" x14ac:dyDescent="0.3">
      <c r="A113" s="160" t="s">
        <v>255</v>
      </c>
      <c r="B113" s="161"/>
      <c r="C113" s="161"/>
      <c r="D113" s="161"/>
      <c r="E113" s="161"/>
      <c r="F113" s="161"/>
      <c r="G113" s="161"/>
      <c r="H113" s="162"/>
      <c r="J113" s="36"/>
    </row>
    <row r="114" spans="1:14" s="37" customFormat="1" ht="15.75" customHeight="1" x14ac:dyDescent="0.3">
      <c r="A114" s="85">
        <v>101</v>
      </c>
      <c r="B114" s="86"/>
      <c r="C114" s="42" t="s">
        <v>252</v>
      </c>
      <c r="D114" s="42">
        <f>(10.25+5.93)*10.764</f>
        <v>174.16152</v>
      </c>
      <c r="E114" s="42">
        <v>0</v>
      </c>
      <c r="F114" s="42">
        <f>(D114+E114)*(($F$105)+1)</f>
        <v>269.950356</v>
      </c>
      <c r="G114" s="165" t="str">
        <f>A113</f>
        <v>1st Floor For Commercial, Store Room &amp; Tower Parking</v>
      </c>
      <c r="H114" s="166"/>
      <c r="I114" s="36">
        <f>(10.25+5.93)</f>
        <v>16.18</v>
      </c>
      <c r="K114" s="37">
        <f>(1.4*4.4)</f>
        <v>6.16</v>
      </c>
      <c r="L114" s="157"/>
      <c r="M114" s="157"/>
      <c r="N114" s="36"/>
    </row>
    <row r="115" spans="1:14" s="37" customFormat="1" ht="15.75" customHeight="1" x14ac:dyDescent="0.3">
      <c r="A115" s="85">
        <f t="shared" ref="A115:A121" si="4">A114+1</f>
        <v>102</v>
      </c>
      <c r="B115" s="86"/>
      <c r="C115" s="42" t="s">
        <v>252</v>
      </c>
      <c r="D115" s="42">
        <f>(40.31+11.25)*10.764</f>
        <v>554.99184000000002</v>
      </c>
      <c r="E115" s="42">
        <v>0</v>
      </c>
      <c r="F115" s="42">
        <f t="shared" ref="F115:F119" si="5">(D115+E115)*(($F$105)+1)</f>
        <v>860.2373520000001</v>
      </c>
      <c r="G115" s="167"/>
      <c r="H115" s="168"/>
      <c r="I115" s="36">
        <f>(40.31+11.25)</f>
        <v>51.56</v>
      </c>
      <c r="L115" s="157"/>
      <c r="M115" s="157"/>
      <c r="N115" s="36"/>
    </row>
    <row r="116" spans="1:14" s="37" customFormat="1" ht="15.75" customHeight="1" x14ac:dyDescent="0.3">
      <c r="A116" s="85">
        <f t="shared" si="4"/>
        <v>103</v>
      </c>
      <c r="B116" s="86"/>
      <c r="C116" s="42" t="s">
        <v>252</v>
      </c>
      <c r="D116" s="42">
        <f>(42.36+7.91)*10.764</f>
        <v>541.10627999999997</v>
      </c>
      <c r="E116" s="42">
        <v>0</v>
      </c>
      <c r="F116" s="42">
        <f t="shared" si="5"/>
        <v>838.71473400000002</v>
      </c>
      <c r="G116" s="167"/>
      <c r="H116" s="168"/>
      <c r="I116" s="36">
        <f>(42.36+7.91)</f>
        <v>50.269999999999996</v>
      </c>
      <c r="L116" s="157"/>
      <c r="M116" s="157"/>
      <c r="N116" s="36"/>
    </row>
    <row r="117" spans="1:14" s="37" customFormat="1" ht="15.75" customHeight="1" x14ac:dyDescent="0.3">
      <c r="A117" s="85">
        <f t="shared" si="4"/>
        <v>104</v>
      </c>
      <c r="B117" s="86"/>
      <c r="C117" s="42" t="s">
        <v>252</v>
      </c>
      <c r="D117" s="42">
        <f>(55.84+8.47)*10.764</f>
        <v>692.23284000000001</v>
      </c>
      <c r="E117" s="42">
        <v>0</v>
      </c>
      <c r="F117" s="42">
        <f t="shared" si="5"/>
        <v>1072.960902</v>
      </c>
      <c r="G117" s="167"/>
      <c r="H117" s="168"/>
      <c r="I117" s="36">
        <f>(55.84+8.47)</f>
        <v>64.31</v>
      </c>
      <c r="L117" s="157"/>
      <c r="M117" s="157"/>
      <c r="N117" s="36"/>
    </row>
    <row r="118" spans="1:14" s="37" customFormat="1" ht="15.75" customHeight="1" x14ac:dyDescent="0.3">
      <c r="A118" s="85">
        <f t="shared" si="4"/>
        <v>105</v>
      </c>
      <c r="B118" s="86"/>
      <c r="C118" s="42" t="s">
        <v>252</v>
      </c>
      <c r="D118" s="42">
        <f>(43.22+7.84)*10.764</f>
        <v>549.60983999999996</v>
      </c>
      <c r="E118" s="42">
        <v>0</v>
      </c>
      <c r="F118" s="42">
        <f t="shared" si="5"/>
        <v>851.89525199999991</v>
      </c>
      <c r="G118" s="167"/>
      <c r="H118" s="168"/>
      <c r="I118" s="36">
        <f>(43.22+7.84)</f>
        <v>51.06</v>
      </c>
      <c r="L118" s="157"/>
      <c r="M118" s="157"/>
      <c r="N118" s="36"/>
    </row>
    <row r="119" spans="1:14" s="37" customFormat="1" ht="15.75" customHeight="1" x14ac:dyDescent="0.3">
      <c r="A119" s="85">
        <f t="shared" si="4"/>
        <v>106</v>
      </c>
      <c r="B119" s="86"/>
      <c r="C119" s="42" t="s">
        <v>252</v>
      </c>
      <c r="D119" s="42">
        <f>(28.66+15.36)*10.764</f>
        <v>473.83127999999994</v>
      </c>
      <c r="E119" s="42">
        <v>0</v>
      </c>
      <c r="F119" s="42">
        <f t="shared" si="5"/>
        <v>734.4384839999999</v>
      </c>
      <c r="G119" s="167"/>
      <c r="H119" s="168"/>
      <c r="I119" s="36">
        <f>(28.66+15.36)</f>
        <v>44.019999999999996</v>
      </c>
      <c r="J119" s="36">
        <f>(1/2*9.5*8.4)</f>
        <v>39.9</v>
      </c>
      <c r="K119" s="37">
        <f>7.53*5.88</f>
        <v>44.276400000000002</v>
      </c>
      <c r="L119" s="157"/>
      <c r="M119" s="157"/>
      <c r="N119" s="36"/>
    </row>
    <row r="120" spans="1:14" s="37" customFormat="1" ht="15.75" customHeight="1" x14ac:dyDescent="0.3">
      <c r="A120" s="85">
        <f t="shared" si="4"/>
        <v>107</v>
      </c>
      <c r="B120" s="86"/>
      <c r="C120" s="42" t="s">
        <v>252</v>
      </c>
      <c r="D120" s="42">
        <f>(71.47+7.04)*10.764</f>
        <v>845.08163999999999</v>
      </c>
      <c r="E120" s="42">
        <v>0</v>
      </c>
      <c r="F120" s="42">
        <f t="shared" ref="F120:F121" si="6">(D120+E120)*(($F$105)+1)</f>
        <v>1309.876542</v>
      </c>
      <c r="G120" s="167"/>
      <c r="H120" s="168"/>
      <c r="I120" s="36">
        <f>(71.47+7.04)</f>
        <v>78.510000000000005</v>
      </c>
      <c r="L120" s="157"/>
      <c r="M120" s="157"/>
      <c r="N120" s="36"/>
    </row>
    <row r="121" spans="1:14" s="37" customFormat="1" ht="15.75" customHeight="1" x14ac:dyDescent="0.3">
      <c r="A121" s="85">
        <f t="shared" si="4"/>
        <v>108</v>
      </c>
      <c r="B121" s="86"/>
      <c r="C121" s="42" t="s">
        <v>252</v>
      </c>
      <c r="D121" s="42">
        <f>(13.41)*10.764</f>
        <v>144.34523999999999</v>
      </c>
      <c r="E121" s="42">
        <v>0</v>
      </c>
      <c r="F121" s="42">
        <f t="shared" si="6"/>
        <v>223.73512199999999</v>
      </c>
      <c r="G121" s="169"/>
      <c r="H121" s="170"/>
      <c r="I121" s="36">
        <f>(13.41)</f>
        <v>13.41</v>
      </c>
      <c r="J121" s="36">
        <f>3.05*4.31</f>
        <v>13.145499999999998</v>
      </c>
      <c r="L121" s="157"/>
      <c r="M121" s="157"/>
      <c r="N121" s="36"/>
    </row>
    <row r="122" spans="1:14" s="37" customFormat="1" ht="15.75" customHeight="1" x14ac:dyDescent="0.3">
      <c r="A122" s="85"/>
      <c r="B122" s="175"/>
      <c r="C122" s="175"/>
      <c r="D122" s="175"/>
      <c r="E122" s="175"/>
      <c r="F122" s="175"/>
      <c r="G122" s="175"/>
      <c r="H122" s="86"/>
      <c r="I122" s="36"/>
      <c r="N122" s="36"/>
    </row>
    <row r="123" spans="1:14" ht="47.25" customHeight="1" x14ac:dyDescent="0.3">
      <c r="A123" s="83" t="s">
        <v>121</v>
      </c>
      <c r="B123" s="112" t="s">
        <v>176</v>
      </c>
      <c r="C123" s="112" t="s">
        <v>57</v>
      </c>
      <c r="D123" s="112" t="s">
        <v>58</v>
      </c>
      <c r="E123" s="114" t="s">
        <v>59</v>
      </c>
      <c r="F123" s="43" t="s">
        <v>150</v>
      </c>
      <c r="G123" s="83" t="s">
        <v>60</v>
      </c>
      <c r="H123" s="163"/>
      <c r="I123" s="36"/>
    </row>
    <row r="124" spans="1:14" s="37" customFormat="1" x14ac:dyDescent="0.3">
      <c r="A124" s="84"/>
      <c r="B124" s="113"/>
      <c r="C124" s="113"/>
      <c r="D124" s="113"/>
      <c r="E124" s="115"/>
      <c r="F124" s="13">
        <v>0.5</v>
      </c>
      <c r="G124" s="84"/>
      <c r="H124" s="164"/>
      <c r="I124" s="36"/>
    </row>
    <row r="125" spans="1:14" s="37" customFormat="1" x14ac:dyDescent="0.3">
      <c r="A125" s="171" t="s">
        <v>276</v>
      </c>
      <c r="B125" s="172"/>
      <c r="C125" s="172"/>
      <c r="D125" s="172"/>
      <c r="E125" s="172"/>
      <c r="F125" s="172"/>
      <c r="G125" s="172"/>
      <c r="H125" s="173"/>
      <c r="J125" s="36"/>
    </row>
    <row r="126" spans="1:14" s="37" customFormat="1" ht="15.75" customHeight="1" x14ac:dyDescent="0.3">
      <c r="A126" s="85">
        <v>201</v>
      </c>
      <c r="B126" s="86"/>
      <c r="C126" s="42" t="s">
        <v>253</v>
      </c>
      <c r="D126" s="42">
        <f>(39.64+4.31)*10.764</f>
        <v>473.07780000000002</v>
      </c>
      <c r="E126" s="42">
        <f>(3.6*7.6+1.7*1+6.6*1+(0.5*5.9*5))*10.764</f>
        <v>542.61323999999991</v>
      </c>
      <c r="F126" s="42">
        <f>D126*(($F$124)+1)+(IF(E126&lt;101,E126,IF(E126&lt;201,E126/2,IF(E126&lt;=301,E126/3,E126/4))))</f>
        <v>845.27000999999996</v>
      </c>
      <c r="G126" s="165" t="str">
        <f>A125</f>
        <v>2nd Floor For Residential</v>
      </c>
      <c r="H126" s="166"/>
      <c r="I126" s="36">
        <f>(3.05*4.55+2.3*2.45+3.2*3.53+2.05*1.4+1.8*1.5+0.9*1)</f>
        <v>37.278500000000001</v>
      </c>
      <c r="J126" s="37">
        <f>1*(3.05+1.8)</f>
        <v>4.8499999999999996</v>
      </c>
      <c r="K126" s="57"/>
      <c r="M126" s="57"/>
      <c r="N126" s="36"/>
    </row>
    <row r="127" spans="1:14" s="37" customFormat="1" ht="15.75" customHeight="1" x14ac:dyDescent="0.3">
      <c r="A127" s="85">
        <f t="shared" ref="A127:A129" si="7">A126+1</f>
        <v>202</v>
      </c>
      <c r="B127" s="86"/>
      <c r="C127" s="42" t="s">
        <v>254</v>
      </c>
      <c r="D127" s="42">
        <f>(56.99+7.09)*10.764</f>
        <v>689.75711999999999</v>
      </c>
      <c r="E127" s="42">
        <f>((0.5*3.1*2)+((2+3.6)*3.2/2)+((3.7+4.4)*2.3/2)+((4.4+4.7)*3.05/2))*10.764</f>
        <v>379.45790999999997</v>
      </c>
      <c r="F127" s="42">
        <f>D127*(($F$124)+1)+(IF(E127&lt;101,E127,IF(E127&lt;201,E127/2,IF(E127&lt;=301,E127/3,E127/4))))</f>
        <v>1129.5001574999999</v>
      </c>
      <c r="G127" s="167"/>
      <c r="H127" s="168"/>
      <c r="I127" s="37">
        <f>((0.5*3.1*2)+((2+3.6)*3.2/2)+((3.7+4.4)*2.3/2)+((4.4+4.7)*3.05/2))</f>
        <v>35.252499999999998</v>
      </c>
      <c r="K127" s="57"/>
      <c r="M127" s="57"/>
      <c r="N127" s="36"/>
    </row>
    <row r="128" spans="1:14" s="37" customFormat="1" ht="15.75" customHeight="1" x14ac:dyDescent="0.3">
      <c r="A128" s="85">
        <f t="shared" si="7"/>
        <v>203</v>
      </c>
      <c r="B128" s="86"/>
      <c r="C128" s="42" t="s">
        <v>254</v>
      </c>
      <c r="D128" s="42">
        <f>(56.99+7.09)*10.764</f>
        <v>689.75711999999999</v>
      </c>
      <c r="E128" s="42">
        <f>((0.5*3.1*2)+((2+3.6)*3.2/2)+((3.7+4.4)*2.3/2)+((4.4+4.7)*3.05/2))*10.764</f>
        <v>379.45790999999997</v>
      </c>
      <c r="F128" s="42">
        <f>D128*(($F$124)+1)+(IF(E128&lt;101,E128,IF(E128&lt;201,E128/2,IF(E128&lt;=301,E128/3,E128/4))))</f>
        <v>1129.5001574999999</v>
      </c>
      <c r="G128" s="167"/>
      <c r="H128" s="168"/>
      <c r="K128" s="57"/>
      <c r="M128" s="57"/>
      <c r="N128" s="36"/>
    </row>
    <row r="129" spans="1:14" s="37" customFormat="1" ht="15.75" customHeight="1" x14ac:dyDescent="0.3">
      <c r="A129" s="85">
        <f t="shared" si="7"/>
        <v>204</v>
      </c>
      <c r="B129" s="86"/>
      <c r="C129" s="42" t="s">
        <v>253</v>
      </c>
      <c r="D129" s="42">
        <f>(39.64+4.31)*10.764</f>
        <v>473.07780000000002</v>
      </c>
      <c r="E129" s="42">
        <f>((0.5*4.6*5)+(0.5*6.6*4.8)+2.2*3.1+2.2*2.4+1.1*1.4)*10.764</f>
        <v>441.10871999999995</v>
      </c>
      <c r="F129" s="42">
        <f>D129*(($F$124)+1)+(IF(E129&lt;101,E129,IF(E129&lt;201,E129/2,IF(E129&lt;=301,E129/3,E129/4))))</f>
        <v>819.89388000000008</v>
      </c>
      <c r="G129" s="169"/>
      <c r="H129" s="170"/>
      <c r="K129" s="57"/>
      <c r="M129" s="57"/>
      <c r="N129" s="36"/>
    </row>
    <row r="130" spans="1:14" s="37" customFormat="1" x14ac:dyDescent="0.3">
      <c r="A130" s="171" t="s">
        <v>258</v>
      </c>
      <c r="B130" s="172"/>
      <c r="C130" s="172"/>
      <c r="D130" s="172"/>
      <c r="E130" s="172"/>
      <c r="F130" s="172"/>
      <c r="G130" s="172"/>
      <c r="H130" s="173"/>
      <c r="I130" s="36"/>
      <c r="J130" s="37">
        <f>3.05+2</f>
        <v>5.05</v>
      </c>
    </row>
    <row r="131" spans="1:14" s="37" customFormat="1" ht="15.75" customHeight="1" x14ac:dyDescent="0.3">
      <c r="A131" s="85" t="s">
        <v>256</v>
      </c>
      <c r="B131" s="86"/>
      <c r="C131" s="42" t="s">
        <v>253</v>
      </c>
      <c r="D131" s="42">
        <f>((39.64+4.31)+0.7*3.53)*10.764</f>
        <v>499.67564399999998</v>
      </c>
      <c r="E131" s="42">
        <v>0</v>
      </c>
      <c r="F131" s="42">
        <f>D131*(($F$124)+1)+(IF(E131&lt;101,E131,IF(E131&lt;201,E131/2,IF(E131&lt;=301,E131/3,E131/4))))</f>
        <v>749.51346599999999</v>
      </c>
      <c r="G131" s="165" t="str">
        <f>A130</f>
        <v>3rd to 6th, 8th to 11th, 13th to 16th, 18th to 20th &amp; 22nd Floor</v>
      </c>
      <c r="H131" s="166"/>
      <c r="I131" s="56">
        <f>(3.05*4.55+2.3*2.45+3.2*3.53+2.05*1.4+1.8*1.5+0.9*0.9)</f>
        <v>37.188500000000005</v>
      </c>
      <c r="J131" s="37">
        <f>1*(3.05+1.8)</f>
        <v>4.8499999999999996</v>
      </c>
      <c r="K131" s="57">
        <f>0.7*3.53</f>
        <v>2.4709999999999996</v>
      </c>
      <c r="M131" s="57"/>
      <c r="N131" s="36"/>
    </row>
    <row r="132" spans="1:14" s="37" customFormat="1" ht="15.75" customHeight="1" x14ac:dyDescent="0.3">
      <c r="A132" s="85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302 ,.., 2202</v>
      </c>
      <c r="B132" s="86"/>
      <c r="C132" s="42" t="s">
        <v>254</v>
      </c>
      <c r="D132" s="42">
        <f>(56.99+7.09+(0.7*3.05))*10.764</f>
        <v>712.73825999999997</v>
      </c>
      <c r="E132" s="42">
        <v>0</v>
      </c>
      <c r="F132" s="42">
        <f>D132*(($F$124)+1)+(IF(E132&lt;101,E132,IF(E132&lt;201,E132/2,IF(E132&lt;=301,E132/3,E132/4))))</f>
        <v>1069.1073899999999</v>
      </c>
      <c r="G132" s="167"/>
      <c r="H132" s="168"/>
      <c r="I132" s="36">
        <f>(3.05*4.55+2.3*3.05+3.05*3.05+3.05*3.35+2.3*1.35+1.37*2.28+1.1*5.9)</f>
        <v>53.131099999999996</v>
      </c>
      <c r="J132" s="37">
        <f>(1*(3.05+1.8+3.05))</f>
        <v>7.8999999999999995</v>
      </c>
      <c r="K132" s="57">
        <f>0.7*3.05</f>
        <v>2.1349999999999998</v>
      </c>
      <c r="M132" s="57"/>
      <c r="N132" s="36"/>
    </row>
    <row r="133" spans="1:14" s="37" customFormat="1" ht="15.75" customHeight="1" x14ac:dyDescent="0.3">
      <c r="A133" s="85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303 ,.., 2203</v>
      </c>
      <c r="B133" s="86"/>
      <c r="C133" s="42" t="s">
        <v>254</v>
      </c>
      <c r="D133" s="42">
        <f>(56.99+7.09+(0.7*3.05))*10.764</f>
        <v>712.73825999999997</v>
      </c>
      <c r="E133" s="42">
        <v>0</v>
      </c>
      <c r="F133" s="42">
        <f>D133*(($F$124)+1)+(IF(E133&lt;101,E133,IF(E133&lt;201,E133/2,IF(E133&lt;=301,E133/3,E133/4))))</f>
        <v>1069.1073899999999</v>
      </c>
      <c r="G133" s="167"/>
      <c r="H133" s="168"/>
      <c r="I133" s="36"/>
      <c r="L133" s="57"/>
      <c r="M133" s="57"/>
      <c r="N133" s="36"/>
    </row>
    <row r="134" spans="1:14" s="37" customFormat="1" ht="15.75" customHeight="1" x14ac:dyDescent="0.3">
      <c r="A134" s="85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304 ,.., 2204</v>
      </c>
      <c r="B134" s="86"/>
      <c r="C134" s="42" t="s">
        <v>253</v>
      </c>
      <c r="D134" s="42">
        <f>((39.64+4.31)+0.7*3.53)*10.764</f>
        <v>499.67564399999998</v>
      </c>
      <c r="E134" s="42">
        <v>0</v>
      </c>
      <c r="F134" s="42">
        <f>D134*(($F$124)+1)+(IF(E134&lt;101,E134,IF(E134&lt;201,E134/2,IF(E134&lt;=301,E134/3,E134/4))))</f>
        <v>749.51346599999999</v>
      </c>
      <c r="G134" s="169"/>
      <c r="H134" s="170"/>
      <c r="I134" s="36"/>
      <c r="L134" s="57"/>
      <c r="M134" s="57"/>
      <c r="N134" s="36"/>
    </row>
    <row r="135" spans="1:14" s="37" customFormat="1" x14ac:dyDescent="0.3">
      <c r="A135" s="171" t="s">
        <v>257</v>
      </c>
      <c r="B135" s="172"/>
      <c r="C135" s="172"/>
      <c r="D135" s="172"/>
      <c r="E135" s="172"/>
      <c r="F135" s="172"/>
      <c r="G135" s="172"/>
      <c r="H135" s="173"/>
      <c r="J135" s="36"/>
    </row>
    <row r="136" spans="1:14" s="37" customFormat="1" ht="15.75" customHeight="1" x14ac:dyDescent="0.3">
      <c r="A136" s="85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10^ROW(INDIRECT("1:"&amp;LEN((LEFT(A135,SUM(LEN(A135)-LEN(SUBSTITUTE(A135,{"0","1","2"},""))))))))/10))*100+1&amp;""&amp;" ,..,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",LEN(A135))),LEN(A135)))))))/10))*100+1</f>
        <v>701 ,.., 2101</v>
      </c>
      <c r="B136" s="86"/>
      <c r="C136" s="42" t="s">
        <v>253</v>
      </c>
      <c r="D136" s="42">
        <f>((39.64+4.31)+0.7*3.53)*10.764</f>
        <v>499.67564399999998</v>
      </c>
      <c r="E136" s="42">
        <v>0</v>
      </c>
      <c r="F136" s="42">
        <f>D136*(($F$124)+1)+(IF(E136&lt;101,E136,IF(E136&lt;201,E136/2,IF(E136&lt;=301,E136/3,E136/4))))</f>
        <v>749.51346599999999</v>
      </c>
      <c r="G136" s="165" t="str">
        <f>A135</f>
        <v>7th, 12th, 17th &amp; 21st Floor (Refuge Area at Staircase)</v>
      </c>
      <c r="H136" s="166"/>
      <c r="I136" s="36">
        <f>4200000/F136</f>
        <v>5603.6351453624184</v>
      </c>
      <c r="J136" s="59">
        <f>4600000/F136</f>
        <v>6137.3146830159822</v>
      </c>
      <c r="L136" s="57"/>
      <c r="M136" s="57"/>
      <c r="N136" s="36"/>
    </row>
    <row r="137" spans="1:14" s="37" customFormat="1" ht="15.75" customHeight="1" x14ac:dyDescent="0.3">
      <c r="A137" s="85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,..,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702 ,.., 2102</v>
      </c>
      <c r="B137" s="86"/>
      <c r="C137" s="42" t="s">
        <v>254</v>
      </c>
      <c r="D137" s="42">
        <f>(56.99+7.09+(0.7*3.05))*10.764</f>
        <v>712.73825999999997</v>
      </c>
      <c r="E137" s="42">
        <v>0</v>
      </c>
      <c r="F137" s="42">
        <f>D137*(($F$124)+1)+(IF(E137&lt;101,E137,IF(E137&lt;201,E137/2,IF(E137&lt;=301,E137/3,E137/4))))</f>
        <v>1069.1073899999999</v>
      </c>
      <c r="G137" s="167"/>
      <c r="H137" s="168"/>
      <c r="I137" s="36">
        <f>6500000/F137</f>
        <v>6079.8382471194036</v>
      </c>
      <c r="J137" s="59">
        <f>7500000/F137</f>
        <v>7015.1979774454658</v>
      </c>
      <c r="L137" s="57"/>
      <c r="M137" s="57"/>
      <c r="N137" s="36"/>
    </row>
    <row r="138" spans="1:14" s="37" customFormat="1" ht="15.75" customHeight="1" x14ac:dyDescent="0.3">
      <c r="A138" s="85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,..,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703 ,.., 2103</v>
      </c>
      <c r="B138" s="86"/>
      <c r="C138" s="42" t="s">
        <v>254</v>
      </c>
      <c r="D138" s="42">
        <f>(56.99+7.09+(0.7*3.05))*10.764</f>
        <v>712.73825999999997</v>
      </c>
      <c r="E138" s="42">
        <v>0</v>
      </c>
      <c r="F138" s="42">
        <f>D138*(($F$124)+1)+(IF(E138&lt;101,E138,IF(E138&lt;201,E138/2,IF(E138&lt;=301,E138/3,E138/4))))</f>
        <v>1069.1073899999999</v>
      </c>
      <c r="G138" s="167"/>
      <c r="H138" s="168"/>
      <c r="I138" s="36"/>
      <c r="J138" s="59">
        <f>7500000/F138</f>
        <v>7015.1979774454658</v>
      </c>
      <c r="L138" s="57"/>
      <c r="M138" s="57"/>
      <c r="N138" s="36"/>
    </row>
    <row r="139" spans="1:14" s="37" customFormat="1" ht="15.75" customHeight="1" x14ac:dyDescent="0.3">
      <c r="A139" s="85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704 ,.., 2104</v>
      </c>
      <c r="B139" s="86"/>
      <c r="C139" s="42" t="s">
        <v>253</v>
      </c>
      <c r="D139" s="42">
        <f>((39.64+4.31)+0.7*3.53)*10.764</f>
        <v>499.67564399999998</v>
      </c>
      <c r="E139" s="42">
        <v>0</v>
      </c>
      <c r="F139" s="42">
        <f>D139*(($F$124)+1)+(IF(E139&lt;101,E139,IF(E139&lt;201,E139/2,IF(E139&lt;=301,E139/3,E139/4))))</f>
        <v>749.51346599999999</v>
      </c>
      <c r="G139" s="169"/>
      <c r="H139" s="170"/>
      <c r="I139" s="36"/>
      <c r="J139" s="59">
        <f>4600000/F139</f>
        <v>6137.3146830159822</v>
      </c>
      <c r="L139" s="57"/>
      <c r="M139" s="57"/>
      <c r="N139" s="36"/>
    </row>
    <row r="140" spans="1:14" s="35" customFormat="1" x14ac:dyDescent="0.3">
      <c r="A140" s="116" t="s">
        <v>68</v>
      </c>
      <c r="B140" s="116"/>
      <c r="C140" s="116"/>
      <c r="D140" s="116"/>
      <c r="E140" s="116"/>
      <c r="F140" s="116"/>
      <c r="G140" s="116"/>
      <c r="H140" s="116"/>
    </row>
    <row r="141" spans="1:14" s="35" customFormat="1" x14ac:dyDescent="0.3">
      <c r="A141" s="47" t="s">
        <v>153</v>
      </c>
      <c r="B141" s="98" t="s">
        <v>283</v>
      </c>
      <c r="C141" s="99"/>
      <c r="D141" s="99"/>
      <c r="E141" s="99"/>
      <c r="F141" s="99"/>
      <c r="G141" s="99"/>
      <c r="H141" s="100"/>
    </row>
    <row r="142" spans="1:14" s="35" customFormat="1" x14ac:dyDescent="0.3">
      <c r="A142" s="47" t="s">
        <v>153</v>
      </c>
      <c r="B142" s="98" t="str">
        <f>(IF(F123="Saleable area Loading :","We have considered Saleable area of Flats as per our Calculation.","We considered Saleable area of Flat as per Builder area Sheet."))</f>
        <v>We have considered Saleable area of Flats as per our Calculation.</v>
      </c>
      <c r="C142" s="99"/>
      <c r="D142" s="99"/>
      <c r="E142" s="99"/>
      <c r="F142" s="99"/>
      <c r="G142" s="99"/>
      <c r="H142" s="100"/>
    </row>
    <row r="143" spans="1:14" s="35" customFormat="1" x14ac:dyDescent="0.3">
      <c r="A143" s="47" t="s">
        <v>153</v>
      </c>
      <c r="B143" s="98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3" s="99"/>
      <c r="D143" s="99"/>
      <c r="E143" s="99"/>
      <c r="F143" s="99"/>
      <c r="G143" s="99"/>
      <c r="H143" s="100"/>
    </row>
    <row r="144" spans="1:14" s="35" customFormat="1" x14ac:dyDescent="0.3">
      <c r="A144" s="47" t="s">
        <v>153</v>
      </c>
      <c r="B144" s="62" t="s">
        <v>124</v>
      </c>
      <c r="C144" s="63"/>
      <c r="D144" s="63"/>
      <c r="E144" s="63"/>
      <c r="F144" s="63"/>
      <c r="G144" s="63"/>
      <c r="H144" s="64"/>
    </row>
    <row r="145" spans="1:8" s="35" customFormat="1" x14ac:dyDescent="0.3">
      <c r="A145" s="47" t="s">
        <v>153</v>
      </c>
      <c r="B145" s="62" t="s">
        <v>262</v>
      </c>
      <c r="C145" s="63"/>
      <c r="D145" s="63"/>
      <c r="E145" s="63"/>
      <c r="F145" s="63"/>
      <c r="G145" s="63"/>
      <c r="H145" s="64"/>
    </row>
    <row r="146" spans="1:8" s="35" customFormat="1" x14ac:dyDescent="0.3">
      <c r="A146" s="47" t="s">
        <v>153</v>
      </c>
      <c r="B146" s="62" t="s">
        <v>152</v>
      </c>
      <c r="C146" s="63"/>
      <c r="D146" s="63"/>
      <c r="E146" s="63"/>
      <c r="F146" s="63"/>
      <c r="G146" s="63"/>
      <c r="H146" s="64"/>
    </row>
    <row r="147" spans="1:8" s="35" customFormat="1" x14ac:dyDescent="0.3">
      <c r="A147" s="47" t="s">
        <v>153</v>
      </c>
      <c r="B147" s="62" t="s">
        <v>125</v>
      </c>
      <c r="C147" s="63"/>
      <c r="D147" s="63"/>
      <c r="E147" s="63"/>
      <c r="F147" s="63"/>
      <c r="G147" s="63"/>
      <c r="H147" s="64"/>
    </row>
    <row r="148" spans="1:8" s="35" customFormat="1" ht="34.5" customHeight="1" x14ac:dyDescent="0.3">
      <c r="A148" s="47" t="s">
        <v>153</v>
      </c>
      <c r="B148" s="62" t="s">
        <v>154</v>
      </c>
      <c r="C148" s="63"/>
      <c r="D148" s="63"/>
      <c r="E148" s="63"/>
      <c r="F148" s="63"/>
      <c r="G148" s="63"/>
      <c r="H148" s="64"/>
    </row>
    <row r="149" spans="1:8" s="35" customFormat="1" x14ac:dyDescent="0.3">
      <c r="A149" s="47" t="s">
        <v>153</v>
      </c>
      <c r="B149" s="62" t="s">
        <v>126</v>
      </c>
      <c r="C149" s="63"/>
      <c r="D149" s="63"/>
      <c r="E149" s="63"/>
      <c r="F149" s="63"/>
      <c r="G149" s="63"/>
      <c r="H149" s="64"/>
    </row>
    <row r="150" spans="1:8" s="35" customFormat="1" x14ac:dyDescent="0.3">
      <c r="A150" s="47" t="s">
        <v>153</v>
      </c>
      <c r="B150" s="62" t="s">
        <v>281</v>
      </c>
      <c r="C150" s="63"/>
      <c r="D150" s="63"/>
      <c r="E150" s="63"/>
      <c r="F150" s="63"/>
      <c r="G150" s="63"/>
      <c r="H150" s="64"/>
    </row>
    <row r="151" spans="1:8" x14ac:dyDescent="0.3">
      <c r="A151" s="108" t="s">
        <v>61</v>
      </c>
      <c r="B151" s="109"/>
      <c r="C151" s="109"/>
      <c r="D151" s="109"/>
      <c r="E151" s="109"/>
      <c r="F151" s="109"/>
      <c r="G151" s="109"/>
      <c r="H151" s="110"/>
    </row>
    <row r="152" spans="1:8" x14ac:dyDescent="0.3">
      <c r="A152" s="92" t="s">
        <v>62</v>
      </c>
      <c r="B152" s="92"/>
      <c r="C152" s="92"/>
      <c r="D152" s="92"/>
      <c r="E152" s="92"/>
      <c r="F152" s="92"/>
      <c r="G152" s="92"/>
      <c r="H152" s="92"/>
    </row>
    <row r="153" spans="1:8" ht="15.75" customHeight="1" x14ac:dyDescent="0.3">
      <c r="A153" s="111" t="s">
        <v>63</v>
      </c>
      <c r="B153" s="111"/>
      <c r="C153" s="111"/>
      <c r="D153" s="111"/>
      <c r="E153" s="111"/>
      <c r="F153" s="111"/>
      <c r="G153" s="111"/>
      <c r="H153" s="111"/>
    </row>
    <row r="154" spans="1:8" x14ac:dyDescent="0.3">
      <c r="A154" s="92" t="s">
        <v>64</v>
      </c>
      <c r="B154" s="92"/>
      <c r="C154" s="92"/>
      <c r="D154" s="92"/>
      <c r="E154" s="92"/>
      <c r="F154" s="92"/>
      <c r="G154" s="92"/>
      <c r="H154" s="92"/>
    </row>
    <row r="155" spans="1:8" x14ac:dyDescent="0.3">
      <c r="A155" s="92" t="s">
        <v>65</v>
      </c>
      <c r="B155" s="92"/>
      <c r="C155" s="92"/>
      <c r="D155" s="92"/>
      <c r="E155" s="92"/>
      <c r="F155" s="92"/>
      <c r="G155" s="92"/>
      <c r="H155" s="92"/>
    </row>
    <row r="156" spans="1:8" x14ac:dyDescent="0.3">
      <c r="A156" s="92" t="s">
        <v>127</v>
      </c>
      <c r="B156" s="92"/>
      <c r="C156" s="92"/>
      <c r="D156" s="92"/>
      <c r="E156" s="92"/>
      <c r="F156" s="92"/>
      <c r="G156" s="92"/>
      <c r="H156" s="92"/>
    </row>
    <row r="157" spans="1:8" ht="18.75" customHeight="1" x14ac:dyDescent="0.3">
      <c r="A157" s="71" t="s">
        <v>128</v>
      </c>
      <c r="B157" s="71"/>
      <c r="C157" s="71"/>
      <c r="D157" s="71"/>
      <c r="E157" s="71"/>
      <c r="F157" s="71"/>
      <c r="G157" s="71"/>
      <c r="H157" s="71"/>
    </row>
    <row r="158" spans="1:8" x14ac:dyDescent="0.3">
      <c r="A158" s="104" t="s">
        <v>77</v>
      </c>
      <c r="B158" s="104"/>
      <c r="C158" s="104" t="s">
        <v>284</v>
      </c>
      <c r="D158" s="104"/>
      <c r="E158" s="104" t="s">
        <v>107</v>
      </c>
      <c r="F158" s="104"/>
      <c r="G158" s="104" t="s">
        <v>285</v>
      </c>
      <c r="H158" s="104"/>
    </row>
    <row r="159" spans="1:8" x14ac:dyDescent="0.3">
      <c r="A159" s="103" t="s">
        <v>79</v>
      </c>
      <c r="B159" s="103"/>
      <c r="C159" s="103"/>
      <c r="D159" s="103"/>
      <c r="E159" s="103"/>
      <c r="F159" s="103"/>
      <c r="G159" s="103"/>
      <c r="H159" s="103"/>
    </row>
    <row r="160" spans="1:8" x14ac:dyDescent="0.3">
      <c r="A160" s="103"/>
      <c r="B160" s="103"/>
      <c r="C160" s="103"/>
      <c r="D160" s="103"/>
      <c r="E160" s="103"/>
      <c r="F160" s="103"/>
      <c r="G160" s="103"/>
      <c r="H160" s="103"/>
    </row>
    <row r="161" spans="1:8" x14ac:dyDescent="0.3">
      <c r="A161" s="103"/>
      <c r="B161" s="103"/>
      <c r="C161" s="103"/>
      <c r="D161" s="103"/>
      <c r="E161" s="103"/>
      <c r="F161" s="103"/>
      <c r="G161" s="103"/>
      <c r="H161" s="103"/>
    </row>
    <row r="162" spans="1:8" x14ac:dyDescent="0.3">
      <c r="A162" s="38" t="s">
        <v>66</v>
      </c>
      <c r="B162" s="39"/>
      <c r="C162" s="39"/>
      <c r="D162" s="38" t="str">
        <f>E8</f>
        <v>Midtown Eve</v>
      </c>
      <c r="F162" s="39"/>
      <c r="G162" s="39"/>
      <c r="H162" s="39"/>
    </row>
    <row r="163" spans="1:8" x14ac:dyDescent="0.3">
      <c r="A163" s="39"/>
      <c r="B163" s="39"/>
      <c r="C163" s="39"/>
      <c r="D163" s="39"/>
      <c r="E163" s="39"/>
      <c r="F163" s="39"/>
      <c r="G163" s="39"/>
      <c r="H163" s="39"/>
    </row>
    <row r="164" spans="1:8" x14ac:dyDescent="0.3">
      <c r="A164" s="39"/>
      <c r="B164" s="39"/>
      <c r="C164" s="39"/>
      <c r="D164" s="39"/>
      <c r="E164" s="39"/>
      <c r="F164" s="39"/>
      <c r="G164" s="39"/>
      <c r="H164" s="39"/>
    </row>
    <row r="165" spans="1:8" ht="15" customHeight="1" x14ac:dyDescent="0.3"/>
    <row r="199" spans="1:1" hidden="1" x14ac:dyDescent="0.3"/>
    <row r="200" spans="1:1" hidden="1" x14ac:dyDescent="0.3"/>
    <row r="201" spans="1:1" hidden="1" x14ac:dyDescent="0.3"/>
    <row r="202" spans="1:1" hidden="1" x14ac:dyDescent="0.3"/>
    <row r="203" spans="1:1" hidden="1" x14ac:dyDescent="0.3"/>
    <row r="205" spans="1:1" x14ac:dyDescent="0.3">
      <c r="A205" s="41" t="s">
        <v>164</v>
      </c>
    </row>
    <row r="248" spans="1:1" x14ac:dyDescent="0.3">
      <c r="A248" s="41" t="s">
        <v>67</v>
      </c>
    </row>
  </sheetData>
  <mergeCells count="301">
    <mergeCell ref="B146:H146"/>
    <mergeCell ref="F82:H82"/>
    <mergeCell ref="A82:E82"/>
    <mergeCell ref="D104:D105"/>
    <mergeCell ref="A84:E84"/>
    <mergeCell ref="A111:B111"/>
    <mergeCell ref="A112:B112"/>
    <mergeCell ref="A113:H113"/>
    <mergeCell ref="A114:B114"/>
    <mergeCell ref="A115:B115"/>
    <mergeCell ref="A116:B116"/>
    <mergeCell ref="A117:B117"/>
    <mergeCell ref="A83:E83"/>
    <mergeCell ref="F84:H84"/>
    <mergeCell ref="A132:B132"/>
    <mergeCell ref="A133:B133"/>
    <mergeCell ref="A134:B134"/>
    <mergeCell ref="A135:H135"/>
    <mergeCell ref="A136:B136"/>
    <mergeCell ref="G136:H139"/>
    <mergeCell ref="G101:H101"/>
    <mergeCell ref="A129:B129"/>
    <mergeCell ref="A131:B131"/>
    <mergeCell ref="G131:H134"/>
    <mergeCell ref="L111:M111"/>
    <mergeCell ref="L112:M112"/>
    <mergeCell ref="L114:M114"/>
    <mergeCell ref="L115:M115"/>
    <mergeCell ref="L116:M116"/>
    <mergeCell ref="L117:M117"/>
    <mergeCell ref="D61:H61"/>
    <mergeCell ref="C68:H68"/>
    <mergeCell ref="F80:H80"/>
    <mergeCell ref="F85:H85"/>
    <mergeCell ref="G114:H121"/>
    <mergeCell ref="G107:H112"/>
    <mergeCell ref="L118:M118"/>
    <mergeCell ref="E70:F79"/>
    <mergeCell ref="G70:H79"/>
    <mergeCell ref="F81:H81"/>
    <mergeCell ref="A80:E80"/>
    <mergeCell ref="L119:M119"/>
    <mergeCell ref="A120:B120"/>
    <mergeCell ref="L120:M120"/>
    <mergeCell ref="A85:E85"/>
    <mergeCell ref="A121:B121"/>
    <mergeCell ref="L121:M121"/>
    <mergeCell ref="A76:B76"/>
    <mergeCell ref="A69:B69"/>
    <mergeCell ref="A72:B72"/>
    <mergeCell ref="A74:B74"/>
    <mergeCell ref="A61:C61"/>
    <mergeCell ref="A39:B39"/>
    <mergeCell ref="G126:H129"/>
    <mergeCell ref="A130:H130"/>
    <mergeCell ref="A102:H102"/>
    <mergeCell ref="A122:H122"/>
    <mergeCell ref="G123:H124"/>
    <mergeCell ref="G96:H96"/>
    <mergeCell ref="F88:H88"/>
    <mergeCell ref="C95:D95"/>
    <mergeCell ref="A125:H125"/>
    <mergeCell ref="A107:B107"/>
    <mergeCell ref="A91:E91"/>
    <mergeCell ref="C97:D97"/>
    <mergeCell ref="E97:F97"/>
    <mergeCell ref="G97:H97"/>
    <mergeCell ref="E101:F101"/>
    <mergeCell ref="C96:D96"/>
    <mergeCell ref="E96:F96"/>
    <mergeCell ref="B104:B105"/>
    <mergeCell ref="L110:M110"/>
    <mergeCell ref="L109:M109"/>
    <mergeCell ref="L108:M108"/>
    <mergeCell ref="L107:M107"/>
    <mergeCell ref="A77:B77"/>
    <mergeCell ref="C100:D100"/>
    <mergeCell ref="E100:F100"/>
    <mergeCell ref="G100:H100"/>
    <mergeCell ref="F87:H87"/>
    <mergeCell ref="A81:E81"/>
    <mergeCell ref="A106:H106"/>
    <mergeCell ref="E104:E105"/>
    <mergeCell ref="G104:H105"/>
    <mergeCell ref="A104:A105"/>
    <mergeCell ref="C104:C105"/>
    <mergeCell ref="G99:H99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C39:H39"/>
    <mergeCell ref="A58:C58"/>
    <mergeCell ref="D58:H58"/>
    <mergeCell ref="C51:E51"/>
    <mergeCell ref="C38:H38"/>
    <mergeCell ref="A45:D45"/>
    <mergeCell ref="F35:H35"/>
    <mergeCell ref="F32:H32"/>
    <mergeCell ref="A33:B33"/>
    <mergeCell ref="A32:B32"/>
    <mergeCell ref="C33:E33"/>
    <mergeCell ref="A34:B34"/>
    <mergeCell ref="A68:B68"/>
    <mergeCell ref="A66:B66"/>
    <mergeCell ref="C66:H66"/>
    <mergeCell ref="C50:E50"/>
    <mergeCell ref="C49:E49"/>
    <mergeCell ref="G49:H49"/>
    <mergeCell ref="G51:H51"/>
    <mergeCell ref="A50:B50"/>
    <mergeCell ref="A48:B48"/>
    <mergeCell ref="C48:H48"/>
    <mergeCell ref="A49:B49"/>
    <mergeCell ref="A54:H54"/>
    <mergeCell ref="A55:C55"/>
    <mergeCell ref="A56:C56"/>
    <mergeCell ref="D56:H56"/>
    <mergeCell ref="C52:H52"/>
    <mergeCell ref="A51:B51"/>
    <mergeCell ref="A52:B52"/>
    <mergeCell ref="E26:H26"/>
    <mergeCell ref="A28:D28"/>
    <mergeCell ref="E28:H28"/>
    <mergeCell ref="A25:D25"/>
    <mergeCell ref="E25:H25"/>
    <mergeCell ref="F33:H33"/>
    <mergeCell ref="A47:H47"/>
    <mergeCell ref="D57:H57"/>
    <mergeCell ref="A57:C57"/>
    <mergeCell ref="G50:H50"/>
    <mergeCell ref="G53:H53"/>
    <mergeCell ref="A38:B38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A11:D11"/>
    <mergeCell ref="E11:H11"/>
    <mergeCell ref="A16:B16"/>
    <mergeCell ref="A13:D13"/>
    <mergeCell ref="A24:D24"/>
    <mergeCell ref="E24:H24"/>
    <mergeCell ref="A18:B18"/>
    <mergeCell ref="A75:B75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C34:E34"/>
    <mergeCell ref="A21:B21"/>
    <mergeCell ref="C21:D21"/>
    <mergeCell ref="E21:F21"/>
    <mergeCell ref="G21:H21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B148:H14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F83:H83"/>
    <mergeCell ref="A88:E88"/>
    <mergeCell ref="E13:H13"/>
    <mergeCell ref="A14:D14"/>
    <mergeCell ref="A10:D10"/>
    <mergeCell ref="E10:H10"/>
    <mergeCell ref="A22:D23"/>
    <mergeCell ref="B144:H144"/>
    <mergeCell ref="B145:H145"/>
    <mergeCell ref="A140:H140"/>
    <mergeCell ref="C123:C124"/>
    <mergeCell ref="B123:B124"/>
    <mergeCell ref="A128:B128"/>
    <mergeCell ref="A127:B127"/>
    <mergeCell ref="A109:B109"/>
    <mergeCell ref="A118:B118"/>
    <mergeCell ref="A137:B137"/>
    <mergeCell ref="A138:B138"/>
    <mergeCell ref="A139:B139"/>
    <mergeCell ref="A119:B119"/>
    <mergeCell ref="A159:H161"/>
    <mergeCell ref="A158:B158"/>
    <mergeCell ref="E158:F158"/>
    <mergeCell ref="C158:D158"/>
    <mergeCell ref="G158:H158"/>
    <mergeCell ref="A94:H94"/>
    <mergeCell ref="A92:E92"/>
    <mergeCell ref="F92:H92"/>
    <mergeCell ref="A93:E93"/>
    <mergeCell ref="F93:H93"/>
    <mergeCell ref="A100:B100"/>
    <mergeCell ref="A96:B96"/>
    <mergeCell ref="A154:H154"/>
    <mergeCell ref="A98:H98"/>
    <mergeCell ref="A157:H157"/>
    <mergeCell ref="A155:H155"/>
    <mergeCell ref="A151:H151"/>
    <mergeCell ref="A156:H156"/>
    <mergeCell ref="A153:H153"/>
    <mergeCell ref="A99:B99"/>
    <mergeCell ref="D123:D124"/>
    <mergeCell ref="E123:E124"/>
    <mergeCell ref="B141:H141"/>
    <mergeCell ref="B142:H142"/>
    <mergeCell ref="I14:P14"/>
    <mergeCell ref="A53:B53"/>
    <mergeCell ref="C53:E53"/>
    <mergeCell ref="D55:H55"/>
    <mergeCell ref="F34:H34"/>
    <mergeCell ref="E42:H42"/>
    <mergeCell ref="A42:D42"/>
    <mergeCell ref="A152:H152"/>
    <mergeCell ref="E99:F99"/>
    <mergeCell ref="B149:H149"/>
    <mergeCell ref="B147:H147"/>
    <mergeCell ref="B143:H143"/>
    <mergeCell ref="A86:E86"/>
    <mergeCell ref="F86:H86"/>
    <mergeCell ref="A87:E87"/>
    <mergeCell ref="A89:E89"/>
    <mergeCell ref="F91:H91"/>
    <mergeCell ref="F89:H89"/>
    <mergeCell ref="A103:H103"/>
    <mergeCell ref="G95:H95"/>
    <mergeCell ref="A90:E90"/>
    <mergeCell ref="A108:B108"/>
    <mergeCell ref="F90:H90"/>
    <mergeCell ref="E95:F95"/>
    <mergeCell ref="B150:H150"/>
    <mergeCell ref="A71:B71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D63:H63"/>
    <mergeCell ref="A64:C64"/>
    <mergeCell ref="A95:B95"/>
    <mergeCell ref="A97:B97"/>
    <mergeCell ref="C99:D99"/>
    <mergeCell ref="A101:B101"/>
    <mergeCell ref="C101:D101"/>
    <mergeCell ref="A78:B78"/>
    <mergeCell ref="A79:B79"/>
    <mergeCell ref="A123:A124"/>
    <mergeCell ref="A126:B126"/>
    <mergeCell ref="A110:B110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4:E105" xr:uid="{00000000-0002-0000-0000-000003000000}">
      <formula1>"Attached Loft area,Attached Terrace area,Attached Mezzanine area"</formula1>
    </dataValidation>
    <dataValidation type="list" allowBlank="1" showInputMessage="1" showErrorMessage="1" sqref="F105 F124" xr:uid="{00000000-0002-0000-0000-000004000000}">
      <formula1>"45%,50%,55%,60%"</formula1>
    </dataValidation>
    <dataValidation type="list" allowBlank="1" showInputMessage="1" showErrorMessage="1" sqref="G158:H158" xr:uid="{00000000-0002-0000-0000-000005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2:H92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4 F123" xr:uid="{00000000-0002-0000-0000-000008000000}">
      <formula1>"Saleable area Loading :,Builder Saleable area"</formula1>
    </dataValidation>
    <dataValidation type="list" allowBlank="1" showInputMessage="1" showErrorMessage="1" sqref="B104:B105" xr:uid="{00000000-0002-0000-0000-000009000000}">
      <formula1>"Shop No. (Sale Plan),Sale / Rehab,Sale / Mhada"</formula1>
    </dataValidation>
    <dataValidation type="list" allowBlank="1" showInputMessage="1" showErrorMessage="1" sqref="B123:B124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K3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61" max="16383" man="1"/>
    <brk id="204" max="16383" man="1"/>
    <brk id="247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0" t="s">
        <v>108</v>
      </c>
      <c r="C3" s="190"/>
      <c r="D3" s="190"/>
      <c r="E3" s="190"/>
      <c r="F3" s="190"/>
      <c r="G3" s="190"/>
      <c r="H3" s="190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4"/>
      <c r="C4" s="54" t="s">
        <v>12</v>
      </c>
      <c r="D4" s="55" t="s">
        <v>177</v>
      </c>
      <c r="E4" s="55" t="s">
        <v>187</v>
      </c>
      <c r="F4" s="55" t="s">
        <v>171</v>
      </c>
      <c r="G4" s="55" t="s">
        <v>192</v>
      </c>
      <c r="H4" s="55" t="s">
        <v>210</v>
      </c>
      <c r="J4" t="s">
        <v>192</v>
      </c>
      <c r="K4" t="s">
        <v>208</v>
      </c>
    </row>
    <row r="5" spans="2:11" x14ac:dyDescent="0.3">
      <c r="B5" s="54"/>
      <c r="C5" s="54"/>
      <c r="D5" s="55" t="s">
        <v>178</v>
      </c>
      <c r="E5" s="55" t="s">
        <v>185</v>
      </c>
      <c r="F5" s="55" t="s">
        <v>207</v>
      </c>
      <c r="G5" s="55" t="s">
        <v>193</v>
      </c>
      <c r="H5" s="55" t="s">
        <v>211</v>
      </c>
    </row>
    <row r="6" spans="2:11" x14ac:dyDescent="0.3">
      <c r="B6" s="54"/>
      <c r="C6" s="54"/>
      <c r="D6" s="55" t="s">
        <v>179</v>
      </c>
      <c r="E6" s="55" t="s">
        <v>186</v>
      </c>
      <c r="F6" s="55" t="s">
        <v>208</v>
      </c>
      <c r="G6" s="55" t="s">
        <v>194</v>
      </c>
      <c r="H6" s="55" t="s">
        <v>224</v>
      </c>
    </row>
    <row r="7" spans="2:11" x14ac:dyDescent="0.3">
      <c r="B7" s="54"/>
      <c r="C7" s="54"/>
      <c r="D7" s="55" t="s">
        <v>180</v>
      </c>
      <c r="E7" s="55" t="s">
        <v>188</v>
      </c>
      <c r="F7" s="55" t="s">
        <v>209</v>
      </c>
      <c r="G7" s="55" t="s">
        <v>195</v>
      </c>
      <c r="H7" s="55" t="s">
        <v>212</v>
      </c>
    </row>
    <row r="8" spans="2:11" x14ac:dyDescent="0.3">
      <c r="B8" s="54"/>
      <c r="C8" s="54"/>
      <c r="D8" s="55" t="s">
        <v>181</v>
      </c>
      <c r="E8" s="55" t="s">
        <v>189</v>
      </c>
      <c r="F8" s="55"/>
      <c r="G8" s="55" t="s">
        <v>196</v>
      </c>
      <c r="H8" s="55" t="s">
        <v>213</v>
      </c>
    </row>
    <row r="9" spans="2:11" x14ac:dyDescent="0.3">
      <c r="B9" s="54"/>
      <c r="C9" s="54"/>
      <c r="D9" s="55" t="s">
        <v>182</v>
      </c>
      <c r="E9" s="55" t="s">
        <v>187</v>
      </c>
      <c r="F9" s="55"/>
      <c r="G9" s="55" t="s">
        <v>197</v>
      </c>
      <c r="H9" s="55" t="s">
        <v>214</v>
      </c>
    </row>
    <row r="10" spans="2:11" x14ac:dyDescent="0.3">
      <c r="B10" s="54"/>
      <c r="C10" s="54"/>
      <c r="D10" s="55" t="s">
        <v>183</v>
      </c>
      <c r="E10" s="55" t="s">
        <v>190</v>
      </c>
      <c r="F10" s="55"/>
      <c r="G10" s="55" t="s">
        <v>198</v>
      </c>
      <c r="H10" s="55" t="s">
        <v>215</v>
      </c>
    </row>
    <row r="11" spans="2:11" x14ac:dyDescent="0.3">
      <c r="B11" s="54"/>
      <c r="C11" s="54"/>
      <c r="D11" s="55" t="s">
        <v>184</v>
      </c>
      <c r="E11" s="55" t="s">
        <v>191</v>
      </c>
      <c r="F11" s="55"/>
      <c r="G11" s="55" t="s">
        <v>199</v>
      </c>
      <c r="H11" s="55" t="s">
        <v>216</v>
      </c>
    </row>
    <row r="12" spans="2:11" x14ac:dyDescent="0.3">
      <c r="B12" s="54"/>
      <c r="C12" s="54"/>
      <c r="D12" s="55"/>
      <c r="E12" s="55"/>
      <c r="F12" s="55"/>
      <c r="G12" s="55" t="s">
        <v>200</v>
      </c>
      <c r="H12" s="55" t="s">
        <v>217</v>
      </c>
    </row>
    <row r="13" spans="2:11" x14ac:dyDescent="0.3">
      <c r="B13" s="54"/>
      <c r="C13" s="54"/>
      <c r="D13" s="55"/>
      <c r="E13" s="55"/>
      <c r="F13" s="55"/>
      <c r="G13" s="55" t="s">
        <v>201</v>
      </c>
      <c r="H13" s="55" t="s">
        <v>218</v>
      </c>
    </row>
    <row r="14" spans="2:11" x14ac:dyDescent="0.3">
      <c r="B14" s="54"/>
      <c r="C14" s="54"/>
      <c r="D14" s="55"/>
      <c r="E14" s="55"/>
      <c r="F14" s="55"/>
      <c r="G14" s="55" t="s">
        <v>202</v>
      </c>
      <c r="H14" s="55" t="s">
        <v>219</v>
      </c>
    </row>
    <row r="15" spans="2:11" x14ac:dyDescent="0.3">
      <c r="B15" s="54"/>
      <c r="C15" s="54"/>
      <c r="D15" s="55"/>
      <c r="E15" s="55"/>
      <c r="F15" s="55"/>
      <c r="G15" s="55" t="s">
        <v>203</v>
      </c>
      <c r="H15" s="55" t="s">
        <v>220</v>
      </c>
    </row>
    <row r="16" spans="2:11" x14ac:dyDescent="0.3">
      <c r="B16" s="54"/>
      <c r="C16" s="54"/>
      <c r="D16" s="55"/>
      <c r="E16" s="55"/>
      <c r="F16" s="55"/>
      <c r="G16" s="55" t="s">
        <v>204</v>
      </c>
      <c r="H16" s="55" t="s">
        <v>221</v>
      </c>
    </row>
    <row r="17" spans="2:8" x14ac:dyDescent="0.3">
      <c r="B17" s="54"/>
      <c r="C17" s="54"/>
      <c r="D17" s="55"/>
      <c r="E17" s="55"/>
      <c r="F17" s="55"/>
      <c r="G17" s="55" t="s">
        <v>205</v>
      </c>
      <c r="H17" s="55" t="s">
        <v>222</v>
      </c>
    </row>
    <row r="18" spans="2:8" x14ac:dyDescent="0.3">
      <c r="B18" s="54"/>
      <c r="C18" s="54"/>
      <c r="D18" s="55"/>
      <c r="E18" s="55"/>
      <c r="F18" s="55"/>
      <c r="G18" s="55" t="s">
        <v>206</v>
      </c>
      <c r="H18" s="55" t="s">
        <v>223</v>
      </c>
    </row>
    <row r="24" spans="2:8" x14ac:dyDescent="0.3">
      <c r="C24" t="s">
        <v>169</v>
      </c>
    </row>
    <row r="25" spans="2:8" x14ac:dyDescent="0.3">
      <c r="C25" t="s">
        <v>225</v>
      </c>
    </row>
    <row r="26" spans="2:8" x14ac:dyDescent="0.3">
      <c r="C26" t="s">
        <v>226</v>
      </c>
    </row>
    <row r="27" spans="2:8" x14ac:dyDescent="0.3">
      <c r="C27" t="s">
        <v>227</v>
      </c>
    </row>
    <row r="28" spans="2:8" x14ac:dyDescent="0.3">
      <c r="C28" t="s">
        <v>228</v>
      </c>
    </row>
    <row r="29" spans="2:8" x14ac:dyDescent="0.3">
      <c r="C29" t="s">
        <v>229</v>
      </c>
    </row>
    <row r="30" spans="2:8" x14ac:dyDescent="0.3">
      <c r="C30" t="s">
        <v>169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2025-09-09T10:24:27Z</cp:lastPrinted>
  <dcterms:created xsi:type="dcterms:W3CDTF">2019-07-16T09:29:46Z</dcterms:created>
  <dcterms:modified xsi:type="dcterms:W3CDTF">2025-09-09T10:24:59Z</dcterms:modified>
</cp:coreProperties>
</file>