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REVISEDReport\"/>
    </mc:Choice>
  </mc:AlternateContent>
  <bookViews>
    <workbookView xWindow="0" yWindow="0" windowWidth="20490" windowHeight="73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Report!$A$1:$H$644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7" i="1" l="1"/>
  <c r="C93" i="1"/>
  <c r="C95" i="1" l="1"/>
  <c r="C94" i="1"/>
  <c r="C109" i="1"/>
  <c r="C108" i="1"/>
  <c r="J107" i="1" l="1"/>
  <c r="J106" i="1"/>
  <c r="J105" i="1"/>
  <c r="J104" i="1"/>
  <c r="J93" i="1"/>
  <c r="J92" i="1"/>
  <c r="J91" i="1"/>
  <c r="J90" i="1"/>
  <c r="C150" i="1"/>
  <c r="H101" i="1"/>
  <c r="H87" i="1"/>
  <c r="J87" i="1" l="1"/>
  <c r="C90" i="1" s="1"/>
  <c r="D90" i="1" s="1"/>
  <c r="J85" i="1"/>
  <c r="D99" i="1"/>
  <c r="D97" i="1"/>
  <c r="D95" i="1"/>
  <c r="D93" i="1"/>
  <c r="D98" i="1"/>
  <c r="D94" i="1"/>
  <c r="D92" i="1"/>
  <c r="J88" i="1"/>
  <c r="J89" i="1" s="1"/>
  <c r="J94" i="1" s="1"/>
  <c r="J95" i="1" s="1"/>
  <c r="C91" i="1" s="1"/>
  <c r="D96" i="1"/>
  <c r="J86" i="1"/>
  <c r="J82" i="1"/>
  <c r="J84" i="1" s="1"/>
  <c r="J100" i="1"/>
  <c r="D113" i="1"/>
  <c r="D111" i="1"/>
  <c r="D109" i="1"/>
  <c r="D107" i="1"/>
  <c r="J101" i="1"/>
  <c r="C104" i="1" s="1"/>
  <c r="D104" i="1" s="1"/>
  <c r="J99" i="1"/>
  <c r="D112" i="1"/>
  <c r="D110" i="1"/>
  <c r="D108" i="1"/>
  <c r="J102" i="1"/>
  <c r="J103" i="1" s="1"/>
  <c r="J108" i="1" s="1"/>
  <c r="J109" i="1" s="1"/>
  <c r="D106" i="1"/>
  <c r="J96" i="1"/>
  <c r="J98" i="1" s="1"/>
  <c r="J150" i="1"/>
  <c r="J149" i="1"/>
  <c r="J148" i="1"/>
  <c r="J147" i="1"/>
  <c r="H144" i="1"/>
  <c r="J110" i="1" l="1"/>
  <c r="C105" i="1"/>
  <c r="J97" i="1" s="1"/>
  <c r="E90" i="1"/>
  <c r="D91" i="1"/>
  <c r="I83" i="1" s="1"/>
  <c r="I84" i="1" s="1"/>
  <c r="G90" i="1"/>
  <c r="J83" i="1"/>
  <c r="J144" i="1"/>
  <c r="C147" i="1" s="1"/>
  <c r="D147" i="1" s="1"/>
  <c r="J142" i="1"/>
  <c r="D149" i="1"/>
  <c r="D156" i="1"/>
  <c r="D154" i="1"/>
  <c r="D152" i="1"/>
  <c r="D150" i="1"/>
  <c r="D155" i="1"/>
  <c r="D153" i="1"/>
  <c r="D151" i="1"/>
  <c r="J143" i="1"/>
  <c r="J139" i="1"/>
  <c r="J141" i="1" s="1"/>
  <c r="J145" i="1"/>
  <c r="J146" i="1" s="1"/>
  <c r="G276" i="1"/>
  <c r="G285" i="1"/>
  <c r="G317" i="1"/>
  <c r="G374" i="1"/>
  <c r="E452" i="1"/>
  <c r="E451" i="1"/>
  <c r="E445" i="1"/>
  <c r="E446" i="1"/>
  <c r="E447" i="1"/>
  <c r="E448" i="1"/>
  <c r="E449" i="1"/>
  <c r="E450" i="1"/>
  <c r="E444" i="1"/>
  <c r="E443" i="1"/>
  <c r="E442" i="1"/>
  <c r="E441" i="1"/>
  <c r="E440" i="1"/>
  <c r="E439" i="1"/>
  <c r="E438" i="1"/>
  <c r="E437" i="1"/>
  <c r="E436" i="1"/>
  <c r="E454" i="1"/>
  <c r="E453" i="1"/>
  <c r="G476" i="1"/>
  <c r="G456" i="1"/>
  <c r="G436" i="1"/>
  <c r="G414" i="1"/>
  <c r="G394" i="1"/>
  <c r="E392" i="1"/>
  <c r="E391" i="1"/>
  <c r="E390" i="1"/>
  <c r="E389" i="1"/>
  <c r="E383" i="1"/>
  <c r="E384" i="1"/>
  <c r="E385" i="1"/>
  <c r="E386" i="1"/>
  <c r="E387" i="1"/>
  <c r="E388" i="1"/>
  <c r="E382" i="1"/>
  <c r="E380" i="1"/>
  <c r="E381" i="1"/>
  <c r="E379" i="1"/>
  <c r="E378" i="1"/>
  <c r="E377" i="1"/>
  <c r="E375" i="1"/>
  <c r="E376" i="1"/>
  <c r="E374" i="1"/>
  <c r="I82" i="1" l="1"/>
  <c r="C88" i="1" s="1"/>
  <c r="E104" i="1"/>
  <c r="C114" i="1" s="1"/>
  <c r="D105" i="1"/>
  <c r="I97" i="1" s="1"/>
  <c r="G104" i="1"/>
  <c r="G114" i="1" s="1"/>
  <c r="J151" i="1"/>
  <c r="J152" i="1" s="1"/>
  <c r="I326" i="1"/>
  <c r="I325" i="1"/>
  <c r="I324" i="1"/>
  <c r="I323" i="1"/>
  <c r="I98" i="1" l="1"/>
  <c r="I96" i="1" s="1"/>
  <c r="C102" i="1" s="1"/>
  <c r="J153" i="1"/>
  <c r="C148" i="1"/>
  <c r="G147" i="1" s="1"/>
  <c r="E332" i="1"/>
  <c r="E331" i="1"/>
  <c r="E318" i="1"/>
  <c r="E317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283" i="1"/>
  <c r="E282" i="1"/>
  <c r="E281" i="1"/>
  <c r="E276" i="1"/>
  <c r="E274" i="1"/>
  <c r="E273" i="1"/>
  <c r="E272" i="1"/>
  <c r="E271" i="1"/>
  <c r="D493" i="1"/>
  <c r="F493" i="1" s="1"/>
  <c r="D492" i="1"/>
  <c r="F492" i="1" s="1"/>
  <c r="D491" i="1"/>
  <c r="F491" i="1" s="1"/>
  <c r="D490" i="1"/>
  <c r="F490" i="1" s="1"/>
  <c r="D489" i="1"/>
  <c r="F489" i="1" s="1"/>
  <c r="D488" i="1"/>
  <c r="F488" i="1" s="1"/>
  <c r="D487" i="1"/>
  <c r="F487" i="1" s="1"/>
  <c r="D486" i="1"/>
  <c r="F486" i="1" s="1"/>
  <c r="D485" i="1"/>
  <c r="F485" i="1" s="1"/>
  <c r="D484" i="1"/>
  <c r="F484" i="1" s="1"/>
  <c r="D483" i="1"/>
  <c r="F483" i="1" s="1"/>
  <c r="D482" i="1"/>
  <c r="F482" i="1" s="1"/>
  <c r="D481" i="1"/>
  <c r="F481" i="1" s="1"/>
  <c r="D480" i="1"/>
  <c r="F480" i="1" s="1"/>
  <c r="D479" i="1"/>
  <c r="F479" i="1" s="1"/>
  <c r="D478" i="1"/>
  <c r="F478" i="1" s="1"/>
  <c r="D477" i="1"/>
  <c r="F477" i="1" s="1"/>
  <c r="D476" i="1"/>
  <c r="F476" i="1" s="1"/>
  <c r="D474" i="1"/>
  <c r="F474" i="1" s="1"/>
  <c r="D473" i="1"/>
  <c r="F473" i="1" s="1"/>
  <c r="D472" i="1"/>
  <c r="F472" i="1" s="1"/>
  <c r="D471" i="1"/>
  <c r="F471" i="1" s="1"/>
  <c r="D470" i="1"/>
  <c r="F470" i="1" s="1"/>
  <c r="D469" i="1"/>
  <c r="F469" i="1" s="1"/>
  <c r="D468" i="1"/>
  <c r="F468" i="1" s="1"/>
  <c r="D467" i="1"/>
  <c r="F467" i="1" s="1"/>
  <c r="D466" i="1"/>
  <c r="F466" i="1" s="1"/>
  <c r="D465" i="1"/>
  <c r="F465" i="1" s="1"/>
  <c r="D464" i="1"/>
  <c r="F464" i="1" s="1"/>
  <c r="D463" i="1"/>
  <c r="F463" i="1" s="1"/>
  <c r="D462" i="1"/>
  <c r="F462" i="1" s="1"/>
  <c r="D461" i="1"/>
  <c r="F461" i="1" s="1"/>
  <c r="D460" i="1"/>
  <c r="F460" i="1" s="1"/>
  <c r="D459" i="1"/>
  <c r="F459" i="1" s="1"/>
  <c r="D458" i="1"/>
  <c r="F458" i="1" s="1"/>
  <c r="D457" i="1"/>
  <c r="F457" i="1" s="1"/>
  <c r="D456" i="1"/>
  <c r="F456" i="1" s="1"/>
  <c r="D454" i="1"/>
  <c r="F454" i="1" s="1"/>
  <c r="D453" i="1"/>
  <c r="F453" i="1" s="1"/>
  <c r="D452" i="1"/>
  <c r="F452" i="1" s="1"/>
  <c r="D451" i="1"/>
  <c r="F451" i="1" s="1"/>
  <c r="D450" i="1"/>
  <c r="F450" i="1" s="1"/>
  <c r="D449" i="1"/>
  <c r="F449" i="1" s="1"/>
  <c r="D448" i="1"/>
  <c r="F448" i="1" s="1"/>
  <c r="D447" i="1"/>
  <c r="F447" i="1" s="1"/>
  <c r="D446" i="1"/>
  <c r="F446" i="1" s="1"/>
  <c r="D445" i="1"/>
  <c r="F445" i="1" s="1"/>
  <c r="D444" i="1"/>
  <c r="F444" i="1" s="1"/>
  <c r="D443" i="1"/>
  <c r="F443" i="1" s="1"/>
  <c r="D442" i="1"/>
  <c r="F442" i="1" s="1"/>
  <c r="D441" i="1"/>
  <c r="F441" i="1" s="1"/>
  <c r="D440" i="1"/>
  <c r="F440" i="1" s="1"/>
  <c r="D439" i="1"/>
  <c r="F439" i="1" s="1"/>
  <c r="D438" i="1"/>
  <c r="F438" i="1" s="1"/>
  <c r="D437" i="1"/>
  <c r="F437" i="1" s="1"/>
  <c r="D436" i="1"/>
  <c r="F436" i="1" s="1"/>
  <c r="D431" i="1"/>
  <c r="F431" i="1" s="1"/>
  <c r="D430" i="1"/>
  <c r="F430" i="1" s="1"/>
  <c r="D429" i="1"/>
  <c r="F429" i="1" s="1"/>
  <c r="D428" i="1"/>
  <c r="F428" i="1" s="1"/>
  <c r="D427" i="1"/>
  <c r="F427" i="1" s="1"/>
  <c r="D426" i="1"/>
  <c r="F426" i="1" s="1"/>
  <c r="D425" i="1"/>
  <c r="F425" i="1" s="1"/>
  <c r="D424" i="1"/>
  <c r="F424" i="1" s="1"/>
  <c r="D423" i="1"/>
  <c r="F423" i="1" s="1"/>
  <c r="D422" i="1"/>
  <c r="F422" i="1" s="1"/>
  <c r="D421" i="1"/>
  <c r="F421" i="1" s="1"/>
  <c r="D420" i="1"/>
  <c r="F420" i="1" s="1"/>
  <c r="D419" i="1"/>
  <c r="F419" i="1" s="1"/>
  <c r="D418" i="1"/>
  <c r="F418" i="1" s="1"/>
  <c r="D417" i="1"/>
  <c r="F417" i="1" s="1"/>
  <c r="D416" i="1"/>
  <c r="F416" i="1" s="1"/>
  <c r="D415" i="1"/>
  <c r="F415" i="1" s="1"/>
  <c r="D414" i="1"/>
  <c r="F414" i="1" s="1"/>
  <c r="D412" i="1"/>
  <c r="F412" i="1" s="1"/>
  <c r="D411" i="1"/>
  <c r="F411" i="1" s="1"/>
  <c r="D410" i="1"/>
  <c r="F410" i="1" s="1"/>
  <c r="D409" i="1"/>
  <c r="F409" i="1" s="1"/>
  <c r="D408" i="1"/>
  <c r="F408" i="1" s="1"/>
  <c r="D407" i="1"/>
  <c r="F407" i="1" s="1"/>
  <c r="D406" i="1"/>
  <c r="F406" i="1" s="1"/>
  <c r="D405" i="1"/>
  <c r="F405" i="1" s="1"/>
  <c r="D404" i="1"/>
  <c r="F404" i="1" s="1"/>
  <c r="D403" i="1"/>
  <c r="F403" i="1" s="1"/>
  <c r="D398" i="1"/>
  <c r="F398" i="1" s="1"/>
  <c r="D399" i="1"/>
  <c r="F399" i="1" s="1"/>
  <c r="D400" i="1"/>
  <c r="F400" i="1" s="1"/>
  <c r="D401" i="1"/>
  <c r="F401" i="1" s="1"/>
  <c r="D402" i="1"/>
  <c r="F402" i="1" s="1"/>
  <c r="D397" i="1"/>
  <c r="F397" i="1" s="1"/>
  <c r="D396" i="1"/>
  <c r="F396" i="1" s="1"/>
  <c r="D395" i="1"/>
  <c r="F395" i="1" s="1"/>
  <c r="D394" i="1"/>
  <c r="F394" i="1" s="1"/>
  <c r="D375" i="1"/>
  <c r="F375" i="1" s="1"/>
  <c r="D376" i="1"/>
  <c r="F376" i="1" s="1"/>
  <c r="D377" i="1"/>
  <c r="F377" i="1" s="1"/>
  <c r="D378" i="1"/>
  <c r="D379" i="1"/>
  <c r="F379" i="1" s="1"/>
  <c r="D380" i="1"/>
  <c r="F380" i="1" s="1"/>
  <c r="D381" i="1"/>
  <c r="F381" i="1" s="1"/>
  <c r="D382" i="1"/>
  <c r="F382" i="1" s="1"/>
  <c r="D383" i="1"/>
  <c r="F383" i="1" s="1"/>
  <c r="D384" i="1"/>
  <c r="F384" i="1" s="1"/>
  <c r="D385" i="1"/>
  <c r="F385" i="1" s="1"/>
  <c r="D386" i="1"/>
  <c r="F386" i="1" s="1"/>
  <c r="D387" i="1"/>
  <c r="F387" i="1" s="1"/>
  <c r="D388" i="1"/>
  <c r="F388" i="1" s="1"/>
  <c r="D389" i="1"/>
  <c r="F389" i="1" s="1"/>
  <c r="D390" i="1"/>
  <c r="F390" i="1" s="1"/>
  <c r="D391" i="1"/>
  <c r="F391" i="1" s="1"/>
  <c r="D392" i="1"/>
  <c r="F392" i="1" s="1"/>
  <c r="D374" i="1"/>
  <c r="F374" i="1" s="1"/>
  <c r="F378" i="1"/>
  <c r="D370" i="1"/>
  <c r="F370" i="1" s="1"/>
  <c r="G370" i="1"/>
  <c r="D365" i="1"/>
  <c r="F365" i="1" s="1"/>
  <c r="D364" i="1"/>
  <c r="F364" i="1" s="1"/>
  <c r="D363" i="1"/>
  <c r="F363" i="1" s="1"/>
  <c r="D362" i="1"/>
  <c r="F362" i="1" s="1"/>
  <c r="D361" i="1"/>
  <c r="F361" i="1" s="1"/>
  <c r="D360" i="1"/>
  <c r="F360" i="1" s="1"/>
  <c r="D359" i="1"/>
  <c r="F359" i="1" s="1"/>
  <c r="D358" i="1"/>
  <c r="F358" i="1" s="1"/>
  <c r="D357" i="1"/>
  <c r="F357" i="1" s="1"/>
  <c r="D356" i="1"/>
  <c r="F356" i="1" s="1"/>
  <c r="D355" i="1"/>
  <c r="F355" i="1" s="1"/>
  <c r="D354" i="1"/>
  <c r="F354" i="1" s="1"/>
  <c r="D353" i="1"/>
  <c r="F353" i="1" s="1"/>
  <c r="D352" i="1"/>
  <c r="F352" i="1" s="1"/>
  <c r="G351" i="1"/>
  <c r="D351" i="1"/>
  <c r="F351" i="1" s="1"/>
  <c r="D349" i="1"/>
  <c r="F349" i="1" s="1"/>
  <c r="D348" i="1"/>
  <c r="F348" i="1" s="1"/>
  <c r="D345" i="1"/>
  <c r="F345" i="1" s="1"/>
  <c r="D346" i="1"/>
  <c r="F346" i="1" s="1"/>
  <c r="D347" i="1"/>
  <c r="F347" i="1" s="1"/>
  <c r="D344" i="1"/>
  <c r="F344" i="1" s="1"/>
  <c r="D335" i="1"/>
  <c r="F335" i="1" s="1"/>
  <c r="D334" i="1"/>
  <c r="F334" i="1" s="1"/>
  <c r="D343" i="1"/>
  <c r="F343" i="1" s="1"/>
  <c r="D342" i="1"/>
  <c r="F342" i="1" s="1"/>
  <c r="D341" i="1"/>
  <c r="F341" i="1" s="1"/>
  <c r="D340" i="1"/>
  <c r="F340" i="1" s="1"/>
  <c r="D339" i="1"/>
  <c r="F339" i="1" s="1"/>
  <c r="D338" i="1"/>
  <c r="F338" i="1" s="1"/>
  <c r="D337" i="1"/>
  <c r="F337" i="1" s="1"/>
  <c r="D336" i="1"/>
  <c r="F336" i="1" s="1"/>
  <c r="G334" i="1"/>
  <c r="D326" i="1"/>
  <c r="F326" i="1" s="1"/>
  <c r="D325" i="1"/>
  <c r="F325" i="1" s="1"/>
  <c r="D324" i="1"/>
  <c r="F324" i="1" s="1"/>
  <c r="D323" i="1"/>
  <c r="F323" i="1" s="1"/>
  <c r="D322" i="1"/>
  <c r="F322" i="1" s="1"/>
  <c r="D321" i="1"/>
  <c r="F321" i="1" s="1"/>
  <c r="D320" i="1"/>
  <c r="F320" i="1" s="1"/>
  <c r="D319" i="1"/>
  <c r="F319" i="1" s="1"/>
  <c r="D332" i="1"/>
  <c r="D331" i="1"/>
  <c r="D330" i="1"/>
  <c r="F330" i="1" s="1"/>
  <c r="D329" i="1"/>
  <c r="F329" i="1" s="1"/>
  <c r="D328" i="1"/>
  <c r="F328" i="1" s="1"/>
  <c r="D327" i="1"/>
  <c r="F327" i="1" s="1"/>
  <c r="D318" i="1"/>
  <c r="D317" i="1"/>
  <c r="F317" i="1" s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0" i="1"/>
  <c r="F300" i="1" s="1"/>
  <c r="D299" i="1"/>
  <c r="F299" i="1" s="1"/>
  <c r="D298" i="1"/>
  <c r="F298" i="1" s="1"/>
  <c r="D297" i="1"/>
  <c r="F297" i="1" s="1"/>
  <c r="D296" i="1"/>
  <c r="F296" i="1" s="1"/>
  <c r="D295" i="1"/>
  <c r="F295" i="1" s="1"/>
  <c r="G294" i="1"/>
  <c r="D294" i="1"/>
  <c r="F294" i="1" s="1"/>
  <c r="D292" i="1"/>
  <c r="F292" i="1" s="1"/>
  <c r="D291" i="1"/>
  <c r="F291" i="1" s="1"/>
  <c r="D290" i="1"/>
  <c r="F290" i="1" s="1"/>
  <c r="D289" i="1"/>
  <c r="D288" i="1"/>
  <c r="D287" i="1"/>
  <c r="D286" i="1"/>
  <c r="D285" i="1"/>
  <c r="E177" i="1" l="1"/>
  <c r="F332" i="1"/>
  <c r="C177" i="1"/>
  <c r="J140" i="1"/>
  <c r="E147" i="1"/>
  <c r="D148" i="1"/>
  <c r="I140" i="1" s="1"/>
  <c r="I141" i="1" s="1"/>
  <c r="G178" i="1"/>
  <c r="G179" i="1"/>
  <c r="F318" i="1"/>
  <c r="F331" i="1"/>
  <c r="C178" i="1"/>
  <c r="C179" i="1"/>
  <c r="E178" i="1"/>
  <c r="E179" i="1"/>
  <c r="F314" i="1"/>
  <c r="F315" i="1"/>
  <c r="I139" i="1" l="1"/>
  <c r="C145" i="1" s="1"/>
  <c r="D280" i="1"/>
  <c r="D279" i="1"/>
  <c r="D278" i="1"/>
  <c r="D277" i="1"/>
  <c r="D283" i="1"/>
  <c r="F283" i="1" s="1"/>
  <c r="D282" i="1"/>
  <c r="F282" i="1" s="1"/>
  <c r="D281" i="1"/>
  <c r="F281" i="1" s="1"/>
  <c r="D276" i="1"/>
  <c r="D274" i="1"/>
  <c r="D273" i="1"/>
  <c r="D272" i="1"/>
  <c r="D271" i="1"/>
  <c r="D264" i="1"/>
  <c r="F264" i="1" s="1"/>
  <c r="D263" i="1"/>
  <c r="F263" i="1" s="1"/>
  <c r="D262" i="1"/>
  <c r="F262" i="1" s="1"/>
  <c r="D261" i="1"/>
  <c r="F261" i="1" s="1"/>
  <c r="D260" i="1"/>
  <c r="F260" i="1" s="1"/>
  <c r="D259" i="1"/>
  <c r="F259" i="1" s="1"/>
  <c r="D258" i="1"/>
  <c r="F258" i="1" s="1"/>
  <c r="D257" i="1"/>
  <c r="F257" i="1" s="1"/>
  <c r="D256" i="1"/>
  <c r="F256" i="1" s="1"/>
  <c r="D255" i="1"/>
  <c r="F255" i="1" s="1"/>
  <c r="D254" i="1"/>
  <c r="F254" i="1" s="1"/>
  <c r="D253" i="1"/>
  <c r="F253" i="1" s="1"/>
  <c r="D252" i="1"/>
  <c r="F252" i="1" s="1"/>
  <c r="D251" i="1"/>
  <c r="F251" i="1" s="1"/>
  <c r="D250" i="1"/>
  <c r="F250" i="1" s="1"/>
  <c r="D249" i="1"/>
  <c r="F249" i="1" s="1"/>
  <c r="D248" i="1"/>
  <c r="F248" i="1" s="1"/>
  <c r="D247" i="1"/>
  <c r="F247" i="1" s="1"/>
  <c r="D246" i="1"/>
  <c r="F246" i="1" s="1"/>
  <c r="D245" i="1"/>
  <c r="F245" i="1" s="1"/>
  <c r="D244" i="1"/>
  <c r="F244" i="1" s="1"/>
  <c r="D243" i="1"/>
  <c r="F243" i="1" s="1"/>
  <c r="D242" i="1"/>
  <c r="F242" i="1" s="1"/>
  <c r="D241" i="1"/>
  <c r="F241" i="1" s="1"/>
  <c r="D240" i="1"/>
  <c r="F240" i="1" s="1"/>
  <c r="D239" i="1"/>
  <c r="F239" i="1" s="1"/>
  <c r="D238" i="1"/>
  <c r="F238" i="1" s="1"/>
  <c r="D237" i="1"/>
  <c r="F237" i="1" s="1"/>
  <c r="D236" i="1"/>
  <c r="F236" i="1" s="1"/>
  <c r="D235" i="1"/>
  <c r="F235" i="1" s="1"/>
  <c r="A236" i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G235" i="1"/>
  <c r="D233" i="1"/>
  <c r="F233" i="1" s="1"/>
  <c r="D232" i="1"/>
  <c r="F232" i="1" s="1"/>
  <c r="D231" i="1"/>
  <c r="F231" i="1" s="1"/>
  <c r="D230" i="1"/>
  <c r="F230" i="1" s="1"/>
  <c r="D229" i="1"/>
  <c r="F229" i="1" s="1"/>
  <c r="D228" i="1"/>
  <c r="F228" i="1" s="1"/>
  <c r="D227" i="1"/>
  <c r="F227" i="1" s="1"/>
  <c r="D226" i="1"/>
  <c r="F226" i="1" s="1"/>
  <c r="D225" i="1"/>
  <c r="F225" i="1" s="1"/>
  <c r="D224" i="1"/>
  <c r="F224" i="1" s="1"/>
  <c r="D223" i="1"/>
  <c r="F223" i="1" s="1"/>
  <c r="D222" i="1"/>
  <c r="F222" i="1" s="1"/>
  <c r="D221" i="1"/>
  <c r="F221" i="1" s="1"/>
  <c r="D220" i="1"/>
  <c r="F220" i="1" s="1"/>
  <c r="D219" i="1"/>
  <c r="F219" i="1" s="1"/>
  <c r="D218" i="1"/>
  <c r="F218" i="1" s="1"/>
  <c r="D217" i="1"/>
  <c r="F217" i="1" s="1"/>
  <c r="D216" i="1"/>
  <c r="F216" i="1" s="1"/>
  <c r="D215" i="1"/>
  <c r="F215" i="1" s="1"/>
  <c r="D214" i="1"/>
  <c r="F214" i="1" s="1"/>
  <c r="D213" i="1"/>
  <c r="F213" i="1" s="1"/>
  <c r="D212" i="1"/>
  <c r="F212" i="1" s="1"/>
  <c r="D211" i="1"/>
  <c r="F211" i="1" s="1"/>
  <c r="D210" i="1"/>
  <c r="F210" i="1" s="1"/>
  <c r="D209" i="1"/>
  <c r="F209" i="1" s="1"/>
  <c r="D208" i="1"/>
  <c r="F208" i="1" s="1"/>
  <c r="D207" i="1"/>
  <c r="F207" i="1" s="1"/>
  <c r="D206" i="1"/>
  <c r="F206" i="1" s="1"/>
  <c r="D205" i="1"/>
  <c r="F205" i="1" s="1"/>
  <c r="D204" i="1"/>
  <c r="F204" i="1" s="1"/>
  <c r="D203" i="1"/>
  <c r="F203" i="1" s="1"/>
  <c r="D202" i="1"/>
  <c r="F202" i="1" s="1"/>
  <c r="D201" i="1"/>
  <c r="F201" i="1" s="1"/>
  <c r="D200" i="1"/>
  <c r="F200" i="1" s="1"/>
  <c r="D199" i="1"/>
  <c r="F199" i="1" s="1"/>
  <c r="D198" i="1"/>
  <c r="F198" i="1" s="1"/>
  <c r="D197" i="1"/>
  <c r="F197" i="1" s="1"/>
  <c r="D196" i="1"/>
  <c r="F196" i="1" s="1"/>
  <c r="D195" i="1"/>
  <c r="F195" i="1" s="1"/>
  <c r="D194" i="1"/>
  <c r="F194" i="1" s="1"/>
  <c r="D193" i="1"/>
  <c r="F193" i="1" s="1"/>
  <c r="D192" i="1"/>
  <c r="D191" i="1"/>
  <c r="D190" i="1"/>
  <c r="D189" i="1"/>
  <c r="E176" i="1" l="1"/>
  <c r="E180" i="1" s="1"/>
  <c r="C176" i="1"/>
  <c r="C180" i="1" s="1"/>
  <c r="C172" i="1"/>
  <c r="C173" i="1" s="1"/>
  <c r="E172" i="1"/>
  <c r="E173" i="1" s="1"/>
  <c r="C181" i="1" l="1"/>
  <c r="E181" i="1"/>
  <c r="E42" i="1"/>
  <c r="E43" i="1" s="1"/>
  <c r="C14" i="1" l="1"/>
  <c r="E29" i="1" l="1"/>
  <c r="F272" i="1" l="1"/>
  <c r="F273" i="1"/>
  <c r="F274" i="1"/>
  <c r="F271" i="1"/>
  <c r="A272" i="1"/>
  <c r="A273" i="1" s="1"/>
  <c r="A274" i="1" s="1"/>
  <c r="G271" i="1"/>
  <c r="F169" i="1" l="1"/>
  <c r="F190" i="1" l="1"/>
  <c r="F191" i="1"/>
  <c r="F192" i="1"/>
  <c r="F189" i="1"/>
  <c r="G172" i="1" l="1"/>
  <c r="G173" i="1" s="1"/>
  <c r="B497" i="1"/>
  <c r="F313" i="1" l="1"/>
  <c r="F312" i="1"/>
  <c r="F311" i="1"/>
  <c r="F310" i="1"/>
  <c r="F309" i="1"/>
  <c r="F308" i="1"/>
  <c r="F307" i="1"/>
  <c r="F306" i="1"/>
  <c r="F305" i="1"/>
  <c r="F304" i="1"/>
  <c r="F289" i="1"/>
  <c r="F288" i="1"/>
  <c r="F287" i="1"/>
  <c r="F286" i="1"/>
  <c r="F285" i="1"/>
  <c r="F280" i="1"/>
  <c r="F279" i="1"/>
  <c r="F277" i="1"/>
  <c r="F276" i="1"/>
  <c r="F278" i="1"/>
  <c r="G177" i="1" l="1"/>
  <c r="G176" i="1"/>
  <c r="B498" i="1"/>
  <c r="G180" i="1" l="1"/>
  <c r="G181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521" i="1"/>
  <c r="G304" i="1"/>
  <c r="A277" i="1"/>
  <c r="A278" i="1" s="1"/>
  <c r="A279" i="1" s="1"/>
  <c r="A280" i="1" s="1"/>
  <c r="A281" i="1" s="1"/>
  <c r="A282" i="1" s="1"/>
  <c r="A283" i="1" s="1"/>
  <c r="A190" i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G189" i="1"/>
  <c r="C72" i="1"/>
  <c r="D60" i="1"/>
  <c r="G49" i="1"/>
  <c r="C49" i="1"/>
  <c r="E26" i="1"/>
  <c r="E24" i="1"/>
  <c r="E7" i="1"/>
  <c r="E3" i="1"/>
  <c r="H116" i="1"/>
  <c r="H73" i="1"/>
  <c r="H130" i="1"/>
  <c r="J117" i="1" l="1"/>
  <c r="J118" i="1" s="1"/>
  <c r="J111" i="1"/>
  <c r="J113" i="1" s="1"/>
  <c r="D66" i="1"/>
  <c r="D126" i="1"/>
  <c r="D127" i="1"/>
  <c r="D128" i="1"/>
  <c r="D122" i="1"/>
  <c r="D123" i="1"/>
  <c r="D124" i="1"/>
  <c r="D125" i="1"/>
  <c r="D85" i="1"/>
  <c r="D83" i="1"/>
  <c r="D82" i="1"/>
  <c r="D81" i="1"/>
  <c r="D79" i="1"/>
  <c r="J68" i="1"/>
  <c r="D84" i="1"/>
  <c r="D80" i="1"/>
  <c r="J72" i="1"/>
  <c r="J73" i="1"/>
  <c r="C76" i="1" s="1"/>
  <c r="J71" i="1"/>
  <c r="J74" i="1"/>
  <c r="J125" i="1"/>
  <c r="J127" i="1" s="1"/>
  <c r="J129" i="1"/>
  <c r="D142" i="1"/>
  <c r="D140" i="1"/>
  <c r="D138" i="1"/>
  <c r="D136" i="1"/>
  <c r="J130" i="1"/>
  <c r="C133" i="1" s="1"/>
  <c r="J128" i="1"/>
  <c r="J131" i="1"/>
  <c r="J132" i="1" s="1"/>
  <c r="J137" i="1" s="1"/>
  <c r="D141" i="1"/>
  <c r="D139" i="1"/>
  <c r="D137" i="1"/>
  <c r="J115" i="1"/>
  <c r="J116" i="1"/>
  <c r="C119" i="1" s="1"/>
  <c r="J114" i="1"/>
  <c r="J75" i="1" l="1"/>
  <c r="J80" i="1" s="1"/>
  <c r="C77" i="1" s="1"/>
  <c r="J123" i="1"/>
  <c r="J133" i="1"/>
  <c r="J134" i="1" s="1"/>
  <c r="J135" i="1" s="1"/>
  <c r="J136" i="1" s="1"/>
  <c r="J138" i="1" s="1"/>
  <c r="C134" i="1" s="1"/>
  <c r="J119" i="1"/>
  <c r="J120" i="1" s="1"/>
  <c r="J121" i="1" s="1"/>
  <c r="J122" i="1" s="1"/>
  <c r="J76" i="1"/>
  <c r="J77" i="1" s="1"/>
  <c r="J78" i="1" s="1"/>
  <c r="J79" i="1" s="1"/>
  <c r="D135" i="1"/>
  <c r="D133" i="1"/>
  <c r="D121" i="1"/>
  <c r="D78" i="1"/>
  <c r="J70" i="1"/>
  <c r="D76" i="1"/>
  <c r="D119" i="1"/>
  <c r="J81" i="1" l="1"/>
  <c r="G76" i="1" s="1"/>
  <c r="E133" i="1"/>
  <c r="G133" i="1"/>
  <c r="D134" i="1"/>
  <c r="I126" i="1" s="1"/>
  <c r="J124" i="1"/>
  <c r="J126" i="1"/>
  <c r="C120" i="1" l="1"/>
  <c r="E119" i="1" s="1"/>
  <c r="J69" i="1"/>
  <c r="D77" i="1"/>
  <c r="I69" i="1" s="1"/>
  <c r="I70" i="1" s="1"/>
  <c r="E76" i="1"/>
  <c r="I127" i="1"/>
  <c r="I125" i="1" s="1"/>
  <c r="C131" i="1" s="1"/>
  <c r="J112" i="1" l="1"/>
  <c r="D120" i="1"/>
  <c r="I112" i="1" s="1"/>
  <c r="I113" i="1" s="1"/>
  <c r="G119" i="1"/>
  <c r="D70" i="1" s="1"/>
  <c r="D71" i="1" s="1"/>
  <c r="I68" i="1"/>
  <c r="C74" i="1" s="1"/>
  <c r="I111" i="1" l="1"/>
  <c r="C117" i="1" s="1"/>
  <c r="F71" i="1"/>
</calcChain>
</file>

<file path=xl/sharedStrings.xml><?xml version="1.0" encoding="utf-8"?>
<sst xmlns="http://schemas.openxmlformats.org/spreadsheetml/2006/main" count="783" uniqueCount="257">
  <si>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</si>
  <si>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</si>
  <si>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</si>
  <si>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</si>
  <si>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</si>
  <si>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</si>
  <si>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</si>
  <si>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</si>
  <si>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</si>
  <si>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</si>
  <si>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</si>
  <si>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</si>
  <si>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</si>
  <si>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</si>
  <si>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</si>
  <si>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</si>
  <si>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</si>
  <si>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</si>
  <si>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</si>
  <si>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</si>
  <si>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</si>
  <si>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</si>
  <si>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</si>
  <si>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</si>
  <si>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</si>
  <si>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</si>
  <si>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</si>
  <si>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</si>
  <si>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</si>
  <si>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</si>
  <si>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</si>
  <si>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</si>
  <si>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</si>
  <si>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</si>
  <si>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</si>
  <si>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</si>
  <si>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</si>
  <si>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</si>
  <si>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</si>
  <si>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</si>
  <si>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</si>
  <si>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</si>
  <si>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</si>
  <si>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</si>
  <si>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</si>
  <si>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</si>
  <si>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</si>
  <si>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</si>
  <si>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</si>
  <si>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</si>
  <si>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</si>
  <si>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</si>
  <si>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</si>
  <si>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</si>
  <si>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</si>
  <si>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</si>
  <si>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</si>
  <si>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</si>
  <si>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</si>
  <si>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</si>
  <si>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</si>
  <si>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</si>
  <si>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</si>
  <si>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</si>
  <si>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</si>
  <si>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</si>
  <si>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</si>
  <si>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</si>
  <si>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</si>
  <si>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</si>
  <si>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</si>
  <si>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</si>
  <si>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</si>
  <si>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</si>
  <si>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</si>
  <si>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</si>
  <si>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</si>
  <si>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</si>
  <si>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</si>
  <si>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</si>
  <si>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</si>
  <si>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</si>
  <si>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</si>
  <si>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</si>
  <si>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</si>
  <si>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</si>
  <si>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</si>
  <si>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</si>
  <si>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</si>
  <si>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</si>
  <si>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</si>
  <si>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</si>
  <si>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</si>
  <si>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</si>
  <si>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</si>
  <si>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</si>
  <si>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</si>
  <si>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</si>
  <si>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</si>
  <si>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</si>
  <si>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</si>
  <si>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</si>
  <si>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</si>
  <si>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</si>
  <si>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</si>
  <si>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</si>
  <si>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</si>
  <si>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</si>
  <si>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</si>
  <si>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</si>
  <si>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</si>
  <si>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</si>
  <si>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</si>
  <si>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</si>
  <si>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</si>
  <si>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</si>
  <si>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</si>
  <si>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</si>
  <si>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</si>
  <si>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</si>
  <si>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</si>
  <si>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</si>
  <si>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</si>
  <si>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</si>
  <si>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</si>
  <si>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</si>
  <si>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</si>
  <si>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</si>
  <si>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</si>
  <si>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</si>
  <si>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</si>
  <si>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</si>
  <si>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</si>
  <si>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</si>
  <si>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</si>
  <si>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</si>
  <si>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</si>
  <si>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</si>
  <si>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</si>
  <si>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</si>
  <si>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</si>
  <si>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</si>
  <si>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</si>
  <si>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</si>
  <si>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</si>
  <si>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</si>
  <si>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</si>
  <si>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</si>
  <si>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</si>
  <si>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</si>
  <si>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</si>
  <si>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</si>
  <si>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</si>
  <si>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</si>
  <si>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</si>
  <si>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</si>
  <si>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</si>
  <si>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</si>
  <si>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</si>
  <si>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</si>
  <si>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</si>
  <si>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</si>
  <si>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</si>
  <si>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</si>
  <si>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</si>
  <si>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</si>
  <si>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</si>
  <si>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</si>
  <si>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</si>
  <si>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</si>
  <si>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</si>
  <si>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</si>
  <si>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</si>
  <si>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</si>
  <si>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</si>
  <si>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Thane</t>
  </si>
  <si>
    <t>Mangesh Laxman Bapardekar</t>
  </si>
  <si>
    <t>Maya Developer</t>
  </si>
  <si>
    <t>Narayani Dham</t>
  </si>
  <si>
    <t>7770005188/9371103817</t>
  </si>
  <si>
    <t>Building No. 1A = P51700017817
Building No. 1B = P51700017889
Building No. 2A &amp; 2B = P51700017958</t>
  </si>
  <si>
    <t>Building No. 1A, 1B, 2A &amp; 2B</t>
  </si>
  <si>
    <t>4/1/1, 4/1/2, 4/1/3, 4/2, 4/3/1, 4/3/2, 4/4, 69/1/5</t>
  </si>
  <si>
    <t>Survey No</t>
  </si>
  <si>
    <t>Bhadwad</t>
  </si>
  <si>
    <t>Sonale-Bapgaon Rd</t>
  </si>
  <si>
    <t>Bhiwandi</t>
  </si>
  <si>
    <t>Thane</t>
  </si>
  <si>
    <t>Chhatrapati Shivaji Maharaj Stadium</t>
  </si>
  <si>
    <t>5KM from Bhiwandi  Railway Station</t>
  </si>
  <si>
    <t>Open Plot</t>
  </si>
  <si>
    <t>Sonale-Bapgaon Rd/ Chhatrapati Shivaji Maharaj Stadium</t>
  </si>
  <si>
    <t>Tirupati Heights</t>
  </si>
  <si>
    <t>Open Plot/House</t>
  </si>
  <si>
    <t>https://goo.gl/maps/K9nR2DEFifBxei5cA?coh=178572&amp;entry=tt</t>
  </si>
  <si>
    <t>EE/BP/PMAY/A/MHADA/651/2022</t>
  </si>
  <si>
    <t>Building No. 1A &amp; 1B = Gr + 1st to 22nd Floor
Building No. 2A &amp; 2B = Gr + 1st to 23rd Floor</t>
  </si>
  <si>
    <t>Building No. 1A &amp; 1B = Gr + 1st to 22nd Floor</t>
  </si>
  <si>
    <t>Building No. 2A &amp; 2B = Gr + 1st to 23rd Floor</t>
  </si>
  <si>
    <t>Shop</t>
  </si>
  <si>
    <t>1st Floor For Commercial</t>
  </si>
  <si>
    <t>Building No. 1</t>
  </si>
  <si>
    <t>Wing A</t>
  </si>
  <si>
    <t>1st Floor For Residential</t>
  </si>
  <si>
    <t>2BHK</t>
  </si>
  <si>
    <t>3rd to 7th, 9th to 12th, 14th to 17th, &amp; 19th to 22nd Floor</t>
  </si>
  <si>
    <t>8th, 13th &amp; 18th Floor (Part Refuge Area)</t>
  </si>
  <si>
    <t>Refuge Area</t>
  </si>
  <si>
    <t>Wing B</t>
  </si>
  <si>
    <t>1BHK</t>
  </si>
  <si>
    <t>3rd to 7th, 9th to 12th, 14th to 17th &amp; 19th to 22nd Floor</t>
  </si>
  <si>
    <t>Building No. 2</t>
  </si>
  <si>
    <t>Ground Floor For Entrance Lobby, Society Office, Electric Meter Room, Driver Room,  Parking &amp; Residential</t>
  </si>
  <si>
    <t xml:space="preserve">Society Office </t>
  </si>
  <si>
    <t>Electric Room</t>
  </si>
  <si>
    <t>2nd to 8th, 10th to 13th, 15th to 18th &amp; 20th to 23rd Floor</t>
  </si>
  <si>
    <t>9th, 14th &amp; 19th Floor (Part Refuge Area)</t>
  </si>
  <si>
    <t>Ground Floor For Entrance Lobby, Society Office, Electric Meter Room, Driver Room &amp; Parking</t>
  </si>
  <si>
    <t>We considered Gross carpet area = Net carpet + A.P Area.</t>
  </si>
  <si>
    <t>Ground Floor for Entrance Lobby, Commercial, Society office, Electric Meter Room &amp; Parking</t>
  </si>
  <si>
    <t xml:space="preserve"> Wing A &amp; B</t>
  </si>
  <si>
    <t>Building No. 1
 (Wing A &amp; B)</t>
  </si>
  <si>
    <t>BLDG No. 1</t>
  </si>
  <si>
    <t>BLDG No. 2</t>
  </si>
  <si>
    <t>Flats -1383, Shops -75</t>
  </si>
  <si>
    <t>Electric Meter</t>
  </si>
  <si>
    <t>1 Year Advance Maintenance Charges</t>
  </si>
  <si>
    <t>Approved Plans, CC, Sale Plans, Cost Sheet</t>
  </si>
  <si>
    <t>Extra Area</t>
  </si>
  <si>
    <t>Building No. 2A  = Gr + 1st to 23rd Floor</t>
  </si>
  <si>
    <t>Part II = Building No. 2B = Gr + 1st to 23rd Floor</t>
  </si>
  <si>
    <t>Average Disbursement %</t>
  </si>
  <si>
    <t>19.287089,73.083953</t>
  </si>
  <si>
    <t>EE/BP/PMAY/A/MHADA/82/2024</t>
  </si>
  <si>
    <t>We have updated approved CC of Building No. 2 (B Wing) on 30/01/2024.</t>
  </si>
  <si>
    <t>Miss. Khushbu : 9371103817</t>
  </si>
  <si>
    <t>EE/BP/PMAY/A/MHADA/247/2024</t>
  </si>
  <si>
    <t>We have updated approved CC of Building No. 1A, 1B, 2A &amp; 2B on 27/03/2024.</t>
  </si>
  <si>
    <t>Part I = Building No. 2A = Gr + 1st to 23rd Floor</t>
  </si>
  <si>
    <t>Part II = Building No. 2A = Gr + 1st to 23rd Floor</t>
  </si>
  <si>
    <t>Average Progress of Building No. 2A</t>
  </si>
  <si>
    <t>Building No. 2B = Gr + 1st to 23rd Floor</t>
  </si>
  <si>
    <t>As per RERA - 
Building No. 1 A &amp; B = 31/12/2026
Building No. 2 A &amp; B = 30/12/2025</t>
  </si>
  <si>
    <t>04 Buildings</t>
  </si>
  <si>
    <t>Building No.1A, 1B = Construction work is in process at the time of Visit (Slow Speed).
Building No. 2A &amp; 2B = Construction work is in process at the time of Visit.</t>
  </si>
  <si>
    <t>Kunal Kadam</t>
  </si>
  <si>
    <t>Maharashtra Housing and Area Development Authority (MHADA)</t>
  </si>
  <si>
    <t xml:space="preserve">Revalidation Letter No. (For Plinth CC)
</t>
  </si>
  <si>
    <t xml:space="preserve">Commencement-CC No 
Valid Up to: </t>
  </si>
  <si>
    <t>E.E/BP/PMAY/A/MHADA/725/2022</t>
  </si>
  <si>
    <t>Building  No.2B = Gr/St + 1st to 23rd Floor</t>
  </si>
  <si>
    <t xml:space="preserve">Building No.1A, 1B, 2A &amp; 2B
This Plinth CC Upto Zero FSI is issued for work upto Plinth Level only and Same is Valid Up to 27/12/2023
</t>
  </si>
  <si>
    <t>EE/BP/PMAY/A/MHADA/250/2024</t>
  </si>
  <si>
    <t xml:space="preserve">Validity of CC for building No.1A &amp; 1B is expired on 27/12/2024. Please provide latest CC.
</t>
  </si>
  <si>
    <t>Building No.2A = Gr/St + 1st to 23rd Floor</t>
  </si>
  <si>
    <t>Gym, Gazebo, Cricket Practice Pitch, Landscape Garden, Shopping Mall, Library, Bonfire Area, Club House, Yoga Deck, Multi Purpose Hall. etc</t>
  </si>
  <si>
    <t>We have updated revised approved CC of Building No.2A on 25/09/2025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</si>
</sst>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14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16" xfId="0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9" fontId="13" fillId="3" borderId="35" xfId="1" applyNumberFormat="1" applyFont="1" applyFill="1" applyBorder="1" applyAlignment="1" applyProtection="1">
      <alignment horizontal="center" vertical="center" wrapText="1"/>
      <protection locked="0"/>
    </xf>
    <xf numFmtId="0" fontId="13" fillId="3" borderId="36" xfId="1" applyFont="1" applyFill="1" applyBorder="1" applyAlignment="1" applyProtection="1">
      <alignment horizontal="center" vertical="center" wrapText="1"/>
      <protection locked="0"/>
    </xf>
    <xf numFmtId="0" fontId="13" fillId="3" borderId="35" xfId="1" applyFont="1" applyFill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0" fontId="6" fillId="0" borderId="2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6" xfId="1" applyFont="1" applyBorder="1" applyAlignment="1" applyProtection="1">
      <alignment horizontal="center" vertical="top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7" fillId="0" borderId="4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6" xfId="1" applyFont="1" applyBorder="1" applyAlignment="1" applyProtection="1">
      <alignment horizontal="center" vertical="top"/>
      <protection locked="0"/>
    </xf>
    <xf numFmtId="0" fontId="7" fillId="0" borderId="7" xfId="1" applyFont="1" applyBorder="1" applyAlignment="1" applyProtection="1">
      <alignment horizontal="center" vertical="top"/>
      <protection locked="0"/>
    </xf>
    <xf numFmtId="0" fontId="13" fillId="0" borderId="22" xfId="1" applyFont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left" vertical="top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661145</xdr:colOff>
      <xdr:row>565</xdr:row>
      <xdr:rowOff>11210</xdr:rowOff>
    </xdr:from>
    <xdr:to>
      <xdr:col>7</xdr:col>
      <xdr:colOff>261121</xdr:colOff>
      <xdr:row>597</xdr:row>
      <xdr:rowOff>36621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1145" y="106119710"/>
          <a:ext cx="5729594" cy="6480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1</xdr:col>
      <xdr:colOff>157529</xdr:colOff>
      <xdr:row>567</xdr:row>
      <xdr:rowOff>2405</xdr:rowOff>
    </xdr:from>
    <xdr:to>
      <xdr:col>3</xdr:col>
      <xdr:colOff>483664</xdr:colOff>
      <xdr:row>586</xdr:row>
      <xdr:rowOff>116064</xdr:rowOff>
    </xdr:to>
    <xdr:sp macro="" textlink="">
      <xdr:nvSpPr>
        <xdr:cNvPr id="12" name="Freefor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75558" y="106514317"/>
          <a:ext cx="2107871" cy="3946071"/>
        </a:xfrm>
        <a:custGeom>
          <a:avLst/>
          <a:gdLst>
            <a:gd name="connsiteX0" fmla="*/ 1619250 w 2245179"/>
            <a:gd name="connsiteY0" fmla="*/ 3946071 h 3946071"/>
            <a:gd name="connsiteX1" fmla="*/ 2245179 w 2245179"/>
            <a:gd name="connsiteY1" fmla="*/ 3578679 h 3946071"/>
            <a:gd name="connsiteX2" fmla="*/ 925286 w 2245179"/>
            <a:gd name="connsiteY2" fmla="*/ 1442357 h 3946071"/>
            <a:gd name="connsiteX3" fmla="*/ 1755322 w 2245179"/>
            <a:gd name="connsiteY3" fmla="*/ 421821 h 3946071"/>
            <a:gd name="connsiteX4" fmla="*/ 1115786 w 2245179"/>
            <a:gd name="connsiteY4" fmla="*/ 0 h 3946071"/>
            <a:gd name="connsiteX5" fmla="*/ 0 w 2245179"/>
            <a:gd name="connsiteY5" fmla="*/ 1360714 h 3946071"/>
            <a:gd name="connsiteX6" fmla="*/ 1619250 w 2245179"/>
            <a:gd name="connsiteY6" fmla="*/ 3946071 h 394607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2245179" h="3946071">
              <a:moveTo>
                <a:pt x="1619250" y="3946071"/>
              </a:moveTo>
              <a:lnTo>
                <a:pt x="2245179" y="3578679"/>
              </a:lnTo>
              <a:lnTo>
                <a:pt x="925286" y="1442357"/>
              </a:lnTo>
              <a:lnTo>
                <a:pt x="1755322" y="421821"/>
              </a:lnTo>
              <a:lnTo>
                <a:pt x="1115786" y="0"/>
              </a:lnTo>
              <a:lnTo>
                <a:pt x="0" y="1360714"/>
              </a:lnTo>
              <a:lnTo>
                <a:pt x="1619250" y="3946071"/>
              </a:lnTo>
              <a:close/>
            </a:path>
          </a:pathLst>
        </a:custGeom>
        <a:noFill/>
        <a:ln w="28575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591066</xdr:colOff>
      <xdr:row>577</xdr:row>
      <xdr:rowOff>67239</xdr:rowOff>
    </xdr:from>
    <xdr:to>
      <xdr:col>5</xdr:col>
      <xdr:colOff>810600</xdr:colOff>
      <xdr:row>593</xdr:row>
      <xdr:rowOff>132873</xdr:rowOff>
    </xdr:to>
    <xdr:sp macro="" textlink="">
      <xdr:nvSpPr>
        <xdr:cNvPr id="13" name="Freefor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271948" y="108596210"/>
          <a:ext cx="2987387" cy="3292928"/>
        </a:xfrm>
        <a:custGeom>
          <a:avLst/>
          <a:gdLst>
            <a:gd name="connsiteX0" fmla="*/ 421821 w 3170464"/>
            <a:gd name="connsiteY0" fmla="*/ 1850571 h 3292928"/>
            <a:gd name="connsiteX1" fmla="*/ 0 w 3170464"/>
            <a:gd name="connsiteY1" fmla="*/ 2340428 h 3292928"/>
            <a:gd name="connsiteX2" fmla="*/ 1251857 w 3170464"/>
            <a:gd name="connsiteY2" fmla="*/ 3292928 h 3292928"/>
            <a:gd name="connsiteX3" fmla="*/ 3170464 w 3170464"/>
            <a:gd name="connsiteY3" fmla="*/ 1020536 h 3292928"/>
            <a:gd name="connsiteX4" fmla="*/ 1905000 w 3170464"/>
            <a:gd name="connsiteY4" fmla="*/ 0 h 3292928"/>
            <a:gd name="connsiteX5" fmla="*/ 1401536 w 3170464"/>
            <a:gd name="connsiteY5" fmla="*/ 639536 h 3292928"/>
            <a:gd name="connsiteX6" fmla="*/ 2163536 w 3170464"/>
            <a:gd name="connsiteY6" fmla="*/ 1251857 h 3292928"/>
            <a:gd name="connsiteX7" fmla="*/ 1156607 w 3170464"/>
            <a:gd name="connsiteY7" fmla="*/ 2408464 h 3292928"/>
            <a:gd name="connsiteX8" fmla="*/ 421821 w 3170464"/>
            <a:gd name="connsiteY8" fmla="*/ 1850571 h 329292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3170464" h="3292928">
              <a:moveTo>
                <a:pt x="421821" y="1850571"/>
              </a:moveTo>
              <a:lnTo>
                <a:pt x="0" y="2340428"/>
              </a:lnTo>
              <a:lnTo>
                <a:pt x="1251857" y="3292928"/>
              </a:lnTo>
              <a:lnTo>
                <a:pt x="3170464" y="1020536"/>
              </a:lnTo>
              <a:lnTo>
                <a:pt x="1905000" y="0"/>
              </a:lnTo>
              <a:lnTo>
                <a:pt x="1401536" y="639536"/>
              </a:lnTo>
              <a:lnTo>
                <a:pt x="2163536" y="1251857"/>
              </a:lnTo>
              <a:lnTo>
                <a:pt x="1156607" y="2408464"/>
              </a:lnTo>
              <a:lnTo>
                <a:pt x="421821" y="1850571"/>
              </a:lnTo>
              <a:close/>
            </a:path>
          </a:pathLst>
        </a:cu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917639</xdr:colOff>
      <xdr:row>565</xdr:row>
      <xdr:rowOff>24816</xdr:rowOff>
    </xdr:from>
    <xdr:to>
      <xdr:col>5</xdr:col>
      <xdr:colOff>284872</xdr:colOff>
      <xdr:row>570</xdr:row>
      <xdr:rowOff>50430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598521" y="106133316"/>
          <a:ext cx="2135086" cy="103414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800" b="1">
              <a:ln>
                <a:noFill/>
              </a:ln>
              <a:solidFill>
                <a:srgbClr val="FF0066"/>
              </a:solidFill>
            </a:rPr>
            <a:t>Building No. 1 A &amp; </a:t>
          </a:r>
          <a:r>
            <a:rPr lang="en-IN" sz="2800" b="1" baseline="0">
              <a:ln>
                <a:noFill/>
              </a:ln>
              <a:solidFill>
                <a:srgbClr val="FF0066"/>
              </a:solidFill>
            </a:rPr>
            <a:t> B Wing</a:t>
          </a:r>
          <a:endParaRPr lang="en-IN" sz="2800" b="1">
            <a:ln>
              <a:noFill/>
            </a:ln>
            <a:solidFill>
              <a:srgbClr val="FF0066"/>
            </a:solidFill>
          </a:endParaRPr>
        </a:p>
      </xdr:txBody>
    </xdr:sp>
    <xdr:clientData/>
  </xdr:twoCellAnchor>
  <xdr:twoCellAnchor>
    <xdr:from>
      <xdr:col>2</xdr:col>
      <xdr:colOff>296657</xdr:colOff>
      <xdr:row>569</xdr:row>
      <xdr:rowOff>34422</xdr:rowOff>
    </xdr:from>
    <xdr:to>
      <xdr:col>3</xdr:col>
      <xdr:colOff>783021</xdr:colOff>
      <xdr:row>575</xdr:row>
      <xdr:rowOff>103258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H="1">
          <a:off x="1977539" y="106949746"/>
          <a:ext cx="1405247" cy="127907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689883</xdr:colOff>
      <xdr:row>587</xdr:row>
      <xdr:rowOff>104859</xdr:rowOff>
    </xdr:from>
    <xdr:to>
      <xdr:col>7</xdr:col>
      <xdr:colOff>343227</xdr:colOff>
      <xdr:row>592</xdr:row>
      <xdr:rowOff>130472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298177" y="110650888"/>
          <a:ext cx="2174668" cy="103414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800" b="1">
              <a:ln>
                <a:noFill/>
              </a:ln>
              <a:solidFill>
                <a:srgbClr val="C00000"/>
              </a:solidFill>
            </a:rPr>
            <a:t>Building No. 2 A &amp; </a:t>
          </a:r>
          <a:r>
            <a:rPr lang="en-IN" sz="2800" b="1" baseline="0">
              <a:ln>
                <a:noFill/>
              </a:ln>
              <a:solidFill>
                <a:srgbClr val="C00000"/>
              </a:solidFill>
            </a:rPr>
            <a:t> B Wing</a:t>
          </a:r>
          <a:endParaRPr lang="en-IN" sz="2800" b="1">
            <a:ln>
              <a:noFill/>
            </a:ln>
            <a:solidFill>
              <a:srgbClr val="C00000"/>
            </a:solidFill>
          </a:endParaRPr>
        </a:p>
      </xdr:txBody>
    </xdr:sp>
    <xdr:clientData/>
  </xdr:twoCellAnchor>
  <xdr:twoCellAnchor>
    <xdr:from>
      <xdr:col>5</xdr:col>
      <xdr:colOff>107977</xdr:colOff>
      <xdr:row>587</xdr:row>
      <xdr:rowOff>118467</xdr:rowOff>
    </xdr:from>
    <xdr:to>
      <xdr:col>5</xdr:col>
      <xdr:colOff>660922</xdr:colOff>
      <xdr:row>590</xdr:row>
      <xdr:rowOff>44027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H="1" flipV="1">
          <a:off x="4556712" y="110664496"/>
          <a:ext cx="552945" cy="530678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459011</xdr:colOff>
      <xdr:row>624</xdr:row>
      <xdr:rowOff>115900</xdr:rowOff>
    </xdr:from>
    <xdr:to>
      <xdr:col>6</xdr:col>
      <xdr:colOff>954</xdr:colOff>
      <xdr:row>638</xdr:row>
      <xdr:rowOff>172016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77040" y="118528459"/>
          <a:ext cx="3999593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606</xdr:row>
      <xdr:rowOff>0</xdr:rowOff>
    </xdr:from>
    <xdr:to>
      <xdr:col>6</xdr:col>
      <xdr:colOff>440283</xdr:colOff>
      <xdr:row>623</xdr:row>
      <xdr:rowOff>171000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8029" y="114781853"/>
          <a:ext cx="491143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9</xdr:col>
      <xdr:colOff>584200</xdr:colOff>
      <xdr:row>515</xdr:row>
      <xdr:rowOff>171450</xdr:rowOff>
    </xdr:from>
    <xdr:ext cx="48898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648700" y="101473000"/>
          <a:ext cx="4889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Part I</a:t>
          </a:r>
        </a:p>
      </xdr:txBody>
    </xdr:sp>
    <xdr:clientData/>
  </xdr:oneCellAnchor>
  <xdr:twoCellAnchor>
    <xdr:from>
      <xdr:col>8</xdr:col>
      <xdr:colOff>637540</xdr:colOff>
      <xdr:row>517</xdr:row>
      <xdr:rowOff>99060</xdr:rowOff>
    </xdr:from>
    <xdr:to>
      <xdr:col>16</xdr:col>
      <xdr:colOff>397772</xdr:colOff>
      <xdr:row>549</xdr:row>
      <xdr:rowOff>53558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7164236" y="101991712"/>
          <a:ext cx="6129558" cy="6307259"/>
          <a:chOff x="241300" y="101612700"/>
          <a:chExt cx="6429002" cy="6247348"/>
        </a:xfrm>
      </xdr:grpSpPr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51989" y="10570004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1300" y="10570004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16944" y="105700048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8686" y="1016127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34554" y="1016127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 txBox="1"/>
        </xdr:nvSpPr>
        <xdr:spPr>
          <a:xfrm>
            <a:off x="2611186" y="101625400"/>
            <a:ext cx="48898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Part I</a:t>
            </a: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>
            <a:off x="1341186" y="102958900"/>
            <a:ext cx="52450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Part II</a:t>
            </a: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546100" y="106931948"/>
            <a:ext cx="92756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1A &amp; 1B</a:t>
            </a:r>
          </a:p>
        </xdr:txBody>
      </xdr:sp>
    </xdr:grpSp>
    <xdr:clientData/>
  </xdr:twoCellAnchor>
  <xdr:twoCellAnchor>
    <xdr:from>
      <xdr:col>0</xdr:col>
      <xdr:colOff>95475</xdr:colOff>
      <xdr:row>521</xdr:row>
      <xdr:rowOff>172122</xdr:rowOff>
    </xdr:from>
    <xdr:to>
      <xdr:col>7</xdr:col>
      <xdr:colOff>705075</xdr:colOff>
      <xdr:row>557</xdr:row>
      <xdr:rowOff>90552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75DB0148-F3D4-FB17-0EC7-6C40E596EE0B}"/>
            </a:ext>
          </a:extLst>
        </xdr:cNvPr>
        <xdr:cNvGrpSpPr/>
      </xdr:nvGrpSpPr>
      <xdr:grpSpPr>
        <a:xfrm>
          <a:off x="95475" y="102851622"/>
          <a:ext cx="6308035" cy="7074604"/>
          <a:chOff x="-50817" y="234751"/>
          <a:chExt cx="6908817" cy="7199116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6D7D6A7A-6908-8B1D-4AEB-292EFE1FB1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59576" y="2934309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F2CACE45-A03A-35B2-B483-131CC2F8E5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35233" y="2934309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F5477624-5CB0-06A0-0400-043A220A24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3919" y="2934309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22862B4A-E72C-602B-F40E-7128BEB1D1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3572" y="5633867"/>
            <a:ext cx="239809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A82B78B5-7F72-BF24-D0A3-48F183A06F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15016" y="5633867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6F89C22A-7D96-48EF-1728-3A1264A41E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29294" y="5633867"/>
            <a:ext cx="239809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6E53FA66-C14F-44BE-197C-78CB01A743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00666" y="234751"/>
            <a:ext cx="3357334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61C0EAD9-B710-EF74-041F-25D5D82437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50817" y="234751"/>
            <a:ext cx="3357334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2" name="TextBox 22">
            <a:extLst>
              <a:ext uri="{FF2B5EF4-FFF2-40B4-BE49-F238E27FC236}">
                <a16:creationId xmlns:a16="http://schemas.microsoft.com/office/drawing/2014/main" id="{553BABC5-4CC7-9FB4-CBD8-B22532A2A122}"/>
              </a:ext>
            </a:extLst>
          </xdr:cNvPr>
          <xdr:cNvSpPr txBox="1"/>
        </xdr:nvSpPr>
        <xdr:spPr>
          <a:xfrm>
            <a:off x="485884" y="470262"/>
            <a:ext cx="1786066" cy="2862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1"/>
              <a:t>Building 1A &amp; 1B</a:t>
            </a:r>
          </a:p>
        </xdr:txBody>
      </xdr:sp>
      <xdr:sp macro="" textlink="">
        <xdr:nvSpPr>
          <xdr:cNvPr id="23" name="TextBox 23">
            <a:extLst>
              <a:ext uri="{FF2B5EF4-FFF2-40B4-BE49-F238E27FC236}">
                <a16:creationId xmlns:a16="http://schemas.microsoft.com/office/drawing/2014/main" id="{BC40C34C-1AA9-27D6-36D6-62555C48665E}"/>
              </a:ext>
            </a:extLst>
          </xdr:cNvPr>
          <xdr:cNvSpPr txBox="1"/>
        </xdr:nvSpPr>
        <xdr:spPr>
          <a:xfrm>
            <a:off x="4586049" y="654928"/>
            <a:ext cx="1786066" cy="2862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1"/>
              <a:t>Building 1A &amp; 1B</a:t>
            </a:r>
          </a:p>
        </xdr:txBody>
      </xdr:sp>
      <xdr:sp macro="" textlink="">
        <xdr:nvSpPr>
          <xdr:cNvPr id="24" name="TextBox 24">
            <a:extLst>
              <a:ext uri="{FF2B5EF4-FFF2-40B4-BE49-F238E27FC236}">
                <a16:creationId xmlns:a16="http://schemas.microsoft.com/office/drawing/2014/main" id="{A7B6889B-4FBF-6C22-E86A-FD976BD0BDB9}"/>
              </a:ext>
            </a:extLst>
          </xdr:cNvPr>
          <xdr:cNvSpPr txBox="1"/>
        </xdr:nvSpPr>
        <xdr:spPr>
          <a:xfrm>
            <a:off x="682752" y="3182112"/>
            <a:ext cx="573109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050" b="1"/>
              <a:t>Part II</a:t>
            </a:r>
          </a:p>
        </xdr:txBody>
      </xdr:sp>
      <xdr:sp macro="" textlink="">
        <xdr:nvSpPr>
          <xdr:cNvPr id="25" name="TextBox 25">
            <a:extLst>
              <a:ext uri="{FF2B5EF4-FFF2-40B4-BE49-F238E27FC236}">
                <a16:creationId xmlns:a16="http://schemas.microsoft.com/office/drawing/2014/main" id="{D247FE81-7B8F-BB2A-B2A7-0E60716BDC4E}"/>
              </a:ext>
            </a:extLst>
          </xdr:cNvPr>
          <xdr:cNvSpPr txBox="1"/>
        </xdr:nvSpPr>
        <xdr:spPr>
          <a:xfrm>
            <a:off x="3666796" y="2988748"/>
            <a:ext cx="561276" cy="2862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1"/>
              <a:t>Part I</a:t>
            </a:r>
          </a:p>
        </xdr:txBody>
      </xdr:sp>
      <xdr:sp macro="" textlink="">
        <xdr:nvSpPr>
          <xdr:cNvPr id="31" name="TextBox 26">
            <a:extLst>
              <a:ext uri="{FF2B5EF4-FFF2-40B4-BE49-F238E27FC236}">
                <a16:creationId xmlns:a16="http://schemas.microsoft.com/office/drawing/2014/main" id="{A18F1B98-75C4-60A6-7592-CC860DDDB867}"/>
              </a:ext>
            </a:extLst>
          </xdr:cNvPr>
          <xdr:cNvSpPr txBox="1"/>
        </xdr:nvSpPr>
        <xdr:spPr>
          <a:xfrm>
            <a:off x="1627850" y="2988748"/>
            <a:ext cx="518069" cy="26228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050" b="1"/>
              <a:t>Part I</a:t>
            </a:r>
          </a:p>
        </xdr:txBody>
      </xdr:sp>
      <xdr:sp macro="" textlink="">
        <xdr:nvSpPr>
          <xdr:cNvPr id="35" name="TextBox 27">
            <a:extLst>
              <a:ext uri="{FF2B5EF4-FFF2-40B4-BE49-F238E27FC236}">
                <a16:creationId xmlns:a16="http://schemas.microsoft.com/office/drawing/2014/main" id="{D908C9E2-FE75-17F7-BC43-EE51EC54AA07}"/>
              </a:ext>
            </a:extLst>
          </xdr:cNvPr>
          <xdr:cNvSpPr txBox="1"/>
        </xdr:nvSpPr>
        <xdr:spPr>
          <a:xfrm>
            <a:off x="2755462" y="3166723"/>
            <a:ext cx="605996" cy="2862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1"/>
              <a:t>Part II</a:t>
            </a:r>
          </a:p>
        </xdr:txBody>
      </xdr:sp>
      <xdr:sp macro="" textlink="">
        <xdr:nvSpPr>
          <xdr:cNvPr id="36" name="TextBox 28">
            <a:extLst>
              <a:ext uri="{FF2B5EF4-FFF2-40B4-BE49-F238E27FC236}">
                <a16:creationId xmlns:a16="http://schemas.microsoft.com/office/drawing/2014/main" id="{DDE611BB-9836-73BE-78B7-C0C12E5FBEC5}"/>
              </a:ext>
            </a:extLst>
          </xdr:cNvPr>
          <xdr:cNvSpPr txBox="1"/>
        </xdr:nvSpPr>
        <xdr:spPr>
          <a:xfrm>
            <a:off x="5315014" y="2945983"/>
            <a:ext cx="715871" cy="2862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1"/>
              <a:t>Bldg 2B</a:t>
            </a:r>
          </a:p>
        </xdr:txBody>
      </xdr:sp>
    </xdr:grpSp>
    <xdr:clientData/>
  </xdr:twoCellAnchor>
  <xdr:twoCellAnchor editAs="oneCell">
    <xdr:from>
      <xdr:col>8</xdr:col>
      <xdr:colOff>686360</xdr:colOff>
      <xdr:row>44</xdr:row>
      <xdr:rowOff>112618</xdr:rowOff>
    </xdr:from>
    <xdr:to>
      <xdr:col>16</xdr:col>
      <xdr:colOff>582461</xdr:colOff>
      <xdr:row>64</xdr:row>
      <xdr:rowOff>94278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230595" y="10679765"/>
          <a:ext cx="6294660" cy="51139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K9nR2DEFifBxei5cA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605"/>
  <sheetViews>
    <sheetView tabSelected="1" view="pageBreakPreview" topLeftCell="A499" zoomScale="115" zoomScaleNormal="100" zoomScaleSheetLayoutView="115" zoomScalePageLayoutView="85" workbookViewId="0">
      <selection activeCell="J509" sqref="J509"/>
    </sheetView>
  </sheetViews>
  <sheetFormatPr defaultColWidth="9.28515625" defaultRowHeight="15.75" x14ac:dyDescent="0.25"/>
  <cols>
    <col min="1" max="1" width="11.42578125" style="38" customWidth="1"/>
    <col min="2" max="2" width="12" style="38" customWidth="1"/>
    <col min="3" max="3" width="12.7109375" style="38" customWidth="1"/>
    <col min="4" max="4" width="14.28515625" style="38" customWidth="1"/>
    <col min="5" max="7" width="11.7109375" style="38" customWidth="1"/>
    <col min="8" max="8" width="12.42578125" style="38" customWidth="1"/>
    <col min="9" max="9" width="17.42578125" style="19" customWidth="1"/>
    <col min="10" max="10" width="11.42578125" style="19" customWidth="1"/>
    <col min="11" max="11" width="10.5703125" style="19" bestFit="1" customWidth="1"/>
    <col min="12" max="12" width="10.5703125" style="19" customWidth="1"/>
    <col min="13" max="13" width="11.7109375" style="19" customWidth="1"/>
    <col min="14" max="14" width="12.5703125" style="19" customWidth="1"/>
    <col min="15" max="15" width="9.7109375" style="19" customWidth="1"/>
    <col min="16" max="16" width="11.7109375" style="19" customWidth="1"/>
    <col min="17" max="247" width="9.28515625" style="19"/>
    <col min="248" max="248" width="8.7109375" style="19" customWidth="1"/>
    <col min="249" max="249" width="9.7109375" style="19" customWidth="1"/>
    <col min="250" max="250" width="14.42578125" style="19" customWidth="1"/>
    <col min="251" max="251" width="7.28515625" style="19" customWidth="1"/>
    <col min="252" max="252" width="5.5703125" style="19" customWidth="1"/>
    <col min="253" max="253" width="9" style="19" customWidth="1"/>
    <col min="254" max="255" width="9.7109375" style="19" customWidth="1"/>
    <col min="256" max="256" width="11.28515625" style="19" customWidth="1"/>
    <col min="257" max="257" width="2.7109375" style="19" customWidth="1"/>
    <col min="258" max="258" width="3.5703125" style="19" customWidth="1"/>
    <col min="259" max="503" width="9.28515625" style="19"/>
    <col min="504" max="504" width="8.7109375" style="19" customWidth="1"/>
    <col min="505" max="505" width="9.7109375" style="19" customWidth="1"/>
    <col min="506" max="506" width="14.42578125" style="19" customWidth="1"/>
    <col min="507" max="507" width="7.28515625" style="19" customWidth="1"/>
    <col min="508" max="508" width="5.5703125" style="19" customWidth="1"/>
    <col min="509" max="509" width="9" style="19" customWidth="1"/>
    <col min="510" max="511" width="9.7109375" style="19" customWidth="1"/>
    <col min="512" max="512" width="11.28515625" style="19" customWidth="1"/>
    <col min="513" max="513" width="2.7109375" style="19" customWidth="1"/>
    <col min="514" max="514" width="3.5703125" style="19" customWidth="1"/>
    <col min="515" max="759" width="9.28515625" style="19"/>
    <col min="760" max="760" width="8.7109375" style="19" customWidth="1"/>
    <col min="761" max="761" width="9.7109375" style="19" customWidth="1"/>
    <col min="762" max="762" width="14.42578125" style="19" customWidth="1"/>
    <col min="763" max="763" width="7.28515625" style="19" customWidth="1"/>
    <col min="764" max="764" width="5.5703125" style="19" customWidth="1"/>
    <col min="765" max="765" width="9" style="19" customWidth="1"/>
    <col min="766" max="767" width="9.7109375" style="19" customWidth="1"/>
    <col min="768" max="768" width="11.28515625" style="19" customWidth="1"/>
    <col min="769" max="769" width="2.7109375" style="19" customWidth="1"/>
    <col min="770" max="770" width="3.5703125" style="19" customWidth="1"/>
    <col min="771" max="1015" width="9.28515625" style="19"/>
    <col min="1016" max="1016" width="8.7109375" style="19" customWidth="1"/>
    <col min="1017" max="1017" width="9.7109375" style="19" customWidth="1"/>
    <col min="1018" max="1018" width="14.42578125" style="19" customWidth="1"/>
    <col min="1019" max="1019" width="7.28515625" style="19" customWidth="1"/>
    <col min="1020" max="1020" width="5.5703125" style="19" customWidth="1"/>
    <col min="1021" max="1021" width="9" style="19" customWidth="1"/>
    <col min="1022" max="1023" width="9.7109375" style="19" customWidth="1"/>
    <col min="1024" max="1024" width="11.28515625" style="19" customWidth="1"/>
    <col min="1025" max="1025" width="2.7109375" style="19" customWidth="1"/>
    <col min="1026" max="1026" width="3.5703125" style="19" customWidth="1"/>
    <col min="1027" max="1271" width="9.28515625" style="19"/>
    <col min="1272" max="1272" width="8.7109375" style="19" customWidth="1"/>
    <col min="1273" max="1273" width="9.7109375" style="19" customWidth="1"/>
    <col min="1274" max="1274" width="14.42578125" style="19" customWidth="1"/>
    <col min="1275" max="1275" width="7.28515625" style="19" customWidth="1"/>
    <col min="1276" max="1276" width="5.5703125" style="19" customWidth="1"/>
    <col min="1277" max="1277" width="9" style="19" customWidth="1"/>
    <col min="1278" max="1279" width="9.7109375" style="19" customWidth="1"/>
    <col min="1280" max="1280" width="11.28515625" style="19" customWidth="1"/>
    <col min="1281" max="1281" width="2.7109375" style="19" customWidth="1"/>
    <col min="1282" max="1282" width="3.5703125" style="19" customWidth="1"/>
    <col min="1283" max="1527" width="9.28515625" style="19"/>
    <col min="1528" max="1528" width="8.7109375" style="19" customWidth="1"/>
    <col min="1529" max="1529" width="9.7109375" style="19" customWidth="1"/>
    <col min="1530" max="1530" width="14.42578125" style="19" customWidth="1"/>
    <col min="1531" max="1531" width="7.28515625" style="19" customWidth="1"/>
    <col min="1532" max="1532" width="5.5703125" style="19" customWidth="1"/>
    <col min="1533" max="1533" width="9" style="19" customWidth="1"/>
    <col min="1534" max="1535" width="9.7109375" style="19" customWidth="1"/>
    <col min="1536" max="1536" width="11.28515625" style="19" customWidth="1"/>
    <col min="1537" max="1537" width="2.7109375" style="19" customWidth="1"/>
    <col min="1538" max="1538" width="3.5703125" style="19" customWidth="1"/>
    <col min="1539" max="1783" width="9.28515625" style="19"/>
    <col min="1784" max="1784" width="8.7109375" style="19" customWidth="1"/>
    <col min="1785" max="1785" width="9.7109375" style="19" customWidth="1"/>
    <col min="1786" max="1786" width="14.42578125" style="19" customWidth="1"/>
    <col min="1787" max="1787" width="7.28515625" style="19" customWidth="1"/>
    <col min="1788" max="1788" width="5.5703125" style="19" customWidth="1"/>
    <col min="1789" max="1789" width="9" style="19" customWidth="1"/>
    <col min="1790" max="1791" width="9.7109375" style="19" customWidth="1"/>
    <col min="1792" max="1792" width="11.28515625" style="19" customWidth="1"/>
    <col min="1793" max="1793" width="2.7109375" style="19" customWidth="1"/>
    <col min="1794" max="1794" width="3.5703125" style="19" customWidth="1"/>
    <col min="1795" max="2039" width="9.28515625" style="19"/>
    <col min="2040" max="2040" width="8.7109375" style="19" customWidth="1"/>
    <col min="2041" max="2041" width="9.7109375" style="19" customWidth="1"/>
    <col min="2042" max="2042" width="14.42578125" style="19" customWidth="1"/>
    <col min="2043" max="2043" width="7.28515625" style="19" customWidth="1"/>
    <col min="2044" max="2044" width="5.5703125" style="19" customWidth="1"/>
    <col min="2045" max="2045" width="9" style="19" customWidth="1"/>
    <col min="2046" max="2047" width="9.7109375" style="19" customWidth="1"/>
    <col min="2048" max="2048" width="11.28515625" style="19" customWidth="1"/>
    <col min="2049" max="2049" width="2.7109375" style="19" customWidth="1"/>
    <col min="2050" max="2050" width="3.5703125" style="19" customWidth="1"/>
    <col min="2051" max="2295" width="9.28515625" style="19"/>
    <col min="2296" max="2296" width="8.7109375" style="19" customWidth="1"/>
    <col min="2297" max="2297" width="9.7109375" style="19" customWidth="1"/>
    <col min="2298" max="2298" width="14.42578125" style="19" customWidth="1"/>
    <col min="2299" max="2299" width="7.28515625" style="19" customWidth="1"/>
    <col min="2300" max="2300" width="5.5703125" style="19" customWidth="1"/>
    <col min="2301" max="2301" width="9" style="19" customWidth="1"/>
    <col min="2302" max="2303" width="9.7109375" style="19" customWidth="1"/>
    <col min="2304" max="2304" width="11.28515625" style="19" customWidth="1"/>
    <col min="2305" max="2305" width="2.7109375" style="19" customWidth="1"/>
    <col min="2306" max="2306" width="3.5703125" style="19" customWidth="1"/>
    <col min="2307" max="2551" width="9.28515625" style="19"/>
    <col min="2552" max="2552" width="8.7109375" style="19" customWidth="1"/>
    <col min="2553" max="2553" width="9.7109375" style="19" customWidth="1"/>
    <col min="2554" max="2554" width="14.42578125" style="19" customWidth="1"/>
    <col min="2555" max="2555" width="7.28515625" style="19" customWidth="1"/>
    <col min="2556" max="2556" width="5.5703125" style="19" customWidth="1"/>
    <col min="2557" max="2557" width="9" style="19" customWidth="1"/>
    <col min="2558" max="2559" width="9.7109375" style="19" customWidth="1"/>
    <col min="2560" max="2560" width="11.28515625" style="19" customWidth="1"/>
    <col min="2561" max="2561" width="2.7109375" style="19" customWidth="1"/>
    <col min="2562" max="2562" width="3.5703125" style="19" customWidth="1"/>
    <col min="2563" max="2807" width="9.28515625" style="19"/>
    <col min="2808" max="2808" width="8.7109375" style="19" customWidth="1"/>
    <col min="2809" max="2809" width="9.7109375" style="19" customWidth="1"/>
    <col min="2810" max="2810" width="14.42578125" style="19" customWidth="1"/>
    <col min="2811" max="2811" width="7.28515625" style="19" customWidth="1"/>
    <col min="2812" max="2812" width="5.5703125" style="19" customWidth="1"/>
    <col min="2813" max="2813" width="9" style="19" customWidth="1"/>
    <col min="2814" max="2815" width="9.7109375" style="19" customWidth="1"/>
    <col min="2816" max="2816" width="11.28515625" style="19" customWidth="1"/>
    <col min="2817" max="2817" width="2.7109375" style="19" customWidth="1"/>
    <col min="2818" max="2818" width="3.5703125" style="19" customWidth="1"/>
    <col min="2819" max="3063" width="9.28515625" style="19"/>
    <col min="3064" max="3064" width="8.7109375" style="19" customWidth="1"/>
    <col min="3065" max="3065" width="9.7109375" style="19" customWidth="1"/>
    <col min="3066" max="3066" width="14.42578125" style="19" customWidth="1"/>
    <col min="3067" max="3067" width="7.28515625" style="19" customWidth="1"/>
    <col min="3068" max="3068" width="5.5703125" style="19" customWidth="1"/>
    <col min="3069" max="3069" width="9" style="19" customWidth="1"/>
    <col min="3070" max="3071" width="9.7109375" style="19" customWidth="1"/>
    <col min="3072" max="3072" width="11.28515625" style="19" customWidth="1"/>
    <col min="3073" max="3073" width="2.7109375" style="19" customWidth="1"/>
    <col min="3074" max="3074" width="3.5703125" style="19" customWidth="1"/>
    <col min="3075" max="3319" width="9.28515625" style="19"/>
    <col min="3320" max="3320" width="8.7109375" style="19" customWidth="1"/>
    <col min="3321" max="3321" width="9.7109375" style="19" customWidth="1"/>
    <col min="3322" max="3322" width="14.42578125" style="19" customWidth="1"/>
    <col min="3323" max="3323" width="7.28515625" style="19" customWidth="1"/>
    <col min="3324" max="3324" width="5.5703125" style="19" customWidth="1"/>
    <col min="3325" max="3325" width="9" style="19" customWidth="1"/>
    <col min="3326" max="3327" width="9.7109375" style="19" customWidth="1"/>
    <col min="3328" max="3328" width="11.28515625" style="19" customWidth="1"/>
    <col min="3329" max="3329" width="2.7109375" style="19" customWidth="1"/>
    <col min="3330" max="3330" width="3.5703125" style="19" customWidth="1"/>
    <col min="3331" max="3575" width="9.28515625" style="19"/>
    <col min="3576" max="3576" width="8.7109375" style="19" customWidth="1"/>
    <col min="3577" max="3577" width="9.7109375" style="19" customWidth="1"/>
    <col min="3578" max="3578" width="14.42578125" style="19" customWidth="1"/>
    <col min="3579" max="3579" width="7.28515625" style="19" customWidth="1"/>
    <col min="3580" max="3580" width="5.5703125" style="19" customWidth="1"/>
    <col min="3581" max="3581" width="9" style="19" customWidth="1"/>
    <col min="3582" max="3583" width="9.7109375" style="19" customWidth="1"/>
    <col min="3584" max="3584" width="11.28515625" style="19" customWidth="1"/>
    <col min="3585" max="3585" width="2.7109375" style="19" customWidth="1"/>
    <col min="3586" max="3586" width="3.5703125" style="19" customWidth="1"/>
    <col min="3587" max="3831" width="9.28515625" style="19"/>
    <col min="3832" max="3832" width="8.7109375" style="19" customWidth="1"/>
    <col min="3833" max="3833" width="9.7109375" style="19" customWidth="1"/>
    <col min="3834" max="3834" width="14.42578125" style="19" customWidth="1"/>
    <col min="3835" max="3835" width="7.28515625" style="19" customWidth="1"/>
    <col min="3836" max="3836" width="5.5703125" style="19" customWidth="1"/>
    <col min="3837" max="3837" width="9" style="19" customWidth="1"/>
    <col min="3838" max="3839" width="9.7109375" style="19" customWidth="1"/>
    <col min="3840" max="3840" width="11.28515625" style="19" customWidth="1"/>
    <col min="3841" max="3841" width="2.7109375" style="19" customWidth="1"/>
    <col min="3842" max="3842" width="3.5703125" style="19" customWidth="1"/>
    <col min="3843" max="4087" width="9.28515625" style="19"/>
    <col min="4088" max="4088" width="8.7109375" style="19" customWidth="1"/>
    <col min="4089" max="4089" width="9.7109375" style="19" customWidth="1"/>
    <col min="4090" max="4090" width="14.42578125" style="19" customWidth="1"/>
    <col min="4091" max="4091" width="7.28515625" style="19" customWidth="1"/>
    <col min="4092" max="4092" width="5.5703125" style="19" customWidth="1"/>
    <col min="4093" max="4093" width="9" style="19" customWidth="1"/>
    <col min="4094" max="4095" width="9.7109375" style="19" customWidth="1"/>
    <col min="4096" max="4096" width="11.28515625" style="19" customWidth="1"/>
    <col min="4097" max="4097" width="2.7109375" style="19" customWidth="1"/>
    <col min="4098" max="4098" width="3.5703125" style="19" customWidth="1"/>
    <col min="4099" max="4343" width="9.28515625" style="19"/>
    <col min="4344" max="4344" width="8.7109375" style="19" customWidth="1"/>
    <col min="4345" max="4345" width="9.7109375" style="19" customWidth="1"/>
    <col min="4346" max="4346" width="14.42578125" style="19" customWidth="1"/>
    <col min="4347" max="4347" width="7.28515625" style="19" customWidth="1"/>
    <col min="4348" max="4348" width="5.5703125" style="19" customWidth="1"/>
    <col min="4349" max="4349" width="9" style="19" customWidth="1"/>
    <col min="4350" max="4351" width="9.7109375" style="19" customWidth="1"/>
    <col min="4352" max="4352" width="11.28515625" style="19" customWidth="1"/>
    <col min="4353" max="4353" width="2.7109375" style="19" customWidth="1"/>
    <col min="4354" max="4354" width="3.5703125" style="19" customWidth="1"/>
    <col min="4355" max="4599" width="9.28515625" style="19"/>
    <col min="4600" max="4600" width="8.7109375" style="19" customWidth="1"/>
    <col min="4601" max="4601" width="9.7109375" style="19" customWidth="1"/>
    <col min="4602" max="4602" width="14.42578125" style="19" customWidth="1"/>
    <col min="4603" max="4603" width="7.28515625" style="19" customWidth="1"/>
    <col min="4604" max="4604" width="5.5703125" style="19" customWidth="1"/>
    <col min="4605" max="4605" width="9" style="19" customWidth="1"/>
    <col min="4606" max="4607" width="9.7109375" style="19" customWidth="1"/>
    <col min="4608" max="4608" width="11.28515625" style="19" customWidth="1"/>
    <col min="4609" max="4609" width="2.7109375" style="19" customWidth="1"/>
    <col min="4610" max="4610" width="3.5703125" style="19" customWidth="1"/>
    <col min="4611" max="4855" width="9.28515625" style="19"/>
    <col min="4856" max="4856" width="8.7109375" style="19" customWidth="1"/>
    <col min="4857" max="4857" width="9.7109375" style="19" customWidth="1"/>
    <col min="4858" max="4858" width="14.42578125" style="19" customWidth="1"/>
    <col min="4859" max="4859" width="7.28515625" style="19" customWidth="1"/>
    <col min="4860" max="4860" width="5.5703125" style="19" customWidth="1"/>
    <col min="4861" max="4861" width="9" style="19" customWidth="1"/>
    <col min="4862" max="4863" width="9.7109375" style="19" customWidth="1"/>
    <col min="4864" max="4864" width="11.28515625" style="19" customWidth="1"/>
    <col min="4865" max="4865" width="2.7109375" style="19" customWidth="1"/>
    <col min="4866" max="4866" width="3.5703125" style="19" customWidth="1"/>
    <col min="4867" max="5111" width="9.28515625" style="19"/>
    <col min="5112" max="5112" width="8.7109375" style="19" customWidth="1"/>
    <col min="5113" max="5113" width="9.7109375" style="19" customWidth="1"/>
    <col min="5114" max="5114" width="14.42578125" style="19" customWidth="1"/>
    <col min="5115" max="5115" width="7.28515625" style="19" customWidth="1"/>
    <col min="5116" max="5116" width="5.5703125" style="19" customWidth="1"/>
    <col min="5117" max="5117" width="9" style="19" customWidth="1"/>
    <col min="5118" max="5119" width="9.7109375" style="19" customWidth="1"/>
    <col min="5120" max="5120" width="11.28515625" style="19" customWidth="1"/>
    <col min="5121" max="5121" width="2.7109375" style="19" customWidth="1"/>
    <col min="5122" max="5122" width="3.5703125" style="19" customWidth="1"/>
    <col min="5123" max="5367" width="9.28515625" style="19"/>
    <col min="5368" max="5368" width="8.7109375" style="19" customWidth="1"/>
    <col min="5369" max="5369" width="9.7109375" style="19" customWidth="1"/>
    <col min="5370" max="5370" width="14.42578125" style="19" customWidth="1"/>
    <col min="5371" max="5371" width="7.28515625" style="19" customWidth="1"/>
    <col min="5372" max="5372" width="5.5703125" style="19" customWidth="1"/>
    <col min="5373" max="5373" width="9" style="19" customWidth="1"/>
    <col min="5374" max="5375" width="9.7109375" style="19" customWidth="1"/>
    <col min="5376" max="5376" width="11.28515625" style="19" customWidth="1"/>
    <col min="5377" max="5377" width="2.7109375" style="19" customWidth="1"/>
    <col min="5378" max="5378" width="3.5703125" style="19" customWidth="1"/>
    <col min="5379" max="5623" width="9.28515625" style="19"/>
    <col min="5624" max="5624" width="8.7109375" style="19" customWidth="1"/>
    <col min="5625" max="5625" width="9.7109375" style="19" customWidth="1"/>
    <col min="5626" max="5626" width="14.42578125" style="19" customWidth="1"/>
    <col min="5627" max="5627" width="7.28515625" style="19" customWidth="1"/>
    <col min="5628" max="5628" width="5.5703125" style="19" customWidth="1"/>
    <col min="5629" max="5629" width="9" style="19" customWidth="1"/>
    <col min="5630" max="5631" width="9.7109375" style="19" customWidth="1"/>
    <col min="5632" max="5632" width="11.28515625" style="19" customWidth="1"/>
    <col min="5633" max="5633" width="2.7109375" style="19" customWidth="1"/>
    <col min="5634" max="5634" width="3.5703125" style="19" customWidth="1"/>
    <col min="5635" max="5879" width="9.28515625" style="19"/>
    <col min="5880" max="5880" width="8.7109375" style="19" customWidth="1"/>
    <col min="5881" max="5881" width="9.7109375" style="19" customWidth="1"/>
    <col min="5882" max="5882" width="14.42578125" style="19" customWidth="1"/>
    <col min="5883" max="5883" width="7.28515625" style="19" customWidth="1"/>
    <col min="5884" max="5884" width="5.5703125" style="19" customWidth="1"/>
    <col min="5885" max="5885" width="9" style="19" customWidth="1"/>
    <col min="5886" max="5887" width="9.7109375" style="19" customWidth="1"/>
    <col min="5888" max="5888" width="11.28515625" style="19" customWidth="1"/>
    <col min="5889" max="5889" width="2.7109375" style="19" customWidth="1"/>
    <col min="5890" max="5890" width="3.5703125" style="19" customWidth="1"/>
    <col min="5891" max="6135" width="9.28515625" style="19"/>
    <col min="6136" max="6136" width="8.7109375" style="19" customWidth="1"/>
    <col min="6137" max="6137" width="9.7109375" style="19" customWidth="1"/>
    <col min="6138" max="6138" width="14.42578125" style="19" customWidth="1"/>
    <col min="6139" max="6139" width="7.28515625" style="19" customWidth="1"/>
    <col min="6140" max="6140" width="5.5703125" style="19" customWidth="1"/>
    <col min="6141" max="6141" width="9" style="19" customWidth="1"/>
    <col min="6142" max="6143" width="9.7109375" style="19" customWidth="1"/>
    <col min="6144" max="6144" width="11.28515625" style="19" customWidth="1"/>
    <col min="6145" max="6145" width="2.7109375" style="19" customWidth="1"/>
    <col min="6146" max="6146" width="3.5703125" style="19" customWidth="1"/>
    <col min="6147" max="6391" width="9.28515625" style="19"/>
    <col min="6392" max="6392" width="8.7109375" style="19" customWidth="1"/>
    <col min="6393" max="6393" width="9.7109375" style="19" customWidth="1"/>
    <col min="6394" max="6394" width="14.42578125" style="19" customWidth="1"/>
    <col min="6395" max="6395" width="7.28515625" style="19" customWidth="1"/>
    <col min="6396" max="6396" width="5.5703125" style="19" customWidth="1"/>
    <col min="6397" max="6397" width="9" style="19" customWidth="1"/>
    <col min="6398" max="6399" width="9.7109375" style="19" customWidth="1"/>
    <col min="6400" max="6400" width="11.28515625" style="19" customWidth="1"/>
    <col min="6401" max="6401" width="2.7109375" style="19" customWidth="1"/>
    <col min="6402" max="6402" width="3.5703125" style="19" customWidth="1"/>
    <col min="6403" max="6647" width="9.28515625" style="19"/>
    <col min="6648" max="6648" width="8.7109375" style="19" customWidth="1"/>
    <col min="6649" max="6649" width="9.7109375" style="19" customWidth="1"/>
    <col min="6650" max="6650" width="14.42578125" style="19" customWidth="1"/>
    <col min="6651" max="6651" width="7.28515625" style="19" customWidth="1"/>
    <col min="6652" max="6652" width="5.5703125" style="19" customWidth="1"/>
    <col min="6653" max="6653" width="9" style="19" customWidth="1"/>
    <col min="6654" max="6655" width="9.7109375" style="19" customWidth="1"/>
    <col min="6656" max="6656" width="11.28515625" style="19" customWidth="1"/>
    <col min="6657" max="6657" width="2.7109375" style="19" customWidth="1"/>
    <col min="6658" max="6658" width="3.5703125" style="19" customWidth="1"/>
    <col min="6659" max="6903" width="9.28515625" style="19"/>
    <col min="6904" max="6904" width="8.7109375" style="19" customWidth="1"/>
    <col min="6905" max="6905" width="9.7109375" style="19" customWidth="1"/>
    <col min="6906" max="6906" width="14.42578125" style="19" customWidth="1"/>
    <col min="6907" max="6907" width="7.28515625" style="19" customWidth="1"/>
    <col min="6908" max="6908" width="5.5703125" style="19" customWidth="1"/>
    <col min="6909" max="6909" width="9" style="19" customWidth="1"/>
    <col min="6910" max="6911" width="9.7109375" style="19" customWidth="1"/>
    <col min="6912" max="6912" width="11.28515625" style="19" customWidth="1"/>
    <col min="6913" max="6913" width="2.7109375" style="19" customWidth="1"/>
    <col min="6914" max="6914" width="3.5703125" style="19" customWidth="1"/>
    <col min="6915" max="7159" width="9.28515625" style="19"/>
    <col min="7160" max="7160" width="8.7109375" style="19" customWidth="1"/>
    <col min="7161" max="7161" width="9.7109375" style="19" customWidth="1"/>
    <col min="7162" max="7162" width="14.42578125" style="19" customWidth="1"/>
    <col min="7163" max="7163" width="7.28515625" style="19" customWidth="1"/>
    <col min="7164" max="7164" width="5.5703125" style="19" customWidth="1"/>
    <col min="7165" max="7165" width="9" style="19" customWidth="1"/>
    <col min="7166" max="7167" width="9.7109375" style="19" customWidth="1"/>
    <col min="7168" max="7168" width="11.28515625" style="19" customWidth="1"/>
    <col min="7169" max="7169" width="2.7109375" style="19" customWidth="1"/>
    <col min="7170" max="7170" width="3.5703125" style="19" customWidth="1"/>
    <col min="7171" max="7415" width="9.28515625" style="19"/>
    <col min="7416" max="7416" width="8.7109375" style="19" customWidth="1"/>
    <col min="7417" max="7417" width="9.7109375" style="19" customWidth="1"/>
    <col min="7418" max="7418" width="14.42578125" style="19" customWidth="1"/>
    <col min="7419" max="7419" width="7.28515625" style="19" customWidth="1"/>
    <col min="7420" max="7420" width="5.5703125" style="19" customWidth="1"/>
    <col min="7421" max="7421" width="9" style="19" customWidth="1"/>
    <col min="7422" max="7423" width="9.7109375" style="19" customWidth="1"/>
    <col min="7424" max="7424" width="11.28515625" style="19" customWidth="1"/>
    <col min="7425" max="7425" width="2.7109375" style="19" customWidth="1"/>
    <col min="7426" max="7426" width="3.5703125" style="19" customWidth="1"/>
    <col min="7427" max="7671" width="9.28515625" style="19"/>
    <col min="7672" max="7672" width="8.7109375" style="19" customWidth="1"/>
    <col min="7673" max="7673" width="9.7109375" style="19" customWidth="1"/>
    <col min="7674" max="7674" width="14.42578125" style="19" customWidth="1"/>
    <col min="7675" max="7675" width="7.28515625" style="19" customWidth="1"/>
    <col min="7676" max="7676" width="5.5703125" style="19" customWidth="1"/>
    <col min="7677" max="7677" width="9" style="19" customWidth="1"/>
    <col min="7678" max="7679" width="9.7109375" style="19" customWidth="1"/>
    <col min="7680" max="7680" width="11.28515625" style="19" customWidth="1"/>
    <col min="7681" max="7681" width="2.7109375" style="19" customWidth="1"/>
    <col min="7682" max="7682" width="3.5703125" style="19" customWidth="1"/>
    <col min="7683" max="7927" width="9.28515625" style="19"/>
    <col min="7928" max="7928" width="8.7109375" style="19" customWidth="1"/>
    <col min="7929" max="7929" width="9.7109375" style="19" customWidth="1"/>
    <col min="7930" max="7930" width="14.42578125" style="19" customWidth="1"/>
    <col min="7931" max="7931" width="7.28515625" style="19" customWidth="1"/>
    <col min="7932" max="7932" width="5.5703125" style="19" customWidth="1"/>
    <col min="7933" max="7933" width="9" style="19" customWidth="1"/>
    <col min="7934" max="7935" width="9.7109375" style="19" customWidth="1"/>
    <col min="7936" max="7936" width="11.28515625" style="19" customWidth="1"/>
    <col min="7937" max="7937" width="2.7109375" style="19" customWidth="1"/>
    <col min="7938" max="7938" width="3.5703125" style="19" customWidth="1"/>
    <col min="7939" max="8183" width="9.28515625" style="19"/>
    <col min="8184" max="8184" width="8.7109375" style="19" customWidth="1"/>
    <col min="8185" max="8185" width="9.7109375" style="19" customWidth="1"/>
    <col min="8186" max="8186" width="14.42578125" style="19" customWidth="1"/>
    <col min="8187" max="8187" width="7.28515625" style="19" customWidth="1"/>
    <col min="8188" max="8188" width="5.5703125" style="19" customWidth="1"/>
    <col min="8189" max="8189" width="9" style="19" customWidth="1"/>
    <col min="8190" max="8191" width="9.7109375" style="19" customWidth="1"/>
    <col min="8192" max="8192" width="11.28515625" style="19" customWidth="1"/>
    <col min="8193" max="8193" width="2.7109375" style="19" customWidth="1"/>
    <col min="8194" max="8194" width="3.5703125" style="19" customWidth="1"/>
    <col min="8195" max="8439" width="9.28515625" style="19"/>
    <col min="8440" max="8440" width="8.7109375" style="19" customWidth="1"/>
    <col min="8441" max="8441" width="9.7109375" style="19" customWidth="1"/>
    <col min="8442" max="8442" width="14.42578125" style="19" customWidth="1"/>
    <col min="8443" max="8443" width="7.28515625" style="19" customWidth="1"/>
    <col min="8444" max="8444" width="5.5703125" style="19" customWidth="1"/>
    <col min="8445" max="8445" width="9" style="19" customWidth="1"/>
    <col min="8446" max="8447" width="9.7109375" style="19" customWidth="1"/>
    <col min="8448" max="8448" width="11.28515625" style="19" customWidth="1"/>
    <col min="8449" max="8449" width="2.7109375" style="19" customWidth="1"/>
    <col min="8450" max="8450" width="3.5703125" style="19" customWidth="1"/>
    <col min="8451" max="8695" width="9.28515625" style="19"/>
    <col min="8696" max="8696" width="8.7109375" style="19" customWidth="1"/>
    <col min="8697" max="8697" width="9.7109375" style="19" customWidth="1"/>
    <col min="8698" max="8698" width="14.42578125" style="19" customWidth="1"/>
    <col min="8699" max="8699" width="7.28515625" style="19" customWidth="1"/>
    <col min="8700" max="8700" width="5.5703125" style="19" customWidth="1"/>
    <col min="8701" max="8701" width="9" style="19" customWidth="1"/>
    <col min="8702" max="8703" width="9.7109375" style="19" customWidth="1"/>
    <col min="8704" max="8704" width="11.28515625" style="19" customWidth="1"/>
    <col min="8705" max="8705" width="2.7109375" style="19" customWidth="1"/>
    <col min="8706" max="8706" width="3.5703125" style="19" customWidth="1"/>
    <col min="8707" max="8951" width="9.28515625" style="19"/>
    <col min="8952" max="8952" width="8.7109375" style="19" customWidth="1"/>
    <col min="8953" max="8953" width="9.7109375" style="19" customWidth="1"/>
    <col min="8954" max="8954" width="14.42578125" style="19" customWidth="1"/>
    <col min="8955" max="8955" width="7.28515625" style="19" customWidth="1"/>
    <col min="8956" max="8956" width="5.5703125" style="19" customWidth="1"/>
    <col min="8957" max="8957" width="9" style="19" customWidth="1"/>
    <col min="8958" max="8959" width="9.7109375" style="19" customWidth="1"/>
    <col min="8960" max="8960" width="11.28515625" style="19" customWidth="1"/>
    <col min="8961" max="8961" width="2.7109375" style="19" customWidth="1"/>
    <col min="8962" max="8962" width="3.5703125" style="19" customWidth="1"/>
    <col min="8963" max="9207" width="9.28515625" style="19"/>
    <col min="9208" max="9208" width="8.7109375" style="19" customWidth="1"/>
    <col min="9209" max="9209" width="9.7109375" style="19" customWidth="1"/>
    <col min="9210" max="9210" width="14.42578125" style="19" customWidth="1"/>
    <col min="9211" max="9211" width="7.28515625" style="19" customWidth="1"/>
    <col min="9212" max="9212" width="5.5703125" style="19" customWidth="1"/>
    <col min="9213" max="9213" width="9" style="19" customWidth="1"/>
    <col min="9214" max="9215" width="9.7109375" style="19" customWidth="1"/>
    <col min="9216" max="9216" width="11.28515625" style="19" customWidth="1"/>
    <col min="9217" max="9217" width="2.7109375" style="19" customWidth="1"/>
    <col min="9218" max="9218" width="3.5703125" style="19" customWidth="1"/>
    <col min="9219" max="9463" width="9.28515625" style="19"/>
    <col min="9464" max="9464" width="8.7109375" style="19" customWidth="1"/>
    <col min="9465" max="9465" width="9.7109375" style="19" customWidth="1"/>
    <col min="9466" max="9466" width="14.42578125" style="19" customWidth="1"/>
    <col min="9467" max="9467" width="7.28515625" style="19" customWidth="1"/>
    <col min="9468" max="9468" width="5.5703125" style="19" customWidth="1"/>
    <col min="9469" max="9469" width="9" style="19" customWidth="1"/>
    <col min="9470" max="9471" width="9.7109375" style="19" customWidth="1"/>
    <col min="9472" max="9472" width="11.28515625" style="19" customWidth="1"/>
    <col min="9473" max="9473" width="2.7109375" style="19" customWidth="1"/>
    <col min="9474" max="9474" width="3.5703125" style="19" customWidth="1"/>
    <col min="9475" max="9719" width="9.28515625" style="19"/>
    <col min="9720" max="9720" width="8.7109375" style="19" customWidth="1"/>
    <col min="9721" max="9721" width="9.7109375" style="19" customWidth="1"/>
    <col min="9722" max="9722" width="14.42578125" style="19" customWidth="1"/>
    <col min="9723" max="9723" width="7.28515625" style="19" customWidth="1"/>
    <col min="9724" max="9724" width="5.5703125" style="19" customWidth="1"/>
    <col min="9725" max="9725" width="9" style="19" customWidth="1"/>
    <col min="9726" max="9727" width="9.7109375" style="19" customWidth="1"/>
    <col min="9728" max="9728" width="11.28515625" style="19" customWidth="1"/>
    <col min="9729" max="9729" width="2.7109375" style="19" customWidth="1"/>
    <col min="9730" max="9730" width="3.5703125" style="19" customWidth="1"/>
    <col min="9731" max="9975" width="9.28515625" style="19"/>
    <col min="9976" max="9976" width="8.7109375" style="19" customWidth="1"/>
    <col min="9977" max="9977" width="9.7109375" style="19" customWidth="1"/>
    <col min="9978" max="9978" width="14.42578125" style="19" customWidth="1"/>
    <col min="9979" max="9979" width="7.28515625" style="19" customWidth="1"/>
    <col min="9980" max="9980" width="5.5703125" style="19" customWidth="1"/>
    <col min="9981" max="9981" width="9" style="19" customWidth="1"/>
    <col min="9982" max="9983" width="9.7109375" style="19" customWidth="1"/>
    <col min="9984" max="9984" width="11.28515625" style="19" customWidth="1"/>
    <col min="9985" max="9985" width="2.7109375" style="19" customWidth="1"/>
    <col min="9986" max="9986" width="3.5703125" style="19" customWidth="1"/>
    <col min="9987" max="10231" width="9.28515625" style="19"/>
    <col min="10232" max="10232" width="8.7109375" style="19" customWidth="1"/>
    <col min="10233" max="10233" width="9.7109375" style="19" customWidth="1"/>
    <col min="10234" max="10234" width="14.42578125" style="19" customWidth="1"/>
    <col min="10235" max="10235" width="7.28515625" style="19" customWidth="1"/>
    <col min="10236" max="10236" width="5.5703125" style="19" customWidth="1"/>
    <col min="10237" max="10237" width="9" style="19" customWidth="1"/>
    <col min="10238" max="10239" width="9.7109375" style="19" customWidth="1"/>
    <col min="10240" max="10240" width="11.28515625" style="19" customWidth="1"/>
    <col min="10241" max="10241" width="2.7109375" style="19" customWidth="1"/>
    <col min="10242" max="10242" width="3.5703125" style="19" customWidth="1"/>
    <col min="10243" max="10487" width="9.28515625" style="19"/>
    <col min="10488" max="10488" width="8.7109375" style="19" customWidth="1"/>
    <col min="10489" max="10489" width="9.7109375" style="19" customWidth="1"/>
    <col min="10490" max="10490" width="14.42578125" style="19" customWidth="1"/>
    <col min="10491" max="10491" width="7.28515625" style="19" customWidth="1"/>
    <col min="10492" max="10492" width="5.5703125" style="19" customWidth="1"/>
    <col min="10493" max="10493" width="9" style="19" customWidth="1"/>
    <col min="10494" max="10495" width="9.7109375" style="19" customWidth="1"/>
    <col min="10496" max="10496" width="11.28515625" style="19" customWidth="1"/>
    <col min="10497" max="10497" width="2.7109375" style="19" customWidth="1"/>
    <col min="10498" max="10498" width="3.5703125" style="19" customWidth="1"/>
    <col min="10499" max="10743" width="9.28515625" style="19"/>
    <col min="10744" max="10744" width="8.7109375" style="19" customWidth="1"/>
    <col min="10745" max="10745" width="9.7109375" style="19" customWidth="1"/>
    <col min="10746" max="10746" width="14.42578125" style="19" customWidth="1"/>
    <col min="10747" max="10747" width="7.28515625" style="19" customWidth="1"/>
    <col min="10748" max="10748" width="5.5703125" style="19" customWidth="1"/>
    <col min="10749" max="10749" width="9" style="19" customWidth="1"/>
    <col min="10750" max="10751" width="9.7109375" style="19" customWidth="1"/>
    <col min="10752" max="10752" width="11.28515625" style="19" customWidth="1"/>
    <col min="10753" max="10753" width="2.7109375" style="19" customWidth="1"/>
    <col min="10754" max="10754" width="3.5703125" style="19" customWidth="1"/>
    <col min="10755" max="10999" width="9.28515625" style="19"/>
    <col min="11000" max="11000" width="8.7109375" style="19" customWidth="1"/>
    <col min="11001" max="11001" width="9.7109375" style="19" customWidth="1"/>
    <col min="11002" max="11002" width="14.42578125" style="19" customWidth="1"/>
    <col min="11003" max="11003" width="7.28515625" style="19" customWidth="1"/>
    <col min="11004" max="11004" width="5.5703125" style="19" customWidth="1"/>
    <col min="11005" max="11005" width="9" style="19" customWidth="1"/>
    <col min="11006" max="11007" width="9.7109375" style="19" customWidth="1"/>
    <col min="11008" max="11008" width="11.28515625" style="19" customWidth="1"/>
    <col min="11009" max="11009" width="2.7109375" style="19" customWidth="1"/>
    <col min="11010" max="11010" width="3.5703125" style="19" customWidth="1"/>
    <col min="11011" max="11255" width="9.28515625" style="19"/>
    <col min="11256" max="11256" width="8.7109375" style="19" customWidth="1"/>
    <col min="11257" max="11257" width="9.7109375" style="19" customWidth="1"/>
    <col min="11258" max="11258" width="14.42578125" style="19" customWidth="1"/>
    <col min="11259" max="11259" width="7.28515625" style="19" customWidth="1"/>
    <col min="11260" max="11260" width="5.5703125" style="19" customWidth="1"/>
    <col min="11261" max="11261" width="9" style="19" customWidth="1"/>
    <col min="11262" max="11263" width="9.7109375" style="19" customWidth="1"/>
    <col min="11264" max="11264" width="11.28515625" style="19" customWidth="1"/>
    <col min="11265" max="11265" width="2.7109375" style="19" customWidth="1"/>
    <col min="11266" max="11266" width="3.5703125" style="19" customWidth="1"/>
    <col min="11267" max="11511" width="9.28515625" style="19"/>
    <col min="11512" max="11512" width="8.7109375" style="19" customWidth="1"/>
    <col min="11513" max="11513" width="9.7109375" style="19" customWidth="1"/>
    <col min="11514" max="11514" width="14.42578125" style="19" customWidth="1"/>
    <col min="11515" max="11515" width="7.28515625" style="19" customWidth="1"/>
    <col min="11516" max="11516" width="5.5703125" style="19" customWidth="1"/>
    <col min="11517" max="11517" width="9" style="19" customWidth="1"/>
    <col min="11518" max="11519" width="9.7109375" style="19" customWidth="1"/>
    <col min="11520" max="11520" width="11.28515625" style="19" customWidth="1"/>
    <col min="11521" max="11521" width="2.7109375" style="19" customWidth="1"/>
    <col min="11522" max="11522" width="3.5703125" style="19" customWidth="1"/>
    <col min="11523" max="11767" width="9.28515625" style="19"/>
    <col min="11768" max="11768" width="8.7109375" style="19" customWidth="1"/>
    <col min="11769" max="11769" width="9.7109375" style="19" customWidth="1"/>
    <col min="11770" max="11770" width="14.42578125" style="19" customWidth="1"/>
    <col min="11771" max="11771" width="7.28515625" style="19" customWidth="1"/>
    <col min="11772" max="11772" width="5.5703125" style="19" customWidth="1"/>
    <col min="11773" max="11773" width="9" style="19" customWidth="1"/>
    <col min="11774" max="11775" width="9.7109375" style="19" customWidth="1"/>
    <col min="11776" max="11776" width="11.28515625" style="19" customWidth="1"/>
    <col min="11777" max="11777" width="2.7109375" style="19" customWidth="1"/>
    <col min="11778" max="11778" width="3.5703125" style="19" customWidth="1"/>
    <col min="11779" max="12023" width="9.28515625" style="19"/>
    <col min="12024" max="12024" width="8.7109375" style="19" customWidth="1"/>
    <col min="12025" max="12025" width="9.7109375" style="19" customWidth="1"/>
    <col min="12026" max="12026" width="14.42578125" style="19" customWidth="1"/>
    <col min="12027" max="12027" width="7.28515625" style="19" customWidth="1"/>
    <col min="12028" max="12028" width="5.5703125" style="19" customWidth="1"/>
    <col min="12029" max="12029" width="9" style="19" customWidth="1"/>
    <col min="12030" max="12031" width="9.7109375" style="19" customWidth="1"/>
    <col min="12032" max="12032" width="11.28515625" style="19" customWidth="1"/>
    <col min="12033" max="12033" width="2.7109375" style="19" customWidth="1"/>
    <col min="12034" max="12034" width="3.5703125" style="19" customWidth="1"/>
    <col min="12035" max="12279" width="9.28515625" style="19"/>
    <col min="12280" max="12280" width="8.7109375" style="19" customWidth="1"/>
    <col min="12281" max="12281" width="9.7109375" style="19" customWidth="1"/>
    <col min="12282" max="12282" width="14.42578125" style="19" customWidth="1"/>
    <col min="12283" max="12283" width="7.28515625" style="19" customWidth="1"/>
    <col min="12284" max="12284" width="5.5703125" style="19" customWidth="1"/>
    <col min="12285" max="12285" width="9" style="19" customWidth="1"/>
    <col min="12286" max="12287" width="9.7109375" style="19" customWidth="1"/>
    <col min="12288" max="12288" width="11.28515625" style="19" customWidth="1"/>
    <col min="12289" max="12289" width="2.7109375" style="19" customWidth="1"/>
    <col min="12290" max="12290" width="3.5703125" style="19" customWidth="1"/>
    <col min="12291" max="12535" width="9.28515625" style="19"/>
    <col min="12536" max="12536" width="8.7109375" style="19" customWidth="1"/>
    <col min="12537" max="12537" width="9.7109375" style="19" customWidth="1"/>
    <col min="12538" max="12538" width="14.42578125" style="19" customWidth="1"/>
    <col min="12539" max="12539" width="7.28515625" style="19" customWidth="1"/>
    <col min="12540" max="12540" width="5.5703125" style="19" customWidth="1"/>
    <col min="12541" max="12541" width="9" style="19" customWidth="1"/>
    <col min="12542" max="12543" width="9.7109375" style="19" customWidth="1"/>
    <col min="12544" max="12544" width="11.28515625" style="19" customWidth="1"/>
    <col min="12545" max="12545" width="2.7109375" style="19" customWidth="1"/>
    <col min="12546" max="12546" width="3.5703125" style="19" customWidth="1"/>
    <col min="12547" max="12791" width="9.28515625" style="19"/>
    <col min="12792" max="12792" width="8.7109375" style="19" customWidth="1"/>
    <col min="12793" max="12793" width="9.7109375" style="19" customWidth="1"/>
    <col min="12794" max="12794" width="14.42578125" style="19" customWidth="1"/>
    <col min="12795" max="12795" width="7.28515625" style="19" customWidth="1"/>
    <col min="12796" max="12796" width="5.5703125" style="19" customWidth="1"/>
    <col min="12797" max="12797" width="9" style="19" customWidth="1"/>
    <col min="12798" max="12799" width="9.7109375" style="19" customWidth="1"/>
    <col min="12800" max="12800" width="11.28515625" style="19" customWidth="1"/>
    <col min="12801" max="12801" width="2.7109375" style="19" customWidth="1"/>
    <col min="12802" max="12802" width="3.5703125" style="19" customWidth="1"/>
    <col min="12803" max="13047" width="9.28515625" style="19"/>
    <col min="13048" max="13048" width="8.7109375" style="19" customWidth="1"/>
    <col min="13049" max="13049" width="9.7109375" style="19" customWidth="1"/>
    <col min="13050" max="13050" width="14.42578125" style="19" customWidth="1"/>
    <col min="13051" max="13051" width="7.28515625" style="19" customWidth="1"/>
    <col min="13052" max="13052" width="5.5703125" style="19" customWidth="1"/>
    <col min="13053" max="13053" width="9" style="19" customWidth="1"/>
    <col min="13054" max="13055" width="9.7109375" style="19" customWidth="1"/>
    <col min="13056" max="13056" width="11.28515625" style="19" customWidth="1"/>
    <col min="13057" max="13057" width="2.7109375" style="19" customWidth="1"/>
    <col min="13058" max="13058" width="3.5703125" style="19" customWidth="1"/>
    <col min="13059" max="13303" width="9.28515625" style="19"/>
    <col min="13304" max="13304" width="8.7109375" style="19" customWidth="1"/>
    <col min="13305" max="13305" width="9.7109375" style="19" customWidth="1"/>
    <col min="13306" max="13306" width="14.42578125" style="19" customWidth="1"/>
    <col min="13307" max="13307" width="7.28515625" style="19" customWidth="1"/>
    <col min="13308" max="13308" width="5.5703125" style="19" customWidth="1"/>
    <col min="13309" max="13309" width="9" style="19" customWidth="1"/>
    <col min="13310" max="13311" width="9.7109375" style="19" customWidth="1"/>
    <col min="13312" max="13312" width="11.28515625" style="19" customWidth="1"/>
    <col min="13313" max="13313" width="2.7109375" style="19" customWidth="1"/>
    <col min="13314" max="13314" width="3.5703125" style="19" customWidth="1"/>
    <col min="13315" max="13559" width="9.28515625" style="19"/>
    <col min="13560" max="13560" width="8.7109375" style="19" customWidth="1"/>
    <col min="13561" max="13561" width="9.7109375" style="19" customWidth="1"/>
    <col min="13562" max="13562" width="14.42578125" style="19" customWidth="1"/>
    <col min="13563" max="13563" width="7.28515625" style="19" customWidth="1"/>
    <col min="13564" max="13564" width="5.5703125" style="19" customWidth="1"/>
    <col min="13565" max="13565" width="9" style="19" customWidth="1"/>
    <col min="13566" max="13567" width="9.7109375" style="19" customWidth="1"/>
    <col min="13568" max="13568" width="11.28515625" style="19" customWidth="1"/>
    <col min="13569" max="13569" width="2.7109375" style="19" customWidth="1"/>
    <col min="13570" max="13570" width="3.5703125" style="19" customWidth="1"/>
    <col min="13571" max="13815" width="9.28515625" style="19"/>
    <col min="13816" max="13816" width="8.7109375" style="19" customWidth="1"/>
    <col min="13817" max="13817" width="9.7109375" style="19" customWidth="1"/>
    <col min="13818" max="13818" width="14.42578125" style="19" customWidth="1"/>
    <col min="13819" max="13819" width="7.28515625" style="19" customWidth="1"/>
    <col min="13820" max="13820" width="5.5703125" style="19" customWidth="1"/>
    <col min="13821" max="13821" width="9" style="19" customWidth="1"/>
    <col min="13822" max="13823" width="9.7109375" style="19" customWidth="1"/>
    <col min="13824" max="13824" width="11.28515625" style="19" customWidth="1"/>
    <col min="13825" max="13825" width="2.7109375" style="19" customWidth="1"/>
    <col min="13826" max="13826" width="3.5703125" style="19" customWidth="1"/>
    <col min="13827" max="14071" width="9.28515625" style="19"/>
    <col min="14072" max="14072" width="8.7109375" style="19" customWidth="1"/>
    <col min="14073" max="14073" width="9.7109375" style="19" customWidth="1"/>
    <col min="14074" max="14074" width="14.42578125" style="19" customWidth="1"/>
    <col min="14075" max="14075" width="7.28515625" style="19" customWidth="1"/>
    <col min="14076" max="14076" width="5.5703125" style="19" customWidth="1"/>
    <col min="14077" max="14077" width="9" style="19" customWidth="1"/>
    <col min="14078" max="14079" width="9.7109375" style="19" customWidth="1"/>
    <col min="14080" max="14080" width="11.28515625" style="19" customWidth="1"/>
    <col min="14081" max="14081" width="2.7109375" style="19" customWidth="1"/>
    <col min="14082" max="14082" width="3.5703125" style="19" customWidth="1"/>
    <col min="14083" max="14327" width="9.28515625" style="19"/>
    <col min="14328" max="14328" width="8.7109375" style="19" customWidth="1"/>
    <col min="14329" max="14329" width="9.7109375" style="19" customWidth="1"/>
    <col min="14330" max="14330" width="14.42578125" style="19" customWidth="1"/>
    <col min="14331" max="14331" width="7.28515625" style="19" customWidth="1"/>
    <col min="14332" max="14332" width="5.5703125" style="19" customWidth="1"/>
    <col min="14333" max="14333" width="9" style="19" customWidth="1"/>
    <col min="14334" max="14335" width="9.7109375" style="19" customWidth="1"/>
    <col min="14336" max="14336" width="11.28515625" style="19" customWidth="1"/>
    <col min="14337" max="14337" width="2.7109375" style="19" customWidth="1"/>
    <col min="14338" max="14338" width="3.5703125" style="19" customWidth="1"/>
    <col min="14339" max="14583" width="9.28515625" style="19"/>
    <col min="14584" max="14584" width="8.7109375" style="19" customWidth="1"/>
    <col min="14585" max="14585" width="9.7109375" style="19" customWidth="1"/>
    <col min="14586" max="14586" width="14.42578125" style="19" customWidth="1"/>
    <col min="14587" max="14587" width="7.28515625" style="19" customWidth="1"/>
    <col min="14588" max="14588" width="5.5703125" style="19" customWidth="1"/>
    <col min="14589" max="14589" width="9" style="19" customWidth="1"/>
    <col min="14590" max="14591" width="9.7109375" style="19" customWidth="1"/>
    <col min="14592" max="14592" width="11.28515625" style="19" customWidth="1"/>
    <col min="14593" max="14593" width="2.7109375" style="19" customWidth="1"/>
    <col min="14594" max="14594" width="3.5703125" style="19" customWidth="1"/>
    <col min="14595" max="14839" width="9.28515625" style="19"/>
    <col min="14840" max="14840" width="8.7109375" style="19" customWidth="1"/>
    <col min="14841" max="14841" width="9.7109375" style="19" customWidth="1"/>
    <col min="14842" max="14842" width="14.42578125" style="19" customWidth="1"/>
    <col min="14843" max="14843" width="7.28515625" style="19" customWidth="1"/>
    <col min="14844" max="14844" width="5.5703125" style="19" customWidth="1"/>
    <col min="14845" max="14845" width="9" style="19" customWidth="1"/>
    <col min="14846" max="14847" width="9.7109375" style="19" customWidth="1"/>
    <col min="14848" max="14848" width="11.28515625" style="19" customWidth="1"/>
    <col min="14849" max="14849" width="2.7109375" style="19" customWidth="1"/>
    <col min="14850" max="14850" width="3.5703125" style="19" customWidth="1"/>
    <col min="14851" max="15095" width="9.28515625" style="19"/>
    <col min="15096" max="15096" width="8.7109375" style="19" customWidth="1"/>
    <col min="15097" max="15097" width="9.7109375" style="19" customWidth="1"/>
    <col min="15098" max="15098" width="14.42578125" style="19" customWidth="1"/>
    <col min="15099" max="15099" width="7.28515625" style="19" customWidth="1"/>
    <col min="15100" max="15100" width="5.5703125" style="19" customWidth="1"/>
    <col min="15101" max="15101" width="9" style="19" customWidth="1"/>
    <col min="15102" max="15103" width="9.7109375" style="19" customWidth="1"/>
    <col min="15104" max="15104" width="11.28515625" style="19" customWidth="1"/>
    <col min="15105" max="15105" width="2.7109375" style="19" customWidth="1"/>
    <col min="15106" max="15106" width="3.5703125" style="19" customWidth="1"/>
    <col min="15107" max="15351" width="9.28515625" style="19"/>
    <col min="15352" max="15352" width="8.7109375" style="19" customWidth="1"/>
    <col min="15353" max="15353" width="9.7109375" style="19" customWidth="1"/>
    <col min="15354" max="15354" width="14.42578125" style="19" customWidth="1"/>
    <col min="15355" max="15355" width="7.28515625" style="19" customWidth="1"/>
    <col min="15356" max="15356" width="5.5703125" style="19" customWidth="1"/>
    <col min="15357" max="15357" width="9" style="19" customWidth="1"/>
    <col min="15358" max="15359" width="9.7109375" style="19" customWidth="1"/>
    <col min="15360" max="15360" width="11.28515625" style="19" customWidth="1"/>
    <col min="15361" max="15361" width="2.7109375" style="19" customWidth="1"/>
    <col min="15362" max="15362" width="3.5703125" style="19" customWidth="1"/>
    <col min="15363" max="15607" width="9.28515625" style="19"/>
    <col min="15608" max="15608" width="8.7109375" style="19" customWidth="1"/>
    <col min="15609" max="15609" width="9.7109375" style="19" customWidth="1"/>
    <col min="15610" max="15610" width="14.42578125" style="19" customWidth="1"/>
    <col min="15611" max="15611" width="7.28515625" style="19" customWidth="1"/>
    <col min="15612" max="15612" width="5.5703125" style="19" customWidth="1"/>
    <col min="15613" max="15613" width="9" style="19" customWidth="1"/>
    <col min="15614" max="15615" width="9.7109375" style="19" customWidth="1"/>
    <col min="15616" max="15616" width="11.28515625" style="19" customWidth="1"/>
    <col min="15617" max="15617" width="2.7109375" style="19" customWidth="1"/>
    <col min="15618" max="15618" width="3.5703125" style="19" customWidth="1"/>
    <col min="15619" max="15863" width="9.28515625" style="19"/>
    <col min="15864" max="15864" width="8.7109375" style="19" customWidth="1"/>
    <col min="15865" max="15865" width="9.7109375" style="19" customWidth="1"/>
    <col min="15866" max="15866" width="14.42578125" style="19" customWidth="1"/>
    <col min="15867" max="15867" width="7.28515625" style="19" customWidth="1"/>
    <col min="15868" max="15868" width="5.5703125" style="19" customWidth="1"/>
    <col min="15869" max="15869" width="9" style="19" customWidth="1"/>
    <col min="15870" max="15871" width="9.7109375" style="19" customWidth="1"/>
    <col min="15872" max="15872" width="11.28515625" style="19" customWidth="1"/>
    <col min="15873" max="15873" width="2.7109375" style="19" customWidth="1"/>
    <col min="15874" max="15874" width="3.5703125" style="19" customWidth="1"/>
    <col min="15875" max="16119" width="9.28515625" style="19"/>
    <col min="16120" max="16120" width="8.7109375" style="19" customWidth="1"/>
    <col min="16121" max="16121" width="9.7109375" style="19" customWidth="1"/>
    <col min="16122" max="16122" width="14.42578125" style="19" customWidth="1"/>
    <col min="16123" max="16123" width="7.28515625" style="19" customWidth="1"/>
    <col min="16124" max="16124" width="5.5703125" style="19" customWidth="1"/>
    <col min="16125" max="16125" width="9" style="19" customWidth="1"/>
    <col min="16126" max="16127" width="9.7109375" style="19" customWidth="1"/>
    <col min="16128" max="16128" width="11.28515625" style="19" customWidth="1"/>
    <col min="16129" max="16129" width="2.7109375" style="19" customWidth="1"/>
    <col min="16130" max="16130" width="3.5703125" style="19" customWidth="1"/>
    <col min="16131" max="16384" width="9.28515625" style="19"/>
  </cols>
  <sheetData>
    <row r="1" spans="1:8" ht="46.5" customHeight="1" x14ac:dyDescent="0.25">
      <c r="A1" s="137" t="s">
        <v>170</v>
      </c>
      <c r="B1" s="137"/>
      <c r="C1" s="137"/>
      <c r="D1" s="137"/>
      <c r="E1" s="137"/>
      <c r="F1" s="137"/>
      <c r="G1" s="137"/>
      <c r="H1" s="137"/>
    </row>
    <row r="2" spans="1:8" ht="16.5" customHeight="1" x14ac:dyDescent="0.25">
      <c r="A2" s="99" t="s">
        <v>0</v>
      </c>
      <c r="B2" s="99"/>
      <c r="C2" s="99"/>
      <c r="D2" s="99"/>
      <c r="E2" s="99"/>
      <c r="F2" s="99"/>
      <c r="G2" s="99"/>
      <c r="H2" s="99"/>
    </row>
    <row r="3" spans="1:8" x14ac:dyDescent="0.25">
      <c r="A3" s="109" t="s">
        <v>1</v>
      </c>
      <c r="B3" s="109"/>
      <c r="C3" s="109"/>
      <c r="D3" s="109"/>
      <c r="E3" s="109" t="str">
        <f ca="1">TEXT(TODAY(),"DD/MM/YYYY")</f>
        <v>25/09/2025</v>
      </c>
      <c r="F3" s="109"/>
      <c r="G3" s="109"/>
      <c r="H3" s="109"/>
    </row>
    <row r="4" spans="1:8" ht="15" customHeight="1" x14ac:dyDescent="0.25">
      <c r="A4" s="109" t="s">
        <v>2</v>
      </c>
      <c r="B4" s="109"/>
      <c r="C4" s="109"/>
      <c r="D4" s="109"/>
      <c r="E4" s="109" t="s">
        <v>175</v>
      </c>
      <c r="F4" s="109"/>
      <c r="G4" s="109"/>
      <c r="H4" s="109"/>
    </row>
    <row r="5" spans="1:8" x14ac:dyDescent="0.25">
      <c r="A5" s="109" t="s">
        <v>3</v>
      </c>
      <c r="B5" s="109"/>
      <c r="C5" s="109"/>
      <c r="D5" s="109"/>
      <c r="E5" s="139">
        <v>45907</v>
      </c>
      <c r="F5" s="109"/>
      <c r="G5" s="109"/>
      <c r="H5" s="109"/>
    </row>
    <row r="6" spans="1:8" ht="16.5" customHeight="1" x14ac:dyDescent="0.25">
      <c r="A6" s="109" t="s">
        <v>4</v>
      </c>
      <c r="B6" s="109"/>
      <c r="C6" s="109"/>
      <c r="D6" s="109"/>
      <c r="E6" s="109" t="s">
        <v>177</v>
      </c>
      <c r="F6" s="109"/>
      <c r="G6" s="109"/>
      <c r="H6" s="109"/>
    </row>
    <row r="7" spans="1:8" ht="15" customHeight="1" x14ac:dyDescent="0.25">
      <c r="A7" s="109" t="s">
        <v>5</v>
      </c>
      <c r="B7" s="109"/>
      <c r="C7" s="109"/>
      <c r="D7" s="109"/>
      <c r="E7" s="109" t="str">
        <f>E6</f>
        <v>Maya Developer</v>
      </c>
      <c r="F7" s="109"/>
      <c r="G7" s="109"/>
      <c r="H7" s="109"/>
    </row>
    <row r="8" spans="1:8" x14ac:dyDescent="0.25">
      <c r="A8" s="109" t="s">
        <v>6</v>
      </c>
      <c r="B8" s="109"/>
      <c r="C8" s="109"/>
      <c r="D8" s="109"/>
      <c r="E8" s="138" t="s">
        <v>178</v>
      </c>
      <c r="F8" s="138"/>
      <c r="G8" s="138"/>
      <c r="H8" s="138"/>
    </row>
    <row r="9" spans="1:8" x14ac:dyDescent="0.25">
      <c r="A9" s="109" t="s">
        <v>173</v>
      </c>
      <c r="B9" s="109"/>
      <c r="C9" s="109"/>
      <c r="D9" s="109"/>
      <c r="E9" s="109" t="s">
        <v>179</v>
      </c>
      <c r="F9" s="109"/>
      <c r="G9" s="109"/>
      <c r="H9" s="109"/>
    </row>
    <row r="10" spans="1:8" x14ac:dyDescent="0.25">
      <c r="A10" s="109" t="s">
        <v>174</v>
      </c>
      <c r="B10" s="109"/>
      <c r="C10" s="109"/>
      <c r="D10" s="109"/>
      <c r="E10" s="109" t="s">
        <v>235</v>
      </c>
      <c r="F10" s="109"/>
      <c r="G10" s="109"/>
      <c r="H10" s="109"/>
    </row>
    <row r="11" spans="1:8" x14ac:dyDescent="0.25">
      <c r="A11" s="109" t="s">
        <v>7</v>
      </c>
      <c r="B11" s="109"/>
      <c r="C11" s="109"/>
      <c r="D11" s="109"/>
      <c r="E11" s="109" t="s">
        <v>181</v>
      </c>
      <c r="F11" s="109"/>
      <c r="G11" s="109"/>
      <c r="H11" s="109"/>
    </row>
    <row r="12" spans="1:8" x14ac:dyDescent="0.25">
      <c r="A12" s="83" t="s">
        <v>8</v>
      </c>
      <c r="B12" s="83"/>
      <c r="C12" s="83"/>
      <c r="D12" s="83"/>
      <c r="E12" s="115" t="s">
        <v>227</v>
      </c>
      <c r="F12" s="115"/>
      <c r="G12" s="115"/>
      <c r="H12" s="115"/>
    </row>
    <row r="13" spans="1:8" ht="52.5" customHeight="1" x14ac:dyDescent="0.25">
      <c r="A13" s="83" t="s">
        <v>9</v>
      </c>
      <c r="B13" s="83"/>
      <c r="C13" s="83"/>
      <c r="D13" s="83"/>
      <c r="E13" s="115" t="s">
        <v>180</v>
      </c>
      <c r="F13" s="109"/>
      <c r="G13" s="109"/>
      <c r="H13" s="109"/>
    </row>
    <row r="14" spans="1:8" ht="48.75" customHeight="1" x14ac:dyDescent="0.25">
      <c r="A14" s="115" t="s">
        <v>10</v>
      </c>
      <c r="B14" s="115"/>
      <c r="C14" s="115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Narayani Dham, Survey No.4/1/1, 4/1/2, 4/1/3, 4/2, 4/3/1, 4/3/2, 4/4, 69/1/5, near Chhatrapati Shivaji Maharaj Stadium, Sonale-Bapgaon Rd, Bhadwad, Bhadwad, Bhiwandi, Bhiwandi, Thane - 421302.</v>
      </c>
      <c r="D14" s="115"/>
      <c r="E14" s="115"/>
      <c r="F14" s="115"/>
      <c r="G14" s="115"/>
      <c r="H14" s="115"/>
    </row>
    <row r="15" spans="1:8" x14ac:dyDescent="0.25">
      <c r="A15" s="115" t="s">
        <v>183</v>
      </c>
      <c r="B15" s="115"/>
      <c r="C15" s="115" t="s">
        <v>182</v>
      </c>
      <c r="D15" s="115"/>
      <c r="E15" s="115"/>
      <c r="F15" s="115"/>
      <c r="G15" s="115"/>
      <c r="H15" s="115"/>
    </row>
    <row r="16" spans="1:8" ht="15.75" customHeight="1" x14ac:dyDescent="0.25">
      <c r="A16" s="115" t="s">
        <v>168</v>
      </c>
      <c r="B16" s="115"/>
      <c r="C16" s="115" t="s">
        <v>184</v>
      </c>
      <c r="D16" s="115"/>
      <c r="E16" s="115"/>
      <c r="F16" s="115"/>
      <c r="G16" s="115"/>
      <c r="H16" s="115"/>
    </row>
    <row r="17" spans="1:8" ht="15.75" customHeight="1" x14ac:dyDescent="0.25">
      <c r="A17" s="114" t="s">
        <v>11</v>
      </c>
      <c r="B17" s="114"/>
      <c r="C17" s="109" t="s">
        <v>185</v>
      </c>
      <c r="D17" s="109"/>
      <c r="E17" s="114" t="s">
        <v>75</v>
      </c>
      <c r="F17" s="114"/>
      <c r="G17" s="115" t="s">
        <v>184</v>
      </c>
      <c r="H17" s="115"/>
    </row>
    <row r="18" spans="1:8" x14ac:dyDescent="0.25">
      <c r="A18" s="83" t="s">
        <v>13</v>
      </c>
      <c r="B18" s="83"/>
      <c r="C18" s="115" t="s">
        <v>186</v>
      </c>
      <c r="D18" s="115"/>
      <c r="E18" s="114" t="s">
        <v>12</v>
      </c>
      <c r="F18" s="114"/>
      <c r="G18" s="140" t="s">
        <v>187</v>
      </c>
      <c r="H18" s="140"/>
    </row>
    <row r="19" spans="1:8" x14ac:dyDescent="0.25">
      <c r="A19" s="83" t="s">
        <v>76</v>
      </c>
      <c r="B19" s="83"/>
      <c r="C19" s="115" t="s">
        <v>186</v>
      </c>
      <c r="D19" s="115"/>
      <c r="E19" s="114" t="s">
        <v>14</v>
      </c>
      <c r="F19" s="114"/>
      <c r="G19" s="115">
        <v>421302</v>
      </c>
      <c r="H19" s="115"/>
    </row>
    <row r="20" spans="1:8" ht="32.25" customHeight="1" x14ac:dyDescent="0.25">
      <c r="A20" s="83" t="s">
        <v>127</v>
      </c>
      <c r="B20" s="83"/>
      <c r="C20" s="115" t="s">
        <v>188</v>
      </c>
      <c r="D20" s="115"/>
      <c r="E20" s="114" t="s">
        <v>15</v>
      </c>
      <c r="F20" s="114"/>
      <c r="G20" s="115" t="s">
        <v>189</v>
      </c>
      <c r="H20" s="115"/>
    </row>
    <row r="21" spans="1:8" ht="15" customHeight="1" x14ac:dyDescent="0.25">
      <c r="A21" s="114" t="s">
        <v>79</v>
      </c>
      <c r="B21" s="114"/>
      <c r="C21" s="114"/>
      <c r="D21" s="114"/>
      <c r="E21" s="109" t="s">
        <v>16</v>
      </c>
      <c r="F21" s="109"/>
      <c r="G21" s="109"/>
      <c r="H21" s="109"/>
    </row>
    <row r="22" spans="1:8" ht="18.75" customHeight="1" x14ac:dyDescent="0.25">
      <c r="A22" s="114"/>
      <c r="B22" s="114"/>
      <c r="C22" s="114"/>
      <c r="D22" s="114"/>
      <c r="E22" s="109"/>
      <c r="F22" s="109"/>
      <c r="G22" s="109"/>
      <c r="H22" s="109"/>
    </row>
    <row r="23" spans="1:8" ht="15" customHeight="1" x14ac:dyDescent="0.25">
      <c r="A23" s="114" t="s">
        <v>17</v>
      </c>
      <c r="B23" s="114"/>
      <c r="C23" s="114"/>
      <c r="D23" s="114"/>
      <c r="E23" s="115" t="s">
        <v>18</v>
      </c>
      <c r="F23" s="115"/>
      <c r="G23" s="115"/>
      <c r="H23" s="115"/>
    </row>
    <row r="24" spans="1:8" ht="15" customHeight="1" x14ac:dyDescent="0.25">
      <c r="A24" s="83" t="s">
        <v>19</v>
      </c>
      <c r="B24" s="83"/>
      <c r="C24" s="83"/>
      <c r="D24" s="83"/>
      <c r="E24" s="115" t="str">
        <f>IF(AND(G18="Mumbai"),"Upper Class","Middle Class")</f>
        <v>Middle Class</v>
      </c>
      <c r="F24" s="115"/>
      <c r="G24" s="115"/>
      <c r="H24" s="115"/>
    </row>
    <row r="25" spans="1:8" x14ac:dyDescent="0.25">
      <c r="A25" s="83" t="s">
        <v>20</v>
      </c>
      <c r="B25" s="83"/>
      <c r="C25" s="83"/>
      <c r="D25" s="83"/>
      <c r="E25" s="115" t="s">
        <v>21</v>
      </c>
      <c r="F25" s="115"/>
      <c r="G25" s="115"/>
      <c r="H25" s="115"/>
    </row>
    <row r="26" spans="1:8" ht="15.75" customHeight="1" x14ac:dyDescent="0.25">
      <c r="A26" s="83" t="s">
        <v>22</v>
      </c>
      <c r="B26" s="83"/>
      <c r="C26" s="83"/>
      <c r="D26" s="83"/>
      <c r="E26" s="115" t="str">
        <f>IF(AND(G18="Mumbai"),"Developed","Developing")</f>
        <v>Developing</v>
      </c>
      <c r="F26" s="115"/>
      <c r="G26" s="115"/>
      <c r="H26" s="115"/>
    </row>
    <row r="27" spans="1:8" x14ac:dyDescent="0.25">
      <c r="A27" s="83" t="s">
        <v>23</v>
      </c>
      <c r="B27" s="83"/>
      <c r="C27" s="83"/>
      <c r="D27" s="83"/>
      <c r="E27" s="115" t="s">
        <v>24</v>
      </c>
      <c r="F27" s="115"/>
      <c r="G27" s="115"/>
      <c r="H27" s="115"/>
    </row>
    <row r="28" spans="1:8" ht="15.75" customHeight="1" x14ac:dyDescent="0.25">
      <c r="A28" s="83" t="s">
        <v>84</v>
      </c>
      <c r="B28" s="83"/>
      <c r="C28" s="83"/>
      <c r="D28" s="83"/>
      <c r="E28" s="115" t="s">
        <v>85</v>
      </c>
      <c r="F28" s="115"/>
      <c r="G28" s="115"/>
      <c r="H28" s="115"/>
    </row>
    <row r="29" spans="1:8" ht="15" customHeight="1" x14ac:dyDescent="0.25">
      <c r="A29" s="83" t="s">
        <v>33</v>
      </c>
      <c r="B29" s="83"/>
      <c r="C29" s="83"/>
      <c r="D29" s="83"/>
      <c r="E29" s="115" t="str">
        <f>IF(AND(ISNUMBER(SEARCH("Flat",D61)),ISNUMBER(SEARCH("Shop",D61)),ISNUMBER(SEARCH("Office",D61))),"Residential + Commercial",IF(AND(ISNUMBER(SEARCH("Flat",D61)),ISNUMBER(SEARCH("Shop",D61))),"Residential + Commercial",IF(AND(ISNUMBER(SEARCH("Flat",D61)),ISNUMBER(SEARCH("Office",D61))),"Residential + Commercial",IF(AND(ISNUMBER(SEARCH("Shop",D61)),ISNUMBER(SEARCH("Office",D61))),"Commercial",IF(ISNUMBER(SEARCH("Shop",D61)),"Commercial",IF(ISNUMBER(SEARCH("Office",D61)),"Commercial",IF(ISNUMBER(SEARCH("Flat",D61)),"Residential")))))))</f>
        <v>Residential + Commercial</v>
      </c>
      <c r="F29" s="115"/>
      <c r="G29" s="115"/>
      <c r="H29" s="115"/>
    </row>
    <row r="30" spans="1:8" ht="15.75" customHeight="1" x14ac:dyDescent="0.25">
      <c r="A30" s="83" t="s">
        <v>96</v>
      </c>
      <c r="B30" s="83"/>
      <c r="C30" s="83"/>
      <c r="D30" s="83"/>
      <c r="E30" s="115" t="s">
        <v>34</v>
      </c>
      <c r="F30" s="115"/>
      <c r="G30" s="115"/>
      <c r="H30" s="115"/>
    </row>
    <row r="31" spans="1:8" s="20" customFormat="1" x14ac:dyDescent="0.25">
      <c r="A31" s="144" t="s">
        <v>97</v>
      </c>
      <c r="B31" s="144"/>
      <c r="C31" s="143" t="s">
        <v>29</v>
      </c>
      <c r="D31" s="143"/>
      <c r="E31" s="143"/>
      <c r="F31" s="143" t="s">
        <v>31</v>
      </c>
      <c r="G31" s="143"/>
      <c r="H31" s="143"/>
    </row>
    <row r="32" spans="1:8" s="20" customFormat="1" x14ac:dyDescent="0.25">
      <c r="A32" s="142" t="s">
        <v>25</v>
      </c>
      <c r="B32" s="142" t="s">
        <v>30</v>
      </c>
      <c r="C32" s="141" t="s">
        <v>30</v>
      </c>
      <c r="D32" s="141"/>
      <c r="E32" s="141"/>
      <c r="F32" s="141" t="s">
        <v>190</v>
      </c>
      <c r="G32" s="141"/>
      <c r="H32" s="141"/>
    </row>
    <row r="33" spans="1:8" s="50" customFormat="1" ht="32.25" customHeight="1" x14ac:dyDescent="0.25">
      <c r="A33" s="145" t="s">
        <v>26</v>
      </c>
      <c r="B33" s="145" t="s">
        <v>30</v>
      </c>
      <c r="C33" s="145" t="s">
        <v>30</v>
      </c>
      <c r="D33" s="145"/>
      <c r="E33" s="145"/>
      <c r="F33" s="146" t="s">
        <v>191</v>
      </c>
      <c r="G33" s="146"/>
      <c r="H33" s="146"/>
    </row>
    <row r="34" spans="1:8" s="20" customFormat="1" x14ac:dyDescent="0.25">
      <c r="A34" s="142" t="s">
        <v>28</v>
      </c>
      <c r="B34" s="142" t="s">
        <v>30</v>
      </c>
      <c r="C34" s="141" t="s">
        <v>30</v>
      </c>
      <c r="D34" s="141"/>
      <c r="E34" s="141"/>
      <c r="F34" s="141" t="s">
        <v>192</v>
      </c>
      <c r="G34" s="141"/>
      <c r="H34" s="141"/>
    </row>
    <row r="35" spans="1:8" x14ac:dyDescent="0.25">
      <c r="A35" s="142" t="s">
        <v>27</v>
      </c>
      <c r="B35" s="142" t="s">
        <v>30</v>
      </c>
      <c r="C35" s="141" t="s">
        <v>30</v>
      </c>
      <c r="D35" s="141"/>
      <c r="E35" s="141"/>
      <c r="F35" s="141" t="s">
        <v>193</v>
      </c>
      <c r="G35" s="141"/>
      <c r="H35" s="141"/>
    </row>
    <row r="36" spans="1:8" x14ac:dyDescent="0.25">
      <c r="A36" s="83" t="s">
        <v>32</v>
      </c>
      <c r="B36" s="83"/>
      <c r="C36" s="83"/>
      <c r="D36" s="83"/>
      <c r="E36" s="83"/>
      <c r="F36" s="83"/>
      <c r="G36" s="83"/>
      <c r="H36" s="83"/>
    </row>
    <row r="37" spans="1:8" ht="15.75" customHeight="1" x14ac:dyDescent="0.25">
      <c r="A37" s="132" t="s">
        <v>171</v>
      </c>
      <c r="B37" s="132"/>
      <c r="C37" s="83" t="s">
        <v>232</v>
      </c>
      <c r="D37" s="83"/>
      <c r="E37" s="83"/>
      <c r="F37" s="83"/>
      <c r="G37" s="83"/>
      <c r="H37" s="83"/>
    </row>
    <row r="38" spans="1:8" x14ac:dyDescent="0.25">
      <c r="A38" s="132" t="s">
        <v>167</v>
      </c>
      <c r="B38" s="132"/>
      <c r="C38" s="180" t="s">
        <v>194</v>
      </c>
      <c r="D38" s="115"/>
      <c r="E38" s="115"/>
      <c r="F38" s="115"/>
      <c r="G38" s="115"/>
      <c r="H38" s="115"/>
    </row>
    <row r="39" spans="1:8" x14ac:dyDescent="0.25">
      <c r="A39" s="132" t="s">
        <v>35</v>
      </c>
      <c r="B39" s="132"/>
      <c r="C39" s="132"/>
      <c r="D39" s="132"/>
      <c r="E39" s="132"/>
      <c r="F39" s="132"/>
      <c r="G39" s="132"/>
      <c r="H39" s="132"/>
    </row>
    <row r="40" spans="1:8" x14ac:dyDescent="0.25">
      <c r="A40" s="83" t="s">
        <v>36</v>
      </c>
      <c r="B40" s="83"/>
      <c r="C40" s="83"/>
      <c r="D40" s="83"/>
      <c r="E40" s="179">
        <v>17293.05</v>
      </c>
      <c r="F40" s="179"/>
      <c r="G40" s="179"/>
      <c r="H40" s="179"/>
    </row>
    <row r="41" spans="1:8" x14ac:dyDescent="0.25">
      <c r="A41" s="83" t="s">
        <v>37</v>
      </c>
      <c r="B41" s="83"/>
      <c r="C41" s="83"/>
      <c r="D41" s="83"/>
      <c r="E41" s="169">
        <v>2.5</v>
      </c>
      <c r="F41" s="169"/>
      <c r="G41" s="169"/>
      <c r="H41" s="169"/>
    </row>
    <row r="42" spans="1:8" x14ac:dyDescent="0.25">
      <c r="A42" s="83" t="s">
        <v>38</v>
      </c>
      <c r="B42" s="83"/>
      <c r="C42" s="83"/>
      <c r="D42" s="83"/>
      <c r="E42" s="169">
        <f>E44/E40-E41</f>
        <v>1.4646881261547273</v>
      </c>
      <c r="F42" s="169"/>
      <c r="G42" s="169"/>
      <c r="H42" s="169"/>
    </row>
    <row r="43" spans="1:8" x14ac:dyDescent="0.25">
      <c r="A43" s="83" t="s">
        <v>39</v>
      </c>
      <c r="B43" s="83"/>
      <c r="C43" s="83"/>
      <c r="D43" s="83"/>
      <c r="E43" s="169">
        <f>E41+E42</f>
        <v>3.9646881261547273</v>
      </c>
      <c r="F43" s="169"/>
      <c r="G43" s="169"/>
      <c r="H43" s="169"/>
    </row>
    <row r="44" spans="1:8" x14ac:dyDescent="0.25">
      <c r="A44" s="83" t="s">
        <v>95</v>
      </c>
      <c r="B44" s="83"/>
      <c r="C44" s="83"/>
      <c r="D44" s="83"/>
      <c r="E44" s="170">
        <v>68561.55</v>
      </c>
      <c r="F44" s="170"/>
      <c r="G44" s="170"/>
      <c r="H44" s="170"/>
    </row>
    <row r="45" spans="1:8" x14ac:dyDescent="0.25">
      <c r="A45" s="109" t="s">
        <v>40</v>
      </c>
      <c r="B45" s="109"/>
      <c r="C45" s="109"/>
      <c r="D45" s="109"/>
      <c r="E45" s="109" t="s">
        <v>243</v>
      </c>
      <c r="F45" s="109"/>
      <c r="G45" s="109"/>
      <c r="H45" s="109"/>
    </row>
    <row r="46" spans="1:8" x14ac:dyDescent="0.25">
      <c r="A46" s="132" t="s">
        <v>41</v>
      </c>
      <c r="B46" s="132"/>
      <c r="C46" s="132"/>
      <c r="D46" s="132"/>
      <c r="E46" s="132"/>
      <c r="F46" s="132"/>
      <c r="G46" s="132"/>
      <c r="H46" s="132"/>
    </row>
    <row r="47" spans="1:8" ht="33.75" customHeight="1" x14ac:dyDescent="0.25">
      <c r="A47" s="103" t="s">
        <v>156</v>
      </c>
      <c r="B47" s="101"/>
      <c r="C47" s="198" t="s">
        <v>246</v>
      </c>
      <c r="D47" s="199"/>
      <c r="E47" s="199"/>
      <c r="F47" s="199"/>
      <c r="G47" s="199"/>
      <c r="H47" s="200"/>
    </row>
    <row r="48" spans="1:8" ht="15.75" customHeight="1" x14ac:dyDescent="0.25">
      <c r="A48" s="103" t="s">
        <v>42</v>
      </c>
      <c r="B48" s="101"/>
      <c r="C48" s="103" t="s">
        <v>195</v>
      </c>
      <c r="D48" s="104"/>
      <c r="E48" s="101"/>
      <c r="F48" s="18" t="s">
        <v>43</v>
      </c>
      <c r="G48" s="100">
        <v>44902</v>
      </c>
      <c r="H48" s="101"/>
    </row>
    <row r="49" spans="1:14" x14ac:dyDescent="0.25">
      <c r="A49" s="103" t="s">
        <v>44</v>
      </c>
      <c r="B49" s="101"/>
      <c r="C49" s="103" t="str">
        <f>C48</f>
        <v>EE/BP/PMAY/A/MHADA/651/2022</v>
      </c>
      <c r="D49" s="104"/>
      <c r="E49" s="101"/>
      <c r="F49" s="18" t="s">
        <v>43</v>
      </c>
      <c r="G49" s="100">
        <f>G48</f>
        <v>44902</v>
      </c>
      <c r="H49" s="102"/>
    </row>
    <row r="50" spans="1:14" s="21" customFormat="1" ht="15.75" customHeight="1" x14ac:dyDescent="0.25">
      <c r="A50" s="147" t="s">
        <v>248</v>
      </c>
      <c r="B50" s="148"/>
      <c r="C50" s="103" t="s">
        <v>249</v>
      </c>
      <c r="D50" s="104"/>
      <c r="E50" s="101"/>
      <c r="F50" s="18" t="s">
        <v>43</v>
      </c>
      <c r="G50" s="100">
        <v>44923</v>
      </c>
      <c r="H50" s="102"/>
    </row>
    <row r="51" spans="1:14" s="21" customFormat="1" ht="49.5" customHeight="1" x14ac:dyDescent="0.25">
      <c r="A51" s="149"/>
      <c r="B51" s="150"/>
      <c r="C51" s="103" t="s">
        <v>251</v>
      </c>
      <c r="D51" s="104"/>
      <c r="E51" s="104"/>
      <c r="F51" s="104"/>
      <c r="G51" s="104"/>
      <c r="H51" s="101"/>
    </row>
    <row r="52" spans="1:14" s="21" customFormat="1" ht="15.75" customHeight="1" x14ac:dyDescent="0.25">
      <c r="A52" s="147" t="s">
        <v>248</v>
      </c>
      <c r="B52" s="148"/>
      <c r="C52" s="103" t="s">
        <v>233</v>
      </c>
      <c r="D52" s="104"/>
      <c r="E52" s="101"/>
      <c r="F52" s="18" t="s">
        <v>43</v>
      </c>
      <c r="G52" s="100">
        <v>45320</v>
      </c>
      <c r="H52" s="102"/>
    </row>
    <row r="53" spans="1:14" s="21" customFormat="1" x14ac:dyDescent="0.25">
      <c r="A53" s="149"/>
      <c r="B53" s="150"/>
      <c r="C53" s="103" t="s">
        <v>250</v>
      </c>
      <c r="D53" s="104"/>
      <c r="E53" s="104"/>
      <c r="F53" s="104"/>
      <c r="G53" s="104"/>
      <c r="H53" s="101"/>
    </row>
    <row r="54" spans="1:14" x14ac:dyDescent="0.25">
      <c r="A54" s="147" t="s">
        <v>247</v>
      </c>
      <c r="B54" s="148"/>
      <c r="C54" s="147" t="s">
        <v>236</v>
      </c>
      <c r="D54" s="202"/>
      <c r="E54" s="148"/>
      <c r="F54" s="18" t="s">
        <v>43</v>
      </c>
      <c r="G54" s="100">
        <v>45372</v>
      </c>
      <c r="H54" s="102"/>
    </row>
    <row r="55" spans="1:14" ht="31.5" x14ac:dyDescent="0.25">
      <c r="A55" s="149"/>
      <c r="B55" s="150"/>
      <c r="C55" s="149"/>
      <c r="D55" s="203"/>
      <c r="E55" s="150"/>
      <c r="F55" s="18" t="s">
        <v>126</v>
      </c>
      <c r="G55" s="100">
        <v>45653</v>
      </c>
      <c r="H55" s="101"/>
    </row>
    <row r="56" spans="1:14" x14ac:dyDescent="0.25">
      <c r="A56" s="147" t="s">
        <v>248</v>
      </c>
      <c r="B56" s="148"/>
      <c r="C56" s="103" t="s">
        <v>252</v>
      </c>
      <c r="D56" s="104"/>
      <c r="E56" s="101"/>
      <c r="F56" s="18" t="s">
        <v>43</v>
      </c>
      <c r="G56" s="100">
        <v>45373</v>
      </c>
      <c r="H56" s="102"/>
    </row>
    <row r="57" spans="1:14" x14ac:dyDescent="0.25">
      <c r="A57" s="149"/>
      <c r="B57" s="150"/>
      <c r="C57" s="103" t="s">
        <v>254</v>
      </c>
      <c r="D57" s="104"/>
      <c r="E57" s="104"/>
      <c r="F57" s="104"/>
      <c r="G57" s="104"/>
      <c r="H57" s="101"/>
      <c r="I57" s="22"/>
    </row>
    <row r="58" spans="1:14" ht="32.25" customHeight="1" x14ac:dyDescent="0.25">
      <c r="A58" s="110" t="s">
        <v>45</v>
      </c>
      <c r="B58" s="111"/>
      <c r="C58" s="110" t="s">
        <v>107</v>
      </c>
      <c r="D58" s="112"/>
      <c r="E58" s="111"/>
      <c r="F58" s="42" t="s">
        <v>43</v>
      </c>
      <c r="G58" s="116" t="s">
        <v>30</v>
      </c>
      <c r="H58" s="117"/>
    </row>
    <row r="59" spans="1:14" ht="15.75" customHeight="1" x14ac:dyDescent="0.25">
      <c r="A59" s="113" t="s">
        <v>47</v>
      </c>
      <c r="B59" s="113"/>
      <c r="C59" s="113"/>
      <c r="D59" s="113"/>
      <c r="E59" s="113"/>
      <c r="F59" s="113"/>
      <c r="G59" s="113"/>
      <c r="H59" s="113"/>
    </row>
    <row r="60" spans="1:14" ht="15.75" customHeight="1" x14ac:dyDescent="0.25">
      <c r="A60" s="114" t="s">
        <v>94</v>
      </c>
      <c r="B60" s="114"/>
      <c r="C60" s="114"/>
      <c r="D60" s="83">
        <f>E44</f>
        <v>68561.55</v>
      </c>
      <c r="E60" s="83"/>
      <c r="F60" s="83"/>
      <c r="G60" s="83"/>
      <c r="H60" s="83"/>
    </row>
    <row r="61" spans="1:14" ht="15.75" hidden="1" customHeight="1" x14ac:dyDescent="0.25">
      <c r="A61" s="115" t="s">
        <v>48</v>
      </c>
      <c r="B61" s="109"/>
      <c r="C61" s="109"/>
      <c r="D61" s="109" t="s">
        <v>224</v>
      </c>
      <c r="E61" s="109"/>
      <c r="F61" s="109"/>
      <c r="G61" s="109"/>
      <c r="H61" s="109"/>
    </row>
    <row r="62" spans="1:14" ht="34.5" customHeight="1" x14ac:dyDescent="0.25">
      <c r="A62" s="105" t="s">
        <v>49</v>
      </c>
      <c r="B62" s="106"/>
      <c r="C62" s="173"/>
      <c r="D62" s="171" t="s">
        <v>196</v>
      </c>
      <c r="E62" s="172"/>
      <c r="F62" s="172"/>
      <c r="G62" s="172"/>
      <c r="H62" s="172"/>
      <c r="J62" s="23"/>
      <c r="K62" s="22"/>
      <c r="N62" s="22"/>
    </row>
    <row r="63" spans="1:14" ht="15.75" customHeight="1" x14ac:dyDescent="0.25">
      <c r="A63" s="105" t="s">
        <v>92</v>
      </c>
      <c r="B63" s="106"/>
      <c r="C63" s="106"/>
      <c r="D63" s="109" t="s">
        <v>197</v>
      </c>
      <c r="E63" s="109"/>
      <c r="F63" s="109"/>
      <c r="G63" s="109"/>
      <c r="H63" s="109"/>
      <c r="N63" s="22"/>
    </row>
    <row r="64" spans="1:14" ht="15.75" customHeight="1" x14ac:dyDescent="0.25">
      <c r="A64" s="107"/>
      <c r="B64" s="108"/>
      <c r="C64" s="108"/>
      <c r="D64" s="109" t="s">
        <v>198</v>
      </c>
      <c r="E64" s="109"/>
      <c r="F64" s="109"/>
      <c r="G64" s="109"/>
      <c r="H64" s="109"/>
      <c r="J64" s="24"/>
      <c r="K64" s="24"/>
    </row>
    <row r="65" spans="1:14" ht="51.75" customHeight="1" x14ac:dyDescent="0.25">
      <c r="A65" s="83" t="s">
        <v>46</v>
      </c>
      <c r="B65" s="83"/>
      <c r="C65" s="83"/>
      <c r="D65" s="114" t="s">
        <v>242</v>
      </c>
      <c r="E65" s="114"/>
      <c r="F65" s="114"/>
      <c r="G65" s="114"/>
      <c r="H65" s="114"/>
      <c r="I65" s="25"/>
      <c r="J65" s="25"/>
      <c r="K65" s="25"/>
      <c r="L65" s="25"/>
      <c r="M65" s="25"/>
      <c r="N65" s="25"/>
    </row>
    <row r="66" spans="1:14" ht="15.75" customHeight="1" x14ac:dyDescent="0.25">
      <c r="A66" s="83" t="s">
        <v>90</v>
      </c>
      <c r="B66" s="83"/>
      <c r="C66" s="83"/>
      <c r="D66" s="168" t="str">
        <f>(IF(G58="NA","60 Years After Completion",IF(G58&lt;&gt;"NA",""&amp;60-ROUNDDOWN((E3-G58)/360,0)&amp;" Years"," ")))</f>
        <v>60 Years After Completion</v>
      </c>
      <c r="E66" s="168"/>
      <c r="F66" s="168"/>
      <c r="G66" s="168"/>
      <c r="H66" s="168"/>
      <c r="J66" s="24"/>
    </row>
    <row r="67" spans="1:14" ht="16.5" thickBot="1" x14ac:dyDescent="0.3">
      <c r="A67" s="83" t="s">
        <v>91</v>
      </c>
      <c r="B67" s="83"/>
      <c r="C67" s="83"/>
      <c r="D67" s="114" t="s">
        <v>24</v>
      </c>
      <c r="E67" s="114"/>
      <c r="F67" s="114"/>
      <c r="G67" s="114"/>
      <c r="H67" s="114"/>
    </row>
    <row r="68" spans="1:14" ht="49.5" customHeight="1" x14ac:dyDescent="0.25">
      <c r="A68" s="83" t="s">
        <v>77</v>
      </c>
      <c r="B68" s="83"/>
      <c r="C68" s="83"/>
      <c r="D68" s="115" t="s">
        <v>255</v>
      </c>
      <c r="E68" s="114"/>
      <c r="F68" s="114"/>
      <c r="G68" s="114"/>
      <c r="H68" s="114"/>
      <c r="I68" s="44" t="str">
        <f ca="1">IF(D85=100%,"All work Completed. Possession granted to the Building.",IF(D84=100%,"All work Completed, Waiting for OC",I69&amp;""&amp;I70&amp;""&amp;J69&amp;""&amp;J68&amp;" "&amp;J70))</f>
        <v xml:space="preserve">Excavation Completed, Plinth work is process </v>
      </c>
      <c r="J68" s="45" t="str">
        <f ca="1">(IF(C78=(D73+F73+H73),"",IF(C78&gt;0,", RCC upto "&amp;C78&amp;" Slab","")))&amp;(IF(C79=H73,"",IF(C79&gt;0,", Brickwork upto "&amp;C79&amp;" Floor","")))&amp;(IF(C80=H73,"",IF(C80&gt;0,", Internal Plaster upto "&amp;C80&amp;" Floor","")))&amp;(IF(C81=H73,"",IF(C81&gt;0,", External Plaster upto "&amp;C81&amp;" Floor","")))&amp;(IF(C82=H73,"",IF(C82&gt;0,", Flooring upto "&amp;C82&amp;" Floor","")))&amp;(IF(C83=H73,"",IF(C83&gt;0,", Painting upto "&amp;C83&amp;" Floor","")))&amp;(IF(C84=H73,"",IF(C84&gt;0,", Finishing upto "&amp;C84&amp;" Floor","")))&amp;(IF(C85=H73,"",IF(C85&gt;0,", Possession upto "&amp;C85&amp;" Floor","")))</f>
        <v/>
      </c>
    </row>
    <row r="69" spans="1:14" x14ac:dyDescent="0.25">
      <c r="A69" s="114" t="s">
        <v>153</v>
      </c>
      <c r="B69" s="114"/>
      <c r="C69" s="114"/>
      <c r="D69" s="114" t="s">
        <v>30</v>
      </c>
      <c r="E69" s="114"/>
      <c r="F69" s="114"/>
      <c r="G69" s="114"/>
      <c r="H69" s="114"/>
      <c r="I69" s="46" t="str">
        <f ca="1">IF(D76=100%,"Excavation","")&amp;IF(D77=100%,", Plinth","")&amp;IF(D78=100%,", RCC Slab","")&amp;IF(D79=100%,", Brickwork","")&amp;IF(D80=100%,", Internal Plaster","")&amp;IF(D81=100%,", External Plaster","")&amp;IF(D82=100%,", Flooring","")&amp;IF(D83=100%,", Painting","")&amp;IF(D84=100%,", Building common Amenities","")</f>
        <v>Excavation</v>
      </c>
      <c r="J69" s="47" t="str">
        <f ca="1">(IF(C76=0,"Work not yet Started.",IF(D76=25%,"Piling work in process",IF(D76=50%,"Excavation work in process",IF(D76=100%,"","0")))))&amp;(IF(C77=0%,"",IF(C77=J74,", Footing work is process",IF(C77=J75,", Footing work Completed",IF(C77=J76,", 1st Basement Completed",IF(C77=J77,", 1st &amp; 2nd Basement Completed",IF(C77=J78,", 1st to 3rd Basement Completed",IF(C77=J79,", 1st to 4th Basement Completed",IF(C77=J80,", Plinth work is process",IF(C77=J81,"","0"))))))))))</f>
        <v>, Plinth work is process</v>
      </c>
    </row>
    <row r="70" spans="1:14" x14ac:dyDescent="0.25">
      <c r="A70" s="174" t="s">
        <v>89</v>
      </c>
      <c r="B70" s="174"/>
      <c r="C70" s="174"/>
      <c r="D70" s="171" t="str">
        <f ca="1">(IF(G119&gt;95%,"Nothing",IF(G119&gt;0%,"Cement, Aggregate, Steel, etc",IF(G119=0%,"Work not yet Started"))))</f>
        <v>Cement, Aggregate, Steel, etc</v>
      </c>
      <c r="E70" s="171"/>
      <c r="F70" s="171"/>
      <c r="G70" s="171"/>
      <c r="H70" s="171"/>
      <c r="I70" s="46" t="str">
        <f ca="1">IF(I69&lt;&gt;""," Completed","")</f>
        <v xml:space="preserve"> Completed</v>
      </c>
      <c r="J70" s="47" t="str">
        <f ca="1">IF(J68&lt;&gt;"","Completed","")</f>
        <v/>
      </c>
    </row>
    <row r="71" spans="1:14" ht="15.75" customHeight="1" thickBot="1" x14ac:dyDescent="0.3">
      <c r="A71" s="175" t="s">
        <v>120</v>
      </c>
      <c r="B71" s="175"/>
      <c r="C71" s="175"/>
      <c r="D71" s="171" t="str">
        <f ca="1">(IF(D70="Nothing","Yes",IF(D70="Cement, Aggregate, Steel, etc","Under Construction",IF(D70="Work not yet Started","Work not yet Started"))))</f>
        <v>Under Construction</v>
      </c>
      <c r="E71" s="171"/>
      <c r="F71" s="171" t="str">
        <f ca="1">(IF(D70="Nothing","Yes",IF(D70="Cement, Aggregate, Steel, etc","Under Construction",IF(D70="Work not yet Started","Work not yet Started"))))</f>
        <v>Under Construction</v>
      </c>
      <c r="G71" s="171"/>
      <c r="H71" s="171"/>
      <c r="I71" s="14" t="s">
        <v>146</v>
      </c>
      <c r="J71" s="26">
        <f ca="1">H73*25%</f>
        <v>5.5</v>
      </c>
    </row>
    <row r="72" spans="1:14" x14ac:dyDescent="0.25">
      <c r="A72" s="118" t="s">
        <v>145</v>
      </c>
      <c r="B72" s="119"/>
      <c r="C72" s="120" t="str">
        <f>D63</f>
        <v>Building No. 1A &amp; 1B = Gr + 1st to 22nd Floor</v>
      </c>
      <c r="D72" s="121"/>
      <c r="E72" s="121"/>
      <c r="F72" s="121"/>
      <c r="G72" s="121"/>
      <c r="H72" s="122"/>
      <c r="I72" s="14" t="s">
        <v>102</v>
      </c>
      <c r="J72" s="27">
        <f ca="1">H73*50%</f>
        <v>11</v>
      </c>
    </row>
    <row r="73" spans="1:14" x14ac:dyDescent="0.25">
      <c r="A73" s="16" t="s">
        <v>147</v>
      </c>
      <c r="B73" s="48">
        <v>0</v>
      </c>
      <c r="C73" s="48" t="s">
        <v>74</v>
      </c>
      <c r="D73" s="48">
        <v>1</v>
      </c>
      <c r="E73" s="48" t="s">
        <v>73</v>
      </c>
      <c r="F73" s="48">
        <v>0</v>
      </c>
      <c r="G73" s="48" t="s">
        <v>83</v>
      </c>
      <c r="H73" s="17">
        <f ca="1">--TRIM(RIGHT(SUBSTITUTE(LEFT(C72,_xlfn.AGGREGATE(16,6,FIND({0,1,2,3,4,5,6,7,8,9},C72,ROW(INDIRECT("1:"&amp;LEN(C72)))),1))," ",REPT(" ",LEN(C72))),LEN(C72)))</f>
        <v>22</v>
      </c>
      <c r="I73" s="14" t="s">
        <v>103</v>
      </c>
      <c r="J73" s="27">
        <f ca="1">H73</f>
        <v>22</v>
      </c>
    </row>
    <row r="74" spans="1:14" ht="15.75" customHeight="1" x14ac:dyDescent="0.25">
      <c r="A74" s="153" t="s">
        <v>93</v>
      </c>
      <c r="B74" s="138"/>
      <c r="C74" s="154" t="str">
        <f ca="1">I68</f>
        <v xml:space="preserve">Excavation Completed, Plinth work is process </v>
      </c>
      <c r="D74" s="154"/>
      <c r="E74" s="154"/>
      <c r="F74" s="154"/>
      <c r="G74" s="154"/>
      <c r="H74" s="155"/>
      <c r="I74" s="14" t="s">
        <v>104</v>
      </c>
      <c r="J74" s="28">
        <f ca="1">(IF(B73&gt;1,(H73/(B73+2)),H73/4))</f>
        <v>5.5</v>
      </c>
    </row>
    <row r="75" spans="1:14" ht="15.75" customHeight="1" x14ac:dyDescent="0.25">
      <c r="A75" s="93" t="s">
        <v>50</v>
      </c>
      <c r="B75" s="94"/>
      <c r="C75" s="51" t="s">
        <v>144</v>
      </c>
      <c r="D75" s="51" t="s">
        <v>86</v>
      </c>
      <c r="E75" s="94" t="s">
        <v>88</v>
      </c>
      <c r="F75" s="94"/>
      <c r="G75" s="94" t="s">
        <v>87</v>
      </c>
      <c r="H75" s="156"/>
      <c r="I75" s="14" t="s">
        <v>105</v>
      </c>
      <c r="J75" s="28">
        <f ca="1">(IF(B73&gt;1,(H73/(B73+2)+J74),H73/4+J74))</f>
        <v>11</v>
      </c>
    </row>
    <row r="76" spans="1:14" ht="15.75" customHeight="1" x14ac:dyDescent="0.25">
      <c r="A76" s="93" t="s">
        <v>133</v>
      </c>
      <c r="B76" s="94"/>
      <c r="C76" s="51">
        <f ca="1">J73</f>
        <v>22</v>
      </c>
      <c r="D76" s="52">
        <f ca="1">((100/H73)*C76)/100</f>
        <v>1.0000000000000002</v>
      </c>
      <c r="E76" s="157">
        <f ca="1">(((C77/H73*10)+(40/(D73+F73+H73)*C78)+(7.5/(H73)*C79)+(7.5/(H73)*C80)+(10/H73*C81)+(10/H73*C82)+(5/H73*C83)+(5/H73*C84)+(5/H73*C85))/100)</f>
        <v>7.4999999999999997E-2</v>
      </c>
      <c r="F76" s="158"/>
      <c r="G76" s="157">
        <f ca="1">((((C76/H73)*20)+((C77/H73)*25)+(30/(H73+F73+D73)*C78)+(5/H73*C79)+(5/H73*C80)+(5/H73*C81)+(5/H73*C82)+(0/H73*C83)+(0/H73*C84)+(5/H73*C85))/100)</f>
        <v>0.38750000000000001</v>
      </c>
      <c r="H76" s="163"/>
      <c r="I76" s="14" t="s">
        <v>151</v>
      </c>
      <c r="J76" s="28">
        <f>(IF(B73&gt;1,(H73/(B73+2)+J75),0))</f>
        <v>0</v>
      </c>
    </row>
    <row r="77" spans="1:14" ht="15" customHeight="1" x14ac:dyDescent="0.25">
      <c r="A77" s="93" t="s">
        <v>51</v>
      </c>
      <c r="B77" s="94"/>
      <c r="C77" s="53">
        <f ca="1">J80</f>
        <v>16.5</v>
      </c>
      <c r="D77" s="52">
        <f ca="1">((100/H73)*C77)/100</f>
        <v>0.75</v>
      </c>
      <c r="E77" s="159"/>
      <c r="F77" s="160"/>
      <c r="G77" s="159"/>
      <c r="H77" s="164"/>
      <c r="I77" s="14" t="s">
        <v>148</v>
      </c>
      <c r="J77" s="28">
        <f>(IF(B73&gt;2,(H73/(B73+2)+J76),0))</f>
        <v>0</v>
      </c>
    </row>
    <row r="78" spans="1:14" ht="15.75" customHeight="1" x14ac:dyDescent="0.25">
      <c r="A78" s="204" t="s">
        <v>134</v>
      </c>
      <c r="B78" s="141"/>
      <c r="C78" s="51">
        <v>0</v>
      </c>
      <c r="D78" s="52">
        <f ca="1">((100/(D73+F73+H73))*C78)/100</f>
        <v>0</v>
      </c>
      <c r="E78" s="159"/>
      <c r="F78" s="160"/>
      <c r="G78" s="159"/>
      <c r="H78" s="164"/>
      <c r="I78" s="14" t="s">
        <v>149</v>
      </c>
      <c r="J78" s="29">
        <f>(IF(B73&gt;3,(H73/(B73+2)+J77),0))</f>
        <v>0</v>
      </c>
    </row>
    <row r="79" spans="1:14" ht="15.75" customHeight="1" x14ac:dyDescent="0.25">
      <c r="A79" s="204" t="s">
        <v>141</v>
      </c>
      <c r="B79" s="141" t="s">
        <v>135</v>
      </c>
      <c r="C79" s="51">
        <v>0</v>
      </c>
      <c r="D79" s="52">
        <f ca="1">((100/H73)*C79)/100</f>
        <v>0</v>
      </c>
      <c r="E79" s="159"/>
      <c r="F79" s="160"/>
      <c r="G79" s="159"/>
      <c r="H79" s="164"/>
      <c r="I79" s="14" t="s">
        <v>150</v>
      </c>
      <c r="J79" s="28">
        <f>(IF(B73&gt;4,(H73/(B73+2)+J78),0))</f>
        <v>0</v>
      </c>
    </row>
    <row r="80" spans="1:14" ht="15.75" customHeight="1" x14ac:dyDescent="0.25">
      <c r="A80" s="204" t="s">
        <v>142</v>
      </c>
      <c r="B80" s="141" t="s">
        <v>135</v>
      </c>
      <c r="C80" s="51">
        <v>0</v>
      </c>
      <c r="D80" s="52">
        <f ca="1">((100/H73)*C80)/100</f>
        <v>0</v>
      </c>
      <c r="E80" s="159"/>
      <c r="F80" s="160"/>
      <c r="G80" s="159"/>
      <c r="H80" s="164"/>
      <c r="I80" s="14" t="s">
        <v>152</v>
      </c>
      <c r="J80" s="28">
        <f ca="1">(IF(B73=1,(H73/(B73+3)+J75),IF(B73=0,(H73/4+J75),IF(B73&gt;1,0))))</f>
        <v>16.5</v>
      </c>
    </row>
    <row r="81" spans="1:10" ht="16.5" thickBot="1" x14ac:dyDescent="0.3">
      <c r="A81" s="204" t="s">
        <v>140</v>
      </c>
      <c r="B81" s="141" t="s">
        <v>137</v>
      </c>
      <c r="C81" s="51">
        <v>0</v>
      </c>
      <c r="D81" s="52">
        <f ca="1">((100/(H73))*C81)/100</f>
        <v>0</v>
      </c>
      <c r="E81" s="159"/>
      <c r="F81" s="160"/>
      <c r="G81" s="159"/>
      <c r="H81" s="164"/>
      <c r="I81" s="15" t="s">
        <v>106</v>
      </c>
      <c r="J81" s="30">
        <f ca="1">(IF(B73&gt;1.5,(H73/(B73+2)+J75+MAX(0,J76-J75)+MAX(0,J77-J76)+MAX(0,J78-J77)+MAX(0,J79-J78)+MAX(0,J80-J79)),IF(B73=1,(H73/(B73+3)+J80),IF(B73=0,H73/4+J80))))</f>
        <v>22</v>
      </c>
    </row>
    <row r="82" spans="1:10" ht="15.75" customHeight="1" x14ac:dyDescent="0.25">
      <c r="A82" s="204" t="s">
        <v>136</v>
      </c>
      <c r="B82" s="141" t="s">
        <v>136</v>
      </c>
      <c r="C82" s="51">
        <v>0</v>
      </c>
      <c r="D82" s="52">
        <f ca="1">((100/H73)*C82)/100</f>
        <v>0</v>
      </c>
      <c r="E82" s="159"/>
      <c r="F82" s="160"/>
      <c r="G82" s="159"/>
      <c r="H82" s="164"/>
      <c r="I82" s="44" t="str">
        <f ca="1">IF(D99=100%,"All work Completed. Possession granted to the Building.",IF(D98=100%,"All work Completed, Waiting for OC",I83&amp;""&amp;I84&amp;""&amp;J83&amp;""&amp;J82&amp;" "&amp;J84))</f>
        <v>Excavation, Plinth Completed, RCC upto 20 Slab, Brickwork upto 19 Floor, Internal Plaster upto 14.25 Floor, External Plaster upto 12.35 Floor Completed</v>
      </c>
      <c r="J82" s="45" t="str">
        <f ca="1">(IF(C92=(D87+F87+H87),"",IF(C92&gt;0,", RCC upto "&amp;C92&amp;" Slab","")))&amp;(IF(C93=H87,"",IF(C93&gt;0,", Brickwork upto "&amp;C93&amp;" Floor","")))&amp;(IF(C94=H87,"",IF(C94&gt;0,", Internal Plaster upto "&amp;C94&amp;" Floor","")))&amp;(IF(C95=H87,"",IF(C95&gt;0,", External Plaster upto "&amp;C95&amp;" Floor","")))&amp;(IF(C96=H87,"",IF(C96&gt;0,", Flooring upto "&amp;C96&amp;" Floor","")))&amp;(IF(C97=H87,"",IF(C97&gt;0,", Painting upto "&amp;C97&amp;" Floor","")))&amp;(IF(C98=H87,"",IF(C98&gt;0,", Finishing upto "&amp;C98&amp;" Floor","")))&amp;(IF(C99=H87,"",IF(C99&gt;0,", Possession upto "&amp;C99&amp;" Floor","")))</f>
        <v>, RCC upto 20 Slab, Brickwork upto 19 Floor, Internal Plaster upto 14.25 Floor, External Plaster upto 12.35 Floor</v>
      </c>
    </row>
    <row r="83" spans="1:10" x14ac:dyDescent="0.25">
      <c r="A83" s="204" t="s">
        <v>143</v>
      </c>
      <c r="B83" s="141"/>
      <c r="C83" s="51">
        <v>0</v>
      </c>
      <c r="D83" s="52">
        <f ca="1">((100/H73)*C83)/100</f>
        <v>0</v>
      </c>
      <c r="E83" s="159"/>
      <c r="F83" s="160"/>
      <c r="G83" s="159"/>
      <c r="H83" s="164"/>
      <c r="I83" s="46" t="str">
        <f ca="1">IF(D90=100%,"Excavation","")&amp;IF(D91=100%,", Plinth","")&amp;IF(D92=100%,", RCC Slab","")&amp;IF(D93=100%,", Brickwork","")&amp;IF(D94=100%,", Internal Plaster","")&amp;IF(D95=100%,", External Plaster","")&amp;IF(D96=100%,", Flooring","")&amp;IF(D97=100%,", Painting","")&amp;IF(D98=100%,", Building common Amenities","")</f>
        <v>Excavation, Plinth</v>
      </c>
      <c r="J83" s="47" t="str">
        <f ca="1">(IF(C90=0,"Work not yet Started.",IF(D90=25%,"Piling work in process",IF(D90=50%,"Excavation work in process",IF(D90=100%,"","0")))))&amp;(IF(C91=0%,"",IF(C91=J88,", Footing work is process",IF(C91=J89,", Footing work Completed",IF(C91=J90,", 1st Basement Completed",IF(C91=J91,", 1st &amp; 2nd Basement Completed",IF(C91=J92,", 1st to 3rd Basement Completed",IF(C91=J93,", 1st to 4th Basement Completed",IF(C91=J94,", Plinth work is process",IF(C91=J95,"","0"))))))))))</f>
        <v/>
      </c>
    </row>
    <row r="84" spans="1:10" x14ac:dyDescent="0.25">
      <c r="A84" s="204" t="s">
        <v>138</v>
      </c>
      <c r="B84" s="141" t="s">
        <v>138</v>
      </c>
      <c r="C84" s="51">
        <v>0</v>
      </c>
      <c r="D84" s="52">
        <f ca="1">((100/(H73))*C84)/100</f>
        <v>0</v>
      </c>
      <c r="E84" s="159"/>
      <c r="F84" s="160"/>
      <c r="G84" s="159"/>
      <c r="H84" s="164"/>
      <c r="I84" s="46" t="str">
        <f ca="1">IF(I83&lt;&gt;""," Completed","")</f>
        <v xml:space="preserve"> Completed</v>
      </c>
      <c r="J84" s="47" t="str">
        <f ca="1">IF(J82&lt;&gt;"","Completed","")</f>
        <v>Completed</v>
      </c>
    </row>
    <row r="85" spans="1:10" ht="15.75" customHeight="1" thickBot="1" x14ac:dyDescent="0.3">
      <c r="A85" s="205" t="s">
        <v>139</v>
      </c>
      <c r="B85" s="206"/>
      <c r="C85" s="54">
        <v>0</v>
      </c>
      <c r="D85" s="55">
        <f ca="1">((100/(H73))*C85)/100</f>
        <v>0</v>
      </c>
      <c r="E85" s="161"/>
      <c r="F85" s="162"/>
      <c r="G85" s="161"/>
      <c r="H85" s="165"/>
      <c r="I85" s="14" t="s">
        <v>146</v>
      </c>
      <c r="J85" s="26">
        <f ca="1">H87*25%</f>
        <v>5.75</v>
      </c>
    </row>
    <row r="86" spans="1:10" x14ac:dyDescent="0.25">
      <c r="A86" s="151" t="s">
        <v>145</v>
      </c>
      <c r="B86" s="152"/>
      <c r="C86" s="120" t="s">
        <v>238</v>
      </c>
      <c r="D86" s="121"/>
      <c r="E86" s="121"/>
      <c r="F86" s="121"/>
      <c r="G86" s="121"/>
      <c r="H86" s="122"/>
      <c r="I86" s="14" t="s">
        <v>102</v>
      </c>
      <c r="J86" s="27">
        <f ca="1">H87*50%</f>
        <v>11.5</v>
      </c>
    </row>
    <row r="87" spans="1:10" x14ac:dyDescent="0.25">
      <c r="A87" s="16" t="s">
        <v>147</v>
      </c>
      <c r="B87" s="48">
        <v>0</v>
      </c>
      <c r="C87" s="48" t="s">
        <v>74</v>
      </c>
      <c r="D87" s="48">
        <v>1</v>
      </c>
      <c r="E87" s="48" t="s">
        <v>73</v>
      </c>
      <c r="F87" s="48">
        <v>0</v>
      </c>
      <c r="G87" s="48" t="s">
        <v>83</v>
      </c>
      <c r="H87" s="17">
        <f ca="1">--TRIM(RIGHT(SUBSTITUTE(LEFT(C86,_xlfn.AGGREGATE(16,6,FIND({0,1,2,3,4,5,6,7,8,9},C86,ROW(INDIRECT("1:"&amp;LEN(C86)))),1))," ",REPT(" ",LEN(C86))),LEN(C86)))</f>
        <v>23</v>
      </c>
      <c r="I87" s="14" t="s">
        <v>103</v>
      </c>
      <c r="J87" s="27">
        <f ca="1">H87</f>
        <v>23</v>
      </c>
    </row>
    <row r="88" spans="1:10" ht="32.25" customHeight="1" x14ac:dyDescent="0.25">
      <c r="A88" s="153" t="s">
        <v>93</v>
      </c>
      <c r="B88" s="138"/>
      <c r="C88" s="154" t="str">
        <f ca="1">(IF($G$58="NA",I82,"All work Completed. OC Received."))</f>
        <v>Excavation, Plinth Completed, RCC upto 20 Slab, Brickwork upto 19 Floor, Internal Plaster upto 14.25 Floor, External Plaster upto 12.35 Floor Completed</v>
      </c>
      <c r="D88" s="154"/>
      <c r="E88" s="154"/>
      <c r="F88" s="154"/>
      <c r="G88" s="154"/>
      <c r="H88" s="155"/>
      <c r="I88" s="14" t="s">
        <v>104</v>
      </c>
      <c r="J88" s="28">
        <f ca="1">(IF(B87&gt;1,(H87/(B87+2)),H87/4))</f>
        <v>5.75</v>
      </c>
    </row>
    <row r="89" spans="1:10" ht="15.75" customHeight="1" x14ac:dyDescent="0.25">
      <c r="A89" s="97" t="s">
        <v>50</v>
      </c>
      <c r="B89" s="98"/>
      <c r="C89" s="51" t="s">
        <v>144</v>
      </c>
      <c r="D89" s="51" t="s">
        <v>86</v>
      </c>
      <c r="E89" s="94" t="s">
        <v>88</v>
      </c>
      <c r="F89" s="94"/>
      <c r="G89" s="94" t="s">
        <v>87</v>
      </c>
      <c r="H89" s="156"/>
      <c r="I89" s="14" t="s">
        <v>105</v>
      </c>
      <c r="J89" s="28">
        <f ca="1">(IF(B87&gt;1,(H87/(B87+2)+J88),H87/4+J88))</f>
        <v>11.5</v>
      </c>
    </row>
    <row r="90" spans="1:10" ht="15.75" customHeight="1" x14ac:dyDescent="0.25">
      <c r="A90" s="97" t="s">
        <v>133</v>
      </c>
      <c r="B90" s="98"/>
      <c r="C90" s="51">
        <f ca="1">J87</f>
        <v>23</v>
      </c>
      <c r="D90" s="52">
        <f ca="1">((100/H87)*C90)/100</f>
        <v>1</v>
      </c>
      <c r="E90" s="157">
        <f ca="1">(((C91/H87*10)+(40/(D87+F87+H87)*C92)+(7.5/(H87)*C93)+(7.5/(H87)*C94)+(10/H87*C95)+(10/H87*C96)+(5/H87*C97)+(5/H87*C98)+(5/H87*C99))/100)</f>
        <v>0.5954528985507247</v>
      </c>
      <c r="F90" s="158"/>
      <c r="G90" s="157">
        <f ca="1">((((C90/H87)*20)+((C91/H87)*25)+(30/(H87+F87+D87)*C92)+(5/H87*C93)+(5/H87*C94)+(5/H87*C95)+(5/H87*C96)+(0/H87*C97)+(0/H87*C98)+(5/H87*C99))/100)</f>
        <v>0.79913043478260859</v>
      </c>
      <c r="H90" s="163"/>
      <c r="I90" s="14" t="s">
        <v>151</v>
      </c>
      <c r="J90" s="28">
        <f>(IF(B87&gt;1,(H87/(B87+2)+J89),0))</f>
        <v>0</v>
      </c>
    </row>
    <row r="91" spans="1:10" ht="15" customHeight="1" x14ac:dyDescent="0.25">
      <c r="A91" s="97" t="s">
        <v>51</v>
      </c>
      <c r="B91" s="98"/>
      <c r="C91" s="51">
        <f ca="1">J95</f>
        <v>23</v>
      </c>
      <c r="D91" s="52">
        <f ca="1">((100/H87)*C91)/100</f>
        <v>1</v>
      </c>
      <c r="E91" s="159"/>
      <c r="F91" s="160"/>
      <c r="G91" s="159"/>
      <c r="H91" s="164"/>
      <c r="I91" s="14" t="s">
        <v>148</v>
      </c>
      <c r="J91" s="28">
        <f>(IF(B87&gt;2,(H87/(B87+2)+J90),0))</f>
        <v>0</v>
      </c>
    </row>
    <row r="92" spans="1:10" ht="15.75" customHeight="1" x14ac:dyDescent="0.25">
      <c r="A92" s="97" t="s">
        <v>134</v>
      </c>
      <c r="B92" s="98"/>
      <c r="C92" s="51">
        <v>20</v>
      </c>
      <c r="D92" s="52">
        <f ca="1">((100/(D87+F87+H87))*C92)/100</f>
        <v>0.83333333333333348</v>
      </c>
      <c r="E92" s="159"/>
      <c r="F92" s="160"/>
      <c r="G92" s="159"/>
      <c r="H92" s="164"/>
      <c r="I92" s="14" t="s">
        <v>149</v>
      </c>
      <c r="J92" s="29">
        <f>(IF(B87&gt;3,(H87/(B87+2)+J91),0))</f>
        <v>0</v>
      </c>
    </row>
    <row r="93" spans="1:10" ht="15.75" customHeight="1" x14ac:dyDescent="0.25">
      <c r="A93" s="97" t="s">
        <v>141</v>
      </c>
      <c r="B93" s="98" t="s">
        <v>135</v>
      </c>
      <c r="C93" s="51">
        <f>C92-1</f>
        <v>19</v>
      </c>
      <c r="D93" s="52">
        <f ca="1">((100/H87)*C93)/100</f>
        <v>0.82608695652173902</v>
      </c>
      <c r="E93" s="159"/>
      <c r="F93" s="160"/>
      <c r="G93" s="159"/>
      <c r="H93" s="164"/>
      <c r="I93" s="14" t="s">
        <v>150</v>
      </c>
      <c r="J93" s="28">
        <f>(IF(B87&gt;4,(H87/(B87+2)+J92),0))</f>
        <v>0</v>
      </c>
    </row>
    <row r="94" spans="1:10" ht="15.75" customHeight="1" x14ac:dyDescent="0.25">
      <c r="A94" s="207" t="s">
        <v>142</v>
      </c>
      <c r="B94" s="208" t="s">
        <v>135</v>
      </c>
      <c r="C94" s="53">
        <f>C93*0.75</f>
        <v>14.25</v>
      </c>
      <c r="D94" s="52">
        <f ca="1">((100/H87)*C94)/100</f>
        <v>0.61956521739130432</v>
      </c>
      <c r="E94" s="159"/>
      <c r="F94" s="160"/>
      <c r="G94" s="159"/>
      <c r="H94" s="164"/>
      <c r="I94" s="14" t="s">
        <v>152</v>
      </c>
      <c r="J94" s="28">
        <f ca="1">(IF(B87=1,(H87/(B87+3)+J89),IF(B87=0,(H87/4+J89),IF(B87&gt;1,0))))</f>
        <v>17.25</v>
      </c>
    </row>
    <row r="95" spans="1:10" ht="16.5" thickBot="1" x14ac:dyDescent="0.3">
      <c r="A95" s="207" t="s">
        <v>140</v>
      </c>
      <c r="B95" s="208" t="s">
        <v>137</v>
      </c>
      <c r="C95" s="53">
        <f>C93*0.65</f>
        <v>12.35</v>
      </c>
      <c r="D95" s="52">
        <f ca="1">((100/(H87))*C95)/100</f>
        <v>0.53695652173913044</v>
      </c>
      <c r="E95" s="159"/>
      <c r="F95" s="160"/>
      <c r="G95" s="159"/>
      <c r="H95" s="164"/>
      <c r="I95" s="15" t="s">
        <v>106</v>
      </c>
      <c r="J95" s="30">
        <f ca="1">(IF(B87&gt;1.5,(H87/(B87+2)+J89+MAX(0,J90-J89)+MAX(0,J91-J90)+MAX(0,J92-J91)+MAX(0,J93-J92)+MAX(0,J94-J93)),IF(B87=1,(H87/(B87+3)+J94),IF(B87=0,H87/4+J94))))</f>
        <v>23</v>
      </c>
    </row>
    <row r="96" spans="1:10" ht="15.75" customHeight="1" x14ac:dyDescent="0.25">
      <c r="A96" s="207" t="s">
        <v>136</v>
      </c>
      <c r="B96" s="208" t="s">
        <v>136</v>
      </c>
      <c r="C96" s="51">
        <v>0</v>
      </c>
      <c r="D96" s="52">
        <f ca="1">((100/H87)*C96)/100</f>
        <v>0</v>
      </c>
      <c r="E96" s="159"/>
      <c r="F96" s="160"/>
      <c r="G96" s="159"/>
      <c r="H96" s="164"/>
      <c r="I96" s="44" t="str">
        <f ca="1">IF(D113=100%,"All work Completed. Possession granted to the Building.",IF(D112=100%,"All work Completed, Waiting for OC",I97&amp;""&amp;I98&amp;""&amp;J97&amp;""&amp;J96&amp;" "&amp;J98))</f>
        <v>Excavation, Plinth Completed, RCC upto 16 Slab, Brickwork upto 15 Floor, Internal Plaster upto 11.25 Floor, External Plaster upto 9.75 Floor Completed</v>
      </c>
      <c r="J96" s="45" t="str">
        <f ca="1">(IF(C106=(D101+F101+H101),"",IF(C106&gt;0,", RCC upto "&amp;C106&amp;" Slab","")))&amp;(IF(C107=H101,"",IF(C107&gt;0,", Brickwork upto "&amp;C107&amp;" Floor","")))&amp;(IF(C108=H101,"",IF(C108&gt;0,", Internal Plaster upto "&amp;C108&amp;" Floor","")))&amp;(IF(C109=H101,"",IF(C109&gt;0,", External Plaster upto "&amp;C109&amp;" Floor","")))&amp;(IF(C110=H101,"",IF(C110&gt;0,", Flooring upto "&amp;C110&amp;" Floor","")))&amp;(IF(C111=H101,"",IF(C111&gt;0,", Painting upto "&amp;C111&amp;" Floor","")))&amp;(IF(C112=H101,"",IF(C112&gt;0,", Finishing upto "&amp;C112&amp;" Floor","")))&amp;(IF(C113=H101,"",IF(C113&gt;0,", Possession upto "&amp;C113&amp;" Floor","")))</f>
        <v>, RCC upto 16 Slab, Brickwork upto 15 Floor, Internal Plaster upto 11.25 Floor, External Plaster upto 9.75 Floor</v>
      </c>
    </row>
    <row r="97" spans="1:10" x14ac:dyDescent="0.25">
      <c r="A97" s="207" t="s">
        <v>143</v>
      </c>
      <c r="B97" s="208"/>
      <c r="C97" s="51">
        <v>0</v>
      </c>
      <c r="D97" s="52">
        <f ca="1">((100/H87)*C97)/100</f>
        <v>0</v>
      </c>
      <c r="E97" s="159"/>
      <c r="F97" s="160"/>
      <c r="G97" s="159"/>
      <c r="H97" s="164"/>
      <c r="I97" s="46" t="str">
        <f ca="1">IF(D104=100%,"Excavation","")&amp;IF(D105=100%,", Plinth","")&amp;IF(D106=100%,", RCC Slab","")&amp;IF(D107=100%,", Brickwork","")&amp;IF(D108=100%,", Internal Plaster","")&amp;IF(D109=100%,", External Plaster","")&amp;IF(D110=100%,", Flooring","")&amp;IF(D111=100%,", Painting","")&amp;IF(D112=100%,", Building common Amenities","")</f>
        <v>Excavation, Plinth</v>
      </c>
      <c r="J97" s="47" t="str">
        <f ca="1">(IF(C104=0,"Work not yet Started.",IF(D104=25%,"Piling work in process",IF(D104=50%,"Excavation work in process",IF(D104=100%,"","0")))))&amp;(IF(C105=0%,"",IF(C105=J102,", Footing work is process",IF(C105=J103,", Footing work Completed",IF(C105=J104,", 1st Basement Completed",IF(C105=J105,", 1st &amp; 2nd Basement Completed",IF(C105=J106,", 1st to 3rd Basement Completed",IF(C105=J107,", 1st to 4th Basement Completed",IF(C105=J108,", Plinth work is process",IF(C105=J109,"","0"))))))))))</f>
        <v/>
      </c>
    </row>
    <row r="98" spans="1:10" x14ac:dyDescent="0.25">
      <c r="A98" s="207" t="s">
        <v>138</v>
      </c>
      <c r="B98" s="208" t="s">
        <v>138</v>
      </c>
      <c r="C98" s="51">
        <v>0</v>
      </c>
      <c r="D98" s="52">
        <f ca="1">((100/(H87))*C98)/100</f>
        <v>0</v>
      </c>
      <c r="E98" s="159"/>
      <c r="F98" s="160"/>
      <c r="G98" s="159"/>
      <c r="H98" s="164"/>
      <c r="I98" s="46" t="str">
        <f ca="1">IF(I97&lt;&gt;""," Completed","")</f>
        <v xml:space="preserve"> Completed</v>
      </c>
      <c r="J98" s="47" t="str">
        <f ca="1">IF(J96&lt;&gt;"","Completed","")</f>
        <v>Completed</v>
      </c>
    </row>
    <row r="99" spans="1:10" ht="15.75" customHeight="1" thickBot="1" x14ac:dyDescent="0.3">
      <c r="A99" s="80" t="s">
        <v>139</v>
      </c>
      <c r="B99" s="81"/>
      <c r="C99" s="54">
        <v>0</v>
      </c>
      <c r="D99" s="55">
        <f ca="1">((100/(H87))*C99)/100</f>
        <v>0</v>
      </c>
      <c r="E99" s="161"/>
      <c r="F99" s="162"/>
      <c r="G99" s="161"/>
      <c r="H99" s="165"/>
      <c r="I99" s="14" t="s">
        <v>146</v>
      </c>
      <c r="J99" s="26">
        <f ca="1">H101*25%</f>
        <v>5.75</v>
      </c>
    </row>
    <row r="100" spans="1:10" x14ac:dyDescent="0.25">
      <c r="A100" s="151" t="s">
        <v>145</v>
      </c>
      <c r="B100" s="152"/>
      <c r="C100" s="120" t="s">
        <v>239</v>
      </c>
      <c r="D100" s="121"/>
      <c r="E100" s="121"/>
      <c r="F100" s="121"/>
      <c r="G100" s="121"/>
      <c r="H100" s="122"/>
      <c r="I100" s="14" t="s">
        <v>102</v>
      </c>
      <c r="J100" s="27">
        <f ca="1">H101*50%</f>
        <v>11.5</v>
      </c>
    </row>
    <row r="101" spans="1:10" x14ac:dyDescent="0.25">
      <c r="A101" s="16" t="s">
        <v>147</v>
      </c>
      <c r="B101" s="48">
        <v>0</v>
      </c>
      <c r="C101" s="48" t="s">
        <v>74</v>
      </c>
      <c r="D101" s="48">
        <v>1</v>
      </c>
      <c r="E101" s="48" t="s">
        <v>73</v>
      </c>
      <c r="F101" s="48">
        <v>0</v>
      </c>
      <c r="G101" s="48" t="s">
        <v>83</v>
      </c>
      <c r="H101" s="17">
        <f ca="1">--TRIM(RIGHT(SUBSTITUTE(LEFT(C100,_xlfn.AGGREGATE(16,6,FIND({0,1,2,3,4,5,6,7,8,9},C100,ROW(INDIRECT("1:"&amp;LEN(C100)))),1))," ",REPT(" ",LEN(C100))),LEN(C100)))</f>
        <v>23</v>
      </c>
      <c r="I101" s="14" t="s">
        <v>103</v>
      </c>
      <c r="J101" s="27">
        <f ca="1">H101</f>
        <v>23</v>
      </c>
    </row>
    <row r="102" spans="1:10" ht="31.5" customHeight="1" x14ac:dyDescent="0.25">
      <c r="A102" s="153" t="s">
        <v>93</v>
      </c>
      <c r="B102" s="138"/>
      <c r="C102" s="154" t="str">
        <f ca="1">(IF($G$58="NA",I96,"All work Completed. OC Received."))</f>
        <v>Excavation, Plinth Completed, RCC upto 16 Slab, Brickwork upto 15 Floor, Internal Plaster upto 11.25 Floor, External Plaster upto 9.75 Floor Completed</v>
      </c>
      <c r="D102" s="154"/>
      <c r="E102" s="154"/>
      <c r="F102" s="154"/>
      <c r="G102" s="154"/>
      <c r="H102" s="155"/>
      <c r="I102" s="14" t="s">
        <v>104</v>
      </c>
      <c r="J102" s="28">
        <f ca="1">(IF(B101&gt;1,(H101/(B101+2)),H101/4))</f>
        <v>5.75</v>
      </c>
    </row>
    <row r="103" spans="1:10" ht="15.75" customHeight="1" x14ac:dyDescent="0.25">
      <c r="A103" s="97" t="s">
        <v>50</v>
      </c>
      <c r="B103" s="98"/>
      <c r="C103" s="51" t="s">
        <v>144</v>
      </c>
      <c r="D103" s="51" t="s">
        <v>86</v>
      </c>
      <c r="E103" s="94" t="s">
        <v>88</v>
      </c>
      <c r="F103" s="94"/>
      <c r="G103" s="94" t="s">
        <v>87</v>
      </c>
      <c r="H103" s="156"/>
      <c r="I103" s="14" t="s">
        <v>105</v>
      </c>
      <c r="J103" s="28">
        <f ca="1">(IF(B101&gt;1,(H101/(B101+2)+J102),H101/4+J102))</f>
        <v>11.5</v>
      </c>
    </row>
    <row r="104" spans="1:10" ht="15.75" customHeight="1" x14ac:dyDescent="0.25">
      <c r="A104" s="97" t="s">
        <v>133</v>
      </c>
      <c r="B104" s="98"/>
      <c r="C104" s="51">
        <f ca="1">J101</f>
        <v>23</v>
      </c>
      <c r="D104" s="52">
        <f ca="1">((100/H101)*C104)/100</f>
        <v>1</v>
      </c>
      <c r="E104" s="157">
        <f ca="1">(((C105/H101*10)+(40/(D101+F101+H101)*C106)+(7.5/(H101)*C107)+(7.5/(H101)*C108)+(10/H101*C109)+(10/H101*C110)+(5/H101*C111)+(5/H101*C112)+(5/H101*C113))/100)</f>
        <v>0.4946557971014493</v>
      </c>
      <c r="F104" s="158"/>
      <c r="G104" s="157">
        <f ca="1">((((C104/H101)*20)+((C105/H101)*25)+(30/(H101+F101+D101)*C106)+(5/H101*C107)+(5/H101*C108)+(5/H101*C109)+(5/H101*C110)+(0/H101*C111)+(0/H101*C112)+(5/H101*C113))/100)</f>
        <v>0.72826086956521729</v>
      </c>
      <c r="H104" s="163"/>
      <c r="I104" s="14" t="s">
        <v>151</v>
      </c>
      <c r="J104" s="28">
        <f>(IF(B101&gt;1,(H101/(B101+2)+J103),0))</f>
        <v>0</v>
      </c>
    </row>
    <row r="105" spans="1:10" ht="15" customHeight="1" x14ac:dyDescent="0.25">
      <c r="A105" s="97" t="s">
        <v>51</v>
      </c>
      <c r="B105" s="98"/>
      <c r="C105" s="53">
        <f ca="1">J109</f>
        <v>23</v>
      </c>
      <c r="D105" s="52">
        <f ca="1">((100/H101)*C105)/100</f>
        <v>1</v>
      </c>
      <c r="E105" s="159"/>
      <c r="F105" s="160"/>
      <c r="G105" s="159"/>
      <c r="H105" s="164"/>
      <c r="I105" s="14" t="s">
        <v>148</v>
      </c>
      <c r="J105" s="28">
        <f>(IF(B101&gt;2,(H101/(B101+2)+J104),0))</f>
        <v>0</v>
      </c>
    </row>
    <row r="106" spans="1:10" ht="15.75" customHeight="1" x14ac:dyDescent="0.25">
      <c r="A106" s="97" t="s">
        <v>134</v>
      </c>
      <c r="B106" s="98"/>
      <c r="C106" s="51">
        <v>16</v>
      </c>
      <c r="D106" s="52">
        <f ca="1">((100/(D101+F101+H101))*C106)/100</f>
        <v>0.66666666666666674</v>
      </c>
      <c r="E106" s="159"/>
      <c r="F106" s="160"/>
      <c r="G106" s="159"/>
      <c r="H106" s="164"/>
      <c r="I106" s="14" t="s">
        <v>149</v>
      </c>
      <c r="J106" s="29">
        <f>(IF(B101&gt;3,(H101/(B101+2)+J105),0))</f>
        <v>0</v>
      </c>
    </row>
    <row r="107" spans="1:10" ht="15.75" customHeight="1" x14ac:dyDescent="0.25">
      <c r="A107" s="97" t="s">
        <v>141</v>
      </c>
      <c r="B107" s="98" t="s">
        <v>135</v>
      </c>
      <c r="C107" s="51">
        <f>C106-1</f>
        <v>15</v>
      </c>
      <c r="D107" s="52">
        <f ca="1">((100/H101)*C107)/100</f>
        <v>0.65217391304347827</v>
      </c>
      <c r="E107" s="159"/>
      <c r="F107" s="160"/>
      <c r="G107" s="159"/>
      <c r="H107" s="164"/>
      <c r="I107" s="14" t="s">
        <v>150</v>
      </c>
      <c r="J107" s="28">
        <f>(IF(B101&gt;4,(H101/(B101+2)+J106),0))</f>
        <v>0</v>
      </c>
    </row>
    <row r="108" spans="1:10" ht="15.75" customHeight="1" x14ac:dyDescent="0.25">
      <c r="A108" s="97" t="s">
        <v>142</v>
      </c>
      <c r="B108" s="98" t="s">
        <v>135</v>
      </c>
      <c r="C108" s="53">
        <f>C107*0.75</f>
        <v>11.25</v>
      </c>
      <c r="D108" s="52">
        <f ca="1">((100/H101)*C108)/100</f>
        <v>0.48913043478260865</v>
      </c>
      <c r="E108" s="159"/>
      <c r="F108" s="160"/>
      <c r="G108" s="159"/>
      <c r="H108" s="164"/>
      <c r="I108" s="14" t="s">
        <v>152</v>
      </c>
      <c r="J108" s="28">
        <f ca="1">(IF(B101=1,(H101/(B101+3)+J103),IF(B101=0,(H101/4+J103),IF(B101&gt;1,0))))</f>
        <v>17.25</v>
      </c>
    </row>
    <row r="109" spans="1:10" ht="16.5" thickBot="1" x14ac:dyDescent="0.3">
      <c r="A109" s="97" t="s">
        <v>140</v>
      </c>
      <c r="B109" s="98" t="s">
        <v>137</v>
      </c>
      <c r="C109" s="53">
        <f>C107*0.65</f>
        <v>9.75</v>
      </c>
      <c r="D109" s="52">
        <f ca="1">((100/(H101))*C109)/100</f>
        <v>0.42391304347826086</v>
      </c>
      <c r="E109" s="159"/>
      <c r="F109" s="160"/>
      <c r="G109" s="159"/>
      <c r="H109" s="164"/>
      <c r="I109" s="15" t="s">
        <v>106</v>
      </c>
      <c r="J109" s="30">
        <f ca="1">(IF(B101&gt;1.5,(H101/(B101+2)+J103+MAX(0,J104-J103)+MAX(0,J105-J104)+MAX(0,J106-J105)+MAX(0,J107-J106)+MAX(0,J108-J107)),IF(B101=1,(H101/(B101+3)+J108),IF(B101=0,H101/4+J108))))</f>
        <v>23</v>
      </c>
    </row>
    <row r="110" spans="1:10" ht="16.5" thickBot="1" x14ac:dyDescent="0.3">
      <c r="A110" s="207" t="s">
        <v>136</v>
      </c>
      <c r="B110" s="208" t="s">
        <v>136</v>
      </c>
      <c r="C110" s="51">
        <v>0</v>
      </c>
      <c r="D110" s="52">
        <f ca="1">((100/H101)*C110)/100</f>
        <v>0</v>
      </c>
      <c r="E110" s="159"/>
      <c r="F110" s="160"/>
      <c r="G110" s="159"/>
      <c r="H110" s="164"/>
      <c r="I110" s="15" t="s">
        <v>106</v>
      </c>
      <c r="J110" s="30">
        <f ca="1">(IF(B102&gt;1.5,(H102/(B102+2)+J104+MAX(0,J105-J104)+MAX(0,J106-J105)+MAX(0,J107-J106)+MAX(0,J108-J107)+MAX(0,J109-J108)),IF(B102=1,(H102/(B102+3)+J109),IF(B102=0,H102/4+J109))))</f>
        <v>23</v>
      </c>
    </row>
    <row r="111" spans="1:10" ht="15.75" customHeight="1" x14ac:dyDescent="0.25">
      <c r="A111" s="207" t="s">
        <v>143</v>
      </c>
      <c r="B111" s="208"/>
      <c r="C111" s="51">
        <v>0</v>
      </c>
      <c r="D111" s="52">
        <f ca="1">((100/H101)*C111)/100</f>
        <v>0</v>
      </c>
      <c r="E111" s="159"/>
      <c r="F111" s="160"/>
      <c r="G111" s="159"/>
      <c r="H111" s="164"/>
      <c r="I111" s="44" t="str">
        <f ca="1">IF(D128=100%,"All work Completed. Possession granted to the Building.",IF(D127=100%,"All work Completed, Waiting for OC",I112&amp;""&amp;I113&amp;""&amp;J112&amp;""&amp;J111&amp;" "&amp;J113))</f>
        <v xml:space="preserve">Excavation, Plinth Completed </v>
      </c>
      <c r="J111" s="45" t="str">
        <f ca="1">(IF(C121=(D116+F116+H116),"",IF(C121&gt;0,", RCC upto "&amp;C121&amp;" Slab","")))&amp;(IF(C122=H116,"",IF(C122&gt;0,", Brickwork upto "&amp;C122&amp;" Floor","")))&amp;(IF(C123=H116,"",IF(C123&gt;0,", Internal Plaster upto "&amp;C123&amp;" Floor","")))&amp;(IF(C124=H116,"",IF(C124&gt;0,", External Plaster upto "&amp;C124&amp;" Floor","")))&amp;(IF(C125=H116,"",IF(C125&gt;0,", Flooring upto "&amp;C125&amp;" Floor","")))&amp;(IF(C126=H116,"",IF(C126&gt;0,", Painting upto "&amp;C126&amp;" Floor","")))&amp;(IF(C127=H116,"",IF(C127&gt;0,", Finishing upto "&amp;C127&amp;" Floor","")))&amp;(IF(C128=H116,"",IF(C128&gt;0,", Possession upto "&amp;C128&amp;" Floor","")))</f>
        <v/>
      </c>
    </row>
    <row r="112" spans="1:10" x14ac:dyDescent="0.25">
      <c r="A112" s="207" t="s">
        <v>138</v>
      </c>
      <c r="B112" s="208" t="s">
        <v>138</v>
      </c>
      <c r="C112" s="51">
        <v>0</v>
      </c>
      <c r="D112" s="52">
        <f ca="1">((100/(H101))*C112)/100</f>
        <v>0</v>
      </c>
      <c r="E112" s="159"/>
      <c r="F112" s="160"/>
      <c r="G112" s="159"/>
      <c r="H112" s="164"/>
      <c r="I112" s="46" t="str">
        <f ca="1">IF(D119=100%,"Excavation","")&amp;IF(D120=100%,", Plinth","")&amp;IF(D121=100%,", RCC Slab","")&amp;IF(D122=100%,", Brickwork","")&amp;IF(D123=100%,", Internal Plaster","")&amp;IF(D124=100%,", External Plaster","")&amp;IF(D125=100%,", Flooring","")&amp;IF(D126=100%,", Painting","")&amp;IF(D127=100%,", Building common Amenities","")</f>
        <v>Excavation, Plinth</v>
      </c>
      <c r="J112" s="47" t="str">
        <f ca="1">(IF(C119=0,"Work not yet Started.",IF(D119=25%,"Piling work in process",IF(D119=50%,"Excavation work in process",IF(D119=100%,"","0")))))&amp;(IF(C120=0%,"",IF(C120=J117,", Footing work is process",IF(C120=J118,", Footing work Completed",IF(C120=J119,", 1st Basement Completed",IF(C120=J120,", 1st &amp; 2nd Basement Completed",IF(C120=J121,", 1st to 3rd Basement Completed",IF(C120=J122,", 1st to 4th Basement Completed",IF(C120=J123,", Plinth work is process",IF(C120=J124,"","0"))))))))))</f>
        <v/>
      </c>
    </row>
    <row r="113" spans="1:10" ht="16.5" thickBot="1" x14ac:dyDescent="0.3">
      <c r="A113" s="209" t="s">
        <v>139</v>
      </c>
      <c r="B113" s="210"/>
      <c r="C113" s="54">
        <v>0</v>
      </c>
      <c r="D113" s="55">
        <f ca="1">((100/(H101))*C113)/100</f>
        <v>0</v>
      </c>
      <c r="E113" s="161"/>
      <c r="F113" s="162"/>
      <c r="G113" s="161"/>
      <c r="H113" s="165"/>
      <c r="I113" s="46" t="str">
        <f ca="1">IF(I112&lt;&gt;""," Completed","")</f>
        <v xml:space="preserve"> Completed</v>
      </c>
      <c r="J113" s="47" t="str">
        <f ca="1">IF(J111&lt;&gt;"","Completed","")</f>
        <v/>
      </c>
    </row>
    <row r="114" spans="1:10" ht="36" customHeight="1" thickBot="1" x14ac:dyDescent="0.3">
      <c r="A114" s="178" t="s">
        <v>240</v>
      </c>
      <c r="B114" s="177"/>
      <c r="C114" s="176">
        <f ca="1">AVERAGE(E90,E104)</f>
        <v>0.54505434782608697</v>
      </c>
      <c r="D114" s="177"/>
      <c r="E114" s="178" t="s">
        <v>231</v>
      </c>
      <c r="F114" s="177"/>
      <c r="G114" s="176">
        <f ca="1">AVERAGE(G90,G104)</f>
        <v>0.76369565217391289</v>
      </c>
      <c r="H114" s="177"/>
      <c r="I114" s="14" t="s">
        <v>146</v>
      </c>
      <c r="J114" s="26">
        <f ca="1">H116*25%</f>
        <v>5.75</v>
      </c>
    </row>
    <row r="115" spans="1:10" hidden="1" x14ac:dyDescent="0.25">
      <c r="A115" s="211" t="s">
        <v>145</v>
      </c>
      <c r="B115" s="212"/>
      <c r="C115" s="120" t="s">
        <v>229</v>
      </c>
      <c r="D115" s="121"/>
      <c r="E115" s="121"/>
      <c r="F115" s="121"/>
      <c r="G115" s="121"/>
      <c r="H115" s="122"/>
      <c r="I115" s="14" t="s">
        <v>102</v>
      </c>
      <c r="J115" s="27">
        <f ca="1">H116*50%</f>
        <v>11.5</v>
      </c>
    </row>
    <row r="116" spans="1:10" hidden="1" x14ac:dyDescent="0.25">
      <c r="A116" s="16" t="s">
        <v>147</v>
      </c>
      <c r="B116" s="58">
        <v>0</v>
      </c>
      <c r="C116" s="48" t="s">
        <v>74</v>
      </c>
      <c r="D116" s="48">
        <v>1</v>
      </c>
      <c r="E116" s="48" t="s">
        <v>73</v>
      </c>
      <c r="F116" s="48">
        <v>0</v>
      </c>
      <c r="G116" s="48" t="s">
        <v>83</v>
      </c>
      <c r="H116" s="17">
        <f ca="1">--TRIM(RIGHT(SUBSTITUTE(LEFT(C115,_xlfn.AGGREGATE(16,6,FIND({0,1,2,3,4,5,6,7,8,9},C115,ROW(INDIRECT("1:"&amp;LEN(C115)))),1))," ",REPT(" ",LEN(C115))),LEN(C115)))</f>
        <v>23</v>
      </c>
      <c r="I116" s="14" t="s">
        <v>103</v>
      </c>
      <c r="J116" s="27">
        <f ca="1">H116</f>
        <v>23</v>
      </c>
    </row>
    <row r="117" spans="1:10" ht="15.75" hidden="1" customHeight="1" x14ac:dyDescent="0.25">
      <c r="A117" s="153" t="s">
        <v>93</v>
      </c>
      <c r="B117" s="138"/>
      <c r="C117" s="154" t="str">
        <f ca="1">(IF($G$58="NA",I111,"All work Completed. OC Received."))</f>
        <v xml:space="preserve">Excavation, Plinth Completed </v>
      </c>
      <c r="D117" s="154"/>
      <c r="E117" s="154"/>
      <c r="F117" s="154"/>
      <c r="G117" s="154"/>
      <c r="H117" s="155"/>
      <c r="I117" s="14" t="s">
        <v>104</v>
      </c>
      <c r="J117" s="28">
        <f ca="1">(IF(B116&gt;1,(H116/(B116+2)),H116/4))</f>
        <v>5.75</v>
      </c>
    </row>
    <row r="118" spans="1:10" ht="15.75" hidden="1" customHeight="1" x14ac:dyDescent="0.25">
      <c r="A118" s="204" t="s">
        <v>50</v>
      </c>
      <c r="B118" s="141"/>
      <c r="C118" s="51" t="s">
        <v>144</v>
      </c>
      <c r="D118" s="51" t="s">
        <v>86</v>
      </c>
      <c r="E118" s="94" t="s">
        <v>88</v>
      </c>
      <c r="F118" s="94"/>
      <c r="G118" s="94" t="s">
        <v>87</v>
      </c>
      <c r="H118" s="156"/>
      <c r="I118" s="14" t="s">
        <v>105</v>
      </c>
      <c r="J118" s="28">
        <f ca="1">(IF(B116&gt;1,(H116/(B116+2)+J117),H116/4+J117))</f>
        <v>11.5</v>
      </c>
    </row>
    <row r="119" spans="1:10" ht="15.75" hidden="1" customHeight="1" x14ac:dyDescent="0.25">
      <c r="A119" s="204" t="s">
        <v>133</v>
      </c>
      <c r="B119" s="141"/>
      <c r="C119" s="51">
        <f ca="1">J116</f>
        <v>23</v>
      </c>
      <c r="D119" s="52">
        <f ca="1">((100/H116)*C119)/100</f>
        <v>1</v>
      </c>
      <c r="E119" s="157">
        <f ca="1">(((C120/H116*10)+(40/(D116+F116+H116)*C121)+(7.5/(H116)*C122)+(7.5/(H116)*C123)+(10/H116*C124)+(10/H116*C125)+(5/H116*C126)+(5/H116*C127)+(5/H116*C128))/100)</f>
        <v>0.1</v>
      </c>
      <c r="F119" s="158"/>
      <c r="G119" s="157">
        <f ca="1">((((C119/H116)*20)+((C120/H116)*25)+(30/(H116+F116+D116)*C121)+(5/H116*C122)+(5/H116*C123)+(5/H116*C124)+(5/H116*C125)+(0/H116*C126)+(0/H116*C127)+(5/H116*C128))/100)</f>
        <v>0.45</v>
      </c>
      <c r="H119" s="163"/>
      <c r="I119" s="14" t="s">
        <v>151</v>
      </c>
      <c r="J119" s="28">
        <f>(IF(B116&gt;1,(H116/(B116+2)+J118),0))</f>
        <v>0</v>
      </c>
    </row>
    <row r="120" spans="1:10" ht="15" hidden="1" customHeight="1" x14ac:dyDescent="0.25">
      <c r="A120" s="204" t="s">
        <v>51</v>
      </c>
      <c r="B120" s="141"/>
      <c r="C120" s="53">
        <f ca="1">J124</f>
        <v>23</v>
      </c>
      <c r="D120" s="52">
        <f ca="1">((100/H116)*C120)/100</f>
        <v>1</v>
      </c>
      <c r="E120" s="159"/>
      <c r="F120" s="160"/>
      <c r="G120" s="159"/>
      <c r="H120" s="164"/>
      <c r="I120" s="14" t="s">
        <v>148</v>
      </c>
      <c r="J120" s="28">
        <f>(IF(B116&gt;2,(H116/(B116+2)+J119),0))</f>
        <v>0</v>
      </c>
    </row>
    <row r="121" spans="1:10" ht="15.75" hidden="1" customHeight="1" x14ac:dyDescent="0.25">
      <c r="A121" s="204" t="s">
        <v>134</v>
      </c>
      <c r="B121" s="141"/>
      <c r="C121" s="51">
        <v>0</v>
      </c>
      <c r="D121" s="52">
        <f ca="1">((100/(D116+F116+H116))*C121)/100</f>
        <v>0</v>
      </c>
      <c r="E121" s="159"/>
      <c r="F121" s="160"/>
      <c r="G121" s="159"/>
      <c r="H121" s="164"/>
      <c r="I121" s="14" t="s">
        <v>149</v>
      </c>
      <c r="J121" s="29">
        <f>(IF(B116&gt;3,(H116/(B116+2)+J120),0))</f>
        <v>0</v>
      </c>
    </row>
    <row r="122" spans="1:10" ht="15.75" hidden="1" customHeight="1" x14ac:dyDescent="0.25">
      <c r="A122" s="204" t="s">
        <v>141</v>
      </c>
      <c r="B122" s="141" t="s">
        <v>135</v>
      </c>
      <c r="C122" s="51">
        <v>0</v>
      </c>
      <c r="D122" s="52">
        <f ca="1">((100/H116)*C122)/100</f>
        <v>0</v>
      </c>
      <c r="E122" s="159"/>
      <c r="F122" s="160"/>
      <c r="G122" s="159"/>
      <c r="H122" s="164"/>
      <c r="I122" s="14" t="s">
        <v>150</v>
      </c>
      <c r="J122" s="28">
        <f>(IF(B116&gt;4,(H116/(B116+2)+J121),0))</f>
        <v>0</v>
      </c>
    </row>
    <row r="123" spans="1:10" ht="15.75" hidden="1" customHeight="1" x14ac:dyDescent="0.25">
      <c r="A123" s="204" t="s">
        <v>142</v>
      </c>
      <c r="B123" s="141" t="s">
        <v>135</v>
      </c>
      <c r="C123" s="51">
        <v>0</v>
      </c>
      <c r="D123" s="52">
        <f ca="1">((100/H116)*C123)/100</f>
        <v>0</v>
      </c>
      <c r="E123" s="159"/>
      <c r="F123" s="160"/>
      <c r="G123" s="159"/>
      <c r="H123" s="164"/>
      <c r="I123" s="14" t="s">
        <v>152</v>
      </c>
      <c r="J123" s="28">
        <f ca="1">(IF(B116=1,(H116/(B116+3)+J118),IF(B116=0,(H116/4+J118),IF(B116&gt;1,0))))</f>
        <v>17.25</v>
      </c>
    </row>
    <row r="124" spans="1:10" ht="16.5" hidden="1" thickBot="1" x14ac:dyDescent="0.3">
      <c r="A124" s="204" t="s">
        <v>140</v>
      </c>
      <c r="B124" s="141" t="s">
        <v>137</v>
      </c>
      <c r="C124" s="51">
        <v>0</v>
      </c>
      <c r="D124" s="52">
        <f ca="1">((100/(H116))*C124)/100</f>
        <v>0</v>
      </c>
      <c r="E124" s="159"/>
      <c r="F124" s="160"/>
      <c r="G124" s="159"/>
      <c r="H124" s="164"/>
      <c r="I124" s="15" t="s">
        <v>106</v>
      </c>
      <c r="J124" s="30">
        <f ca="1">(IF(B116&gt;1.5,(H116/(B116+2)+J118+MAX(0,J119-J118)+MAX(0,J120-J119)+MAX(0,J121-J120)+MAX(0,J122-J121)+MAX(0,J123-J122)),IF(B116=1,(H116/(B116+3)+J123),IF(B116=0,H116/4+J123))))</f>
        <v>23</v>
      </c>
    </row>
    <row r="125" spans="1:10" ht="15.75" hidden="1" customHeight="1" x14ac:dyDescent="0.25">
      <c r="A125" s="204" t="s">
        <v>136</v>
      </c>
      <c r="B125" s="141" t="s">
        <v>136</v>
      </c>
      <c r="C125" s="51">
        <v>0</v>
      </c>
      <c r="D125" s="52">
        <f ca="1">((100/H116)*C125)/100</f>
        <v>0</v>
      </c>
      <c r="E125" s="159"/>
      <c r="F125" s="160"/>
      <c r="G125" s="159"/>
      <c r="H125" s="164"/>
      <c r="I125" s="44" t="str">
        <f ca="1">IF(D142=100%,"All work Completed. Possession granted to the Building.",IF(D141=100%,"All work Completed, Waiting for OC",I126&amp;""&amp;I127&amp;""&amp;J126&amp;""&amp;J125&amp;" "&amp;J127))</f>
        <v>Excavation, Plinth, RCC Slab, Brickwork, Internal Plaster Completed, External Plaster upto 18 Floor, Flooring upto 12 Floor Completed</v>
      </c>
      <c r="J125" s="45" t="str">
        <f ca="1">(IF(C135=(D130+F130+H130),"",IF(C135&gt;0,", RCC upto "&amp;C135&amp;" Slab","")))&amp;(IF(C136=H130,"",IF(C136&gt;0,", Brickwork upto "&amp;C136&amp;" Floor","")))&amp;(IF(C137=H130,"",IF(C137&gt;0,", Internal Plaster upto "&amp;C137&amp;" Floor","")))&amp;(IF(C138=H130,"",IF(C138&gt;0,", External Plaster upto "&amp;C138&amp;" Floor","")))&amp;(IF(C139=H130,"",IF(C139&gt;0,", Flooring upto "&amp;C139&amp;" Floor","")))&amp;(IF(C140=H130,"",IF(C140&gt;0,", Painting upto "&amp;C140&amp;" Floor","")))&amp;(IF(C141=H130,"",IF(C141&gt;0,", Finishing upto "&amp;C141&amp;" Floor","")))&amp;(IF(C142=H130,"",IF(C142&gt;0,", Possession upto "&amp;C142&amp;" Floor","")))</f>
        <v>, External Plaster upto 18 Floor, Flooring upto 12 Floor</v>
      </c>
    </row>
    <row r="126" spans="1:10" hidden="1" x14ac:dyDescent="0.25">
      <c r="A126" s="204" t="s">
        <v>143</v>
      </c>
      <c r="B126" s="141"/>
      <c r="C126" s="51">
        <v>0</v>
      </c>
      <c r="D126" s="52">
        <f ca="1">((100/H116)*C126)/100</f>
        <v>0</v>
      </c>
      <c r="E126" s="159"/>
      <c r="F126" s="160"/>
      <c r="G126" s="159"/>
      <c r="H126" s="164"/>
      <c r="I126" s="46" t="str">
        <f ca="1">IF(D133=100%,"Excavation","")&amp;IF(D134=100%,", Plinth","")&amp;IF(D135=100%,", RCC Slab","")&amp;IF(D136=100%,", Brickwork","")&amp;IF(D137=100%,", Internal Plaster","")&amp;IF(D138=100%,", External Plaster","")&amp;IF(D139=100%,", Flooring","")&amp;IF(D140=100%,", Painting","")&amp;IF(D141=100%,", Building common Amenities","")</f>
        <v>Excavation, Plinth, RCC Slab, Brickwork, Internal Plaster</v>
      </c>
      <c r="J126" s="47" t="str">
        <f ca="1">(IF(C133=0,"Work not yet Started.",IF(D133=25%,"Piling work in process",IF(D133=50%,"Excavation work in process",IF(D133=100%,"","0")))))&amp;(IF(C134=0%,"",IF(C134=J131,", Footing work is process",IF(C134=J132,", Footing work Completed",IF(C134=J133,", 1st Basement Completed",IF(C134=J134,", 1st &amp; 2nd Basement Completed",IF(C134=J135,", 1st to 3rd Basement Completed",IF(C134=J136,", 1st to 4th Basement Completed",IF(C134=J137,", Plinth work is process",IF(C134=J138,"","0"))))))))))</f>
        <v/>
      </c>
    </row>
    <row r="127" spans="1:10" hidden="1" x14ac:dyDescent="0.25">
      <c r="A127" s="204" t="s">
        <v>138</v>
      </c>
      <c r="B127" s="141" t="s">
        <v>138</v>
      </c>
      <c r="C127" s="51">
        <v>0</v>
      </c>
      <c r="D127" s="52">
        <f ca="1">((100/(H116))*C127)/100</f>
        <v>0</v>
      </c>
      <c r="E127" s="159"/>
      <c r="F127" s="160"/>
      <c r="G127" s="159"/>
      <c r="H127" s="164"/>
      <c r="I127" s="46" t="str">
        <f ca="1">IF(I126&lt;&gt;""," Completed","")</f>
        <v xml:space="preserve"> Completed</v>
      </c>
      <c r="J127" s="47" t="str">
        <f ca="1">IF(J125&lt;&gt;"","Completed","")</f>
        <v>Completed</v>
      </c>
    </row>
    <row r="128" spans="1:10" ht="15.75" hidden="1" customHeight="1" thickBot="1" x14ac:dyDescent="0.3">
      <c r="A128" s="166" t="s">
        <v>139</v>
      </c>
      <c r="B128" s="167"/>
      <c r="C128" s="54">
        <v>0</v>
      </c>
      <c r="D128" s="55">
        <f ca="1">((100/(H116))*C128)/100</f>
        <v>0</v>
      </c>
      <c r="E128" s="161"/>
      <c r="F128" s="162"/>
      <c r="G128" s="161"/>
      <c r="H128" s="165"/>
      <c r="I128" s="14" t="s">
        <v>146</v>
      </c>
      <c r="J128" s="26">
        <f ca="1">H130*25%</f>
        <v>5.75</v>
      </c>
    </row>
    <row r="129" spans="1:10" x14ac:dyDescent="0.25">
      <c r="A129" s="151" t="s">
        <v>145</v>
      </c>
      <c r="B129" s="152"/>
      <c r="C129" s="120" t="s">
        <v>241</v>
      </c>
      <c r="D129" s="121"/>
      <c r="E129" s="121"/>
      <c r="F129" s="121"/>
      <c r="G129" s="121"/>
      <c r="H129" s="122"/>
      <c r="I129" s="14" t="s">
        <v>102</v>
      </c>
      <c r="J129" s="27">
        <f ca="1">H130*50%</f>
        <v>11.5</v>
      </c>
    </row>
    <row r="130" spans="1:10" x14ac:dyDescent="0.25">
      <c r="A130" s="16" t="s">
        <v>147</v>
      </c>
      <c r="B130" s="48">
        <v>0</v>
      </c>
      <c r="C130" s="48" t="s">
        <v>74</v>
      </c>
      <c r="D130" s="48">
        <v>1</v>
      </c>
      <c r="E130" s="48" t="s">
        <v>73</v>
      </c>
      <c r="F130" s="48">
        <v>0</v>
      </c>
      <c r="G130" s="48" t="s">
        <v>83</v>
      </c>
      <c r="H130" s="17">
        <f ca="1">--TRIM(RIGHT(SUBSTITUTE(LEFT(C129,_xlfn.AGGREGATE(16,6,FIND({0,1,2,3,4,5,6,7,8,9},C129,ROW(INDIRECT("1:"&amp;LEN(C129)))),1))," ",REPT(" ",LEN(C129))),LEN(C129)))</f>
        <v>23</v>
      </c>
      <c r="I130" s="14" t="s">
        <v>103</v>
      </c>
      <c r="J130" s="27">
        <f ca="1">H130</f>
        <v>23</v>
      </c>
    </row>
    <row r="131" spans="1:10" ht="36" customHeight="1" x14ac:dyDescent="0.25">
      <c r="A131" s="153" t="s">
        <v>93</v>
      </c>
      <c r="B131" s="138"/>
      <c r="C131" s="154" t="str">
        <f ca="1">(IF($G$58="NA",I125,"All work Completed. OC Received."))</f>
        <v>Excavation, Plinth, RCC Slab, Brickwork, Internal Plaster Completed, External Plaster upto 18 Floor, Flooring upto 12 Floor Completed</v>
      </c>
      <c r="D131" s="154"/>
      <c r="E131" s="154"/>
      <c r="F131" s="154"/>
      <c r="G131" s="154"/>
      <c r="H131" s="155"/>
      <c r="I131" s="14" t="s">
        <v>104</v>
      </c>
      <c r="J131" s="28">
        <f ca="1">(IF(B130&gt;1,(H130/(B130+2)),H130/4))</f>
        <v>5.75</v>
      </c>
    </row>
    <row r="132" spans="1:10" ht="15.75" customHeight="1" x14ac:dyDescent="0.25">
      <c r="A132" s="97" t="s">
        <v>50</v>
      </c>
      <c r="B132" s="98"/>
      <c r="C132" s="51" t="s">
        <v>144</v>
      </c>
      <c r="D132" s="51" t="s">
        <v>86</v>
      </c>
      <c r="E132" s="94" t="s">
        <v>88</v>
      </c>
      <c r="F132" s="94"/>
      <c r="G132" s="94" t="s">
        <v>87</v>
      </c>
      <c r="H132" s="156"/>
      <c r="I132" s="14" t="s">
        <v>105</v>
      </c>
      <c r="J132" s="28">
        <f ca="1">(IF(B130&gt;1,(H130/(B130+2)+J131),H130/4+J131))</f>
        <v>11.5</v>
      </c>
    </row>
    <row r="133" spans="1:10" ht="15.75" customHeight="1" x14ac:dyDescent="0.25">
      <c r="A133" s="97" t="s">
        <v>133</v>
      </c>
      <c r="B133" s="98"/>
      <c r="C133" s="51">
        <f ca="1">J130</f>
        <v>23</v>
      </c>
      <c r="D133" s="52">
        <f ca="1">((100/H130)*C133)/100</f>
        <v>1</v>
      </c>
      <c r="E133" s="157">
        <f ca="1">(((C134/H130*10)+(40/(D130+F130+H130)*C135)+(7.5/(H130)*C136)+(7.5/(H130)*C137)+(10/H130*C138)+(10/H130*C139)+(5/H130*C140)+(5/H130*C141)+(5/H130*C142))/100)</f>
        <v>0.78043478260869559</v>
      </c>
      <c r="F133" s="158"/>
      <c r="G133" s="157">
        <f ca="1">((((C133/H130)*20)+((C134/H130)*25)+(30/(H130+F130+D130)*C135)+(5/H130*C136)+(5/H130*C137)+(5/H130*C138)+(5/H130*C139)+(0/H130*C140)+(0/H130*C141)+(5/H130*C142))/100)</f>
        <v>0.91521739130434776</v>
      </c>
      <c r="H133" s="163"/>
      <c r="I133" s="14" t="s">
        <v>151</v>
      </c>
      <c r="J133" s="28">
        <f>(IF(B130&gt;1,(H130/(B130+2)+J132),0))</f>
        <v>0</v>
      </c>
    </row>
    <row r="134" spans="1:10" ht="15" customHeight="1" x14ac:dyDescent="0.25">
      <c r="A134" s="97" t="s">
        <v>51</v>
      </c>
      <c r="B134" s="98"/>
      <c r="C134" s="51">
        <f ca="1">J138</f>
        <v>23</v>
      </c>
      <c r="D134" s="52">
        <f ca="1">((100/H130)*C134)/100</f>
        <v>1</v>
      </c>
      <c r="E134" s="159"/>
      <c r="F134" s="160"/>
      <c r="G134" s="159"/>
      <c r="H134" s="164"/>
      <c r="I134" s="14" t="s">
        <v>148</v>
      </c>
      <c r="J134" s="28">
        <f>(IF(B130&gt;2,(H130/(B130+2)+J133),0))</f>
        <v>0</v>
      </c>
    </row>
    <row r="135" spans="1:10" ht="15.75" customHeight="1" x14ac:dyDescent="0.25">
      <c r="A135" s="97" t="s">
        <v>134</v>
      </c>
      <c r="B135" s="98"/>
      <c r="C135" s="51">
        <v>24</v>
      </c>
      <c r="D135" s="52">
        <f ca="1">((100/(D130+F130+H130))*C135)/100</f>
        <v>1</v>
      </c>
      <c r="E135" s="159"/>
      <c r="F135" s="160"/>
      <c r="G135" s="159"/>
      <c r="H135" s="164"/>
      <c r="I135" s="14" t="s">
        <v>149</v>
      </c>
      <c r="J135" s="29">
        <f>(IF(B130&gt;3,(H130/(B130+2)+J134),0))</f>
        <v>0</v>
      </c>
    </row>
    <row r="136" spans="1:10" ht="15.75" customHeight="1" x14ac:dyDescent="0.25">
      <c r="A136" s="97" t="s">
        <v>141</v>
      </c>
      <c r="B136" s="98" t="s">
        <v>135</v>
      </c>
      <c r="C136" s="51">
        <v>23</v>
      </c>
      <c r="D136" s="52">
        <f ca="1">((100/H130)*C136)/100</f>
        <v>1</v>
      </c>
      <c r="E136" s="159"/>
      <c r="F136" s="160"/>
      <c r="G136" s="159"/>
      <c r="H136" s="164"/>
      <c r="I136" s="14" t="s">
        <v>150</v>
      </c>
      <c r="J136" s="28">
        <f>(IF(B130&gt;4,(H130/(B130+2)+J135),0))</f>
        <v>0</v>
      </c>
    </row>
    <row r="137" spans="1:10" ht="15.75" customHeight="1" x14ac:dyDescent="0.25">
      <c r="A137" s="97" t="s">
        <v>142</v>
      </c>
      <c r="B137" s="98" t="s">
        <v>135</v>
      </c>
      <c r="C137" s="53">
        <v>23</v>
      </c>
      <c r="D137" s="52">
        <f ca="1">((100/H130)*C137)/100</f>
        <v>1</v>
      </c>
      <c r="E137" s="159"/>
      <c r="F137" s="160"/>
      <c r="G137" s="159"/>
      <c r="H137" s="164"/>
      <c r="I137" s="14" t="s">
        <v>152</v>
      </c>
      <c r="J137" s="28">
        <f ca="1">(IF(B130=1,(H130/(B130+3)+J132),IF(B130=0,(H130/4+J132),IF(B130&gt;1,0))))</f>
        <v>17.25</v>
      </c>
    </row>
    <row r="138" spans="1:10" ht="16.5" thickBot="1" x14ac:dyDescent="0.3">
      <c r="A138" s="97" t="s">
        <v>140</v>
      </c>
      <c r="B138" s="98" t="s">
        <v>137</v>
      </c>
      <c r="C138" s="53">
        <v>18</v>
      </c>
      <c r="D138" s="52">
        <f ca="1">((100/(H130))*C138)/100</f>
        <v>0.78260869565217395</v>
      </c>
      <c r="E138" s="159"/>
      <c r="F138" s="160"/>
      <c r="G138" s="159"/>
      <c r="H138" s="164"/>
      <c r="I138" s="15" t="s">
        <v>106</v>
      </c>
      <c r="J138" s="30">
        <f ca="1">(IF(B130&gt;1.5,(H130/(B130+2)+J132+MAX(0,J133-J132)+MAX(0,J134-J133)+MAX(0,J135-J134)+MAX(0,J136-J135)+MAX(0,J137-J136)),IF(B130=1,(H130/(B130+3)+J137),IF(B130=0,H130/4+J137))))</f>
        <v>23</v>
      </c>
    </row>
    <row r="139" spans="1:10" ht="15.75" customHeight="1" x14ac:dyDescent="0.25">
      <c r="A139" s="97" t="s">
        <v>136</v>
      </c>
      <c r="B139" s="98" t="s">
        <v>136</v>
      </c>
      <c r="C139" s="51">
        <v>12</v>
      </c>
      <c r="D139" s="52">
        <f ca="1">((100/H130)*C139)/100</f>
        <v>0.52173913043478259</v>
      </c>
      <c r="E139" s="159"/>
      <c r="F139" s="160"/>
      <c r="G139" s="159"/>
      <c r="H139" s="164"/>
      <c r="I139" s="44" t="str">
        <f ca="1">IF(D156=100%,"All work Completed. Possession granted to the Building.",IF(D155=100%,"All work Completed, Waiting for OC",I140&amp;""&amp;I141&amp;""&amp;J140&amp;""&amp;J139&amp;" "&amp;J141))</f>
        <v>Excavation, Plinth Completed, RCC upto 21 Slab, Brickwork upto 19 Floor, Internal Plaster upto 8 Floor, External Plaster upto 6 Floor Completed</v>
      </c>
      <c r="J139" s="45" t="str">
        <f ca="1">(IF(C149=(D144+F144+H144),"",IF(C149&gt;0,", RCC upto "&amp;C149&amp;" Slab","")))&amp;(IF(C150=H144,"",IF(C150&gt;0,", Brickwork upto "&amp;C150&amp;" Floor","")))&amp;(IF(C151=H144,"",IF(C151&gt;0,", Internal Plaster upto "&amp;C151&amp;" Floor","")))&amp;(IF(C152=H144,"",IF(C152&gt;0,", External Plaster upto "&amp;C152&amp;" Floor","")))&amp;(IF(C153=H144,"",IF(C153&gt;0,", Flooring upto "&amp;C153&amp;" Floor","")))&amp;(IF(C154=H144,"",IF(C154&gt;0,", Painting upto "&amp;C154&amp;" Floor","")))&amp;(IF(C155=H144,"",IF(C155&gt;0,", Finishing upto "&amp;C155&amp;" Floor","")))&amp;(IF(C156=H144,"",IF(C156&gt;0,", Possession upto "&amp;C156&amp;" Floor","")))</f>
        <v>, RCC upto 21 Slab, Brickwork upto 19 Floor, Internal Plaster upto 8 Floor, External Plaster upto 6 Floor</v>
      </c>
    </row>
    <row r="140" spans="1:10" x14ac:dyDescent="0.25">
      <c r="A140" s="97" t="s">
        <v>143</v>
      </c>
      <c r="B140" s="98"/>
      <c r="C140" s="51">
        <v>0</v>
      </c>
      <c r="D140" s="52">
        <f ca="1">((100/H130)*C140)/100</f>
        <v>0</v>
      </c>
      <c r="E140" s="159"/>
      <c r="F140" s="160"/>
      <c r="G140" s="159"/>
      <c r="H140" s="164"/>
      <c r="I140" s="46" t="str">
        <f ca="1">IF(D147=100%,"Excavation","")&amp;IF(D148=100%,", Plinth","")&amp;IF(D149=100%,", RCC Slab","")&amp;IF(D150=100%,", Brickwork","")&amp;IF(D151=100%,", Internal Plaster","")&amp;IF(D152=100%,", External Plaster","")&amp;IF(D153=100%,", Flooring","")&amp;IF(D154=100%,", Painting","")&amp;IF(D155=100%,", Building common Amenities","")</f>
        <v>Excavation, Plinth</v>
      </c>
      <c r="J140" s="47" t="str">
        <f ca="1">(IF(C147=0,"Work not yet Started.",IF(D147=25%,"Piling work in process",IF(D147=50%,"Excavation work in process",IF(D147=100%,"","0")))))&amp;(IF(C148=0%,"",IF(C148=J145,", Footing work is process",IF(C148=J146,", Footing work Completed",IF(C148=J147,", 1st Basement Completed",IF(C148=J148,", 1st &amp; 2nd Basement Completed",IF(C148=J149,", 1st to 3rd Basement Completed",IF(C148=J150,", 1st to 4th Basement Completed",IF(C148=J151,", Plinth work is process",IF(C148=J152,"","0"))))))))))</f>
        <v/>
      </c>
    </row>
    <row r="141" spans="1:10" x14ac:dyDescent="0.25">
      <c r="A141" s="207" t="s">
        <v>138</v>
      </c>
      <c r="B141" s="208" t="s">
        <v>138</v>
      </c>
      <c r="C141" s="51">
        <v>0</v>
      </c>
      <c r="D141" s="52">
        <f ca="1">((100/(H130))*C141)/100</f>
        <v>0</v>
      </c>
      <c r="E141" s="159"/>
      <c r="F141" s="160"/>
      <c r="G141" s="159"/>
      <c r="H141" s="164"/>
      <c r="I141" s="46" t="str">
        <f ca="1">IF(I140&lt;&gt;""," Completed","")</f>
        <v xml:space="preserve"> Completed</v>
      </c>
      <c r="J141" s="47" t="str">
        <f ca="1">IF(J139&lt;&gt;"","Completed","")</f>
        <v>Completed</v>
      </c>
    </row>
    <row r="142" spans="1:10" ht="15.75" customHeight="1" thickBot="1" x14ac:dyDescent="0.3">
      <c r="A142" s="80" t="s">
        <v>139</v>
      </c>
      <c r="B142" s="81"/>
      <c r="C142" s="54">
        <v>0</v>
      </c>
      <c r="D142" s="55">
        <f ca="1">((100/(H130))*C142)/100</f>
        <v>0</v>
      </c>
      <c r="E142" s="161"/>
      <c r="F142" s="162"/>
      <c r="G142" s="161"/>
      <c r="H142" s="165"/>
      <c r="I142" s="14" t="s">
        <v>146</v>
      </c>
      <c r="J142" s="26">
        <f ca="1">H144*25%</f>
        <v>5.75</v>
      </c>
    </row>
    <row r="143" spans="1:10" hidden="1" x14ac:dyDescent="0.25">
      <c r="A143" s="151" t="s">
        <v>145</v>
      </c>
      <c r="B143" s="152"/>
      <c r="C143" s="120" t="s">
        <v>230</v>
      </c>
      <c r="D143" s="121"/>
      <c r="E143" s="121"/>
      <c r="F143" s="121"/>
      <c r="G143" s="121"/>
      <c r="H143" s="122"/>
      <c r="I143" s="14" t="s">
        <v>102</v>
      </c>
      <c r="J143" s="27">
        <f ca="1">H144*50%</f>
        <v>11.5</v>
      </c>
    </row>
    <row r="144" spans="1:10" hidden="1" x14ac:dyDescent="0.25">
      <c r="A144" s="16" t="s">
        <v>147</v>
      </c>
      <c r="B144" s="48">
        <v>0</v>
      </c>
      <c r="C144" s="48" t="s">
        <v>74</v>
      </c>
      <c r="D144" s="48">
        <v>1</v>
      </c>
      <c r="E144" s="48" t="s">
        <v>73</v>
      </c>
      <c r="F144" s="48">
        <v>0</v>
      </c>
      <c r="G144" s="48" t="s">
        <v>83</v>
      </c>
      <c r="H144" s="17">
        <f ca="1">--TRIM(RIGHT(SUBSTITUTE(LEFT(C143,_xlfn.AGGREGATE(16,6,FIND({0,1,2,3,4,5,6,7,8,9},C143,ROW(INDIRECT("1:"&amp;LEN(C143)))),1))," ",REPT(" ",LEN(C143))),LEN(C143)))</f>
        <v>23</v>
      </c>
      <c r="I144" s="14" t="s">
        <v>103</v>
      </c>
      <c r="J144" s="27">
        <f ca="1">H144</f>
        <v>23</v>
      </c>
    </row>
    <row r="145" spans="1:10" ht="15.75" hidden="1" customHeight="1" x14ac:dyDescent="0.25">
      <c r="A145" s="153" t="s">
        <v>93</v>
      </c>
      <c r="B145" s="138"/>
      <c r="C145" s="154" t="str">
        <f ca="1">(IF($G$58="NA",I139,"All work Completed. OC Received."))</f>
        <v>Excavation, Plinth Completed, RCC upto 21 Slab, Brickwork upto 19 Floor, Internal Plaster upto 8 Floor, External Plaster upto 6 Floor Completed</v>
      </c>
      <c r="D145" s="154"/>
      <c r="E145" s="154"/>
      <c r="F145" s="154"/>
      <c r="G145" s="154"/>
      <c r="H145" s="155"/>
      <c r="I145" s="14" t="s">
        <v>104</v>
      </c>
      <c r="J145" s="28">
        <f ca="1">(IF(B144&gt;1,(H144/(B144+2)),H144/4))</f>
        <v>5.75</v>
      </c>
    </row>
    <row r="146" spans="1:10" ht="15.75" hidden="1" customHeight="1" x14ac:dyDescent="0.25">
      <c r="A146" s="97" t="s">
        <v>50</v>
      </c>
      <c r="B146" s="98"/>
      <c r="C146" s="51" t="s">
        <v>144</v>
      </c>
      <c r="D146" s="51" t="s">
        <v>86</v>
      </c>
      <c r="E146" s="94" t="s">
        <v>88</v>
      </c>
      <c r="F146" s="94"/>
      <c r="G146" s="94" t="s">
        <v>87</v>
      </c>
      <c r="H146" s="156"/>
      <c r="I146" s="14" t="s">
        <v>105</v>
      </c>
      <c r="J146" s="28">
        <f ca="1">(IF(B144&gt;1,(H144/(B144+2)+J145),H144/4+J145))</f>
        <v>11.5</v>
      </c>
    </row>
    <row r="147" spans="1:10" ht="15.75" hidden="1" customHeight="1" x14ac:dyDescent="0.25">
      <c r="A147" s="97" t="s">
        <v>133</v>
      </c>
      <c r="B147" s="98"/>
      <c r="C147" s="51">
        <f ca="1">J144</f>
        <v>23</v>
      </c>
      <c r="D147" s="52">
        <f ca="1">((100/H144)*C147)/100</f>
        <v>1</v>
      </c>
      <c r="E147" s="157">
        <f ca="1">(((C148/H144*10)+(40/(D144+F144+H144)*C149)+(7.5/(H144)*C150)+(7.5/(H144)*C151)+(10/H144*C152)+(10/H144*C153)+(5/H144*C154)+(5/H144*C155)+(5/H144*C156))/100)</f>
        <v>0.56413043478260871</v>
      </c>
      <c r="F147" s="158"/>
      <c r="G147" s="157">
        <f ca="1">((((C147/H144)*20)+((C148/H144)*25)+(30/(H144+F144+D144)*C149)+(5/H144*C150)+(5/H144*C151)+(5/H144*C152)+(5/H144*C153)+(0/H144*C154)+(0/H144*C155)+(5/H144*C156))/100)</f>
        <v>0.78423913043478255</v>
      </c>
      <c r="H147" s="163"/>
      <c r="I147" s="14" t="s">
        <v>151</v>
      </c>
      <c r="J147" s="28">
        <f>(IF(B144&gt;1,(H144/(B144+2)+J146),0))</f>
        <v>0</v>
      </c>
    </row>
    <row r="148" spans="1:10" ht="15" hidden="1" customHeight="1" x14ac:dyDescent="0.25">
      <c r="A148" s="97" t="s">
        <v>51</v>
      </c>
      <c r="B148" s="98"/>
      <c r="C148" s="53">
        <f ca="1">J152</f>
        <v>23</v>
      </c>
      <c r="D148" s="52">
        <f ca="1">((100/H144)*C148)/100</f>
        <v>1</v>
      </c>
      <c r="E148" s="159"/>
      <c r="F148" s="160"/>
      <c r="G148" s="159"/>
      <c r="H148" s="164"/>
      <c r="I148" s="14" t="s">
        <v>148</v>
      </c>
      <c r="J148" s="28">
        <f>(IF(B144&gt;2,(H144/(B144+2)+J147),0))</f>
        <v>0</v>
      </c>
    </row>
    <row r="149" spans="1:10" ht="15.75" hidden="1" customHeight="1" x14ac:dyDescent="0.25">
      <c r="A149" s="97" t="s">
        <v>134</v>
      </c>
      <c r="B149" s="98"/>
      <c r="C149" s="51">
        <v>21</v>
      </c>
      <c r="D149" s="52">
        <f ca="1">((100/(D144+F144+H144))*C149)/100</f>
        <v>0.875</v>
      </c>
      <c r="E149" s="159"/>
      <c r="F149" s="160"/>
      <c r="G149" s="159"/>
      <c r="H149" s="164"/>
      <c r="I149" s="14" t="s">
        <v>149</v>
      </c>
      <c r="J149" s="29">
        <f>(IF(B144&gt;3,(H144/(B144+2)+J148),0))</f>
        <v>0</v>
      </c>
    </row>
    <row r="150" spans="1:10" ht="15.75" hidden="1" customHeight="1" x14ac:dyDescent="0.25">
      <c r="A150" s="97" t="s">
        <v>141</v>
      </c>
      <c r="B150" s="98" t="s">
        <v>135</v>
      </c>
      <c r="C150" s="51">
        <f>C149-2</f>
        <v>19</v>
      </c>
      <c r="D150" s="52">
        <f ca="1">((100/H144)*C150)/100</f>
        <v>0.82608695652173902</v>
      </c>
      <c r="E150" s="159"/>
      <c r="F150" s="160"/>
      <c r="G150" s="159"/>
      <c r="H150" s="164"/>
      <c r="I150" s="14" t="s">
        <v>150</v>
      </c>
      <c r="J150" s="28">
        <f>(IF(B144&gt;4,(H144/(B144+2)+J149),0))</f>
        <v>0</v>
      </c>
    </row>
    <row r="151" spans="1:10" ht="15.75" hidden="1" customHeight="1" x14ac:dyDescent="0.25">
      <c r="A151" s="97" t="s">
        <v>142</v>
      </c>
      <c r="B151" s="98" t="s">
        <v>135</v>
      </c>
      <c r="C151" s="51">
        <v>8</v>
      </c>
      <c r="D151" s="52">
        <f ca="1">((100/H144)*C151)/100</f>
        <v>0.34782608695652173</v>
      </c>
      <c r="E151" s="159"/>
      <c r="F151" s="160"/>
      <c r="G151" s="159"/>
      <c r="H151" s="164"/>
      <c r="I151" s="14" t="s">
        <v>152</v>
      </c>
      <c r="J151" s="28">
        <f ca="1">(IF(B144=1,(H144/(B144+3)+J146),IF(B144=0,(H144/4+J146),IF(B144&gt;1,0))))</f>
        <v>17.25</v>
      </c>
    </row>
    <row r="152" spans="1:10" ht="16.5" hidden="1" thickBot="1" x14ac:dyDescent="0.3">
      <c r="A152" s="97" t="s">
        <v>140</v>
      </c>
      <c r="B152" s="98" t="s">
        <v>137</v>
      </c>
      <c r="C152" s="51">
        <v>6</v>
      </c>
      <c r="D152" s="52">
        <f ca="1">((100/(H144))*C152)/100</f>
        <v>0.2608695652173913</v>
      </c>
      <c r="E152" s="159"/>
      <c r="F152" s="160"/>
      <c r="G152" s="159"/>
      <c r="H152" s="164"/>
      <c r="I152" s="15" t="s">
        <v>106</v>
      </c>
      <c r="J152" s="30">
        <f ca="1">(IF(B144&gt;1.5,(H144/(B144+2)+J146+MAX(0,J147-J146)+MAX(0,J148-J147)+MAX(0,J149-J148)+MAX(0,J150-J149)+MAX(0,J151-J150)),IF(B144=1,(H144/(B144+3)+J151),IF(B144=0,H144/4+J151))))</f>
        <v>23</v>
      </c>
    </row>
    <row r="153" spans="1:10" ht="16.5" hidden="1" thickBot="1" x14ac:dyDescent="0.3">
      <c r="A153" s="97" t="s">
        <v>136</v>
      </c>
      <c r="B153" s="98" t="s">
        <v>136</v>
      </c>
      <c r="C153" s="51">
        <v>0</v>
      </c>
      <c r="D153" s="52">
        <f ca="1">((100/H144)*C153)/100</f>
        <v>0</v>
      </c>
      <c r="E153" s="159"/>
      <c r="F153" s="160"/>
      <c r="G153" s="159"/>
      <c r="H153" s="164"/>
      <c r="I153" s="15" t="s">
        <v>106</v>
      </c>
      <c r="J153" s="30">
        <f ca="1">(IF(B145&gt;1.5,(H145/(B145+2)+J147+MAX(0,J148-J147)+MAX(0,J149-J148)+MAX(0,J150-J149)+MAX(0,J151-J150)+MAX(0,J152-J151)),IF(B145=1,(H145/(B145+3)+J152),IF(B145=0,H145/4+J152))))</f>
        <v>23</v>
      </c>
    </row>
    <row r="154" spans="1:10" hidden="1" x14ac:dyDescent="0.25">
      <c r="A154" s="97" t="s">
        <v>143</v>
      </c>
      <c r="B154" s="98"/>
      <c r="C154" s="51">
        <v>0</v>
      </c>
      <c r="D154" s="52">
        <f ca="1">((100/H144)*C154)/100</f>
        <v>0</v>
      </c>
      <c r="E154" s="159"/>
      <c r="F154" s="160"/>
      <c r="G154" s="159"/>
      <c r="H154" s="164"/>
    </row>
    <row r="155" spans="1:10" hidden="1" x14ac:dyDescent="0.25">
      <c r="A155" s="97" t="s">
        <v>138</v>
      </c>
      <c r="B155" s="98" t="s">
        <v>138</v>
      </c>
      <c r="C155" s="51">
        <v>0</v>
      </c>
      <c r="D155" s="52">
        <f ca="1">((100/(H144))*C155)/100</f>
        <v>0</v>
      </c>
      <c r="E155" s="159"/>
      <c r="F155" s="160"/>
      <c r="G155" s="159"/>
      <c r="H155" s="164"/>
    </row>
    <row r="156" spans="1:10" ht="16.5" hidden="1" thickBot="1" x14ac:dyDescent="0.3">
      <c r="A156" s="80" t="s">
        <v>139</v>
      </c>
      <c r="B156" s="81"/>
      <c r="C156" s="54">
        <v>0</v>
      </c>
      <c r="D156" s="55">
        <f ca="1">((100/(H144))*C156)/100</f>
        <v>0</v>
      </c>
      <c r="E156" s="161"/>
      <c r="F156" s="162"/>
      <c r="G156" s="161"/>
      <c r="H156" s="165"/>
    </row>
    <row r="157" spans="1:10" s="31" customFormat="1" x14ac:dyDescent="0.25">
      <c r="A157" s="197" t="s">
        <v>161</v>
      </c>
      <c r="B157" s="197"/>
      <c r="C157" s="197"/>
      <c r="D157" s="197"/>
      <c r="E157" s="197"/>
      <c r="F157" s="126" t="s">
        <v>166</v>
      </c>
      <c r="G157" s="126"/>
      <c r="H157" s="126"/>
    </row>
    <row r="158" spans="1:10" s="31" customFormat="1" x14ac:dyDescent="0.25">
      <c r="A158" s="83" t="s">
        <v>164</v>
      </c>
      <c r="B158" s="83"/>
      <c r="C158" s="83"/>
      <c r="D158" s="83"/>
      <c r="E158" s="83"/>
      <c r="F158" s="95">
        <v>4200</v>
      </c>
      <c r="G158" s="95"/>
      <c r="H158" s="95"/>
    </row>
    <row r="159" spans="1:10" s="31" customFormat="1" x14ac:dyDescent="0.25">
      <c r="A159" s="83" t="s">
        <v>163</v>
      </c>
      <c r="B159" s="83"/>
      <c r="C159" s="83"/>
      <c r="D159" s="83"/>
      <c r="E159" s="83"/>
      <c r="F159" s="95">
        <v>9000</v>
      </c>
      <c r="G159" s="95"/>
      <c r="H159" s="95"/>
    </row>
    <row r="160" spans="1:10" s="31" customFormat="1" hidden="1" x14ac:dyDescent="0.25">
      <c r="A160" s="83" t="s">
        <v>165</v>
      </c>
      <c r="B160" s="83"/>
      <c r="C160" s="83"/>
      <c r="D160" s="83"/>
      <c r="E160" s="83"/>
      <c r="F160" s="95"/>
      <c r="G160" s="95"/>
      <c r="H160" s="95"/>
    </row>
    <row r="161" spans="1:8" s="31" customFormat="1" hidden="1" x14ac:dyDescent="0.25">
      <c r="A161" s="83" t="s">
        <v>162</v>
      </c>
      <c r="B161" s="83"/>
      <c r="C161" s="83"/>
      <c r="D161" s="83"/>
      <c r="E161" s="83"/>
      <c r="F161" s="95"/>
      <c r="G161" s="95"/>
      <c r="H161" s="95"/>
    </row>
    <row r="162" spans="1:8" s="31" customFormat="1" x14ac:dyDescent="0.25">
      <c r="A162" s="83" t="s">
        <v>98</v>
      </c>
      <c r="B162" s="83"/>
      <c r="C162" s="83"/>
      <c r="D162" s="83"/>
      <c r="E162" s="83"/>
      <c r="F162" s="95">
        <v>77000</v>
      </c>
      <c r="G162" s="95"/>
      <c r="H162" s="95"/>
    </row>
    <row r="163" spans="1:8" s="31" customFormat="1" hidden="1" x14ac:dyDescent="0.25">
      <c r="A163" s="83" t="s">
        <v>99</v>
      </c>
      <c r="B163" s="83"/>
      <c r="C163" s="83"/>
      <c r="D163" s="83"/>
      <c r="E163" s="83"/>
      <c r="F163" s="95"/>
      <c r="G163" s="95"/>
      <c r="H163" s="95"/>
    </row>
    <row r="164" spans="1:8" hidden="1" x14ac:dyDescent="0.25">
      <c r="A164" s="83" t="s">
        <v>100</v>
      </c>
      <c r="B164" s="83"/>
      <c r="C164" s="83"/>
      <c r="D164" s="83"/>
      <c r="E164" s="83"/>
      <c r="F164" s="95"/>
      <c r="G164" s="95"/>
      <c r="H164" s="95"/>
    </row>
    <row r="165" spans="1:8" s="32" customFormat="1" x14ac:dyDescent="0.25">
      <c r="A165" s="83" t="s">
        <v>225</v>
      </c>
      <c r="B165" s="83"/>
      <c r="C165" s="83"/>
      <c r="D165" s="83"/>
      <c r="E165" s="83"/>
      <c r="F165" s="95">
        <v>20000</v>
      </c>
      <c r="G165" s="95"/>
      <c r="H165" s="95"/>
    </row>
    <row r="166" spans="1:8" s="33" customFormat="1" ht="15.75" hidden="1" customHeight="1" x14ac:dyDescent="0.25">
      <c r="A166" s="83" t="s">
        <v>101</v>
      </c>
      <c r="B166" s="83"/>
      <c r="C166" s="83"/>
      <c r="D166" s="83"/>
      <c r="E166" s="83"/>
      <c r="F166" s="95"/>
      <c r="G166" s="95"/>
      <c r="H166" s="95"/>
    </row>
    <row r="167" spans="1:8" s="33" customFormat="1" ht="15.75" customHeight="1" x14ac:dyDescent="0.25">
      <c r="A167" s="83" t="s">
        <v>226</v>
      </c>
      <c r="B167" s="83"/>
      <c r="C167" s="83"/>
      <c r="D167" s="83"/>
      <c r="E167" s="83"/>
      <c r="F167" s="95">
        <v>20000</v>
      </c>
      <c r="G167" s="95"/>
      <c r="H167" s="95"/>
    </row>
    <row r="168" spans="1:8" s="33" customFormat="1" x14ac:dyDescent="0.25">
      <c r="A168" s="83" t="s">
        <v>52</v>
      </c>
      <c r="B168" s="83"/>
      <c r="C168" s="83"/>
      <c r="D168" s="83"/>
      <c r="E168" s="83"/>
      <c r="F168" s="95">
        <v>150000</v>
      </c>
      <c r="G168" s="95"/>
      <c r="H168" s="95"/>
    </row>
    <row r="169" spans="1:8" s="33" customFormat="1" x14ac:dyDescent="0.25">
      <c r="A169" s="132" t="s">
        <v>53</v>
      </c>
      <c r="B169" s="132"/>
      <c r="C169" s="132"/>
      <c r="D169" s="132"/>
      <c r="E169" s="132"/>
      <c r="F169" s="95">
        <f>F158*0.8</f>
        <v>3360</v>
      </c>
      <c r="G169" s="95"/>
      <c r="H169" s="95"/>
    </row>
    <row r="170" spans="1:8" s="33" customFormat="1" x14ac:dyDescent="0.25">
      <c r="A170" s="131" t="s">
        <v>78</v>
      </c>
      <c r="B170" s="131"/>
      <c r="C170" s="131"/>
      <c r="D170" s="131"/>
      <c r="E170" s="131"/>
      <c r="F170" s="131"/>
      <c r="G170" s="131"/>
      <c r="H170" s="131"/>
    </row>
    <row r="171" spans="1:8" s="33" customFormat="1" x14ac:dyDescent="0.25">
      <c r="A171" s="82" t="s">
        <v>54</v>
      </c>
      <c r="B171" s="82"/>
      <c r="C171" s="96" t="s">
        <v>81</v>
      </c>
      <c r="D171" s="96"/>
      <c r="E171" s="134" t="s">
        <v>55</v>
      </c>
      <c r="F171" s="134"/>
      <c r="G171" s="82" t="s">
        <v>56</v>
      </c>
      <c r="H171" s="82"/>
    </row>
    <row r="172" spans="1:8" s="33" customFormat="1" ht="15.75" customHeight="1" x14ac:dyDescent="0.25">
      <c r="A172" s="133" t="s">
        <v>221</v>
      </c>
      <c r="B172" s="133"/>
      <c r="C172" s="84">
        <f>COUNT(D189:D233)+COUNT(D235:D264)</f>
        <v>75</v>
      </c>
      <c r="D172" s="85"/>
      <c r="E172" s="78">
        <f>SUM(D189:D233)+SUM(D235:D264)</f>
        <v>17063.523359999996</v>
      </c>
      <c r="F172" s="79"/>
      <c r="G172" s="78">
        <f>SUM(F189:F233)+SUM(F235:F264)</f>
        <v>27301.637375999999</v>
      </c>
      <c r="H172" s="79"/>
    </row>
    <row r="173" spans="1:8" s="33" customFormat="1" x14ac:dyDescent="0.25">
      <c r="A173" s="131" t="s">
        <v>155</v>
      </c>
      <c r="B173" s="131"/>
      <c r="C173" s="188">
        <f>SUM(C172:C172)</f>
        <v>75</v>
      </c>
      <c r="D173" s="96"/>
      <c r="E173" s="189">
        <f>SUM(E172:E172)</f>
        <v>17063.523359999996</v>
      </c>
      <c r="F173" s="134"/>
      <c r="G173" s="82">
        <f>SUM(G172:G172)</f>
        <v>27301.637375999999</v>
      </c>
      <c r="H173" s="82"/>
    </row>
    <row r="174" spans="1:8" s="33" customFormat="1" x14ac:dyDescent="0.25">
      <c r="A174" s="131" t="s">
        <v>72</v>
      </c>
      <c r="B174" s="131"/>
      <c r="C174" s="131"/>
      <c r="D174" s="131"/>
      <c r="E174" s="131"/>
      <c r="F174" s="131"/>
      <c r="G174" s="131"/>
      <c r="H174" s="131"/>
    </row>
    <row r="175" spans="1:8" s="33" customFormat="1" x14ac:dyDescent="0.25">
      <c r="A175" s="82" t="s">
        <v>54</v>
      </c>
      <c r="B175" s="82"/>
      <c r="C175" s="96" t="s">
        <v>81</v>
      </c>
      <c r="D175" s="96"/>
      <c r="E175" s="134" t="s">
        <v>55</v>
      </c>
      <c r="F175" s="134"/>
      <c r="G175" s="82" t="s">
        <v>56</v>
      </c>
      <c r="H175" s="82"/>
    </row>
    <row r="176" spans="1:8" s="33" customFormat="1" x14ac:dyDescent="0.25">
      <c r="A176" s="135" t="s">
        <v>222</v>
      </c>
      <c r="B176" s="49" t="s">
        <v>202</v>
      </c>
      <c r="C176" s="85">
        <f>COUNT(D271:D274)+COUNT(D276:D283)+COUNT(D285:D292)*17+COUNT(D294:D300)*3</f>
        <v>169</v>
      </c>
      <c r="D176" s="85"/>
      <c r="E176" s="90">
        <f>SUM(D271:D274)+SUM(D276:D283)+SUM(D285:D292)*17+SUM(D294:D300)*3</f>
        <v>98344.317239999989</v>
      </c>
      <c r="F176" s="90"/>
      <c r="G176" s="90">
        <f>SUM(F271:F274)+SUM(F276:F283)+SUM(F285:F292)*17+SUM(F294:F300)*3</f>
        <v>148223.77830000001</v>
      </c>
      <c r="H176" s="90"/>
    </row>
    <row r="177" spans="1:14" s="33" customFormat="1" x14ac:dyDescent="0.25">
      <c r="A177" s="136"/>
      <c r="B177" s="49" t="s">
        <v>208</v>
      </c>
      <c r="C177" s="85">
        <f>COUNT(D304:D315)+COUNT(D317:D332)+COUNT(D334:D349)*17+COUNT(D351:D365)*3</f>
        <v>345</v>
      </c>
      <c r="D177" s="85"/>
      <c r="E177" s="90">
        <f>SUM(D304:D315)+SUM(D317:D332)+SUM(D334:D349)*17+SUM(D351:D365)*3</f>
        <v>171091.78865999999</v>
      </c>
      <c r="F177" s="90"/>
      <c r="G177" s="90">
        <f>SUM(F304:F315)+SUM(F317:F332)+SUM(F334:F349)*17+SUM(F351:F365)*3</f>
        <v>258043.42551</v>
      </c>
      <c r="H177" s="90"/>
    </row>
    <row r="178" spans="1:14" s="32" customFormat="1" x14ac:dyDescent="0.25">
      <c r="A178" s="135" t="s">
        <v>223</v>
      </c>
      <c r="B178" s="49" t="s">
        <v>202</v>
      </c>
      <c r="C178" s="85">
        <f>COUNT(D370)+COUNT(D374:D392)+COUNT(D394:D412)*19+COUNT(D414:D431)*3</f>
        <v>435</v>
      </c>
      <c r="D178" s="85"/>
      <c r="E178" s="90">
        <f>SUM(D370)+SUM(D374:D392)+SUM(D394:D412)*19+SUM(D414:D431)*3</f>
        <v>165842.05130999995</v>
      </c>
      <c r="F178" s="90"/>
      <c r="G178" s="90">
        <f>SUM(F370)+SUM(F374:F392)+SUM(F394:F412)*19+SUM(F414:F431)*3</f>
        <v>250205.93734500004</v>
      </c>
      <c r="H178" s="90"/>
    </row>
    <row r="179" spans="1:14" x14ac:dyDescent="0.25">
      <c r="A179" s="136"/>
      <c r="B179" s="49" t="s">
        <v>208</v>
      </c>
      <c r="C179" s="85">
        <f>COUNT(D436:D454)+COUNT(D456:D474)*19+COUNT(D476:D493)*3</f>
        <v>434</v>
      </c>
      <c r="D179" s="85"/>
      <c r="E179" s="90">
        <f>SUM(D436:D454)+SUM(D456:D474)*19+SUM(D476:D493)*3</f>
        <v>165519.45422999994</v>
      </c>
      <c r="F179" s="90"/>
      <c r="G179" s="90">
        <f>SUM(F436:F454)+SUM(F456:F474)*19+SUM(F476:F493)*3</f>
        <v>249722.04172500002</v>
      </c>
      <c r="H179" s="90"/>
    </row>
    <row r="180" spans="1:14" ht="16.5" thickBot="1" x14ac:dyDescent="0.3">
      <c r="A180" s="190" t="s">
        <v>155</v>
      </c>
      <c r="B180" s="190"/>
      <c r="C180" s="88">
        <f>SUM(C176:C179)</f>
        <v>1383</v>
      </c>
      <c r="D180" s="88"/>
      <c r="E180" s="191">
        <f>SUM(E176:E179)</f>
        <v>600797.61143999989</v>
      </c>
      <c r="F180" s="191"/>
      <c r="G180" s="187">
        <f>SUM(G176:G179)</f>
        <v>906195.18288000009</v>
      </c>
      <c r="H180" s="187"/>
    </row>
    <row r="181" spans="1:14" s="35" customFormat="1" ht="16.5" thickBot="1" x14ac:dyDescent="0.3">
      <c r="A181" s="192" t="s">
        <v>172</v>
      </c>
      <c r="B181" s="193"/>
      <c r="C181" s="89">
        <f>C173+C180</f>
        <v>1458</v>
      </c>
      <c r="D181" s="89"/>
      <c r="E181" s="194">
        <f>E173+E180</f>
        <v>617861.13479999988</v>
      </c>
      <c r="F181" s="194"/>
      <c r="G181" s="195">
        <f>G173+G180</f>
        <v>933496.82025600015</v>
      </c>
      <c r="H181" s="196"/>
    </row>
    <row r="182" spans="1:14" s="35" customFormat="1" x14ac:dyDescent="0.25">
      <c r="A182" s="126" t="s">
        <v>57</v>
      </c>
      <c r="B182" s="126"/>
      <c r="C182" s="126"/>
      <c r="D182" s="126"/>
      <c r="E182" s="126"/>
      <c r="F182" s="126"/>
      <c r="G182" s="126"/>
      <c r="H182" s="126"/>
      <c r="J182" s="34"/>
    </row>
    <row r="183" spans="1:14" s="35" customFormat="1" x14ac:dyDescent="0.25">
      <c r="A183" s="99" t="s">
        <v>58</v>
      </c>
      <c r="B183" s="99"/>
      <c r="C183" s="99"/>
      <c r="D183" s="99"/>
      <c r="E183" s="99"/>
      <c r="F183" s="99"/>
      <c r="G183" s="99"/>
      <c r="H183" s="99"/>
      <c r="J183" s="34"/>
    </row>
    <row r="184" spans="1:14" s="35" customFormat="1" ht="47.25" x14ac:dyDescent="0.25">
      <c r="A184" s="86" t="s">
        <v>123</v>
      </c>
      <c r="B184" s="86" t="s">
        <v>122</v>
      </c>
      <c r="C184" s="86" t="s">
        <v>59</v>
      </c>
      <c r="D184" s="86" t="s">
        <v>60</v>
      </c>
      <c r="E184" s="181" t="s">
        <v>160</v>
      </c>
      <c r="F184" s="41" t="s">
        <v>154</v>
      </c>
      <c r="G184" s="183" t="s">
        <v>62</v>
      </c>
      <c r="H184" s="184"/>
      <c r="J184" s="34"/>
    </row>
    <row r="185" spans="1:14" s="35" customFormat="1" ht="15.75" customHeight="1" x14ac:dyDescent="0.25">
      <c r="A185" s="87"/>
      <c r="B185" s="87"/>
      <c r="C185" s="87"/>
      <c r="D185" s="87"/>
      <c r="E185" s="182"/>
      <c r="F185" s="13">
        <v>0.6</v>
      </c>
      <c r="G185" s="185"/>
      <c r="H185" s="186"/>
      <c r="I185" s="34"/>
      <c r="L185" s="63"/>
      <c r="M185" s="63"/>
      <c r="N185" s="34"/>
    </row>
    <row r="186" spans="1:14" s="35" customFormat="1" ht="15.75" customHeight="1" x14ac:dyDescent="0.25">
      <c r="A186" s="75" t="s">
        <v>201</v>
      </c>
      <c r="B186" s="76"/>
      <c r="C186" s="76"/>
      <c r="D186" s="76"/>
      <c r="E186" s="76"/>
      <c r="F186" s="76"/>
      <c r="G186" s="76"/>
      <c r="H186" s="77"/>
      <c r="I186" s="34"/>
      <c r="L186" s="63"/>
      <c r="M186" s="63"/>
      <c r="N186" s="34"/>
    </row>
    <row r="187" spans="1:14" s="35" customFormat="1" ht="15.75" customHeight="1" x14ac:dyDescent="0.25">
      <c r="A187" s="75" t="s">
        <v>220</v>
      </c>
      <c r="B187" s="76"/>
      <c r="C187" s="76"/>
      <c r="D187" s="76"/>
      <c r="E187" s="76"/>
      <c r="F187" s="76"/>
      <c r="G187" s="76"/>
      <c r="H187" s="77"/>
      <c r="I187" s="34"/>
      <c r="L187" s="63"/>
      <c r="M187" s="63"/>
      <c r="N187" s="34"/>
    </row>
    <row r="188" spans="1:14" s="35" customFormat="1" ht="15.75" customHeight="1" x14ac:dyDescent="0.25">
      <c r="A188" s="75" t="s">
        <v>219</v>
      </c>
      <c r="B188" s="76"/>
      <c r="C188" s="76"/>
      <c r="D188" s="76"/>
      <c r="E188" s="76"/>
      <c r="F188" s="76"/>
      <c r="G188" s="76"/>
      <c r="H188" s="77"/>
      <c r="I188" s="34"/>
      <c r="L188" s="63"/>
      <c r="M188" s="63"/>
      <c r="N188" s="34"/>
    </row>
    <row r="189" spans="1:14" s="35" customFormat="1" ht="15.75" customHeight="1" x14ac:dyDescent="0.25">
      <c r="A189" s="64">
        <v>1</v>
      </c>
      <c r="B189" s="64"/>
      <c r="C189" s="40" t="s">
        <v>199</v>
      </c>
      <c r="D189" s="40">
        <f>(59.26)*(10.764)</f>
        <v>637.87463999999989</v>
      </c>
      <c r="E189" s="40">
        <v>0</v>
      </c>
      <c r="F189" s="40">
        <f>(D189+E189)*(($F$185)+1)</f>
        <v>1020.5994239999999</v>
      </c>
      <c r="G189" s="64" t="str">
        <f>A188</f>
        <v>Ground Floor for Entrance Lobby, Commercial, Society office, Electric Meter Room &amp; Parking</v>
      </c>
      <c r="H189" s="64"/>
      <c r="I189" s="34"/>
      <c r="L189" s="63"/>
      <c r="M189" s="63"/>
      <c r="N189" s="34"/>
    </row>
    <row r="190" spans="1:14" s="35" customFormat="1" ht="15.75" customHeight="1" x14ac:dyDescent="0.25">
      <c r="A190" s="64">
        <f t="shared" ref="A190:A233" si="0">A189+1</f>
        <v>2</v>
      </c>
      <c r="B190" s="64"/>
      <c r="C190" s="40" t="s">
        <v>199</v>
      </c>
      <c r="D190" s="40">
        <f>(15.51)*(10.764)</f>
        <v>166.94963999999999</v>
      </c>
      <c r="E190" s="40">
        <v>0</v>
      </c>
      <c r="F190" s="40">
        <f>(D190+E190)*(($F$185)+1)</f>
        <v>267.11942399999998</v>
      </c>
      <c r="G190" s="64"/>
      <c r="H190" s="64"/>
      <c r="I190" s="34"/>
      <c r="L190" s="63"/>
      <c r="M190" s="63"/>
      <c r="N190" s="34"/>
    </row>
    <row r="191" spans="1:14" s="35" customFormat="1" ht="15.75" customHeight="1" x14ac:dyDescent="0.25">
      <c r="A191" s="64">
        <f t="shared" si="0"/>
        <v>3</v>
      </c>
      <c r="B191" s="64"/>
      <c r="C191" s="40" t="s">
        <v>199</v>
      </c>
      <c r="D191" s="40">
        <f>(12.92)*(10.764)</f>
        <v>139.07087999999999</v>
      </c>
      <c r="E191" s="40">
        <v>0</v>
      </c>
      <c r="F191" s="40">
        <f>(D191+E191)*(($F$185)+1)</f>
        <v>222.513408</v>
      </c>
      <c r="G191" s="64"/>
      <c r="H191" s="64"/>
      <c r="I191" s="34"/>
      <c r="L191" s="63"/>
      <c r="M191" s="63"/>
      <c r="N191" s="34"/>
    </row>
    <row r="192" spans="1:14" s="35" customFormat="1" ht="15.75" customHeight="1" x14ac:dyDescent="0.25">
      <c r="A192" s="64">
        <f t="shared" si="0"/>
        <v>4</v>
      </c>
      <c r="B192" s="64"/>
      <c r="C192" s="40" t="s">
        <v>199</v>
      </c>
      <c r="D192" s="40">
        <f>(24.58)*(10.764)</f>
        <v>264.57911999999999</v>
      </c>
      <c r="E192" s="40">
        <v>0</v>
      </c>
      <c r="F192" s="40">
        <f>(D192+E192)*(($F$185)+1)</f>
        <v>423.32659200000001</v>
      </c>
      <c r="G192" s="64"/>
      <c r="H192" s="64"/>
      <c r="I192" s="34"/>
      <c r="L192" s="63"/>
      <c r="M192" s="63"/>
      <c r="N192" s="34"/>
    </row>
    <row r="193" spans="1:14" s="35" customFormat="1" ht="15.75" customHeight="1" x14ac:dyDescent="0.25">
      <c r="A193" s="64">
        <f t="shared" si="0"/>
        <v>5</v>
      </c>
      <c r="B193" s="64"/>
      <c r="C193" s="40" t="s">
        <v>199</v>
      </c>
      <c r="D193" s="40">
        <f>(9.6)*(10.764)</f>
        <v>103.33439999999999</v>
      </c>
      <c r="E193" s="40">
        <v>0</v>
      </c>
      <c r="F193" s="40">
        <f t="shared" ref="F193:F198" si="1">(D193+E193)*(($F$185)+1)</f>
        <v>165.33503999999999</v>
      </c>
      <c r="G193" s="64"/>
      <c r="H193" s="64"/>
      <c r="I193" s="34"/>
      <c r="L193" s="63"/>
      <c r="M193" s="63"/>
      <c r="N193" s="34"/>
    </row>
    <row r="194" spans="1:14" s="35" customFormat="1" ht="15.75" customHeight="1" x14ac:dyDescent="0.25">
      <c r="A194" s="64">
        <f t="shared" si="0"/>
        <v>6</v>
      </c>
      <c r="B194" s="64"/>
      <c r="C194" s="40" t="s">
        <v>199</v>
      </c>
      <c r="D194" s="40">
        <f>(21.64)*(10.764)</f>
        <v>232.93295999999998</v>
      </c>
      <c r="E194" s="40">
        <v>0</v>
      </c>
      <c r="F194" s="40">
        <f t="shared" si="1"/>
        <v>372.69273599999997</v>
      </c>
      <c r="G194" s="64"/>
      <c r="H194" s="64"/>
      <c r="I194" s="34"/>
      <c r="L194" s="63"/>
      <c r="M194" s="63"/>
      <c r="N194" s="34"/>
    </row>
    <row r="195" spans="1:14" s="35" customFormat="1" ht="15.75" customHeight="1" x14ac:dyDescent="0.25">
      <c r="A195" s="64">
        <f t="shared" si="0"/>
        <v>7</v>
      </c>
      <c r="B195" s="64"/>
      <c r="C195" s="40" t="s">
        <v>199</v>
      </c>
      <c r="D195" s="40">
        <f>(21.57)*(10.764)</f>
        <v>232.17947999999998</v>
      </c>
      <c r="E195" s="40">
        <v>0</v>
      </c>
      <c r="F195" s="40">
        <f t="shared" si="1"/>
        <v>371.487168</v>
      </c>
      <c r="G195" s="64"/>
      <c r="H195" s="64"/>
      <c r="I195" s="34"/>
      <c r="L195" s="63"/>
      <c r="M195" s="63"/>
      <c r="N195" s="34"/>
    </row>
    <row r="196" spans="1:14" s="35" customFormat="1" ht="15.75" customHeight="1" x14ac:dyDescent="0.25">
      <c r="A196" s="64">
        <f t="shared" si="0"/>
        <v>8</v>
      </c>
      <c r="B196" s="64"/>
      <c r="C196" s="40" t="s">
        <v>199</v>
      </c>
      <c r="D196" s="40">
        <f>(17.72)*(10.764)</f>
        <v>190.73807999999997</v>
      </c>
      <c r="E196" s="40">
        <v>0</v>
      </c>
      <c r="F196" s="40">
        <f t="shared" si="1"/>
        <v>305.18092799999994</v>
      </c>
      <c r="G196" s="64"/>
      <c r="H196" s="64"/>
      <c r="I196" s="34"/>
      <c r="L196" s="63"/>
      <c r="M196" s="63"/>
      <c r="N196" s="34"/>
    </row>
    <row r="197" spans="1:14" s="35" customFormat="1" ht="15.75" customHeight="1" x14ac:dyDescent="0.25">
      <c r="A197" s="64">
        <f t="shared" si="0"/>
        <v>9</v>
      </c>
      <c r="B197" s="64"/>
      <c r="C197" s="40" t="s">
        <v>199</v>
      </c>
      <c r="D197" s="40">
        <f>(12.8)*(10.764)</f>
        <v>137.7792</v>
      </c>
      <c r="E197" s="40">
        <v>0</v>
      </c>
      <c r="F197" s="40">
        <f t="shared" si="1"/>
        <v>220.44672000000003</v>
      </c>
      <c r="G197" s="64"/>
      <c r="H197" s="64"/>
      <c r="I197" s="34"/>
      <c r="L197" s="63"/>
      <c r="M197" s="63"/>
      <c r="N197" s="34"/>
    </row>
    <row r="198" spans="1:14" s="35" customFormat="1" ht="15.75" customHeight="1" x14ac:dyDescent="0.25">
      <c r="A198" s="64">
        <f t="shared" si="0"/>
        <v>10</v>
      </c>
      <c r="B198" s="64"/>
      <c r="C198" s="40" t="s">
        <v>199</v>
      </c>
      <c r="D198" s="40">
        <f>(12.8)*(10.764)</f>
        <v>137.7792</v>
      </c>
      <c r="E198" s="40">
        <v>0</v>
      </c>
      <c r="F198" s="40">
        <f t="shared" si="1"/>
        <v>220.44672000000003</v>
      </c>
      <c r="G198" s="64"/>
      <c r="H198" s="64"/>
      <c r="I198" s="34"/>
      <c r="L198" s="63"/>
      <c r="M198" s="63"/>
      <c r="N198" s="34"/>
    </row>
    <row r="199" spans="1:14" s="35" customFormat="1" ht="15.75" customHeight="1" x14ac:dyDescent="0.25">
      <c r="A199" s="64">
        <f t="shared" si="0"/>
        <v>11</v>
      </c>
      <c r="B199" s="64"/>
      <c r="C199" s="40" t="s">
        <v>199</v>
      </c>
      <c r="D199" s="40">
        <f>(17.72)*(10.764)</f>
        <v>190.73807999999997</v>
      </c>
      <c r="E199" s="40">
        <v>0</v>
      </c>
      <c r="F199" s="40">
        <f t="shared" ref="F199:F210" si="2">(D199+E199)*(($F$185)+1)</f>
        <v>305.18092799999994</v>
      </c>
      <c r="G199" s="64"/>
      <c r="H199" s="64"/>
      <c r="I199" s="34"/>
      <c r="L199" s="63"/>
      <c r="M199" s="63"/>
      <c r="N199" s="34"/>
    </row>
    <row r="200" spans="1:14" s="35" customFormat="1" ht="15.75" customHeight="1" x14ac:dyDescent="0.25">
      <c r="A200" s="64">
        <f t="shared" si="0"/>
        <v>12</v>
      </c>
      <c r="B200" s="64"/>
      <c r="C200" s="40" t="s">
        <v>199</v>
      </c>
      <c r="D200" s="40">
        <f>(21.57)*(10.764)</f>
        <v>232.17947999999998</v>
      </c>
      <c r="E200" s="40">
        <v>0</v>
      </c>
      <c r="F200" s="40">
        <f t="shared" si="2"/>
        <v>371.487168</v>
      </c>
      <c r="G200" s="64"/>
      <c r="H200" s="64"/>
      <c r="I200" s="34"/>
      <c r="L200" s="63"/>
      <c r="M200" s="63"/>
      <c r="N200" s="34"/>
    </row>
    <row r="201" spans="1:14" s="35" customFormat="1" ht="15.75" customHeight="1" x14ac:dyDescent="0.25">
      <c r="A201" s="64">
        <f t="shared" si="0"/>
        <v>13</v>
      </c>
      <c r="B201" s="64"/>
      <c r="C201" s="40" t="s">
        <v>199</v>
      </c>
      <c r="D201" s="40">
        <f>(21.64)*(10.764)</f>
        <v>232.93295999999998</v>
      </c>
      <c r="E201" s="40">
        <v>0</v>
      </c>
      <c r="F201" s="40">
        <f t="shared" si="2"/>
        <v>372.69273599999997</v>
      </c>
      <c r="G201" s="64"/>
      <c r="H201" s="64"/>
      <c r="I201" s="34"/>
      <c r="L201" s="63"/>
      <c r="M201" s="63"/>
      <c r="N201" s="34"/>
    </row>
    <row r="202" spans="1:14" s="35" customFormat="1" ht="15.75" customHeight="1" x14ac:dyDescent="0.25">
      <c r="A202" s="64">
        <f t="shared" si="0"/>
        <v>14</v>
      </c>
      <c r="B202" s="64"/>
      <c r="C202" s="40" t="s">
        <v>199</v>
      </c>
      <c r="D202" s="40">
        <f>(21.64)*(10.764)</f>
        <v>232.93295999999998</v>
      </c>
      <c r="E202" s="40">
        <v>0</v>
      </c>
      <c r="F202" s="40">
        <f t="shared" si="2"/>
        <v>372.69273599999997</v>
      </c>
      <c r="G202" s="64"/>
      <c r="H202" s="64"/>
      <c r="I202" s="34"/>
      <c r="L202" s="63"/>
      <c r="M202" s="63"/>
      <c r="N202" s="34"/>
    </row>
    <row r="203" spans="1:14" s="35" customFormat="1" ht="15.75" customHeight="1" x14ac:dyDescent="0.25">
      <c r="A203" s="64">
        <f t="shared" si="0"/>
        <v>15</v>
      </c>
      <c r="B203" s="64"/>
      <c r="C203" s="40" t="s">
        <v>199</v>
      </c>
      <c r="D203" s="40">
        <f>(21.56)*(10.764)</f>
        <v>232.07183999999998</v>
      </c>
      <c r="E203" s="40">
        <v>0</v>
      </c>
      <c r="F203" s="40">
        <f t="shared" si="2"/>
        <v>371.31494399999997</v>
      </c>
      <c r="G203" s="64"/>
      <c r="H203" s="64"/>
      <c r="I203" s="34"/>
      <c r="L203" s="63"/>
      <c r="M203" s="63"/>
      <c r="N203" s="34"/>
    </row>
    <row r="204" spans="1:14" s="35" customFormat="1" ht="15.75" customHeight="1" x14ac:dyDescent="0.25">
      <c r="A204" s="64">
        <f t="shared" si="0"/>
        <v>16</v>
      </c>
      <c r="B204" s="64"/>
      <c r="C204" s="40" t="s">
        <v>199</v>
      </c>
      <c r="D204" s="40">
        <f>(19.6)*(10.764)</f>
        <v>210.9744</v>
      </c>
      <c r="E204" s="40">
        <v>0</v>
      </c>
      <c r="F204" s="40">
        <f t="shared" si="2"/>
        <v>337.55904000000004</v>
      </c>
      <c r="G204" s="64"/>
      <c r="H204" s="64"/>
      <c r="I204" s="34"/>
      <c r="L204" s="63"/>
      <c r="M204" s="63"/>
      <c r="N204" s="34"/>
    </row>
    <row r="205" spans="1:14" s="35" customFormat="1" ht="15.75" customHeight="1" x14ac:dyDescent="0.25">
      <c r="A205" s="64">
        <f t="shared" si="0"/>
        <v>17</v>
      </c>
      <c r="B205" s="64"/>
      <c r="C205" s="40" t="s">
        <v>199</v>
      </c>
      <c r="D205" s="40">
        <f>(19.6)*(10.764)</f>
        <v>210.9744</v>
      </c>
      <c r="E205" s="40">
        <v>0</v>
      </c>
      <c r="F205" s="40">
        <f t="shared" si="2"/>
        <v>337.55904000000004</v>
      </c>
      <c r="G205" s="64"/>
      <c r="H205" s="64"/>
      <c r="I205" s="34"/>
      <c r="L205" s="63"/>
      <c r="M205" s="63"/>
      <c r="N205" s="34"/>
    </row>
    <row r="206" spans="1:14" s="35" customFormat="1" ht="15.75" customHeight="1" x14ac:dyDescent="0.25">
      <c r="A206" s="64">
        <f t="shared" si="0"/>
        <v>18</v>
      </c>
      <c r="B206" s="64"/>
      <c r="C206" s="40" t="s">
        <v>199</v>
      </c>
      <c r="D206" s="40">
        <f>(28.91)*(10.764)</f>
        <v>311.18723999999997</v>
      </c>
      <c r="E206" s="40">
        <v>0</v>
      </c>
      <c r="F206" s="40">
        <f t="shared" si="2"/>
        <v>497.899584</v>
      </c>
      <c r="G206" s="64"/>
      <c r="H206" s="64"/>
      <c r="I206" s="34"/>
      <c r="L206" s="63"/>
      <c r="M206" s="63"/>
      <c r="N206" s="34"/>
    </row>
    <row r="207" spans="1:14" s="35" customFormat="1" ht="15.75" customHeight="1" x14ac:dyDescent="0.25">
      <c r="A207" s="64">
        <f t="shared" si="0"/>
        <v>19</v>
      </c>
      <c r="B207" s="64"/>
      <c r="C207" s="40" t="s">
        <v>199</v>
      </c>
      <c r="D207" s="40">
        <f>(31.68)*(10.764)</f>
        <v>341.00351999999998</v>
      </c>
      <c r="E207" s="40">
        <v>0</v>
      </c>
      <c r="F207" s="40">
        <f t="shared" si="2"/>
        <v>545.60563200000001</v>
      </c>
      <c r="G207" s="64"/>
      <c r="H207" s="64"/>
      <c r="I207" s="34"/>
      <c r="L207" s="63"/>
      <c r="M207" s="63"/>
      <c r="N207" s="34"/>
    </row>
    <row r="208" spans="1:14" s="35" customFormat="1" ht="15.75" customHeight="1" x14ac:dyDescent="0.25">
      <c r="A208" s="64">
        <f t="shared" si="0"/>
        <v>20</v>
      </c>
      <c r="B208" s="64"/>
      <c r="C208" s="40" t="s">
        <v>199</v>
      </c>
      <c r="D208" s="40">
        <f>(21.61)*(10.764)</f>
        <v>232.61003999999997</v>
      </c>
      <c r="E208" s="40">
        <v>0</v>
      </c>
      <c r="F208" s="40">
        <f t="shared" si="2"/>
        <v>372.176064</v>
      </c>
      <c r="G208" s="64"/>
      <c r="H208" s="64"/>
      <c r="I208" s="34"/>
      <c r="L208" s="63"/>
      <c r="M208" s="63"/>
      <c r="N208" s="34"/>
    </row>
    <row r="209" spans="1:14" s="35" customFormat="1" ht="15.75" customHeight="1" x14ac:dyDescent="0.25">
      <c r="A209" s="64">
        <f t="shared" si="0"/>
        <v>21</v>
      </c>
      <c r="B209" s="64"/>
      <c r="C209" s="40" t="s">
        <v>199</v>
      </c>
      <c r="D209" s="40">
        <f>(27.7)*(10.764)</f>
        <v>298.16279999999995</v>
      </c>
      <c r="E209" s="40">
        <v>0</v>
      </c>
      <c r="F209" s="40">
        <f t="shared" si="2"/>
        <v>477.06047999999993</v>
      </c>
      <c r="G209" s="64"/>
      <c r="H209" s="64"/>
      <c r="I209" s="34"/>
      <c r="L209" s="63"/>
      <c r="M209" s="63"/>
      <c r="N209" s="34"/>
    </row>
    <row r="210" spans="1:14" s="35" customFormat="1" ht="15.75" customHeight="1" x14ac:dyDescent="0.25">
      <c r="A210" s="64">
        <f t="shared" si="0"/>
        <v>22</v>
      </c>
      <c r="B210" s="64"/>
      <c r="C210" s="40" t="s">
        <v>199</v>
      </c>
      <c r="D210" s="40">
        <f>(27.7)*(10.764)</f>
        <v>298.16279999999995</v>
      </c>
      <c r="E210" s="40">
        <v>0</v>
      </c>
      <c r="F210" s="40">
        <f t="shared" si="2"/>
        <v>477.06047999999993</v>
      </c>
      <c r="G210" s="64"/>
      <c r="H210" s="64"/>
      <c r="I210" s="34"/>
      <c r="L210" s="63"/>
      <c r="M210" s="63"/>
      <c r="N210" s="34"/>
    </row>
    <row r="211" spans="1:14" s="35" customFormat="1" ht="15.75" customHeight="1" x14ac:dyDescent="0.25">
      <c r="A211" s="64">
        <f t="shared" si="0"/>
        <v>23</v>
      </c>
      <c r="B211" s="64"/>
      <c r="C211" s="40" t="s">
        <v>199</v>
      </c>
      <c r="D211" s="40">
        <f>(32.67)*(10.764)</f>
        <v>351.65987999999999</v>
      </c>
      <c r="E211" s="40">
        <v>0</v>
      </c>
      <c r="F211" s="40">
        <f t="shared" ref="F211:F233" si="3">(D211+E211)*(($F$185)+1)</f>
        <v>562.65580799999998</v>
      </c>
      <c r="G211" s="64"/>
      <c r="H211" s="64"/>
      <c r="I211" s="34"/>
      <c r="L211" s="63"/>
      <c r="M211" s="63"/>
      <c r="N211" s="34"/>
    </row>
    <row r="212" spans="1:14" s="35" customFormat="1" ht="15.75" customHeight="1" x14ac:dyDescent="0.25">
      <c r="A212" s="64">
        <f t="shared" si="0"/>
        <v>24</v>
      </c>
      <c r="B212" s="64"/>
      <c r="C212" s="40" t="s">
        <v>199</v>
      </c>
      <c r="D212" s="40">
        <f>(25.98)*(10.764)</f>
        <v>279.64871999999997</v>
      </c>
      <c r="E212" s="40">
        <v>0</v>
      </c>
      <c r="F212" s="40">
        <f t="shared" si="3"/>
        <v>447.437952</v>
      </c>
      <c r="G212" s="64"/>
      <c r="H212" s="64"/>
      <c r="I212" s="34"/>
      <c r="L212" s="63"/>
      <c r="M212" s="63"/>
      <c r="N212" s="34"/>
    </row>
    <row r="213" spans="1:14" s="35" customFormat="1" ht="15.75" customHeight="1" x14ac:dyDescent="0.25">
      <c r="A213" s="64">
        <f t="shared" si="0"/>
        <v>25</v>
      </c>
      <c r="B213" s="64"/>
      <c r="C213" s="40" t="s">
        <v>199</v>
      </c>
      <c r="D213" s="40">
        <f>(21.01)*(10.764)</f>
        <v>226.15164000000001</v>
      </c>
      <c r="E213" s="40">
        <v>0</v>
      </c>
      <c r="F213" s="40">
        <f t="shared" si="3"/>
        <v>361.84262400000006</v>
      </c>
      <c r="G213" s="64"/>
      <c r="H213" s="64"/>
      <c r="I213" s="34"/>
      <c r="L213" s="63"/>
      <c r="M213" s="63"/>
      <c r="N213" s="34"/>
    </row>
    <row r="214" spans="1:14" s="35" customFormat="1" ht="15.75" customHeight="1" x14ac:dyDescent="0.25">
      <c r="A214" s="64">
        <f t="shared" si="0"/>
        <v>26</v>
      </c>
      <c r="B214" s="64"/>
      <c r="C214" s="40" t="s">
        <v>199</v>
      </c>
      <c r="D214" s="40">
        <f>(22.19)*(10.764)</f>
        <v>238.85316</v>
      </c>
      <c r="E214" s="40">
        <v>0</v>
      </c>
      <c r="F214" s="40">
        <f t="shared" si="3"/>
        <v>382.16505600000005</v>
      </c>
      <c r="G214" s="64"/>
      <c r="H214" s="64"/>
      <c r="I214" s="34"/>
      <c r="L214" s="63"/>
      <c r="M214" s="63"/>
      <c r="N214" s="34"/>
    </row>
    <row r="215" spans="1:14" s="35" customFormat="1" ht="15.75" customHeight="1" x14ac:dyDescent="0.25">
      <c r="A215" s="64">
        <f t="shared" si="0"/>
        <v>27</v>
      </c>
      <c r="B215" s="64"/>
      <c r="C215" s="40" t="s">
        <v>199</v>
      </c>
      <c r="D215" s="40">
        <f>(22.19)*(10.764)</f>
        <v>238.85316</v>
      </c>
      <c r="E215" s="40">
        <v>0</v>
      </c>
      <c r="F215" s="40">
        <f t="shared" si="3"/>
        <v>382.16505600000005</v>
      </c>
      <c r="G215" s="64"/>
      <c r="H215" s="64"/>
      <c r="I215" s="34"/>
      <c r="L215" s="63"/>
      <c r="M215" s="63"/>
      <c r="N215" s="34"/>
    </row>
    <row r="216" spans="1:14" s="35" customFormat="1" ht="15.75" customHeight="1" x14ac:dyDescent="0.25">
      <c r="A216" s="64">
        <f t="shared" si="0"/>
        <v>28</v>
      </c>
      <c r="B216" s="64"/>
      <c r="C216" s="40" t="s">
        <v>199</v>
      </c>
      <c r="D216" s="40">
        <f>(20.77)*(10.764)</f>
        <v>223.56827999999999</v>
      </c>
      <c r="E216" s="40">
        <v>0</v>
      </c>
      <c r="F216" s="40">
        <f t="shared" si="3"/>
        <v>357.709248</v>
      </c>
      <c r="G216" s="64"/>
      <c r="H216" s="64"/>
      <c r="I216" s="34"/>
      <c r="L216" s="63"/>
      <c r="M216" s="63"/>
      <c r="N216" s="34"/>
    </row>
    <row r="217" spans="1:14" s="35" customFormat="1" ht="15.75" customHeight="1" x14ac:dyDescent="0.25">
      <c r="A217" s="64">
        <f t="shared" si="0"/>
        <v>29</v>
      </c>
      <c r="B217" s="64"/>
      <c r="C217" s="40" t="s">
        <v>199</v>
      </c>
      <c r="D217" s="40">
        <f>(20.77)*(10.764)</f>
        <v>223.56827999999999</v>
      </c>
      <c r="E217" s="40">
        <v>0</v>
      </c>
      <c r="F217" s="40">
        <f t="shared" si="3"/>
        <v>357.709248</v>
      </c>
      <c r="G217" s="64"/>
      <c r="H217" s="64"/>
      <c r="I217" s="34"/>
      <c r="L217" s="63"/>
      <c r="M217" s="63"/>
      <c r="N217" s="34"/>
    </row>
    <row r="218" spans="1:14" s="35" customFormat="1" ht="15.75" customHeight="1" x14ac:dyDescent="0.25">
      <c r="A218" s="64">
        <f t="shared" si="0"/>
        <v>30</v>
      </c>
      <c r="B218" s="64"/>
      <c r="C218" s="40" t="s">
        <v>199</v>
      </c>
      <c r="D218" s="40">
        <f>(7.29)*(10.764)</f>
        <v>78.469560000000001</v>
      </c>
      <c r="E218" s="40">
        <v>0</v>
      </c>
      <c r="F218" s="40">
        <f t="shared" si="3"/>
        <v>125.55129600000001</v>
      </c>
      <c r="G218" s="64"/>
      <c r="H218" s="64"/>
      <c r="I218" s="34"/>
      <c r="L218" s="63"/>
      <c r="M218" s="63"/>
      <c r="N218" s="34"/>
    </row>
    <row r="219" spans="1:14" s="35" customFormat="1" ht="15.75" customHeight="1" x14ac:dyDescent="0.25">
      <c r="A219" s="64">
        <f t="shared" si="0"/>
        <v>31</v>
      </c>
      <c r="B219" s="64"/>
      <c r="C219" s="40" t="s">
        <v>199</v>
      </c>
      <c r="D219" s="40">
        <f>(20.77)*(10.764)</f>
        <v>223.56827999999999</v>
      </c>
      <c r="E219" s="40">
        <v>0</v>
      </c>
      <c r="F219" s="40">
        <f t="shared" si="3"/>
        <v>357.709248</v>
      </c>
      <c r="G219" s="64"/>
      <c r="H219" s="64"/>
      <c r="I219" s="34"/>
      <c r="L219" s="63"/>
      <c r="M219" s="63"/>
      <c r="N219" s="34"/>
    </row>
    <row r="220" spans="1:14" s="35" customFormat="1" ht="15.75" customHeight="1" x14ac:dyDescent="0.25">
      <c r="A220" s="64">
        <f t="shared" si="0"/>
        <v>32</v>
      </c>
      <c r="B220" s="64"/>
      <c r="C220" s="40" t="s">
        <v>199</v>
      </c>
      <c r="D220" s="40">
        <f>(20.77)*(10.764)</f>
        <v>223.56827999999999</v>
      </c>
      <c r="E220" s="40">
        <v>0</v>
      </c>
      <c r="F220" s="40">
        <f t="shared" si="3"/>
        <v>357.709248</v>
      </c>
      <c r="G220" s="64"/>
      <c r="H220" s="64"/>
      <c r="I220" s="34"/>
      <c r="L220" s="63"/>
      <c r="M220" s="63"/>
      <c r="N220" s="34"/>
    </row>
    <row r="221" spans="1:14" s="35" customFormat="1" ht="15.75" customHeight="1" x14ac:dyDescent="0.25">
      <c r="A221" s="64">
        <f t="shared" si="0"/>
        <v>33</v>
      </c>
      <c r="B221" s="64"/>
      <c r="C221" s="40" t="s">
        <v>199</v>
      </c>
      <c r="D221" s="40">
        <f>(22.19)*(10.764)</f>
        <v>238.85316</v>
      </c>
      <c r="E221" s="40">
        <v>0</v>
      </c>
      <c r="F221" s="40">
        <f t="shared" si="3"/>
        <v>382.16505600000005</v>
      </c>
      <c r="G221" s="64"/>
      <c r="H221" s="64"/>
      <c r="I221" s="34"/>
      <c r="L221" s="63"/>
      <c r="M221" s="63"/>
      <c r="N221" s="34"/>
    </row>
    <row r="222" spans="1:14" s="35" customFormat="1" ht="15.75" customHeight="1" x14ac:dyDescent="0.25">
      <c r="A222" s="64">
        <f t="shared" si="0"/>
        <v>34</v>
      </c>
      <c r="B222" s="64"/>
      <c r="C222" s="40" t="s">
        <v>199</v>
      </c>
      <c r="D222" s="40">
        <f>(22.19)*(10.764)</f>
        <v>238.85316</v>
      </c>
      <c r="E222" s="40">
        <v>0</v>
      </c>
      <c r="F222" s="40">
        <f t="shared" si="3"/>
        <v>382.16505600000005</v>
      </c>
      <c r="G222" s="64"/>
      <c r="H222" s="64"/>
      <c r="I222" s="34"/>
      <c r="L222" s="63"/>
      <c r="M222" s="63"/>
      <c r="N222" s="34"/>
    </row>
    <row r="223" spans="1:14" s="35" customFormat="1" ht="15.75" customHeight="1" x14ac:dyDescent="0.25">
      <c r="A223" s="64">
        <f t="shared" si="0"/>
        <v>35</v>
      </c>
      <c r="B223" s="64"/>
      <c r="C223" s="40" t="s">
        <v>199</v>
      </c>
      <c r="D223" s="40">
        <f>(26.76)*(10.764)</f>
        <v>288.04464000000002</v>
      </c>
      <c r="E223" s="40">
        <v>0</v>
      </c>
      <c r="F223" s="40">
        <f t="shared" si="3"/>
        <v>460.87142400000005</v>
      </c>
      <c r="G223" s="64"/>
      <c r="H223" s="64"/>
      <c r="I223" s="34"/>
      <c r="L223" s="63"/>
      <c r="M223" s="63"/>
      <c r="N223" s="34"/>
    </row>
    <row r="224" spans="1:14" s="35" customFormat="1" ht="15.75" customHeight="1" x14ac:dyDescent="0.25">
      <c r="A224" s="64">
        <f t="shared" si="0"/>
        <v>36</v>
      </c>
      <c r="B224" s="64"/>
      <c r="C224" s="40" t="s">
        <v>199</v>
      </c>
      <c r="D224" s="40">
        <f>(20.59)*(10.764)</f>
        <v>221.63075999999998</v>
      </c>
      <c r="E224" s="40">
        <v>0</v>
      </c>
      <c r="F224" s="40">
        <f t="shared" si="3"/>
        <v>354.609216</v>
      </c>
      <c r="G224" s="64"/>
      <c r="H224" s="64"/>
      <c r="I224" s="34"/>
      <c r="L224" s="63"/>
      <c r="M224" s="63"/>
      <c r="N224" s="34"/>
    </row>
    <row r="225" spans="1:14" s="35" customFormat="1" ht="15.75" customHeight="1" x14ac:dyDescent="0.25">
      <c r="A225" s="64">
        <f t="shared" si="0"/>
        <v>37</v>
      </c>
      <c r="B225" s="64"/>
      <c r="C225" s="40" t="s">
        <v>199</v>
      </c>
      <c r="D225" s="40">
        <f>(27.1)*(10.764)</f>
        <v>291.70440000000002</v>
      </c>
      <c r="E225" s="40">
        <v>0</v>
      </c>
      <c r="F225" s="40">
        <f t="shared" si="3"/>
        <v>466.72704000000004</v>
      </c>
      <c r="G225" s="64"/>
      <c r="H225" s="64"/>
      <c r="I225" s="34"/>
      <c r="L225" s="63"/>
      <c r="M225" s="63"/>
      <c r="N225" s="34"/>
    </row>
    <row r="226" spans="1:14" s="35" customFormat="1" ht="15.75" customHeight="1" x14ac:dyDescent="0.25">
      <c r="A226" s="64">
        <f t="shared" si="0"/>
        <v>38</v>
      </c>
      <c r="B226" s="64"/>
      <c r="C226" s="40" t="s">
        <v>199</v>
      </c>
      <c r="D226" s="40">
        <f>(21.8)*(10.764)</f>
        <v>234.65519999999998</v>
      </c>
      <c r="E226" s="40">
        <v>0</v>
      </c>
      <c r="F226" s="40">
        <f t="shared" si="3"/>
        <v>375.44831999999997</v>
      </c>
      <c r="G226" s="64"/>
      <c r="H226" s="64"/>
      <c r="I226" s="34"/>
      <c r="L226" s="63"/>
      <c r="M226" s="63"/>
      <c r="N226" s="34"/>
    </row>
    <row r="227" spans="1:14" s="35" customFormat="1" ht="15.75" customHeight="1" x14ac:dyDescent="0.25">
      <c r="A227" s="64">
        <f t="shared" si="0"/>
        <v>39</v>
      </c>
      <c r="B227" s="64"/>
      <c r="C227" s="40" t="s">
        <v>199</v>
      </c>
      <c r="D227" s="40">
        <f>(21.8)*(10.764)</f>
        <v>234.65519999999998</v>
      </c>
      <c r="E227" s="40">
        <v>0</v>
      </c>
      <c r="F227" s="40">
        <f t="shared" si="3"/>
        <v>375.44831999999997</v>
      </c>
      <c r="G227" s="64"/>
      <c r="H227" s="64"/>
      <c r="I227" s="34"/>
      <c r="L227" s="63"/>
      <c r="M227" s="63"/>
      <c r="N227" s="34"/>
    </row>
    <row r="228" spans="1:14" s="35" customFormat="1" ht="15.75" customHeight="1" x14ac:dyDescent="0.25">
      <c r="A228" s="64">
        <f t="shared" si="0"/>
        <v>40</v>
      </c>
      <c r="B228" s="64"/>
      <c r="C228" s="40" t="s">
        <v>199</v>
      </c>
      <c r="D228" s="40">
        <f>(26.63)*(10.764)</f>
        <v>286.64531999999997</v>
      </c>
      <c r="E228" s="40">
        <v>0</v>
      </c>
      <c r="F228" s="40">
        <f t="shared" si="3"/>
        <v>458.63251199999996</v>
      </c>
      <c r="G228" s="64"/>
      <c r="H228" s="64"/>
      <c r="I228" s="34"/>
      <c r="L228" s="63"/>
      <c r="M228" s="63"/>
      <c r="N228" s="34"/>
    </row>
    <row r="229" spans="1:14" s="35" customFormat="1" ht="15.75" customHeight="1" x14ac:dyDescent="0.25">
      <c r="A229" s="64">
        <f t="shared" si="0"/>
        <v>41</v>
      </c>
      <c r="B229" s="64"/>
      <c r="C229" s="40" t="s">
        <v>199</v>
      </c>
      <c r="D229" s="40">
        <f>(9.3)*(10.764)</f>
        <v>100.1052</v>
      </c>
      <c r="E229" s="40">
        <v>0</v>
      </c>
      <c r="F229" s="40">
        <f t="shared" si="3"/>
        <v>160.16831999999999</v>
      </c>
      <c r="G229" s="64"/>
      <c r="H229" s="64"/>
      <c r="I229" s="34"/>
      <c r="L229" s="63"/>
      <c r="M229" s="63"/>
      <c r="N229" s="34"/>
    </row>
    <row r="230" spans="1:14" s="35" customFormat="1" x14ac:dyDescent="0.25">
      <c r="A230" s="64">
        <f t="shared" si="0"/>
        <v>42</v>
      </c>
      <c r="B230" s="64"/>
      <c r="C230" s="40" t="s">
        <v>199</v>
      </c>
      <c r="D230" s="40">
        <f>(26.63)*(10.764)</f>
        <v>286.64531999999997</v>
      </c>
      <c r="E230" s="40">
        <v>0</v>
      </c>
      <c r="F230" s="40">
        <f t="shared" si="3"/>
        <v>458.63251199999996</v>
      </c>
      <c r="G230" s="64"/>
      <c r="H230" s="64"/>
      <c r="J230" s="34"/>
    </row>
    <row r="231" spans="1:14" s="35" customFormat="1" ht="15.75" customHeight="1" x14ac:dyDescent="0.25">
      <c r="A231" s="64">
        <f t="shared" si="0"/>
        <v>43</v>
      </c>
      <c r="B231" s="64"/>
      <c r="C231" s="40" t="s">
        <v>199</v>
      </c>
      <c r="D231" s="40">
        <f>(21.8)*(10.764)</f>
        <v>234.65519999999998</v>
      </c>
      <c r="E231" s="40">
        <v>0</v>
      </c>
      <c r="F231" s="40">
        <f t="shared" si="3"/>
        <v>375.44831999999997</v>
      </c>
      <c r="G231" s="64"/>
      <c r="H231" s="64"/>
      <c r="I231" s="34"/>
      <c r="L231" s="63"/>
      <c r="M231" s="63"/>
      <c r="N231" s="34"/>
    </row>
    <row r="232" spans="1:14" s="35" customFormat="1" ht="15.75" customHeight="1" x14ac:dyDescent="0.25">
      <c r="A232" s="64">
        <f t="shared" si="0"/>
        <v>44</v>
      </c>
      <c r="B232" s="64"/>
      <c r="C232" s="40" t="s">
        <v>199</v>
      </c>
      <c r="D232" s="40">
        <f>(21.8)*(10.764)</f>
        <v>234.65519999999998</v>
      </c>
      <c r="E232" s="40">
        <v>0</v>
      </c>
      <c r="F232" s="40">
        <f t="shared" si="3"/>
        <v>375.44831999999997</v>
      </c>
      <c r="G232" s="64"/>
      <c r="H232" s="64"/>
      <c r="I232" s="34"/>
      <c r="L232" s="63"/>
      <c r="M232" s="63"/>
      <c r="N232" s="34"/>
    </row>
    <row r="233" spans="1:14" s="35" customFormat="1" ht="15.75" customHeight="1" x14ac:dyDescent="0.25">
      <c r="A233" s="64">
        <f t="shared" si="0"/>
        <v>45</v>
      </c>
      <c r="B233" s="64"/>
      <c r="C233" s="40" t="s">
        <v>199</v>
      </c>
      <c r="D233" s="40">
        <f>(27.1)*(10.764)</f>
        <v>291.70440000000002</v>
      </c>
      <c r="E233" s="40">
        <v>0</v>
      </c>
      <c r="F233" s="40">
        <f t="shared" si="3"/>
        <v>466.72704000000004</v>
      </c>
      <c r="G233" s="64"/>
      <c r="H233" s="64"/>
      <c r="I233" s="34"/>
      <c r="L233" s="63"/>
      <c r="M233" s="63"/>
      <c r="N233" s="34"/>
    </row>
    <row r="234" spans="1:14" s="35" customFormat="1" ht="15.75" customHeight="1" x14ac:dyDescent="0.25">
      <c r="A234" s="75" t="s">
        <v>200</v>
      </c>
      <c r="B234" s="76"/>
      <c r="C234" s="76"/>
      <c r="D234" s="76"/>
      <c r="E234" s="76"/>
      <c r="F234" s="76"/>
      <c r="G234" s="76"/>
      <c r="H234" s="77"/>
      <c r="I234" s="34"/>
      <c r="L234" s="63"/>
      <c r="M234" s="63"/>
      <c r="N234" s="34"/>
    </row>
    <row r="235" spans="1:14" s="35" customFormat="1" ht="15.75" customHeight="1" x14ac:dyDescent="0.25">
      <c r="A235" s="65">
        <v>1</v>
      </c>
      <c r="B235" s="66"/>
      <c r="C235" s="40" t="s">
        <v>199</v>
      </c>
      <c r="D235" s="40">
        <f>(53.33)*(10.764)</f>
        <v>574.04411999999991</v>
      </c>
      <c r="E235" s="40">
        <v>0</v>
      </c>
      <c r="F235" s="40">
        <f>(D235+E235)*(($F$185)+1)</f>
        <v>918.4705919999999</v>
      </c>
      <c r="G235" s="67" t="str">
        <f>A234</f>
        <v>1st Floor For Commercial</v>
      </c>
      <c r="H235" s="68"/>
      <c r="I235" s="34"/>
      <c r="L235" s="63"/>
      <c r="M235" s="63"/>
      <c r="N235" s="34"/>
    </row>
    <row r="236" spans="1:14" s="35" customFormat="1" ht="15.75" customHeight="1" x14ac:dyDescent="0.25">
      <c r="A236" s="65">
        <f t="shared" ref="A236:A264" si="4">A235+1</f>
        <v>2</v>
      </c>
      <c r="B236" s="66"/>
      <c r="C236" s="40" t="s">
        <v>199</v>
      </c>
      <c r="D236" s="40">
        <f>(18.01)*(10.764)</f>
        <v>193.85964000000001</v>
      </c>
      <c r="E236" s="40">
        <v>0</v>
      </c>
      <c r="F236" s="40">
        <f t="shared" ref="F236:F264" si="5">(D236+E236)*(($F$185)+1)</f>
        <v>310.17542400000002</v>
      </c>
      <c r="G236" s="69"/>
      <c r="H236" s="70"/>
      <c r="I236" s="34"/>
      <c r="L236" s="63"/>
      <c r="M236" s="63"/>
      <c r="N236" s="34"/>
    </row>
    <row r="237" spans="1:14" s="35" customFormat="1" ht="15.75" customHeight="1" x14ac:dyDescent="0.25">
      <c r="A237" s="65">
        <f t="shared" si="4"/>
        <v>3</v>
      </c>
      <c r="B237" s="66"/>
      <c r="C237" s="40" t="s">
        <v>199</v>
      </c>
      <c r="D237" s="40">
        <f>(17.93)*(10.764)</f>
        <v>192.99851999999998</v>
      </c>
      <c r="E237" s="40">
        <v>0</v>
      </c>
      <c r="F237" s="40">
        <f t="shared" si="5"/>
        <v>308.79763200000002</v>
      </c>
      <c r="G237" s="69"/>
      <c r="H237" s="70"/>
      <c r="I237" s="34"/>
      <c r="L237" s="63"/>
      <c r="M237" s="63"/>
      <c r="N237" s="34"/>
    </row>
    <row r="238" spans="1:14" s="35" customFormat="1" ht="15.75" customHeight="1" x14ac:dyDescent="0.25">
      <c r="A238" s="65">
        <f t="shared" si="4"/>
        <v>4</v>
      </c>
      <c r="B238" s="66"/>
      <c r="C238" s="40" t="s">
        <v>199</v>
      </c>
      <c r="D238" s="40">
        <f>(14.38)*(10.764)</f>
        <v>154.78631999999999</v>
      </c>
      <c r="E238" s="40">
        <v>0</v>
      </c>
      <c r="F238" s="40">
        <f t="shared" si="5"/>
        <v>247.65811199999999</v>
      </c>
      <c r="G238" s="69"/>
      <c r="H238" s="70"/>
      <c r="I238" s="34"/>
      <c r="L238" s="63"/>
      <c r="M238" s="63"/>
      <c r="N238" s="34"/>
    </row>
    <row r="239" spans="1:14" s="35" customFormat="1" ht="15.75" customHeight="1" x14ac:dyDescent="0.25">
      <c r="A239" s="65">
        <f t="shared" si="4"/>
        <v>5</v>
      </c>
      <c r="B239" s="66"/>
      <c r="C239" s="40" t="s">
        <v>199</v>
      </c>
      <c r="D239" s="40">
        <f>(9.5)*(10.764)</f>
        <v>102.258</v>
      </c>
      <c r="E239" s="40">
        <v>0</v>
      </c>
      <c r="F239" s="40">
        <f t="shared" si="5"/>
        <v>163.61279999999999</v>
      </c>
      <c r="G239" s="69"/>
      <c r="H239" s="70"/>
      <c r="I239" s="34"/>
      <c r="L239" s="63"/>
      <c r="M239" s="63"/>
      <c r="N239" s="34"/>
    </row>
    <row r="240" spans="1:14" s="35" customFormat="1" ht="15.75" customHeight="1" x14ac:dyDescent="0.25">
      <c r="A240" s="65">
        <f t="shared" si="4"/>
        <v>6</v>
      </c>
      <c r="B240" s="66"/>
      <c r="C240" s="40" t="s">
        <v>199</v>
      </c>
      <c r="D240" s="40">
        <f>(9.5)*(10.764)</f>
        <v>102.258</v>
      </c>
      <c r="E240" s="40">
        <v>0</v>
      </c>
      <c r="F240" s="40">
        <f t="shared" si="5"/>
        <v>163.61279999999999</v>
      </c>
      <c r="G240" s="69"/>
      <c r="H240" s="70"/>
      <c r="I240" s="34"/>
      <c r="L240" s="63"/>
      <c r="M240" s="63"/>
      <c r="N240" s="34"/>
    </row>
    <row r="241" spans="1:14" s="35" customFormat="1" ht="15.75" customHeight="1" x14ac:dyDescent="0.25">
      <c r="A241" s="65">
        <f t="shared" si="4"/>
        <v>7</v>
      </c>
      <c r="B241" s="66"/>
      <c r="C241" s="40" t="s">
        <v>199</v>
      </c>
      <c r="D241" s="40">
        <f>(14.38)*(10.764)</f>
        <v>154.78631999999999</v>
      </c>
      <c r="E241" s="40">
        <v>0</v>
      </c>
      <c r="F241" s="40">
        <f t="shared" si="5"/>
        <v>247.65811199999999</v>
      </c>
      <c r="G241" s="69"/>
      <c r="H241" s="70"/>
      <c r="I241" s="34"/>
      <c r="L241" s="63"/>
      <c r="M241" s="63"/>
      <c r="N241" s="34"/>
    </row>
    <row r="242" spans="1:14" s="35" customFormat="1" ht="15.75" customHeight="1" x14ac:dyDescent="0.25">
      <c r="A242" s="65">
        <f t="shared" si="4"/>
        <v>8</v>
      </c>
      <c r="B242" s="66"/>
      <c r="C242" s="40" t="s">
        <v>199</v>
      </c>
      <c r="D242" s="40">
        <f>(17.93)*(10.764)</f>
        <v>192.99851999999998</v>
      </c>
      <c r="E242" s="40">
        <v>0</v>
      </c>
      <c r="F242" s="40">
        <f t="shared" si="5"/>
        <v>308.79763200000002</v>
      </c>
      <c r="G242" s="69"/>
      <c r="H242" s="70"/>
      <c r="I242" s="34"/>
      <c r="L242" s="63"/>
      <c r="M242" s="63"/>
      <c r="N242" s="34"/>
    </row>
    <row r="243" spans="1:14" s="35" customFormat="1" ht="15.75" customHeight="1" x14ac:dyDescent="0.25">
      <c r="A243" s="65">
        <f t="shared" si="4"/>
        <v>9</v>
      </c>
      <c r="B243" s="66"/>
      <c r="C243" s="40" t="s">
        <v>199</v>
      </c>
      <c r="D243" s="40">
        <f>(18.01)*(10.764)</f>
        <v>193.85964000000001</v>
      </c>
      <c r="E243" s="40">
        <v>0</v>
      </c>
      <c r="F243" s="40">
        <f t="shared" si="5"/>
        <v>310.17542400000002</v>
      </c>
      <c r="G243" s="69"/>
      <c r="H243" s="70"/>
      <c r="I243" s="34"/>
      <c r="L243" s="63"/>
      <c r="M243" s="63"/>
      <c r="N243" s="34"/>
    </row>
    <row r="244" spans="1:14" s="35" customFormat="1" ht="15.75" customHeight="1" x14ac:dyDescent="0.25">
      <c r="A244" s="65">
        <f t="shared" si="4"/>
        <v>10</v>
      </c>
      <c r="B244" s="66"/>
      <c r="C244" s="40" t="s">
        <v>199</v>
      </c>
      <c r="D244" s="40">
        <f>(28.62)*(10.764)</f>
        <v>308.06567999999999</v>
      </c>
      <c r="E244" s="40">
        <v>0</v>
      </c>
      <c r="F244" s="40">
        <f t="shared" si="5"/>
        <v>492.90508799999998</v>
      </c>
      <c r="G244" s="69"/>
      <c r="H244" s="70"/>
      <c r="I244" s="34"/>
      <c r="L244" s="63"/>
      <c r="M244" s="63"/>
      <c r="N244" s="34"/>
    </row>
    <row r="245" spans="1:14" s="35" customFormat="1" ht="15.75" customHeight="1" x14ac:dyDescent="0.25">
      <c r="A245" s="65">
        <f t="shared" si="4"/>
        <v>11</v>
      </c>
      <c r="B245" s="66"/>
      <c r="C245" s="40" t="s">
        <v>199</v>
      </c>
      <c r="D245" s="40">
        <f>(16.3)*(10.764)</f>
        <v>175.45320000000001</v>
      </c>
      <c r="E245" s="40">
        <v>0</v>
      </c>
      <c r="F245" s="40">
        <f t="shared" si="5"/>
        <v>280.72512</v>
      </c>
      <c r="G245" s="69"/>
      <c r="H245" s="70"/>
      <c r="I245" s="34"/>
      <c r="L245" s="63"/>
      <c r="M245" s="63"/>
      <c r="N245" s="34"/>
    </row>
    <row r="246" spans="1:14" s="35" customFormat="1" ht="15.75" customHeight="1" x14ac:dyDescent="0.25">
      <c r="A246" s="65">
        <f t="shared" si="4"/>
        <v>12</v>
      </c>
      <c r="B246" s="66"/>
      <c r="C246" s="40" t="s">
        <v>199</v>
      </c>
      <c r="D246" s="40">
        <f>(16.3)*(10.764)</f>
        <v>175.45320000000001</v>
      </c>
      <c r="E246" s="40">
        <v>0</v>
      </c>
      <c r="F246" s="40">
        <f t="shared" si="5"/>
        <v>280.72512</v>
      </c>
      <c r="G246" s="69"/>
      <c r="H246" s="70"/>
      <c r="I246" s="34"/>
      <c r="L246" s="63"/>
      <c r="M246" s="63"/>
      <c r="N246" s="34"/>
    </row>
    <row r="247" spans="1:14" s="35" customFormat="1" ht="15.75" customHeight="1" x14ac:dyDescent="0.25">
      <c r="A247" s="65">
        <f t="shared" si="4"/>
        <v>13</v>
      </c>
      <c r="B247" s="66"/>
      <c r="C247" s="40" t="s">
        <v>199</v>
      </c>
      <c r="D247" s="40">
        <f>(24.02)*(10.764)</f>
        <v>258.55127999999996</v>
      </c>
      <c r="E247" s="40">
        <v>0</v>
      </c>
      <c r="F247" s="40">
        <f t="shared" si="5"/>
        <v>413.68204799999995</v>
      </c>
      <c r="G247" s="69"/>
      <c r="H247" s="70"/>
      <c r="I247" s="34"/>
      <c r="L247" s="63"/>
      <c r="M247" s="63"/>
      <c r="N247" s="34"/>
    </row>
    <row r="248" spans="1:14" s="35" customFormat="1" ht="15.75" customHeight="1" x14ac:dyDescent="0.25">
      <c r="A248" s="65">
        <f t="shared" si="4"/>
        <v>14</v>
      </c>
      <c r="B248" s="66"/>
      <c r="C248" s="40" t="s">
        <v>199</v>
      </c>
      <c r="D248" s="40">
        <f>(18.25)*(10.764)</f>
        <v>196.44299999999998</v>
      </c>
      <c r="E248" s="40">
        <v>0</v>
      </c>
      <c r="F248" s="40">
        <f t="shared" si="5"/>
        <v>314.30880000000002</v>
      </c>
      <c r="G248" s="69"/>
      <c r="H248" s="70"/>
      <c r="I248" s="34"/>
      <c r="L248" s="63"/>
      <c r="M248" s="63"/>
      <c r="N248" s="34"/>
    </row>
    <row r="249" spans="1:14" s="35" customFormat="1" ht="15.75" customHeight="1" x14ac:dyDescent="0.25">
      <c r="A249" s="65">
        <f t="shared" si="4"/>
        <v>15</v>
      </c>
      <c r="B249" s="66"/>
      <c r="C249" s="40" t="s">
        <v>199</v>
      </c>
      <c r="D249" s="40">
        <f>(16.83)*(10.764)</f>
        <v>181.15811999999997</v>
      </c>
      <c r="E249" s="40">
        <v>0</v>
      </c>
      <c r="F249" s="40">
        <f t="shared" si="5"/>
        <v>289.85299199999997</v>
      </c>
      <c r="G249" s="69"/>
      <c r="H249" s="70"/>
      <c r="I249" s="34"/>
      <c r="L249" s="63"/>
      <c r="M249" s="63"/>
      <c r="N249" s="34"/>
    </row>
    <row r="250" spans="1:14" s="35" customFormat="1" ht="15.75" customHeight="1" x14ac:dyDescent="0.25">
      <c r="A250" s="65">
        <f t="shared" si="4"/>
        <v>16</v>
      </c>
      <c r="B250" s="66"/>
      <c r="C250" s="40" t="s">
        <v>199</v>
      </c>
      <c r="D250" s="40">
        <f>(22.91)*(10.764)</f>
        <v>246.60324</v>
      </c>
      <c r="E250" s="40">
        <v>0</v>
      </c>
      <c r="F250" s="40">
        <f t="shared" si="5"/>
        <v>394.56518400000004</v>
      </c>
      <c r="G250" s="69"/>
      <c r="H250" s="70"/>
      <c r="I250" s="34"/>
      <c r="L250" s="63"/>
      <c r="M250" s="63"/>
      <c r="N250" s="34"/>
    </row>
    <row r="251" spans="1:14" s="35" customFormat="1" ht="15.75" customHeight="1" x14ac:dyDescent="0.25">
      <c r="A251" s="65">
        <f t="shared" si="4"/>
        <v>17</v>
      </c>
      <c r="B251" s="66"/>
      <c r="C251" s="40" t="s">
        <v>199</v>
      </c>
      <c r="D251" s="40">
        <f>(22.91)*(10.764)</f>
        <v>246.60324</v>
      </c>
      <c r="E251" s="40">
        <v>0</v>
      </c>
      <c r="F251" s="40">
        <f t="shared" si="5"/>
        <v>394.56518400000004</v>
      </c>
      <c r="G251" s="69"/>
      <c r="H251" s="70"/>
      <c r="I251" s="34"/>
      <c r="L251" s="63"/>
      <c r="M251" s="63"/>
      <c r="N251" s="34"/>
    </row>
    <row r="252" spans="1:14" s="35" customFormat="1" ht="15.75" customHeight="1" x14ac:dyDescent="0.25">
      <c r="A252" s="65">
        <f t="shared" si="4"/>
        <v>18</v>
      </c>
      <c r="B252" s="66"/>
      <c r="C252" s="40" t="s">
        <v>199</v>
      </c>
      <c r="D252" s="40">
        <f>(27.88)*(10.764)</f>
        <v>300.10031999999995</v>
      </c>
      <c r="E252" s="40">
        <v>0</v>
      </c>
      <c r="F252" s="40">
        <f t="shared" si="5"/>
        <v>480.16051199999993</v>
      </c>
      <c r="G252" s="69"/>
      <c r="H252" s="70"/>
      <c r="I252" s="34"/>
      <c r="L252" s="63"/>
      <c r="M252" s="63"/>
      <c r="N252" s="34"/>
    </row>
    <row r="253" spans="1:14" s="35" customFormat="1" ht="15.75" customHeight="1" x14ac:dyDescent="0.25">
      <c r="A253" s="65">
        <f t="shared" si="4"/>
        <v>19</v>
      </c>
      <c r="B253" s="66"/>
      <c r="C253" s="40" t="s">
        <v>199</v>
      </c>
      <c r="D253" s="40">
        <f>(22.35)*(10.764)</f>
        <v>240.5754</v>
      </c>
      <c r="E253" s="40">
        <v>0</v>
      </c>
      <c r="F253" s="40">
        <f t="shared" si="5"/>
        <v>384.92064000000005</v>
      </c>
      <c r="G253" s="69"/>
      <c r="H253" s="70"/>
      <c r="I253" s="34"/>
      <c r="L253" s="63"/>
      <c r="M253" s="63"/>
      <c r="N253" s="34"/>
    </row>
    <row r="254" spans="1:14" s="35" customFormat="1" ht="15.75" customHeight="1" x14ac:dyDescent="0.25">
      <c r="A254" s="65">
        <f t="shared" si="4"/>
        <v>20</v>
      </c>
      <c r="B254" s="66"/>
      <c r="C254" s="40" t="s">
        <v>199</v>
      </c>
      <c r="D254" s="40">
        <f>(17.38)*(10.764)</f>
        <v>187.07831999999999</v>
      </c>
      <c r="E254" s="40">
        <v>0</v>
      </c>
      <c r="F254" s="40">
        <f t="shared" si="5"/>
        <v>299.325312</v>
      </c>
      <c r="G254" s="69"/>
      <c r="H254" s="70"/>
      <c r="I254" s="34"/>
      <c r="L254" s="63"/>
      <c r="M254" s="63"/>
      <c r="N254" s="34"/>
    </row>
    <row r="255" spans="1:14" s="35" customFormat="1" ht="15.75" customHeight="1" x14ac:dyDescent="0.25">
      <c r="A255" s="65">
        <f t="shared" si="4"/>
        <v>21</v>
      </c>
      <c r="B255" s="66"/>
      <c r="C255" s="40" t="s">
        <v>199</v>
      </c>
      <c r="D255" s="40">
        <f>(17.49)*(10.764)</f>
        <v>188.26235999999997</v>
      </c>
      <c r="E255" s="40">
        <v>0</v>
      </c>
      <c r="F255" s="40">
        <f t="shared" si="5"/>
        <v>301.21977599999997</v>
      </c>
      <c r="G255" s="69"/>
      <c r="H255" s="70"/>
      <c r="I255" s="34"/>
      <c r="L255" s="63"/>
      <c r="M255" s="63"/>
      <c r="N255" s="34"/>
    </row>
    <row r="256" spans="1:14" s="35" customFormat="1" ht="15.75" customHeight="1" x14ac:dyDescent="0.25">
      <c r="A256" s="65">
        <f t="shared" si="4"/>
        <v>22</v>
      </c>
      <c r="B256" s="66"/>
      <c r="C256" s="40" t="s">
        <v>199</v>
      </c>
      <c r="D256" s="40">
        <f>(17.49)*(10.764)</f>
        <v>188.26235999999997</v>
      </c>
      <c r="E256" s="40">
        <v>0</v>
      </c>
      <c r="F256" s="40">
        <f t="shared" si="5"/>
        <v>301.21977599999997</v>
      </c>
      <c r="G256" s="69"/>
      <c r="H256" s="70"/>
      <c r="I256" s="34"/>
      <c r="L256" s="63"/>
      <c r="M256" s="63"/>
      <c r="N256" s="34"/>
    </row>
    <row r="257" spans="1:14" s="35" customFormat="1" ht="15.75" customHeight="1" x14ac:dyDescent="0.25">
      <c r="A257" s="65">
        <f t="shared" si="4"/>
        <v>23</v>
      </c>
      <c r="B257" s="66"/>
      <c r="C257" s="40" t="s">
        <v>199</v>
      </c>
      <c r="D257" s="40">
        <f>(17.18)*(10.764)</f>
        <v>184.92551999999998</v>
      </c>
      <c r="E257" s="40">
        <v>0</v>
      </c>
      <c r="F257" s="40">
        <f t="shared" si="5"/>
        <v>295.880832</v>
      </c>
      <c r="G257" s="69"/>
      <c r="H257" s="70"/>
      <c r="I257" s="34"/>
      <c r="L257" s="63"/>
      <c r="M257" s="63"/>
      <c r="N257" s="34"/>
    </row>
    <row r="258" spans="1:14" s="35" customFormat="1" ht="15.75" customHeight="1" x14ac:dyDescent="0.25">
      <c r="A258" s="65">
        <f t="shared" si="4"/>
        <v>24</v>
      </c>
      <c r="B258" s="66"/>
      <c r="C258" s="40" t="s">
        <v>199</v>
      </c>
      <c r="D258" s="40">
        <f>(17.18)*(10.764)</f>
        <v>184.92551999999998</v>
      </c>
      <c r="E258" s="40">
        <v>0</v>
      </c>
      <c r="F258" s="40">
        <f t="shared" si="5"/>
        <v>295.880832</v>
      </c>
      <c r="G258" s="69"/>
      <c r="H258" s="70"/>
      <c r="I258" s="34"/>
      <c r="L258" s="63"/>
      <c r="M258" s="63"/>
      <c r="N258" s="34"/>
    </row>
    <row r="259" spans="1:14" s="35" customFormat="1" ht="15.75" customHeight="1" x14ac:dyDescent="0.25">
      <c r="A259" s="65">
        <f t="shared" si="4"/>
        <v>25</v>
      </c>
      <c r="B259" s="66"/>
      <c r="C259" s="40" t="s">
        <v>199</v>
      </c>
      <c r="D259" s="40">
        <f>(17.18)*(10.764)</f>
        <v>184.92551999999998</v>
      </c>
      <c r="E259" s="40">
        <v>0</v>
      </c>
      <c r="F259" s="40">
        <f t="shared" si="5"/>
        <v>295.880832</v>
      </c>
      <c r="G259" s="69"/>
      <c r="H259" s="70"/>
      <c r="I259" s="34"/>
      <c r="L259" s="63"/>
      <c r="M259" s="63"/>
      <c r="N259" s="34"/>
    </row>
    <row r="260" spans="1:14" s="35" customFormat="1" ht="15.75" customHeight="1" x14ac:dyDescent="0.25">
      <c r="A260" s="65">
        <f t="shared" si="4"/>
        <v>26</v>
      </c>
      <c r="B260" s="66"/>
      <c r="C260" s="40" t="s">
        <v>199</v>
      </c>
      <c r="D260" s="40">
        <f>(17.18)*(10.764)</f>
        <v>184.92551999999998</v>
      </c>
      <c r="E260" s="40">
        <v>0</v>
      </c>
      <c r="F260" s="40">
        <f t="shared" si="5"/>
        <v>295.880832</v>
      </c>
      <c r="G260" s="69"/>
      <c r="H260" s="70"/>
      <c r="I260" s="34"/>
      <c r="L260" s="63"/>
      <c r="M260" s="63"/>
      <c r="N260" s="34"/>
    </row>
    <row r="261" spans="1:14" s="35" customFormat="1" x14ac:dyDescent="0.25">
      <c r="A261" s="65">
        <f t="shared" si="4"/>
        <v>27</v>
      </c>
      <c r="B261" s="66"/>
      <c r="C261" s="40" t="s">
        <v>199</v>
      </c>
      <c r="D261" s="40">
        <f>(17.49)*(10.764)</f>
        <v>188.26235999999997</v>
      </c>
      <c r="E261" s="40">
        <v>0</v>
      </c>
      <c r="F261" s="40">
        <f t="shared" si="5"/>
        <v>301.21977599999997</v>
      </c>
      <c r="G261" s="69"/>
      <c r="H261" s="70"/>
      <c r="I261" s="34"/>
      <c r="N261" s="34"/>
    </row>
    <row r="262" spans="1:14" x14ac:dyDescent="0.25">
      <c r="A262" s="65">
        <f t="shared" si="4"/>
        <v>28</v>
      </c>
      <c r="B262" s="66"/>
      <c r="C262" s="40" t="s">
        <v>199</v>
      </c>
      <c r="D262" s="40">
        <f>(17.49)*(10.764)</f>
        <v>188.26235999999997</v>
      </c>
      <c r="E262" s="40">
        <v>0</v>
      </c>
      <c r="F262" s="40">
        <f t="shared" si="5"/>
        <v>301.21977599999997</v>
      </c>
      <c r="G262" s="69"/>
      <c r="H262" s="70"/>
      <c r="I262" s="34"/>
    </row>
    <row r="263" spans="1:14" s="35" customFormat="1" x14ac:dyDescent="0.25">
      <c r="A263" s="65">
        <f t="shared" si="4"/>
        <v>29</v>
      </c>
      <c r="B263" s="66"/>
      <c r="C263" s="40" t="s">
        <v>199</v>
      </c>
      <c r="D263" s="40">
        <f>(23.62)*(10.764)</f>
        <v>254.24567999999999</v>
      </c>
      <c r="E263" s="40">
        <v>0</v>
      </c>
      <c r="F263" s="40">
        <f t="shared" si="5"/>
        <v>406.79308800000001</v>
      </c>
      <c r="G263" s="69"/>
      <c r="H263" s="70"/>
      <c r="I263" s="34"/>
    </row>
    <row r="264" spans="1:14" s="35" customFormat="1" x14ac:dyDescent="0.25">
      <c r="A264" s="65">
        <f t="shared" si="4"/>
        <v>30</v>
      </c>
      <c r="B264" s="66"/>
      <c r="C264" s="40" t="s">
        <v>199</v>
      </c>
      <c r="D264" s="40">
        <f>(16.79)*(10.764)</f>
        <v>180.72755999999998</v>
      </c>
      <c r="E264" s="40">
        <v>0</v>
      </c>
      <c r="F264" s="40">
        <f t="shared" si="5"/>
        <v>289.16409599999997</v>
      </c>
      <c r="G264" s="71"/>
      <c r="H264" s="72"/>
      <c r="J264" s="34"/>
    </row>
    <row r="265" spans="1:14" s="35" customFormat="1" x14ac:dyDescent="0.25">
      <c r="A265" s="64"/>
      <c r="B265" s="64"/>
      <c r="C265" s="64"/>
      <c r="D265" s="64"/>
      <c r="E265" s="64"/>
      <c r="F265" s="64"/>
      <c r="G265" s="64"/>
      <c r="H265" s="64"/>
      <c r="J265" s="34"/>
    </row>
    <row r="266" spans="1:14" s="35" customFormat="1" ht="47.25" x14ac:dyDescent="0.25">
      <c r="A266" s="74" t="s">
        <v>124</v>
      </c>
      <c r="B266" s="74" t="s">
        <v>125</v>
      </c>
      <c r="C266" s="74" t="s">
        <v>59</v>
      </c>
      <c r="D266" s="74" t="s">
        <v>60</v>
      </c>
      <c r="E266" s="92" t="s">
        <v>61</v>
      </c>
      <c r="F266" s="56" t="s">
        <v>154</v>
      </c>
      <c r="G266" s="74" t="s">
        <v>62</v>
      </c>
      <c r="H266" s="74"/>
      <c r="J266" s="34"/>
    </row>
    <row r="267" spans="1:14" s="35" customFormat="1" ht="15.75" customHeight="1" x14ac:dyDescent="0.25">
      <c r="A267" s="74"/>
      <c r="B267" s="74"/>
      <c r="C267" s="74"/>
      <c r="D267" s="74"/>
      <c r="E267" s="92"/>
      <c r="F267" s="57">
        <v>0.5</v>
      </c>
      <c r="G267" s="74"/>
      <c r="H267" s="74"/>
      <c r="I267" s="34"/>
      <c r="L267" s="63"/>
      <c r="M267" s="63"/>
      <c r="N267" s="34"/>
    </row>
    <row r="268" spans="1:14" s="35" customFormat="1" ht="15.75" customHeight="1" x14ac:dyDescent="0.25">
      <c r="A268" s="73" t="s">
        <v>201</v>
      </c>
      <c r="B268" s="73"/>
      <c r="C268" s="73"/>
      <c r="D268" s="73"/>
      <c r="E268" s="73"/>
      <c r="F268" s="73"/>
      <c r="G268" s="73"/>
      <c r="H268" s="73"/>
      <c r="I268" s="34"/>
      <c r="L268" s="63"/>
      <c r="M268" s="63"/>
      <c r="N268" s="34"/>
    </row>
    <row r="269" spans="1:14" s="35" customFormat="1" ht="15.75" customHeight="1" x14ac:dyDescent="0.25">
      <c r="A269" s="73" t="s">
        <v>202</v>
      </c>
      <c r="B269" s="73"/>
      <c r="C269" s="73"/>
      <c r="D269" s="73"/>
      <c r="E269" s="73"/>
      <c r="F269" s="73"/>
      <c r="G269" s="73"/>
      <c r="H269" s="73"/>
      <c r="I269" s="34"/>
      <c r="L269" s="63"/>
      <c r="M269" s="63"/>
      <c r="N269" s="34"/>
    </row>
    <row r="270" spans="1:14" s="35" customFormat="1" ht="15.75" customHeight="1" x14ac:dyDescent="0.25">
      <c r="A270" s="75" t="s">
        <v>203</v>
      </c>
      <c r="B270" s="76"/>
      <c r="C270" s="76"/>
      <c r="D270" s="76"/>
      <c r="E270" s="76"/>
      <c r="F270" s="76"/>
      <c r="G270" s="76"/>
      <c r="H270" s="77"/>
      <c r="I270" s="34"/>
      <c r="L270" s="63"/>
      <c r="M270" s="63"/>
      <c r="N270" s="34"/>
    </row>
    <row r="271" spans="1:14" s="35" customFormat="1" x14ac:dyDescent="0.25">
      <c r="A271" s="65">
        <v>2</v>
      </c>
      <c r="B271" s="66"/>
      <c r="C271" s="40" t="s">
        <v>204</v>
      </c>
      <c r="D271" s="40">
        <f>(47.31)*(10.764)</f>
        <v>509.24484000000001</v>
      </c>
      <c r="E271" s="40">
        <f>(18.69)*(10.764)</f>
        <v>201.17916</v>
      </c>
      <c r="F271" s="40">
        <f>D271*(($F$267)+1)+(IF(E271&lt;101,E271,IF(E271&lt;201,E271/2,IF(E271&lt;=301,E271/3,E271/4))))</f>
        <v>830.92697999999996</v>
      </c>
      <c r="G271" s="67" t="str">
        <f>A270</f>
        <v>1st Floor For Residential</v>
      </c>
      <c r="H271" s="68"/>
      <c r="I271" s="34"/>
      <c r="L271" s="63"/>
      <c r="M271" s="63"/>
    </row>
    <row r="272" spans="1:14" s="35" customFormat="1" x14ac:dyDescent="0.25">
      <c r="A272" s="65">
        <f>A271+1</f>
        <v>3</v>
      </c>
      <c r="B272" s="66"/>
      <c r="C272" s="40" t="s">
        <v>204</v>
      </c>
      <c r="D272" s="40">
        <f>(47.31)*(10.764)</f>
        <v>509.24484000000001</v>
      </c>
      <c r="E272" s="40">
        <f>(18.64)*(10.764)</f>
        <v>200.64096000000001</v>
      </c>
      <c r="F272" s="40">
        <f>D272*(($F$267)+1)+(IF(E272&lt;101,E272,IF(E272&lt;201,E272/2,IF(E272&lt;=301,E272/3,E272/4))))</f>
        <v>864.18773999999996</v>
      </c>
      <c r="G272" s="69"/>
      <c r="H272" s="70"/>
      <c r="I272" s="34"/>
      <c r="N272" s="34"/>
    </row>
    <row r="273" spans="1:14" s="35" customFormat="1" x14ac:dyDescent="0.25">
      <c r="A273" s="65">
        <f>A272+1</f>
        <v>4</v>
      </c>
      <c r="B273" s="66"/>
      <c r="C273" s="40" t="s">
        <v>204</v>
      </c>
      <c r="D273" s="40">
        <f>(47.31)*(10.764)</f>
        <v>509.24484000000001</v>
      </c>
      <c r="E273" s="40">
        <f>(18.64)*(10.764)</f>
        <v>200.64096000000001</v>
      </c>
      <c r="F273" s="40">
        <f>D273*(($F$267)+1)+(IF(E273&lt;101,E273,IF(E273&lt;201,E273/2,IF(E273&lt;=301,E273/3,E273/4))))</f>
        <v>864.18773999999996</v>
      </c>
      <c r="G273" s="69"/>
      <c r="H273" s="70"/>
      <c r="I273" s="34"/>
      <c r="N273" s="34"/>
    </row>
    <row r="274" spans="1:14" s="35" customFormat="1" x14ac:dyDescent="0.25">
      <c r="A274" s="65">
        <f>A273+1</f>
        <v>5</v>
      </c>
      <c r="B274" s="66"/>
      <c r="C274" s="40" t="s">
        <v>204</v>
      </c>
      <c r="D274" s="40">
        <f>(47.31)*(10.764)</f>
        <v>509.24484000000001</v>
      </c>
      <c r="E274" s="40">
        <f>(18.69)*(10.764)</f>
        <v>201.17916</v>
      </c>
      <c r="F274" s="40">
        <f>D274*(($F$267)+1)+(IF(E274&lt;101,E274,IF(E274&lt;201,E274/2,IF(E274&lt;=301,E274/3,E274/4))))</f>
        <v>830.92697999999996</v>
      </c>
      <c r="G274" s="71"/>
      <c r="H274" s="72"/>
      <c r="I274" s="34"/>
      <c r="N274" s="34"/>
    </row>
    <row r="275" spans="1:14" s="35" customFormat="1" x14ac:dyDescent="0.25">
      <c r="A275" s="73" t="s">
        <v>121</v>
      </c>
      <c r="B275" s="73"/>
      <c r="C275" s="73"/>
      <c r="D275" s="73"/>
      <c r="E275" s="73"/>
      <c r="F275" s="73"/>
      <c r="G275" s="73"/>
      <c r="H275" s="73"/>
      <c r="I275" s="34"/>
      <c r="N275" s="34"/>
    </row>
    <row r="276" spans="1:14" s="35" customFormat="1" x14ac:dyDescent="0.25">
      <c r="A276" s="64">
        <v>1</v>
      </c>
      <c r="B276" s="64"/>
      <c r="C276" s="40" t="s">
        <v>204</v>
      </c>
      <c r="D276" s="40">
        <f>(47.98)*(10.764)</f>
        <v>516.4567199999999</v>
      </c>
      <c r="E276" s="40">
        <f>(15.6)*(10.764)</f>
        <v>167.91839999999999</v>
      </c>
      <c r="F276" s="40">
        <f>D276*(($F$267)+1)+(IF(E276&lt;101,E276,IF(E276&lt;201,E276/2,IF(E276&lt;=301,E276/3,E276/4))))</f>
        <v>858.64427999999987</v>
      </c>
      <c r="G276" s="67" t="str">
        <f>A275</f>
        <v>2nd Floor</v>
      </c>
      <c r="H276" s="68"/>
      <c r="I276" s="34"/>
      <c r="N276" s="34"/>
    </row>
    <row r="277" spans="1:14" s="35" customFormat="1" x14ac:dyDescent="0.25">
      <c r="A277" s="64">
        <f t="shared" ref="A277:A283" si="6">A276+1</f>
        <v>2</v>
      </c>
      <c r="B277" s="64"/>
      <c r="C277" s="40" t="s">
        <v>204</v>
      </c>
      <c r="D277" s="40">
        <f>(47.31+(9*0.75))*(10.764)</f>
        <v>581.90183999999999</v>
      </c>
      <c r="E277" s="40">
        <v>0</v>
      </c>
      <c r="F277" s="40">
        <f>D277*(($F$267)+1)+(IF(E277&lt;101,E277,IF(E277&lt;201,E277/2,IF(E277&lt;=301,E277/3,E277/4))))</f>
        <v>872.85275999999999</v>
      </c>
      <c r="G277" s="69"/>
      <c r="H277" s="70"/>
      <c r="I277" s="34"/>
      <c r="N277" s="34"/>
    </row>
    <row r="278" spans="1:14" s="35" customFormat="1" x14ac:dyDescent="0.25">
      <c r="A278" s="64">
        <f t="shared" si="6"/>
        <v>3</v>
      </c>
      <c r="B278" s="64"/>
      <c r="C278" s="40" t="s">
        <v>204</v>
      </c>
      <c r="D278" s="40">
        <f>(47.31+(9*0.75))*(10.764)</f>
        <v>581.90183999999999</v>
      </c>
      <c r="E278" s="40">
        <v>0</v>
      </c>
      <c r="F278" s="40">
        <f t="shared" ref="F278:F283" si="7">D278*(($F$267)+1)+(IF(E278&lt;101,E278,IF(E278&lt;201,E278/2,IF(E278&lt;=301,E278/3,E278/4))))</f>
        <v>872.85275999999999</v>
      </c>
      <c r="G278" s="69"/>
      <c r="H278" s="70"/>
      <c r="I278" s="34"/>
      <c r="N278" s="34"/>
    </row>
    <row r="279" spans="1:14" s="35" customFormat="1" x14ac:dyDescent="0.25">
      <c r="A279" s="64">
        <f t="shared" si="6"/>
        <v>4</v>
      </c>
      <c r="B279" s="64"/>
      <c r="C279" s="40" t="s">
        <v>204</v>
      </c>
      <c r="D279" s="40">
        <f>(47.31+(9*0.75))*(10.764)</f>
        <v>581.90183999999999</v>
      </c>
      <c r="E279" s="40">
        <v>0</v>
      </c>
      <c r="F279" s="40">
        <f t="shared" si="7"/>
        <v>872.85275999999999</v>
      </c>
      <c r="G279" s="69"/>
      <c r="H279" s="70"/>
      <c r="I279" s="34"/>
      <c r="N279" s="34"/>
    </row>
    <row r="280" spans="1:14" s="35" customFormat="1" ht="15.75" customHeight="1" x14ac:dyDescent="0.25">
      <c r="A280" s="64">
        <f t="shared" si="6"/>
        <v>5</v>
      </c>
      <c r="B280" s="64"/>
      <c r="C280" s="40" t="s">
        <v>204</v>
      </c>
      <c r="D280" s="40">
        <f>(47.31+(9*0.75))*(10.764)</f>
        <v>581.90183999999999</v>
      </c>
      <c r="E280" s="40">
        <v>0</v>
      </c>
      <c r="F280" s="40">
        <f t="shared" si="7"/>
        <v>872.85275999999999</v>
      </c>
      <c r="G280" s="69"/>
      <c r="H280" s="70"/>
      <c r="I280" s="34"/>
    </row>
    <row r="281" spans="1:14" s="35" customFormat="1" ht="15.75" customHeight="1" x14ac:dyDescent="0.25">
      <c r="A281" s="64">
        <f t="shared" si="6"/>
        <v>6</v>
      </c>
      <c r="B281" s="64"/>
      <c r="C281" s="40" t="s">
        <v>204</v>
      </c>
      <c r="D281" s="40">
        <f>(47.98)*(10.764)</f>
        <v>516.4567199999999</v>
      </c>
      <c r="E281" s="40">
        <f>(26.85)*(10.764)</f>
        <v>289.01339999999999</v>
      </c>
      <c r="F281" s="40">
        <f t="shared" si="7"/>
        <v>871.02287999999987</v>
      </c>
      <c r="G281" s="69"/>
      <c r="H281" s="70"/>
      <c r="I281" s="34"/>
    </row>
    <row r="282" spans="1:14" s="35" customFormat="1" ht="15.75" customHeight="1" x14ac:dyDescent="0.25">
      <c r="A282" s="64">
        <f t="shared" si="6"/>
        <v>7</v>
      </c>
      <c r="B282" s="64"/>
      <c r="C282" s="40" t="s">
        <v>204</v>
      </c>
      <c r="D282" s="40">
        <f>(47.98)*(10.764)</f>
        <v>516.4567199999999</v>
      </c>
      <c r="E282" s="40">
        <f>(26.79)*(10.764)</f>
        <v>288.36755999999997</v>
      </c>
      <c r="F282" s="40">
        <f t="shared" si="7"/>
        <v>870.80759999999987</v>
      </c>
      <c r="G282" s="69"/>
      <c r="H282" s="70"/>
      <c r="I282" s="34"/>
    </row>
    <row r="283" spans="1:14" s="35" customFormat="1" ht="15.75" customHeight="1" x14ac:dyDescent="0.25">
      <c r="A283" s="64">
        <f t="shared" si="6"/>
        <v>8</v>
      </c>
      <c r="B283" s="64"/>
      <c r="C283" s="40" t="s">
        <v>204</v>
      </c>
      <c r="D283" s="40">
        <f>(47.98)*(10.764)</f>
        <v>516.4567199999999</v>
      </c>
      <c r="E283" s="40">
        <f>(26.79)*(10.764)</f>
        <v>288.36755999999997</v>
      </c>
      <c r="F283" s="40">
        <f t="shared" si="7"/>
        <v>870.80759999999987</v>
      </c>
      <c r="G283" s="71"/>
      <c r="H283" s="72"/>
      <c r="I283" s="34"/>
    </row>
    <row r="284" spans="1:14" s="35" customFormat="1" ht="15.75" customHeight="1" x14ac:dyDescent="0.25">
      <c r="A284" s="75" t="s">
        <v>205</v>
      </c>
      <c r="B284" s="76"/>
      <c r="C284" s="76"/>
      <c r="D284" s="76"/>
      <c r="E284" s="76"/>
      <c r="F284" s="76"/>
      <c r="G284" s="76"/>
      <c r="H284" s="77"/>
      <c r="I284" s="34"/>
    </row>
    <row r="285" spans="1:14" s="35" customFormat="1" ht="15.75" customHeight="1" x14ac:dyDescent="0.25">
      <c r="A285" s="65">
        <v>1</v>
      </c>
      <c r="B285" s="66"/>
      <c r="C285" s="40" t="s">
        <v>204</v>
      </c>
      <c r="D285" s="40">
        <f>(47.98+(9*0.75))*(10.764)</f>
        <v>589.11371999999994</v>
      </c>
      <c r="E285" s="40">
        <v>0</v>
      </c>
      <c r="F285" s="40">
        <f t="shared" ref="F285:F292" si="8">D285*(($F$267)+1)+(IF(E285&lt;101,E285,IF(E285&lt;201,E285/2,IF(E285&lt;=301,E285/3,E285/4))))</f>
        <v>883.67057999999997</v>
      </c>
      <c r="G285" s="67" t="str">
        <f>A284</f>
        <v>3rd to 7th, 9th to 12th, 14th to 17th, &amp; 19th to 22nd Floor</v>
      </c>
      <c r="H285" s="68"/>
      <c r="I285" s="34"/>
    </row>
    <row r="286" spans="1:14" s="35" customFormat="1" ht="15.75" customHeight="1" x14ac:dyDescent="0.25">
      <c r="A286" s="65">
        <v>2</v>
      </c>
      <c r="B286" s="66"/>
      <c r="C286" s="40" t="s">
        <v>204</v>
      </c>
      <c r="D286" s="40">
        <f>(47.31+(9*0.75))*(10.764)</f>
        <v>581.90183999999999</v>
      </c>
      <c r="E286" s="40">
        <v>0</v>
      </c>
      <c r="F286" s="40">
        <f t="shared" si="8"/>
        <v>872.85275999999999</v>
      </c>
      <c r="G286" s="69"/>
      <c r="H286" s="70"/>
      <c r="I286" s="34"/>
    </row>
    <row r="287" spans="1:14" s="35" customFormat="1" ht="15.75" customHeight="1" x14ac:dyDescent="0.25">
      <c r="A287" s="65">
        <v>3</v>
      </c>
      <c r="B287" s="66"/>
      <c r="C287" s="40" t="s">
        <v>204</v>
      </c>
      <c r="D287" s="40">
        <f>(47.31+(9*0.75))*(10.764)</f>
        <v>581.90183999999999</v>
      </c>
      <c r="E287" s="40">
        <v>0</v>
      </c>
      <c r="F287" s="40">
        <f t="shared" si="8"/>
        <v>872.85275999999999</v>
      </c>
      <c r="G287" s="69"/>
      <c r="H287" s="70"/>
      <c r="I287" s="34"/>
    </row>
    <row r="288" spans="1:14" s="35" customFormat="1" ht="15.75" customHeight="1" x14ac:dyDescent="0.25">
      <c r="A288" s="65">
        <v>4</v>
      </c>
      <c r="B288" s="66"/>
      <c r="C288" s="40" t="s">
        <v>204</v>
      </c>
      <c r="D288" s="40">
        <f>(47.31+(9*0.75))*(10.764)</f>
        <v>581.90183999999999</v>
      </c>
      <c r="E288" s="40">
        <v>0</v>
      </c>
      <c r="F288" s="40">
        <f t="shared" si="8"/>
        <v>872.85275999999999</v>
      </c>
      <c r="G288" s="69"/>
      <c r="H288" s="70"/>
      <c r="I288" s="34"/>
    </row>
    <row r="289" spans="1:9" s="35" customFormat="1" ht="15.75" customHeight="1" x14ac:dyDescent="0.25">
      <c r="A289" s="65">
        <v>5</v>
      </c>
      <c r="B289" s="66"/>
      <c r="C289" s="40" t="s">
        <v>204</v>
      </c>
      <c r="D289" s="40">
        <f>(47.31+(9*0.75))*(10.764)</f>
        <v>581.90183999999999</v>
      </c>
      <c r="E289" s="40">
        <v>0</v>
      </c>
      <c r="F289" s="40">
        <f t="shared" si="8"/>
        <v>872.85275999999999</v>
      </c>
      <c r="G289" s="69"/>
      <c r="H289" s="70"/>
      <c r="I289" s="34"/>
    </row>
    <row r="290" spans="1:9" s="35" customFormat="1" ht="15.75" customHeight="1" x14ac:dyDescent="0.25">
      <c r="A290" s="65">
        <v>6</v>
      </c>
      <c r="B290" s="66"/>
      <c r="C290" s="40" t="s">
        <v>204</v>
      </c>
      <c r="D290" s="40">
        <f>(47.98+(9*0.75))*(10.764)</f>
        <v>589.11371999999994</v>
      </c>
      <c r="E290" s="40">
        <v>0</v>
      </c>
      <c r="F290" s="40">
        <f t="shared" si="8"/>
        <v>883.67057999999997</v>
      </c>
      <c r="G290" s="69"/>
      <c r="H290" s="70"/>
      <c r="I290" s="34"/>
    </row>
    <row r="291" spans="1:9" s="35" customFormat="1" ht="15.75" customHeight="1" x14ac:dyDescent="0.25">
      <c r="A291" s="65">
        <v>7</v>
      </c>
      <c r="B291" s="66"/>
      <c r="C291" s="40" t="s">
        <v>204</v>
      </c>
      <c r="D291" s="40">
        <f>(47.98+(9*0.75))*(10.764)</f>
        <v>589.11371999999994</v>
      </c>
      <c r="E291" s="40">
        <v>0</v>
      </c>
      <c r="F291" s="40">
        <f t="shared" si="8"/>
        <v>883.67057999999997</v>
      </c>
      <c r="G291" s="69"/>
      <c r="H291" s="70"/>
      <c r="I291" s="34"/>
    </row>
    <row r="292" spans="1:9" s="35" customFormat="1" ht="15.75" customHeight="1" x14ac:dyDescent="0.25">
      <c r="A292" s="65">
        <v>8</v>
      </c>
      <c r="B292" s="66"/>
      <c r="C292" s="40" t="s">
        <v>204</v>
      </c>
      <c r="D292" s="40">
        <f>(47.98+(9*0.75))*(10.764)</f>
        <v>589.11371999999994</v>
      </c>
      <c r="E292" s="40">
        <v>0</v>
      </c>
      <c r="F292" s="40">
        <f t="shared" si="8"/>
        <v>883.67057999999997</v>
      </c>
      <c r="G292" s="71"/>
      <c r="H292" s="72"/>
      <c r="I292" s="34"/>
    </row>
    <row r="293" spans="1:9" s="35" customFormat="1" ht="15.75" customHeight="1" x14ac:dyDescent="0.25">
      <c r="A293" s="75" t="s">
        <v>206</v>
      </c>
      <c r="B293" s="76"/>
      <c r="C293" s="76"/>
      <c r="D293" s="76"/>
      <c r="E293" s="76"/>
      <c r="F293" s="76"/>
      <c r="G293" s="76"/>
      <c r="H293" s="77"/>
      <c r="I293" s="34"/>
    </row>
    <row r="294" spans="1:9" s="35" customFormat="1" ht="15.75" customHeight="1" x14ac:dyDescent="0.25">
      <c r="A294" s="65">
        <v>1</v>
      </c>
      <c r="B294" s="66"/>
      <c r="C294" s="40" t="s">
        <v>204</v>
      </c>
      <c r="D294" s="40">
        <f>(47.98+(9*0.75))*(10.764)</f>
        <v>589.11371999999994</v>
      </c>
      <c r="E294" s="40">
        <v>0</v>
      </c>
      <c r="F294" s="40">
        <f t="shared" ref="F294:F300" si="9">D294*(($F$267)+1)+(IF(E294&lt;101,E294,IF(E294&lt;201,E294/2,IF(E294&lt;=301,E294/3,E294/4))))</f>
        <v>883.67057999999997</v>
      </c>
      <c r="G294" s="67" t="str">
        <f>A293</f>
        <v>8th, 13th &amp; 18th Floor (Part Refuge Area)</v>
      </c>
      <c r="H294" s="68"/>
      <c r="I294" s="34"/>
    </row>
    <row r="295" spans="1:9" s="35" customFormat="1" ht="15.75" customHeight="1" x14ac:dyDescent="0.25">
      <c r="A295" s="65">
        <v>2</v>
      </c>
      <c r="B295" s="66"/>
      <c r="C295" s="40" t="s">
        <v>204</v>
      </c>
      <c r="D295" s="40">
        <f>(47.31+(9*0.75))*(10.764)</f>
        <v>581.90183999999999</v>
      </c>
      <c r="E295" s="40">
        <v>0</v>
      </c>
      <c r="F295" s="40">
        <f t="shared" si="9"/>
        <v>872.85275999999999</v>
      </c>
      <c r="G295" s="69"/>
      <c r="H295" s="70"/>
      <c r="I295" s="34"/>
    </row>
    <row r="296" spans="1:9" s="35" customFormat="1" ht="15.75" customHeight="1" x14ac:dyDescent="0.25">
      <c r="A296" s="65">
        <v>3</v>
      </c>
      <c r="B296" s="66"/>
      <c r="C296" s="40" t="s">
        <v>204</v>
      </c>
      <c r="D296" s="40">
        <f>(47.31+(9*0.75))*(10.764)</f>
        <v>581.90183999999999</v>
      </c>
      <c r="E296" s="40">
        <v>0</v>
      </c>
      <c r="F296" s="40">
        <f t="shared" si="9"/>
        <v>872.85275999999999</v>
      </c>
      <c r="G296" s="69"/>
      <c r="H296" s="70"/>
      <c r="I296" s="34"/>
    </row>
    <row r="297" spans="1:9" s="35" customFormat="1" ht="15.75" customHeight="1" x14ac:dyDescent="0.25">
      <c r="A297" s="65">
        <v>4</v>
      </c>
      <c r="B297" s="66"/>
      <c r="C297" s="40" t="s">
        <v>204</v>
      </c>
      <c r="D297" s="40">
        <f>(47.31+(9*0.75))*(10.764)</f>
        <v>581.90183999999999</v>
      </c>
      <c r="E297" s="40">
        <v>0</v>
      </c>
      <c r="F297" s="40">
        <f t="shared" si="9"/>
        <v>872.85275999999999</v>
      </c>
      <c r="G297" s="69"/>
      <c r="H297" s="70"/>
      <c r="I297" s="34"/>
    </row>
    <row r="298" spans="1:9" s="35" customFormat="1" x14ac:dyDescent="0.25">
      <c r="A298" s="65">
        <v>5</v>
      </c>
      <c r="B298" s="66"/>
      <c r="C298" s="40" t="s">
        <v>204</v>
      </c>
      <c r="D298" s="40">
        <f>(47.31+(9*0.75))*(10.764)</f>
        <v>581.90183999999999</v>
      </c>
      <c r="E298" s="40">
        <v>0</v>
      </c>
      <c r="F298" s="40">
        <f t="shared" si="9"/>
        <v>872.85275999999999</v>
      </c>
      <c r="G298" s="69"/>
      <c r="H298" s="70"/>
      <c r="I298" s="34"/>
    </row>
    <row r="299" spans="1:9" s="35" customFormat="1" x14ac:dyDescent="0.25">
      <c r="A299" s="65">
        <v>6</v>
      </c>
      <c r="B299" s="66"/>
      <c r="C299" s="40" t="s">
        <v>204</v>
      </c>
      <c r="D299" s="40">
        <f>(47.98+(9*0.75))*(10.764)</f>
        <v>589.11371999999994</v>
      </c>
      <c r="E299" s="40">
        <v>0</v>
      </c>
      <c r="F299" s="40">
        <f t="shared" si="9"/>
        <v>883.67057999999997</v>
      </c>
      <c r="G299" s="69"/>
      <c r="H299" s="70"/>
      <c r="I299" s="34"/>
    </row>
    <row r="300" spans="1:9" s="35" customFormat="1" ht="15.75" customHeight="1" x14ac:dyDescent="0.25">
      <c r="A300" s="65">
        <v>7</v>
      </c>
      <c r="B300" s="66"/>
      <c r="C300" s="40" t="s">
        <v>204</v>
      </c>
      <c r="D300" s="40">
        <f>(47.98+(9*0.75))*(10.764)</f>
        <v>589.11371999999994</v>
      </c>
      <c r="E300" s="40">
        <v>0</v>
      </c>
      <c r="F300" s="40">
        <f t="shared" si="9"/>
        <v>883.67057999999997</v>
      </c>
      <c r="G300" s="69"/>
      <c r="H300" s="70"/>
      <c r="I300" s="34"/>
    </row>
    <row r="301" spans="1:9" s="35" customFormat="1" ht="15.75" customHeight="1" x14ac:dyDescent="0.25">
      <c r="A301" s="65">
        <v>8</v>
      </c>
      <c r="B301" s="66"/>
      <c r="C301" s="65" t="s">
        <v>207</v>
      </c>
      <c r="D301" s="127"/>
      <c r="E301" s="127"/>
      <c r="F301" s="66"/>
      <c r="G301" s="71"/>
      <c r="H301" s="72"/>
      <c r="I301" s="34"/>
    </row>
    <row r="302" spans="1:9" s="35" customFormat="1" ht="15.75" customHeight="1" x14ac:dyDescent="0.25">
      <c r="A302" s="73" t="s">
        <v>208</v>
      </c>
      <c r="B302" s="73"/>
      <c r="C302" s="73"/>
      <c r="D302" s="73"/>
      <c r="E302" s="73"/>
      <c r="F302" s="73"/>
      <c r="G302" s="73"/>
      <c r="H302" s="73"/>
      <c r="I302" s="34"/>
    </row>
    <row r="303" spans="1:9" s="35" customFormat="1" ht="15.75" customHeight="1" x14ac:dyDescent="0.25">
      <c r="A303" s="73" t="s">
        <v>203</v>
      </c>
      <c r="B303" s="73"/>
      <c r="C303" s="73"/>
      <c r="D303" s="73"/>
      <c r="E303" s="73"/>
      <c r="F303" s="73"/>
      <c r="G303" s="73"/>
      <c r="H303" s="73"/>
      <c r="I303" s="34"/>
    </row>
    <row r="304" spans="1:9" s="35" customFormat="1" ht="15.75" customHeight="1" x14ac:dyDescent="0.25">
      <c r="A304" s="64">
        <v>3</v>
      </c>
      <c r="B304" s="64"/>
      <c r="C304" s="40" t="s">
        <v>204</v>
      </c>
      <c r="D304" s="40">
        <f t="shared" ref="D304:D311" si="10">(42.09)*(10.764)</f>
        <v>453.05676</v>
      </c>
      <c r="E304" s="40">
        <f>(18.52)*(10.764)</f>
        <v>199.34927999999999</v>
      </c>
      <c r="F304" s="40">
        <f t="shared" ref="F304:F315" si="11">D304*(($F$267)+1)+(IF(E304&lt;101,E304,IF(E304&lt;201,E304/2,IF(E304&lt;=301,E304/3,E304/4))))</f>
        <v>779.25977999999998</v>
      </c>
      <c r="G304" s="64" t="str">
        <f>A303</f>
        <v>1st Floor For Residential</v>
      </c>
      <c r="H304" s="64"/>
      <c r="I304" s="34"/>
    </row>
    <row r="305" spans="1:9" s="35" customFormat="1" ht="15.75" customHeight="1" x14ac:dyDescent="0.25">
      <c r="A305" s="64">
        <v>4</v>
      </c>
      <c r="B305" s="64"/>
      <c r="C305" s="40" t="s">
        <v>204</v>
      </c>
      <c r="D305" s="40">
        <f t="shared" si="10"/>
        <v>453.05676</v>
      </c>
      <c r="E305" s="40">
        <f>(18.4)*(10.764)</f>
        <v>198.05759999999998</v>
      </c>
      <c r="F305" s="40">
        <f t="shared" si="11"/>
        <v>778.61393999999996</v>
      </c>
      <c r="G305" s="64"/>
      <c r="H305" s="64"/>
      <c r="I305" s="34"/>
    </row>
    <row r="306" spans="1:9" s="35" customFormat="1" ht="15.75" customHeight="1" x14ac:dyDescent="0.25">
      <c r="A306" s="64">
        <v>5</v>
      </c>
      <c r="B306" s="64"/>
      <c r="C306" s="40" t="s">
        <v>204</v>
      </c>
      <c r="D306" s="40">
        <f t="shared" si="10"/>
        <v>453.05676</v>
      </c>
      <c r="E306" s="40">
        <f>(18.4)*(10.764)</f>
        <v>198.05759999999998</v>
      </c>
      <c r="F306" s="40">
        <f t="shared" si="11"/>
        <v>778.61393999999996</v>
      </c>
      <c r="G306" s="64"/>
      <c r="H306" s="64"/>
      <c r="I306" s="34"/>
    </row>
    <row r="307" spans="1:9" s="35" customFormat="1" ht="15.75" customHeight="1" x14ac:dyDescent="0.25">
      <c r="A307" s="64">
        <v>6</v>
      </c>
      <c r="B307" s="64"/>
      <c r="C307" s="40" t="s">
        <v>204</v>
      </c>
      <c r="D307" s="40">
        <f t="shared" si="10"/>
        <v>453.05676</v>
      </c>
      <c r="E307" s="40">
        <f>(19.83)*(10.764)</f>
        <v>213.45011999999997</v>
      </c>
      <c r="F307" s="40">
        <f t="shared" si="11"/>
        <v>750.73518000000001</v>
      </c>
      <c r="G307" s="64"/>
      <c r="H307" s="64"/>
      <c r="I307" s="34"/>
    </row>
    <row r="308" spans="1:9" s="35" customFormat="1" ht="15.75" customHeight="1" x14ac:dyDescent="0.25">
      <c r="A308" s="64">
        <v>7</v>
      </c>
      <c r="B308" s="64"/>
      <c r="C308" s="40" t="s">
        <v>204</v>
      </c>
      <c r="D308" s="40">
        <f t="shared" si="10"/>
        <v>453.05676</v>
      </c>
      <c r="E308" s="40">
        <f>(19.83)*(10.764)</f>
        <v>213.45011999999997</v>
      </c>
      <c r="F308" s="40">
        <f t="shared" si="11"/>
        <v>750.73518000000001</v>
      </c>
      <c r="G308" s="64"/>
      <c r="H308" s="64"/>
      <c r="I308" s="34"/>
    </row>
    <row r="309" spans="1:9" s="35" customFormat="1" ht="15.75" customHeight="1" x14ac:dyDescent="0.25">
      <c r="A309" s="64">
        <v>8</v>
      </c>
      <c r="B309" s="64"/>
      <c r="C309" s="40" t="s">
        <v>204</v>
      </c>
      <c r="D309" s="40">
        <f t="shared" si="10"/>
        <v>453.05676</v>
      </c>
      <c r="E309" s="40">
        <f>(18.4)*(10.764)</f>
        <v>198.05759999999998</v>
      </c>
      <c r="F309" s="40">
        <f t="shared" si="11"/>
        <v>778.61393999999996</v>
      </c>
      <c r="G309" s="64"/>
      <c r="H309" s="64"/>
      <c r="I309" s="34"/>
    </row>
    <row r="310" spans="1:9" s="35" customFormat="1" ht="15.75" customHeight="1" x14ac:dyDescent="0.25">
      <c r="A310" s="64">
        <v>9</v>
      </c>
      <c r="B310" s="64"/>
      <c r="C310" s="40" t="s">
        <v>204</v>
      </c>
      <c r="D310" s="40">
        <f t="shared" si="10"/>
        <v>453.05676</v>
      </c>
      <c r="E310" s="40">
        <f>(18.4)*(10.764)</f>
        <v>198.05759999999998</v>
      </c>
      <c r="F310" s="40">
        <f t="shared" si="11"/>
        <v>778.61393999999996</v>
      </c>
      <c r="G310" s="64"/>
      <c r="H310" s="64"/>
      <c r="I310" s="34"/>
    </row>
    <row r="311" spans="1:9" s="35" customFormat="1" ht="15.75" customHeight="1" x14ac:dyDescent="0.25">
      <c r="A311" s="64">
        <v>10</v>
      </c>
      <c r="B311" s="64"/>
      <c r="C311" s="40" t="s">
        <v>204</v>
      </c>
      <c r="D311" s="40">
        <f t="shared" si="10"/>
        <v>453.05676</v>
      </c>
      <c r="E311" s="40">
        <f>(18.52)*(10.764)</f>
        <v>199.34927999999999</v>
      </c>
      <c r="F311" s="40">
        <f t="shared" si="11"/>
        <v>779.25977999999998</v>
      </c>
      <c r="G311" s="64"/>
      <c r="H311" s="64"/>
      <c r="I311" s="34"/>
    </row>
    <row r="312" spans="1:9" s="35" customFormat="1" x14ac:dyDescent="0.25">
      <c r="A312" s="64">
        <v>11</v>
      </c>
      <c r="B312" s="64"/>
      <c r="C312" s="40" t="s">
        <v>209</v>
      </c>
      <c r="D312" s="40">
        <f>(34.58)*(10.764)</f>
        <v>372.21911999999998</v>
      </c>
      <c r="E312" s="40">
        <f>(24.29)*(10.764)</f>
        <v>261.45756</v>
      </c>
      <c r="F312" s="40">
        <f t="shared" si="11"/>
        <v>645.48119999999994</v>
      </c>
      <c r="G312" s="64"/>
      <c r="H312" s="64"/>
      <c r="I312" s="34"/>
    </row>
    <row r="313" spans="1:9" s="35" customFormat="1" x14ac:dyDescent="0.25">
      <c r="A313" s="64">
        <v>12</v>
      </c>
      <c r="B313" s="64"/>
      <c r="C313" s="40" t="s">
        <v>209</v>
      </c>
      <c r="D313" s="40">
        <f>(34.58)*(10.764)</f>
        <v>372.21911999999998</v>
      </c>
      <c r="E313" s="40">
        <f>(24.29)*(10.764)</f>
        <v>261.45756</v>
      </c>
      <c r="F313" s="40">
        <f t="shared" si="11"/>
        <v>645.48119999999994</v>
      </c>
      <c r="G313" s="64"/>
      <c r="H313" s="64"/>
      <c r="I313" s="34"/>
    </row>
    <row r="314" spans="1:9" s="35" customFormat="1" x14ac:dyDescent="0.25">
      <c r="A314" s="64">
        <v>13</v>
      </c>
      <c r="B314" s="64"/>
      <c r="C314" s="40" t="s">
        <v>209</v>
      </c>
      <c r="D314" s="40">
        <f>(34.58)*(10.764)</f>
        <v>372.21911999999998</v>
      </c>
      <c r="E314" s="40">
        <f>(24.29)*(10.764)</f>
        <v>261.45756</v>
      </c>
      <c r="F314" s="40">
        <f t="shared" si="11"/>
        <v>645.48119999999994</v>
      </c>
      <c r="G314" s="64"/>
      <c r="H314" s="64"/>
      <c r="I314" s="34"/>
    </row>
    <row r="315" spans="1:9" s="35" customFormat="1" x14ac:dyDescent="0.25">
      <c r="A315" s="64">
        <v>14</v>
      </c>
      <c r="B315" s="64"/>
      <c r="C315" s="40" t="s">
        <v>209</v>
      </c>
      <c r="D315" s="40">
        <f>(34.58)*(10.764)</f>
        <v>372.21911999999998</v>
      </c>
      <c r="E315" s="40">
        <f>(24.29)*(10.764)</f>
        <v>261.45756</v>
      </c>
      <c r="F315" s="40">
        <f t="shared" si="11"/>
        <v>645.48119999999994</v>
      </c>
      <c r="G315" s="64"/>
      <c r="H315" s="64"/>
      <c r="I315" s="34"/>
    </row>
    <row r="316" spans="1:9" s="35" customFormat="1" x14ac:dyDescent="0.25">
      <c r="A316" s="75" t="s">
        <v>121</v>
      </c>
      <c r="B316" s="76"/>
      <c r="C316" s="76"/>
      <c r="D316" s="76"/>
      <c r="E316" s="76"/>
      <c r="F316" s="76"/>
      <c r="G316" s="76"/>
      <c r="H316" s="77"/>
      <c r="I316" s="34"/>
    </row>
    <row r="317" spans="1:9" s="35" customFormat="1" x14ac:dyDescent="0.25">
      <c r="A317" s="65">
        <v>1</v>
      </c>
      <c r="B317" s="66"/>
      <c r="C317" s="40" t="s">
        <v>204</v>
      </c>
      <c r="D317" s="40">
        <f>(42.98)*(10.764)</f>
        <v>462.63671999999991</v>
      </c>
      <c r="E317" s="40">
        <f>(22.5)*(10.764)</f>
        <v>242.19</v>
      </c>
      <c r="F317" s="40">
        <f t="shared" ref="F317:F332" si="12">D317*(($F$267)+1)+(IF(E317&lt;101,E317,IF(E317&lt;201,E317/2,IF(E317&lt;=301,E317/3,E317/4))))</f>
        <v>774.68507999999986</v>
      </c>
      <c r="G317" s="67" t="str">
        <f>A316</f>
        <v>2nd Floor</v>
      </c>
      <c r="H317" s="68"/>
      <c r="I317" s="34"/>
    </row>
    <row r="318" spans="1:9" s="35" customFormat="1" x14ac:dyDescent="0.25">
      <c r="A318" s="65">
        <v>2</v>
      </c>
      <c r="B318" s="66"/>
      <c r="C318" s="40" t="s">
        <v>204</v>
      </c>
      <c r="D318" s="40">
        <f>(42.98)*(10.764)</f>
        <v>462.63671999999991</v>
      </c>
      <c r="E318" s="40">
        <f>(22.65)*(10.764)</f>
        <v>243.80459999999997</v>
      </c>
      <c r="F318" s="40">
        <f t="shared" si="12"/>
        <v>775.22327999999982</v>
      </c>
      <c r="G318" s="69"/>
      <c r="H318" s="70"/>
      <c r="I318" s="34"/>
    </row>
    <row r="319" spans="1:9" s="35" customFormat="1" x14ac:dyDescent="0.25">
      <c r="A319" s="65">
        <v>3</v>
      </c>
      <c r="B319" s="66"/>
      <c r="C319" s="40" t="s">
        <v>204</v>
      </c>
      <c r="D319" s="40">
        <f t="shared" ref="D319:D326" si="13">(42.09+(0.75*(2.9+2.85)+1.2*1.9))*(10.764)</f>
        <v>524.01842999999997</v>
      </c>
      <c r="E319" s="40">
        <v>0</v>
      </c>
      <c r="F319" s="40">
        <f t="shared" si="12"/>
        <v>786.02764499999989</v>
      </c>
      <c r="G319" s="69"/>
      <c r="H319" s="70"/>
      <c r="I319" s="34"/>
    </row>
    <row r="320" spans="1:9" s="35" customFormat="1" x14ac:dyDescent="0.25">
      <c r="A320" s="65">
        <v>4</v>
      </c>
      <c r="B320" s="66"/>
      <c r="C320" s="40" t="s">
        <v>204</v>
      </c>
      <c r="D320" s="40">
        <f t="shared" si="13"/>
        <v>524.01842999999997</v>
      </c>
      <c r="E320" s="40">
        <v>0</v>
      </c>
      <c r="F320" s="40">
        <f t="shared" si="12"/>
        <v>786.02764499999989</v>
      </c>
      <c r="G320" s="69"/>
      <c r="H320" s="70"/>
      <c r="I320" s="34"/>
    </row>
    <row r="321" spans="1:10" s="35" customFormat="1" x14ac:dyDescent="0.25">
      <c r="A321" s="65">
        <v>5</v>
      </c>
      <c r="B321" s="66"/>
      <c r="C321" s="40" t="s">
        <v>204</v>
      </c>
      <c r="D321" s="40">
        <f t="shared" si="13"/>
        <v>524.01842999999997</v>
      </c>
      <c r="E321" s="40">
        <v>0</v>
      </c>
      <c r="F321" s="40">
        <f t="shared" si="12"/>
        <v>786.02764499999989</v>
      </c>
      <c r="G321" s="69"/>
      <c r="H321" s="70"/>
      <c r="I321" s="34"/>
    </row>
    <row r="322" spans="1:10" s="35" customFormat="1" x14ac:dyDescent="0.25">
      <c r="A322" s="65">
        <v>6</v>
      </c>
      <c r="B322" s="66"/>
      <c r="C322" s="40" t="s">
        <v>204</v>
      </c>
      <c r="D322" s="40">
        <f t="shared" si="13"/>
        <v>524.01842999999997</v>
      </c>
      <c r="E322" s="40">
        <v>0</v>
      </c>
      <c r="F322" s="40">
        <f t="shared" si="12"/>
        <v>786.02764499999989</v>
      </c>
      <c r="G322" s="69"/>
      <c r="H322" s="70"/>
      <c r="I322" s="34"/>
    </row>
    <row r="323" spans="1:10" s="35" customFormat="1" x14ac:dyDescent="0.25">
      <c r="A323" s="65">
        <v>7</v>
      </c>
      <c r="B323" s="66"/>
      <c r="C323" s="40" t="s">
        <v>204</v>
      </c>
      <c r="D323" s="40">
        <f t="shared" si="13"/>
        <v>524.01842999999997</v>
      </c>
      <c r="E323" s="40">
        <v>0</v>
      </c>
      <c r="F323" s="40">
        <f t="shared" si="12"/>
        <v>786.02764499999989</v>
      </c>
      <c r="G323" s="69"/>
      <c r="H323" s="70"/>
      <c r="I323" s="40">
        <f>(18.75)*(10.764)</f>
        <v>201.82499999999999</v>
      </c>
      <c r="J323" s="35" t="s">
        <v>228</v>
      </c>
    </row>
    <row r="324" spans="1:10" s="35" customFormat="1" x14ac:dyDescent="0.25">
      <c r="A324" s="65">
        <v>8</v>
      </c>
      <c r="B324" s="66"/>
      <c r="C324" s="40" t="s">
        <v>204</v>
      </c>
      <c r="D324" s="40">
        <f t="shared" si="13"/>
        <v>524.01842999999997</v>
      </c>
      <c r="E324" s="40">
        <v>0</v>
      </c>
      <c r="F324" s="40">
        <f t="shared" si="12"/>
        <v>786.02764499999989</v>
      </c>
      <c r="G324" s="69"/>
      <c r="H324" s="70"/>
      <c r="I324" s="40">
        <f>(18.9)*(10.764)</f>
        <v>203.43959999999998</v>
      </c>
    </row>
    <row r="325" spans="1:10" s="35" customFormat="1" x14ac:dyDescent="0.25">
      <c r="A325" s="65">
        <v>9</v>
      </c>
      <c r="B325" s="66"/>
      <c r="C325" s="40" t="s">
        <v>204</v>
      </c>
      <c r="D325" s="40">
        <f t="shared" si="13"/>
        <v>524.01842999999997</v>
      </c>
      <c r="E325" s="40">
        <v>0</v>
      </c>
      <c r="F325" s="40">
        <f t="shared" si="12"/>
        <v>786.02764499999989</v>
      </c>
      <c r="G325" s="69"/>
      <c r="H325" s="70"/>
      <c r="I325" s="40">
        <f>(18.9)*(10.764)</f>
        <v>203.43959999999998</v>
      </c>
    </row>
    <row r="326" spans="1:10" s="35" customFormat="1" x14ac:dyDescent="0.25">
      <c r="A326" s="65">
        <v>10</v>
      </c>
      <c r="B326" s="66"/>
      <c r="C326" s="40" t="s">
        <v>204</v>
      </c>
      <c r="D326" s="40">
        <f t="shared" si="13"/>
        <v>524.01842999999997</v>
      </c>
      <c r="E326" s="40">
        <v>0</v>
      </c>
      <c r="F326" s="40">
        <f t="shared" si="12"/>
        <v>786.02764499999989</v>
      </c>
      <c r="G326" s="69"/>
      <c r="H326" s="70"/>
      <c r="I326" s="40">
        <f>(33.12)*(10.764)</f>
        <v>356.50367999999997</v>
      </c>
    </row>
    <row r="327" spans="1:10" s="35" customFormat="1" x14ac:dyDescent="0.25">
      <c r="A327" s="65">
        <v>11</v>
      </c>
      <c r="B327" s="66"/>
      <c r="C327" s="40" t="s">
        <v>209</v>
      </c>
      <c r="D327" s="40">
        <f>(34.58)*(10.764)</f>
        <v>372.21911999999998</v>
      </c>
      <c r="E327" s="40">
        <v>0</v>
      </c>
      <c r="F327" s="40">
        <f t="shared" si="12"/>
        <v>558.32867999999996</v>
      </c>
      <c r="G327" s="69"/>
      <c r="H327" s="70"/>
      <c r="I327" s="34"/>
    </row>
    <row r="328" spans="1:10" s="35" customFormat="1" x14ac:dyDescent="0.25">
      <c r="A328" s="65">
        <v>12</v>
      </c>
      <c r="B328" s="66"/>
      <c r="C328" s="40" t="s">
        <v>209</v>
      </c>
      <c r="D328" s="40">
        <f>(34.58)*(10.764)</f>
        <v>372.21911999999998</v>
      </c>
      <c r="E328" s="40">
        <v>0</v>
      </c>
      <c r="F328" s="40">
        <f t="shared" si="12"/>
        <v>558.32867999999996</v>
      </c>
      <c r="G328" s="69"/>
      <c r="H328" s="70"/>
      <c r="I328" s="34"/>
    </row>
    <row r="329" spans="1:10" s="35" customFormat="1" x14ac:dyDescent="0.25">
      <c r="A329" s="65">
        <v>13</v>
      </c>
      <c r="B329" s="66"/>
      <c r="C329" s="40" t="s">
        <v>209</v>
      </c>
      <c r="D329" s="40">
        <f>(34.58)*(10.764)</f>
        <v>372.21911999999998</v>
      </c>
      <c r="E329" s="40">
        <v>0</v>
      </c>
      <c r="F329" s="40">
        <f t="shared" si="12"/>
        <v>558.32867999999996</v>
      </c>
      <c r="G329" s="69"/>
      <c r="H329" s="70"/>
      <c r="I329" s="34"/>
    </row>
    <row r="330" spans="1:10" s="35" customFormat="1" ht="15.75" customHeight="1" x14ac:dyDescent="0.25">
      <c r="A330" s="65">
        <v>14</v>
      </c>
      <c r="B330" s="66"/>
      <c r="C330" s="40" t="s">
        <v>209</v>
      </c>
      <c r="D330" s="40">
        <f>(34.58)*(10.764)</f>
        <v>372.21911999999998</v>
      </c>
      <c r="E330" s="40">
        <v>0</v>
      </c>
      <c r="F330" s="40">
        <f t="shared" si="12"/>
        <v>558.32867999999996</v>
      </c>
      <c r="G330" s="69"/>
      <c r="H330" s="70"/>
      <c r="I330" s="34"/>
    </row>
    <row r="331" spans="1:10" s="35" customFormat="1" ht="15.75" customHeight="1" x14ac:dyDescent="0.25">
      <c r="A331" s="65">
        <v>15</v>
      </c>
      <c r="B331" s="66"/>
      <c r="C331" s="40" t="s">
        <v>204</v>
      </c>
      <c r="D331" s="40">
        <f>(42.98)*(10.764)</f>
        <v>462.63671999999991</v>
      </c>
      <c r="E331" s="40">
        <f>(28.48)*(10.764)</f>
        <v>306.55871999999999</v>
      </c>
      <c r="F331" s="40">
        <f t="shared" si="12"/>
        <v>770.59475999999984</v>
      </c>
      <c r="G331" s="69"/>
      <c r="H331" s="70"/>
      <c r="I331" s="34"/>
    </row>
    <row r="332" spans="1:10" s="35" customFormat="1" ht="15.75" customHeight="1" x14ac:dyDescent="0.25">
      <c r="A332" s="65">
        <v>16</v>
      </c>
      <c r="B332" s="66"/>
      <c r="C332" s="40" t="s">
        <v>204</v>
      </c>
      <c r="D332" s="40">
        <f>(42.98)*(10.764)</f>
        <v>462.63671999999991</v>
      </c>
      <c r="E332" s="40">
        <f>(22.5)*(10.764)</f>
        <v>242.19</v>
      </c>
      <c r="F332" s="40">
        <f t="shared" si="12"/>
        <v>774.68507999999986</v>
      </c>
      <c r="G332" s="71"/>
      <c r="H332" s="72"/>
      <c r="I332" s="34"/>
    </row>
    <row r="333" spans="1:10" s="35" customFormat="1" ht="15.75" customHeight="1" x14ac:dyDescent="0.25">
      <c r="A333" s="75" t="s">
        <v>210</v>
      </c>
      <c r="B333" s="76"/>
      <c r="C333" s="76"/>
      <c r="D333" s="76"/>
      <c r="E333" s="76"/>
      <c r="F333" s="76"/>
      <c r="G333" s="76"/>
      <c r="H333" s="77"/>
      <c r="I333" s="34"/>
    </row>
    <row r="334" spans="1:10" s="35" customFormat="1" ht="15.75" customHeight="1" x14ac:dyDescent="0.25">
      <c r="A334" s="65">
        <v>1</v>
      </c>
      <c r="B334" s="66"/>
      <c r="C334" s="40" t="s">
        <v>204</v>
      </c>
      <c r="D334" s="40">
        <f>(42.98+(0.75*(2.45+2.85)+1.2*1.85))*(10.764)</f>
        <v>529.3196999999999</v>
      </c>
      <c r="E334" s="40">
        <v>0</v>
      </c>
      <c r="F334" s="40">
        <f t="shared" ref="F334:F349" si="14">D334*(($F$267)+1)+(IF(E334&lt;101,E334,IF(E334&lt;201,E334/2,IF(E334&lt;=301,E334/3,E334/4))))</f>
        <v>793.97954999999979</v>
      </c>
      <c r="G334" s="67" t="str">
        <f>A333</f>
        <v>3rd to 7th, 9th to 12th, 14th to 17th &amp; 19th to 22nd Floor</v>
      </c>
      <c r="H334" s="68"/>
      <c r="I334" s="34"/>
    </row>
    <row r="335" spans="1:10" s="35" customFormat="1" ht="15.75" customHeight="1" x14ac:dyDescent="0.25">
      <c r="A335" s="65">
        <v>2</v>
      </c>
      <c r="B335" s="66"/>
      <c r="C335" s="40" t="s">
        <v>204</v>
      </c>
      <c r="D335" s="40">
        <f>(42.98+(0.75*(2.45+2.85)+1.2*1.85))*(10.764)</f>
        <v>529.3196999999999</v>
      </c>
      <c r="E335" s="40">
        <v>0</v>
      </c>
      <c r="F335" s="40">
        <f t="shared" si="14"/>
        <v>793.97954999999979</v>
      </c>
      <c r="G335" s="69"/>
      <c r="H335" s="70"/>
      <c r="I335" s="34"/>
    </row>
    <row r="336" spans="1:10" s="35" customFormat="1" ht="15.75" customHeight="1" x14ac:dyDescent="0.25">
      <c r="A336" s="65">
        <v>3</v>
      </c>
      <c r="B336" s="66"/>
      <c r="C336" s="40" t="s">
        <v>204</v>
      </c>
      <c r="D336" s="40">
        <f t="shared" ref="D336:D343" si="15">(42.09+(0.75*(2.9+2.85)+1.2*1.9))*(10.764)</f>
        <v>524.01842999999997</v>
      </c>
      <c r="E336" s="40">
        <v>0</v>
      </c>
      <c r="F336" s="40">
        <f t="shared" si="14"/>
        <v>786.02764499999989</v>
      </c>
      <c r="G336" s="69"/>
      <c r="H336" s="70"/>
      <c r="I336" s="34"/>
    </row>
    <row r="337" spans="1:9" s="35" customFormat="1" ht="15.75" customHeight="1" x14ac:dyDescent="0.25">
      <c r="A337" s="65">
        <v>4</v>
      </c>
      <c r="B337" s="66"/>
      <c r="C337" s="40" t="s">
        <v>204</v>
      </c>
      <c r="D337" s="40">
        <f t="shared" si="15"/>
        <v>524.01842999999997</v>
      </c>
      <c r="E337" s="40">
        <v>0</v>
      </c>
      <c r="F337" s="40">
        <f t="shared" si="14"/>
        <v>786.02764499999989</v>
      </c>
      <c r="G337" s="69"/>
      <c r="H337" s="70"/>
      <c r="I337" s="34"/>
    </row>
    <row r="338" spans="1:9" s="35" customFormat="1" ht="15.75" customHeight="1" x14ac:dyDescent="0.25">
      <c r="A338" s="65">
        <v>5</v>
      </c>
      <c r="B338" s="66"/>
      <c r="C338" s="40" t="s">
        <v>204</v>
      </c>
      <c r="D338" s="40">
        <f t="shared" si="15"/>
        <v>524.01842999999997</v>
      </c>
      <c r="E338" s="40">
        <v>0</v>
      </c>
      <c r="F338" s="40">
        <f t="shared" si="14"/>
        <v>786.02764499999989</v>
      </c>
      <c r="G338" s="69"/>
      <c r="H338" s="70"/>
      <c r="I338" s="34"/>
    </row>
    <row r="339" spans="1:9" s="35" customFormat="1" ht="15.75" customHeight="1" x14ac:dyDescent="0.25">
      <c r="A339" s="65">
        <v>6</v>
      </c>
      <c r="B339" s="66"/>
      <c r="C339" s="40" t="s">
        <v>204</v>
      </c>
      <c r="D339" s="40">
        <f t="shared" si="15"/>
        <v>524.01842999999997</v>
      </c>
      <c r="E339" s="40">
        <v>0</v>
      </c>
      <c r="F339" s="40">
        <f t="shared" si="14"/>
        <v>786.02764499999989</v>
      </c>
      <c r="G339" s="69"/>
      <c r="H339" s="70"/>
      <c r="I339" s="34"/>
    </row>
    <row r="340" spans="1:9" s="35" customFormat="1" ht="15.75" customHeight="1" x14ac:dyDescent="0.25">
      <c r="A340" s="65">
        <v>7</v>
      </c>
      <c r="B340" s="66"/>
      <c r="C340" s="40" t="s">
        <v>204</v>
      </c>
      <c r="D340" s="40">
        <f t="shared" si="15"/>
        <v>524.01842999999997</v>
      </c>
      <c r="E340" s="40">
        <v>0</v>
      </c>
      <c r="F340" s="40">
        <f t="shared" si="14"/>
        <v>786.02764499999989</v>
      </c>
      <c r="G340" s="69"/>
      <c r="H340" s="70"/>
      <c r="I340" s="34"/>
    </row>
    <row r="341" spans="1:9" s="35" customFormat="1" ht="15.75" customHeight="1" x14ac:dyDescent="0.25">
      <c r="A341" s="65">
        <v>8</v>
      </c>
      <c r="B341" s="66"/>
      <c r="C341" s="40" t="s">
        <v>204</v>
      </c>
      <c r="D341" s="40">
        <f t="shared" si="15"/>
        <v>524.01842999999997</v>
      </c>
      <c r="E341" s="40">
        <v>0</v>
      </c>
      <c r="F341" s="40">
        <f t="shared" si="14"/>
        <v>786.02764499999989</v>
      </c>
      <c r="G341" s="69"/>
      <c r="H341" s="70"/>
      <c r="I341" s="34"/>
    </row>
    <row r="342" spans="1:9" s="35" customFormat="1" ht="15.75" customHeight="1" x14ac:dyDescent="0.25">
      <c r="A342" s="65">
        <v>9</v>
      </c>
      <c r="B342" s="66"/>
      <c r="C342" s="40" t="s">
        <v>204</v>
      </c>
      <c r="D342" s="40">
        <f t="shared" si="15"/>
        <v>524.01842999999997</v>
      </c>
      <c r="E342" s="40">
        <v>0</v>
      </c>
      <c r="F342" s="40">
        <f t="shared" si="14"/>
        <v>786.02764499999989</v>
      </c>
      <c r="G342" s="69"/>
      <c r="H342" s="70"/>
      <c r="I342" s="34"/>
    </row>
    <row r="343" spans="1:9" s="35" customFormat="1" ht="15.75" customHeight="1" x14ac:dyDescent="0.25">
      <c r="A343" s="65">
        <v>10</v>
      </c>
      <c r="B343" s="66"/>
      <c r="C343" s="40" t="s">
        <v>204</v>
      </c>
      <c r="D343" s="40">
        <f t="shared" si="15"/>
        <v>524.01842999999997</v>
      </c>
      <c r="E343" s="40">
        <v>0</v>
      </c>
      <c r="F343" s="40">
        <f t="shared" si="14"/>
        <v>786.02764499999989</v>
      </c>
      <c r="G343" s="69"/>
      <c r="H343" s="70"/>
      <c r="I343" s="34"/>
    </row>
    <row r="344" spans="1:9" s="35" customFormat="1" ht="15.75" customHeight="1" x14ac:dyDescent="0.25">
      <c r="A344" s="65">
        <v>11</v>
      </c>
      <c r="B344" s="66"/>
      <c r="C344" s="40" t="s">
        <v>209</v>
      </c>
      <c r="D344" s="40">
        <f>(34.58+(0.75*6.3))*(10.764)</f>
        <v>423.07901999999996</v>
      </c>
      <c r="E344" s="40">
        <v>0</v>
      </c>
      <c r="F344" s="40">
        <f t="shared" si="14"/>
        <v>634.61852999999996</v>
      </c>
      <c r="G344" s="69"/>
      <c r="H344" s="70"/>
      <c r="I344" s="34"/>
    </row>
    <row r="345" spans="1:9" s="35" customFormat="1" ht="15.75" customHeight="1" x14ac:dyDescent="0.25">
      <c r="A345" s="65">
        <v>12</v>
      </c>
      <c r="B345" s="66"/>
      <c r="C345" s="40" t="s">
        <v>209</v>
      </c>
      <c r="D345" s="40">
        <f>(34.58+(0.75*6.3))*(10.764)</f>
        <v>423.07901999999996</v>
      </c>
      <c r="E345" s="40">
        <v>0</v>
      </c>
      <c r="F345" s="40">
        <f t="shared" si="14"/>
        <v>634.61852999999996</v>
      </c>
      <c r="G345" s="69"/>
      <c r="H345" s="70"/>
      <c r="I345" s="34"/>
    </row>
    <row r="346" spans="1:9" s="35" customFormat="1" x14ac:dyDescent="0.25">
      <c r="A346" s="65">
        <v>13</v>
      </c>
      <c r="B346" s="66"/>
      <c r="C346" s="40" t="s">
        <v>209</v>
      </c>
      <c r="D346" s="40">
        <f>(34.58+(0.75*6.3))*(10.764)</f>
        <v>423.07901999999996</v>
      </c>
      <c r="E346" s="40">
        <v>0</v>
      </c>
      <c r="F346" s="40">
        <f t="shared" si="14"/>
        <v>634.61852999999996</v>
      </c>
      <c r="G346" s="69"/>
      <c r="H346" s="70"/>
      <c r="I346" s="34"/>
    </row>
    <row r="347" spans="1:9" s="35" customFormat="1" ht="15.75" customHeight="1" x14ac:dyDescent="0.25">
      <c r="A347" s="65">
        <v>14</v>
      </c>
      <c r="B347" s="66"/>
      <c r="C347" s="40" t="s">
        <v>209</v>
      </c>
      <c r="D347" s="40">
        <f>(34.58+(0.75*6.3))*(10.764)</f>
        <v>423.07901999999996</v>
      </c>
      <c r="E347" s="40">
        <v>0</v>
      </c>
      <c r="F347" s="40">
        <f t="shared" si="14"/>
        <v>634.61852999999996</v>
      </c>
      <c r="G347" s="69"/>
      <c r="H347" s="70"/>
      <c r="I347" s="34"/>
    </row>
    <row r="348" spans="1:9" s="35" customFormat="1" ht="15.75" customHeight="1" x14ac:dyDescent="0.25">
      <c r="A348" s="65">
        <v>15</v>
      </c>
      <c r="B348" s="66"/>
      <c r="C348" s="40" t="s">
        <v>204</v>
      </c>
      <c r="D348" s="40">
        <f>(42.98+(0.75*(2.45+2.85)+1.2*1.85))*(10.764)</f>
        <v>529.3196999999999</v>
      </c>
      <c r="E348" s="40">
        <v>0</v>
      </c>
      <c r="F348" s="40">
        <f t="shared" si="14"/>
        <v>793.97954999999979</v>
      </c>
      <c r="G348" s="69"/>
      <c r="H348" s="70"/>
      <c r="I348" s="34"/>
    </row>
    <row r="349" spans="1:9" s="35" customFormat="1" ht="15.75" customHeight="1" x14ac:dyDescent="0.25">
      <c r="A349" s="65">
        <v>16</v>
      </c>
      <c r="B349" s="66"/>
      <c r="C349" s="40" t="s">
        <v>204</v>
      </c>
      <c r="D349" s="40">
        <f>(42.98+(0.75*(2.45+2.85)+1.2*1.85))*(10.764)</f>
        <v>529.3196999999999</v>
      </c>
      <c r="E349" s="40">
        <v>0</v>
      </c>
      <c r="F349" s="40">
        <f t="shared" si="14"/>
        <v>793.97954999999979</v>
      </c>
      <c r="G349" s="71"/>
      <c r="H349" s="72"/>
      <c r="I349" s="34"/>
    </row>
    <row r="350" spans="1:9" s="35" customFormat="1" ht="15.75" customHeight="1" x14ac:dyDescent="0.25">
      <c r="A350" s="75" t="s">
        <v>206</v>
      </c>
      <c r="B350" s="76"/>
      <c r="C350" s="76"/>
      <c r="D350" s="76"/>
      <c r="E350" s="76"/>
      <c r="F350" s="76"/>
      <c r="G350" s="76"/>
      <c r="H350" s="77"/>
      <c r="I350" s="34"/>
    </row>
    <row r="351" spans="1:9" s="35" customFormat="1" ht="15.75" customHeight="1" x14ac:dyDescent="0.25">
      <c r="A351" s="65">
        <v>1</v>
      </c>
      <c r="B351" s="66"/>
      <c r="C351" s="40" t="s">
        <v>204</v>
      </c>
      <c r="D351" s="40">
        <f>(42.98+(0.75*(2.45+2.85)+1.2*1.85))*(10.764)</f>
        <v>529.3196999999999</v>
      </c>
      <c r="E351" s="40">
        <v>0</v>
      </c>
      <c r="F351" s="40">
        <f t="shared" ref="F351:F365" si="16">D351*(($F$267)+1)+(IF(E351&lt;101,E351,IF(E351&lt;201,E351/2,IF(E351&lt;=301,E351/3,E351/4))))</f>
        <v>793.97954999999979</v>
      </c>
      <c r="G351" s="67" t="str">
        <f>A350</f>
        <v>8th, 13th &amp; 18th Floor (Part Refuge Area)</v>
      </c>
      <c r="H351" s="68"/>
      <c r="I351" s="34"/>
    </row>
    <row r="352" spans="1:9" s="35" customFormat="1" ht="15.75" customHeight="1" x14ac:dyDescent="0.25">
      <c r="A352" s="65">
        <v>2</v>
      </c>
      <c r="B352" s="66"/>
      <c r="C352" s="40" t="s">
        <v>204</v>
      </c>
      <c r="D352" s="40">
        <f>(42.98+(0.75*(2.45+2.85)+1.2*1.85))*(10.764)</f>
        <v>529.3196999999999</v>
      </c>
      <c r="E352" s="40">
        <v>0</v>
      </c>
      <c r="F352" s="40">
        <f t="shared" si="16"/>
        <v>793.97954999999979</v>
      </c>
      <c r="G352" s="69"/>
      <c r="H352" s="70"/>
      <c r="I352" s="34"/>
    </row>
    <row r="353" spans="1:9" s="35" customFormat="1" ht="15.75" customHeight="1" x14ac:dyDescent="0.25">
      <c r="A353" s="65">
        <v>3</v>
      </c>
      <c r="B353" s="66"/>
      <c r="C353" s="40" t="s">
        <v>204</v>
      </c>
      <c r="D353" s="40">
        <f t="shared" ref="D353:D360" si="17">(42.09+(0.75*(2.9+2.85)+1.2*1.9))*(10.764)</f>
        <v>524.01842999999997</v>
      </c>
      <c r="E353" s="40">
        <v>0</v>
      </c>
      <c r="F353" s="40">
        <f t="shared" si="16"/>
        <v>786.02764499999989</v>
      </c>
      <c r="G353" s="69"/>
      <c r="H353" s="70"/>
      <c r="I353" s="34"/>
    </row>
    <row r="354" spans="1:9" s="35" customFormat="1" ht="15.75" customHeight="1" x14ac:dyDescent="0.25">
      <c r="A354" s="65">
        <v>4</v>
      </c>
      <c r="B354" s="66"/>
      <c r="C354" s="40" t="s">
        <v>204</v>
      </c>
      <c r="D354" s="40">
        <f t="shared" si="17"/>
        <v>524.01842999999997</v>
      </c>
      <c r="E354" s="40">
        <v>0</v>
      </c>
      <c r="F354" s="40">
        <f t="shared" si="16"/>
        <v>786.02764499999989</v>
      </c>
      <c r="G354" s="69"/>
      <c r="H354" s="70"/>
      <c r="I354" s="34"/>
    </row>
    <row r="355" spans="1:9" s="35" customFormat="1" ht="15.75" customHeight="1" x14ac:dyDescent="0.25">
      <c r="A355" s="65">
        <v>5</v>
      </c>
      <c r="B355" s="66"/>
      <c r="C355" s="40" t="s">
        <v>204</v>
      </c>
      <c r="D355" s="40">
        <f t="shared" si="17"/>
        <v>524.01842999999997</v>
      </c>
      <c r="E355" s="40">
        <v>0</v>
      </c>
      <c r="F355" s="40">
        <f t="shared" si="16"/>
        <v>786.02764499999989</v>
      </c>
      <c r="G355" s="69"/>
      <c r="H355" s="70"/>
      <c r="I355" s="34"/>
    </row>
    <row r="356" spans="1:9" s="35" customFormat="1" ht="15.75" customHeight="1" x14ac:dyDescent="0.25">
      <c r="A356" s="65">
        <v>6</v>
      </c>
      <c r="B356" s="66"/>
      <c r="C356" s="40" t="s">
        <v>204</v>
      </c>
      <c r="D356" s="40">
        <f t="shared" si="17"/>
        <v>524.01842999999997</v>
      </c>
      <c r="E356" s="40">
        <v>0</v>
      </c>
      <c r="F356" s="40">
        <f t="shared" si="16"/>
        <v>786.02764499999989</v>
      </c>
      <c r="G356" s="69"/>
      <c r="H356" s="70"/>
      <c r="I356" s="34"/>
    </row>
    <row r="357" spans="1:9" s="35" customFormat="1" ht="15.75" customHeight="1" x14ac:dyDescent="0.25">
      <c r="A357" s="65">
        <v>7</v>
      </c>
      <c r="B357" s="66"/>
      <c r="C357" s="40" t="s">
        <v>204</v>
      </c>
      <c r="D357" s="40">
        <f t="shared" si="17"/>
        <v>524.01842999999997</v>
      </c>
      <c r="E357" s="40">
        <v>0</v>
      </c>
      <c r="F357" s="40">
        <f t="shared" si="16"/>
        <v>786.02764499999989</v>
      </c>
      <c r="G357" s="69"/>
      <c r="H357" s="70"/>
      <c r="I357" s="34"/>
    </row>
    <row r="358" spans="1:9" s="35" customFormat="1" ht="15.75" customHeight="1" x14ac:dyDescent="0.25">
      <c r="A358" s="65">
        <v>8</v>
      </c>
      <c r="B358" s="66"/>
      <c r="C358" s="40" t="s">
        <v>204</v>
      </c>
      <c r="D358" s="40">
        <f t="shared" si="17"/>
        <v>524.01842999999997</v>
      </c>
      <c r="E358" s="40">
        <v>0</v>
      </c>
      <c r="F358" s="40">
        <f t="shared" si="16"/>
        <v>786.02764499999989</v>
      </c>
      <c r="G358" s="69"/>
      <c r="H358" s="70"/>
      <c r="I358" s="34"/>
    </row>
    <row r="359" spans="1:9" s="35" customFormat="1" ht="15.75" customHeight="1" x14ac:dyDescent="0.25">
      <c r="A359" s="65">
        <v>9</v>
      </c>
      <c r="B359" s="66"/>
      <c r="C359" s="40" t="s">
        <v>204</v>
      </c>
      <c r="D359" s="40">
        <f t="shared" si="17"/>
        <v>524.01842999999997</v>
      </c>
      <c r="E359" s="40">
        <v>0</v>
      </c>
      <c r="F359" s="40">
        <f t="shared" si="16"/>
        <v>786.02764499999989</v>
      </c>
      <c r="G359" s="69"/>
      <c r="H359" s="70"/>
      <c r="I359" s="34"/>
    </row>
    <row r="360" spans="1:9" s="35" customFormat="1" ht="15.75" customHeight="1" x14ac:dyDescent="0.25">
      <c r="A360" s="65">
        <v>10</v>
      </c>
      <c r="B360" s="66"/>
      <c r="C360" s="40" t="s">
        <v>204</v>
      </c>
      <c r="D360" s="40">
        <f t="shared" si="17"/>
        <v>524.01842999999997</v>
      </c>
      <c r="E360" s="40">
        <v>0</v>
      </c>
      <c r="F360" s="40">
        <f t="shared" si="16"/>
        <v>786.02764499999989</v>
      </c>
      <c r="G360" s="69"/>
      <c r="H360" s="70"/>
      <c r="I360" s="34"/>
    </row>
    <row r="361" spans="1:9" s="35" customFormat="1" ht="15.75" customHeight="1" x14ac:dyDescent="0.25">
      <c r="A361" s="65">
        <v>11</v>
      </c>
      <c r="B361" s="66"/>
      <c r="C361" s="40" t="s">
        <v>209</v>
      </c>
      <c r="D361" s="40">
        <f>(34.58+(0.75*6.3))*(10.764)</f>
        <v>423.07901999999996</v>
      </c>
      <c r="E361" s="40">
        <v>0</v>
      </c>
      <c r="F361" s="40">
        <f t="shared" si="16"/>
        <v>634.61852999999996</v>
      </c>
      <c r="G361" s="69"/>
      <c r="H361" s="70"/>
      <c r="I361" s="34"/>
    </row>
    <row r="362" spans="1:9" s="35" customFormat="1" ht="15.75" customHeight="1" x14ac:dyDescent="0.25">
      <c r="A362" s="65">
        <v>12</v>
      </c>
      <c r="B362" s="66"/>
      <c r="C362" s="40" t="s">
        <v>209</v>
      </c>
      <c r="D362" s="40">
        <f>(34.58+(0.75*6.3))*(10.764)</f>
        <v>423.07901999999996</v>
      </c>
      <c r="E362" s="40">
        <v>0</v>
      </c>
      <c r="F362" s="40">
        <f t="shared" si="16"/>
        <v>634.61852999999996</v>
      </c>
      <c r="G362" s="69"/>
      <c r="H362" s="70"/>
      <c r="I362" s="34"/>
    </row>
    <row r="363" spans="1:9" s="35" customFormat="1" x14ac:dyDescent="0.25">
      <c r="A363" s="65">
        <v>13</v>
      </c>
      <c r="B363" s="66"/>
      <c r="C363" s="40" t="s">
        <v>209</v>
      </c>
      <c r="D363" s="40">
        <f>(34.58+(0.75*6.3))*(10.764)</f>
        <v>423.07901999999996</v>
      </c>
      <c r="E363" s="40">
        <v>0</v>
      </c>
      <c r="F363" s="40">
        <f t="shared" si="16"/>
        <v>634.61852999999996</v>
      </c>
      <c r="G363" s="69"/>
      <c r="H363" s="70"/>
      <c r="I363" s="34"/>
    </row>
    <row r="364" spans="1:9" s="35" customFormat="1" x14ac:dyDescent="0.25">
      <c r="A364" s="65">
        <v>14</v>
      </c>
      <c r="B364" s="66"/>
      <c r="C364" s="40" t="s">
        <v>209</v>
      </c>
      <c r="D364" s="40">
        <f>(34.58+(0.75*6.3))*(10.764)</f>
        <v>423.07901999999996</v>
      </c>
      <c r="E364" s="40">
        <v>0</v>
      </c>
      <c r="F364" s="40">
        <f t="shared" si="16"/>
        <v>634.61852999999996</v>
      </c>
      <c r="G364" s="69"/>
      <c r="H364" s="70"/>
      <c r="I364" s="34"/>
    </row>
    <row r="365" spans="1:9" s="35" customFormat="1" x14ac:dyDescent="0.25">
      <c r="A365" s="65">
        <v>15</v>
      </c>
      <c r="B365" s="66"/>
      <c r="C365" s="40" t="s">
        <v>204</v>
      </c>
      <c r="D365" s="40">
        <f>(42.98+(0.75*(2.45+2.85)+1.2*1.85))*(10.764)</f>
        <v>529.3196999999999</v>
      </c>
      <c r="E365" s="40">
        <v>0</v>
      </c>
      <c r="F365" s="40">
        <f t="shared" si="16"/>
        <v>793.97954999999979</v>
      </c>
      <c r="G365" s="69"/>
      <c r="H365" s="70"/>
      <c r="I365" s="34"/>
    </row>
    <row r="366" spans="1:9" s="35" customFormat="1" ht="15.75" customHeight="1" x14ac:dyDescent="0.25">
      <c r="A366" s="65">
        <v>16</v>
      </c>
      <c r="B366" s="66"/>
      <c r="C366" s="65" t="s">
        <v>207</v>
      </c>
      <c r="D366" s="127"/>
      <c r="E366" s="127"/>
      <c r="F366" s="66"/>
      <c r="G366" s="71"/>
      <c r="H366" s="72"/>
      <c r="I366" s="34"/>
    </row>
    <row r="367" spans="1:9" s="35" customFormat="1" ht="15.75" customHeight="1" x14ac:dyDescent="0.25">
      <c r="A367" s="75" t="s">
        <v>211</v>
      </c>
      <c r="B367" s="76"/>
      <c r="C367" s="76"/>
      <c r="D367" s="76"/>
      <c r="E367" s="76"/>
      <c r="F367" s="76"/>
      <c r="G367" s="76"/>
      <c r="H367" s="77"/>
      <c r="I367" s="34"/>
    </row>
    <row r="368" spans="1:9" s="35" customFormat="1" ht="15.75" customHeight="1" x14ac:dyDescent="0.25">
      <c r="A368" s="75" t="s">
        <v>202</v>
      </c>
      <c r="B368" s="76"/>
      <c r="C368" s="76"/>
      <c r="D368" s="76"/>
      <c r="E368" s="76"/>
      <c r="F368" s="76"/>
      <c r="G368" s="76"/>
      <c r="H368" s="77"/>
      <c r="I368" s="34"/>
    </row>
    <row r="369" spans="1:9" s="35" customFormat="1" x14ac:dyDescent="0.25">
      <c r="A369" s="75" t="s">
        <v>212</v>
      </c>
      <c r="B369" s="76"/>
      <c r="C369" s="76"/>
      <c r="D369" s="76"/>
      <c r="E369" s="76"/>
      <c r="F369" s="76"/>
      <c r="G369" s="76"/>
      <c r="H369" s="77"/>
      <c r="I369" s="34"/>
    </row>
    <row r="370" spans="1:9" s="35" customFormat="1" ht="15.75" customHeight="1" x14ac:dyDescent="0.25">
      <c r="A370" s="65">
        <v>9</v>
      </c>
      <c r="B370" s="66"/>
      <c r="C370" s="40" t="s">
        <v>209</v>
      </c>
      <c r="D370" s="40">
        <f>29.97*10.764</f>
        <v>322.59707999999995</v>
      </c>
      <c r="E370" s="40">
        <v>0</v>
      </c>
      <c r="F370" s="40">
        <f>D370*(($F$267)+1)+(IF(E370&lt;101,E370,IF(E370&lt;201,E370/2,IF(E370&lt;=301,E370/3,E370/4))))</f>
        <v>483.89561999999989</v>
      </c>
      <c r="G370" s="67" t="str">
        <f>A369</f>
        <v>Ground Floor For Entrance Lobby, Society Office, Electric Meter Room, Driver Room,  Parking &amp; Residential</v>
      </c>
      <c r="H370" s="68"/>
      <c r="I370" s="34"/>
    </row>
    <row r="371" spans="1:9" s="35" customFormat="1" ht="15.75" customHeight="1" x14ac:dyDescent="0.25">
      <c r="A371" s="65">
        <v>18</v>
      </c>
      <c r="B371" s="66"/>
      <c r="C371" s="65" t="s">
        <v>213</v>
      </c>
      <c r="D371" s="127"/>
      <c r="E371" s="127"/>
      <c r="F371" s="66"/>
      <c r="G371" s="69"/>
      <c r="H371" s="70"/>
      <c r="I371" s="34"/>
    </row>
    <row r="372" spans="1:9" s="35" customFormat="1" ht="15.75" customHeight="1" x14ac:dyDescent="0.25">
      <c r="A372" s="65">
        <v>19</v>
      </c>
      <c r="B372" s="66"/>
      <c r="C372" s="65" t="s">
        <v>214</v>
      </c>
      <c r="D372" s="127"/>
      <c r="E372" s="127"/>
      <c r="F372" s="66"/>
      <c r="G372" s="71"/>
      <c r="H372" s="72"/>
      <c r="I372" s="34"/>
    </row>
    <row r="373" spans="1:9" s="35" customFormat="1" ht="15.75" customHeight="1" x14ac:dyDescent="0.25">
      <c r="A373" s="75" t="s">
        <v>203</v>
      </c>
      <c r="B373" s="76"/>
      <c r="C373" s="76"/>
      <c r="D373" s="76"/>
      <c r="E373" s="76"/>
      <c r="F373" s="76"/>
      <c r="G373" s="76"/>
      <c r="H373" s="77"/>
      <c r="I373" s="34"/>
    </row>
    <row r="374" spans="1:9" s="35" customFormat="1" ht="15.75" customHeight="1" x14ac:dyDescent="0.25">
      <c r="A374" s="65">
        <v>1</v>
      </c>
      <c r="B374" s="66"/>
      <c r="C374" s="40" t="s">
        <v>209</v>
      </c>
      <c r="D374" s="40">
        <f>(29.98+(0.75*3.95))*10.764</f>
        <v>354.59307000000001</v>
      </c>
      <c r="E374" s="40">
        <f>(1.8+1.2)*2.15*10.764</f>
        <v>69.427799999999991</v>
      </c>
      <c r="F374" s="40">
        <f t="shared" ref="F374:F392" si="18">D374*(($F$267)+1)+(IF(E374&lt;101,E374,IF(E374&lt;201,E374/2,IF(E374&lt;=301,E374/3,E374/4))))</f>
        <v>601.31740500000001</v>
      </c>
      <c r="G374" s="67" t="str">
        <f>A373</f>
        <v>1st Floor For Residential</v>
      </c>
      <c r="H374" s="68"/>
      <c r="I374" s="34"/>
    </row>
    <row r="375" spans="1:9" s="35" customFormat="1" ht="15.75" customHeight="1" x14ac:dyDescent="0.25">
      <c r="A375" s="65">
        <v>2</v>
      </c>
      <c r="B375" s="66"/>
      <c r="C375" s="40" t="s">
        <v>209</v>
      </c>
      <c r="D375" s="40">
        <f t="shared" ref="D375:D392" si="19">(29.98+(0.75*3.95))*10.764</f>
        <v>354.59307000000001</v>
      </c>
      <c r="E375" s="40">
        <f t="shared" ref="E375:E376" si="20">(1.8+1.2)*2.15*10.764</f>
        <v>69.427799999999991</v>
      </c>
      <c r="F375" s="40">
        <f t="shared" si="18"/>
        <v>601.31740500000001</v>
      </c>
      <c r="G375" s="69"/>
      <c r="H375" s="70"/>
      <c r="I375" s="34"/>
    </row>
    <row r="376" spans="1:9" s="35" customFormat="1" ht="15.75" customHeight="1" x14ac:dyDescent="0.25">
      <c r="A376" s="65">
        <v>3</v>
      </c>
      <c r="B376" s="66"/>
      <c r="C376" s="40" t="s">
        <v>209</v>
      </c>
      <c r="D376" s="40">
        <f t="shared" si="19"/>
        <v>354.59307000000001</v>
      </c>
      <c r="E376" s="40">
        <f t="shared" si="20"/>
        <v>69.427799999999991</v>
      </c>
      <c r="F376" s="40">
        <f t="shared" si="18"/>
        <v>601.31740500000001</v>
      </c>
      <c r="G376" s="69"/>
      <c r="H376" s="70"/>
      <c r="I376" s="34"/>
    </row>
    <row r="377" spans="1:9" s="35" customFormat="1" ht="15.75" customHeight="1" x14ac:dyDescent="0.25">
      <c r="A377" s="65">
        <v>4</v>
      </c>
      <c r="B377" s="66"/>
      <c r="C377" s="40" t="s">
        <v>209</v>
      </c>
      <c r="D377" s="40">
        <f t="shared" si="19"/>
        <v>354.59307000000001</v>
      </c>
      <c r="E377" s="40">
        <f>(1.8+1.2)*2.15*10.764</f>
        <v>69.427799999999991</v>
      </c>
      <c r="F377" s="40">
        <f t="shared" si="18"/>
        <v>601.31740500000001</v>
      </c>
      <c r="G377" s="69"/>
      <c r="H377" s="70"/>
      <c r="I377" s="34"/>
    </row>
    <row r="378" spans="1:9" s="35" customFormat="1" ht="15.75" customHeight="1" x14ac:dyDescent="0.25">
      <c r="A378" s="65">
        <v>5</v>
      </c>
      <c r="B378" s="66"/>
      <c r="C378" s="40" t="s">
        <v>209</v>
      </c>
      <c r="D378" s="40">
        <f t="shared" si="19"/>
        <v>354.59307000000001</v>
      </c>
      <c r="E378" s="40">
        <f>(2.6+1.2)*2.15*10.764</f>
        <v>87.941879999999998</v>
      </c>
      <c r="F378" s="40">
        <f t="shared" si="18"/>
        <v>619.83148500000004</v>
      </c>
      <c r="G378" s="69"/>
      <c r="H378" s="70"/>
      <c r="I378" s="34"/>
    </row>
    <row r="379" spans="1:9" s="35" customFormat="1" ht="15.75" customHeight="1" x14ac:dyDescent="0.25">
      <c r="A379" s="65">
        <v>6</v>
      </c>
      <c r="B379" s="66"/>
      <c r="C379" s="40" t="s">
        <v>209</v>
      </c>
      <c r="D379" s="40">
        <f t="shared" si="19"/>
        <v>354.59307000000001</v>
      </c>
      <c r="E379" s="40">
        <f>(2.6+1.2)*2.15*10.764</f>
        <v>87.941879999999998</v>
      </c>
      <c r="F379" s="40">
        <f t="shared" si="18"/>
        <v>619.83148500000004</v>
      </c>
      <c r="G379" s="69"/>
      <c r="H379" s="70"/>
      <c r="I379" s="34"/>
    </row>
    <row r="380" spans="1:9" s="35" customFormat="1" ht="15.75" customHeight="1" x14ac:dyDescent="0.25">
      <c r="A380" s="65">
        <v>7</v>
      </c>
      <c r="B380" s="66"/>
      <c r="C380" s="40" t="s">
        <v>209</v>
      </c>
      <c r="D380" s="40">
        <f t="shared" si="19"/>
        <v>354.59307000000001</v>
      </c>
      <c r="E380" s="40">
        <f>(2.6+1.2)*2.15*10.764</f>
        <v>87.941879999999998</v>
      </c>
      <c r="F380" s="40">
        <f t="shared" si="18"/>
        <v>619.83148500000004</v>
      </c>
      <c r="G380" s="69"/>
      <c r="H380" s="70"/>
      <c r="I380" s="34"/>
    </row>
    <row r="381" spans="1:9" s="35" customFormat="1" ht="15.75" customHeight="1" x14ac:dyDescent="0.25">
      <c r="A381" s="65">
        <v>8</v>
      </c>
      <c r="B381" s="66"/>
      <c r="C381" s="40" t="s">
        <v>209</v>
      </c>
      <c r="D381" s="40">
        <f t="shared" si="19"/>
        <v>354.59307000000001</v>
      </c>
      <c r="E381" s="40">
        <f>(2.6+1.2)*2.15*10.764</f>
        <v>87.941879999999998</v>
      </c>
      <c r="F381" s="40">
        <f t="shared" si="18"/>
        <v>619.83148500000004</v>
      </c>
      <c r="G381" s="69"/>
      <c r="H381" s="70"/>
      <c r="I381" s="34"/>
    </row>
    <row r="382" spans="1:9" s="35" customFormat="1" ht="15.75" customHeight="1" x14ac:dyDescent="0.25">
      <c r="A382" s="65">
        <v>9</v>
      </c>
      <c r="B382" s="66"/>
      <c r="C382" s="40" t="s">
        <v>209</v>
      </c>
      <c r="D382" s="40">
        <f t="shared" si="19"/>
        <v>354.59307000000001</v>
      </c>
      <c r="E382" s="40">
        <f>(1.8+1.2)*2.15*10.764</f>
        <v>69.427799999999991</v>
      </c>
      <c r="F382" s="40">
        <f t="shared" si="18"/>
        <v>601.31740500000001</v>
      </c>
      <c r="G382" s="69"/>
      <c r="H382" s="70"/>
      <c r="I382" s="34"/>
    </row>
    <row r="383" spans="1:9" s="35" customFormat="1" ht="15.75" customHeight="1" x14ac:dyDescent="0.25">
      <c r="A383" s="65">
        <v>10</v>
      </c>
      <c r="B383" s="66"/>
      <c r="C383" s="40" t="s">
        <v>209</v>
      </c>
      <c r="D383" s="40">
        <f t="shared" si="19"/>
        <v>354.59307000000001</v>
      </c>
      <c r="E383" s="40">
        <f t="shared" ref="E383:E388" si="21">(1.8+1.2)*2.15*10.764</f>
        <v>69.427799999999991</v>
      </c>
      <c r="F383" s="40">
        <f t="shared" si="18"/>
        <v>601.31740500000001</v>
      </c>
      <c r="G383" s="69"/>
      <c r="H383" s="70"/>
      <c r="I383" s="34"/>
    </row>
    <row r="384" spans="1:9" s="35" customFormat="1" ht="15.75" customHeight="1" x14ac:dyDescent="0.25">
      <c r="A384" s="65">
        <v>11</v>
      </c>
      <c r="B384" s="66"/>
      <c r="C384" s="40" t="s">
        <v>209</v>
      </c>
      <c r="D384" s="40">
        <f t="shared" si="19"/>
        <v>354.59307000000001</v>
      </c>
      <c r="E384" s="40">
        <f t="shared" si="21"/>
        <v>69.427799999999991</v>
      </c>
      <c r="F384" s="40">
        <f t="shared" si="18"/>
        <v>601.31740500000001</v>
      </c>
      <c r="G384" s="69"/>
      <c r="H384" s="70"/>
      <c r="I384" s="34"/>
    </row>
    <row r="385" spans="1:9" s="35" customFormat="1" ht="15.75" customHeight="1" x14ac:dyDescent="0.25">
      <c r="A385" s="65">
        <v>12</v>
      </c>
      <c r="B385" s="66"/>
      <c r="C385" s="40" t="s">
        <v>209</v>
      </c>
      <c r="D385" s="40">
        <f t="shared" si="19"/>
        <v>354.59307000000001</v>
      </c>
      <c r="E385" s="40">
        <f t="shared" si="21"/>
        <v>69.427799999999991</v>
      </c>
      <c r="F385" s="40">
        <f t="shared" si="18"/>
        <v>601.31740500000001</v>
      </c>
      <c r="G385" s="69"/>
      <c r="H385" s="70"/>
      <c r="I385" s="34"/>
    </row>
    <row r="386" spans="1:9" s="35" customFormat="1" ht="15.75" customHeight="1" x14ac:dyDescent="0.25">
      <c r="A386" s="65">
        <v>13</v>
      </c>
      <c r="B386" s="66"/>
      <c r="C386" s="40" t="s">
        <v>209</v>
      </c>
      <c r="D386" s="40">
        <f t="shared" si="19"/>
        <v>354.59307000000001</v>
      </c>
      <c r="E386" s="40">
        <f t="shared" si="21"/>
        <v>69.427799999999991</v>
      </c>
      <c r="F386" s="40">
        <f t="shared" si="18"/>
        <v>601.31740500000001</v>
      </c>
      <c r="G386" s="69"/>
      <c r="H386" s="70"/>
      <c r="I386" s="34"/>
    </row>
    <row r="387" spans="1:9" s="35" customFormat="1" ht="15.75" customHeight="1" x14ac:dyDescent="0.25">
      <c r="A387" s="65">
        <v>14</v>
      </c>
      <c r="B387" s="66"/>
      <c r="C387" s="40" t="s">
        <v>209</v>
      </c>
      <c r="D387" s="40">
        <f t="shared" si="19"/>
        <v>354.59307000000001</v>
      </c>
      <c r="E387" s="40">
        <f t="shared" si="21"/>
        <v>69.427799999999991</v>
      </c>
      <c r="F387" s="40">
        <f t="shared" si="18"/>
        <v>601.31740500000001</v>
      </c>
      <c r="G387" s="69"/>
      <c r="H387" s="70"/>
      <c r="I387" s="34"/>
    </row>
    <row r="388" spans="1:9" s="35" customFormat="1" ht="15.75" customHeight="1" x14ac:dyDescent="0.25">
      <c r="A388" s="65">
        <v>15</v>
      </c>
      <c r="B388" s="66"/>
      <c r="C388" s="40" t="s">
        <v>209</v>
      </c>
      <c r="D388" s="40">
        <f t="shared" si="19"/>
        <v>354.59307000000001</v>
      </c>
      <c r="E388" s="40">
        <f t="shared" si="21"/>
        <v>69.427799999999991</v>
      </c>
      <c r="F388" s="40">
        <f t="shared" si="18"/>
        <v>601.31740500000001</v>
      </c>
      <c r="G388" s="69"/>
      <c r="H388" s="70"/>
      <c r="I388" s="34"/>
    </row>
    <row r="389" spans="1:9" s="35" customFormat="1" x14ac:dyDescent="0.25">
      <c r="A389" s="65">
        <v>16</v>
      </c>
      <c r="B389" s="66"/>
      <c r="C389" s="40" t="s">
        <v>209</v>
      </c>
      <c r="D389" s="40">
        <f t="shared" si="19"/>
        <v>354.59307000000001</v>
      </c>
      <c r="E389" s="40">
        <f>(2.6+1.2)*2.15*10.764</f>
        <v>87.941879999999998</v>
      </c>
      <c r="F389" s="40">
        <f t="shared" si="18"/>
        <v>619.83148500000004</v>
      </c>
      <c r="G389" s="69"/>
      <c r="H389" s="70"/>
      <c r="I389" s="34"/>
    </row>
    <row r="390" spans="1:9" s="35" customFormat="1" ht="15.75" customHeight="1" x14ac:dyDescent="0.25">
      <c r="A390" s="65">
        <v>17</v>
      </c>
      <c r="B390" s="66"/>
      <c r="C390" s="40" t="s">
        <v>209</v>
      </c>
      <c r="D390" s="40">
        <f t="shared" si="19"/>
        <v>354.59307000000001</v>
      </c>
      <c r="E390" s="40">
        <f>(2.6+1.2)*2.15*10.764</f>
        <v>87.941879999999998</v>
      </c>
      <c r="F390" s="40">
        <f t="shared" si="18"/>
        <v>619.83148500000004</v>
      </c>
      <c r="G390" s="69"/>
      <c r="H390" s="70"/>
      <c r="I390" s="34"/>
    </row>
    <row r="391" spans="1:9" s="35" customFormat="1" x14ac:dyDescent="0.25">
      <c r="A391" s="65">
        <v>18</v>
      </c>
      <c r="B391" s="66"/>
      <c r="C391" s="40" t="s">
        <v>209</v>
      </c>
      <c r="D391" s="40">
        <f t="shared" si="19"/>
        <v>354.59307000000001</v>
      </c>
      <c r="E391" s="40">
        <f t="shared" ref="E391" si="22">(1.8+1.2)*2.15*10.764</f>
        <v>69.427799999999991</v>
      </c>
      <c r="F391" s="40">
        <f t="shared" si="18"/>
        <v>601.31740500000001</v>
      </c>
      <c r="G391" s="69"/>
      <c r="H391" s="70"/>
      <c r="I391" s="34"/>
    </row>
    <row r="392" spans="1:9" s="35" customFormat="1" x14ac:dyDescent="0.25">
      <c r="A392" s="65">
        <v>19</v>
      </c>
      <c r="B392" s="66"/>
      <c r="C392" s="40" t="s">
        <v>209</v>
      </c>
      <c r="D392" s="40">
        <f t="shared" si="19"/>
        <v>354.59307000000001</v>
      </c>
      <c r="E392" s="40">
        <f>(((1.8+1.2)*2.15)+1.6*5.5)*10.764</f>
        <v>164.15099999999998</v>
      </c>
      <c r="F392" s="40">
        <f t="shared" si="18"/>
        <v>613.96510500000011</v>
      </c>
      <c r="G392" s="71"/>
      <c r="H392" s="72"/>
      <c r="I392" s="34"/>
    </row>
    <row r="393" spans="1:9" s="35" customFormat="1" x14ac:dyDescent="0.25">
      <c r="A393" s="75" t="s">
        <v>215</v>
      </c>
      <c r="B393" s="76"/>
      <c r="C393" s="76"/>
      <c r="D393" s="76"/>
      <c r="E393" s="76"/>
      <c r="F393" s="76"/>
      <c r="G393" s="76"/>
      <c r="H393" s="77"/>
      <c r="I393" s="34"/>
    </row>
    <row r="394" spans="1:9" s="35" customFormat="1" x14ac:dyDescent="0.25">
      <c r="A394" s="65">
        <v>1</v>
      </c>
      <c r="B394" s="66"/>
      <c r="C394" s="40" t="s">
        <v>209</v>
      </c>
      <c r="D394" s="40">
        <f>(29.97+(0.75*(3.95+1.4)+1.2*1.225))*10.764</f>
        <v>381.61070999999998</v>
      </c>
      <c r="E394" s="40">
        <v>0</v>
      </c>
      <c r="F394" s="40">
        <f t="shared" ref="F394:F412" si="23">D394*(($F$267)+1)+(IF(E394&lt;101,E394,IF(E394&lt;201,E394/2,IF(E394&lt;=301,E394/3,E394/4))))</f>
        <v>572.416065</v>
      </c>
      <c r="G394" s="67" t="str">
        <f>A393</f>
        <v>2nd to 8th, 10th to 13th, 15th to 18th &amp; 20th to 23rd Floor</v>
      </c>
      <c r="H394" s="68"/>
      <c r="I394" s="34"/>
    </row>
    <row r="395" spans="1:9" s="35" customFormat="1" x14ac:dyDescent="0.25">
      <c r="A395" s="65">
        <v>2</v>
      </c>
      <c r="B395" s="66"/>
      <c r="C395" s="40" t="s">
        <v>209</v>
      </c>
      <c r="D395" s="40">
        <f>(29.97+(0.75*(3.95+1.4)+1.2*1.225))*10.764</f>
        <v>381.61070999999998</v>
      </c>
      <c r="E395" s="40">
        <v>0</v>
      </c>
      <c r="F395" s="40">
        <f t="shared" si="23"/>
        <v>572.416065</v>
      </c>
      <c r="G395" s="69"/>
      <c r="H395" s="70"/>
      <c r="I395" s="34"/>
    </row>
    <row r="396" spans="1:9" s="35" customFormat="1" x14ac:dyDescent="0.25">
      <c r="A396" s="65">
        <v>3</v>
      </c>
      <c r="B396" s="66"/>
      <c r="C396" s="40" t="s">
        <v>209</v>
      </c>
      <c r="D396" s="40">
        <f>(29.97+(0.75*(3.95+1.4)+1.2*1.225))*10.764</f>
        <v>381.61070999999998</v>
      </c>
      <c r="E396" s="40">
        <v>0</v>
      </c>
      <c r="F396" s="40">
        <f t="shared" si="23"/>
        <v>572.416065</v>
      </c>
      <c r="G396" s="69"/>
      <c r="H396" s="70"/>
      <c r="I396" s="34"/>
    </row>
    <row r="397" spans="1:9" s="35" customFormat="1" x14ac:dyDescent="0.25">
      <c r="A397" s="65">
        <v>4</v>
      </c>
      <c r="B397" s="66"/>
      <c r="C397" s="40" t="s">
        <v>209</v>
      </c>
      <c r="D397" s="40">
        <f t="shared" ref="D397:D402" si="24">(29.97+(0.75*(3.95+1.6)+1.2*1.225))*10.764</f>
        <v>383.22530999999998</v>
      </c>
      <c r="E397" s="40">
        <v>0</v>
      </c>
      <c r="F397" s="40">
        <f t="shared" si="23"/>
        <v>574.83796499999994</v>
      </c>
      <c r="G397" s="69"/>
      <c r="H397" s="70"/>
      <c r="I397" s="34"/>
    </row>
    <row r="398" spans="1:9" s="35" customFormat="1" x14ac:dyDescent="0.25">
      <c r="A398" s="65">
        <v>5</v>
      </c>
      <c r="B398" s="66"/>
      <c r="C398" s="40" t="s">
        <v>209</v>
      </c>
      <c r="D398" s="40">
        <f t="shared" si="24"/>
        <v>383.22530999999998</v>
      </c>
      <c r="E398" s="40">
        <v>0</v>
      </c>
      <c r="F398" s="40">
        <f t="shared" si="23"/>
        <v>574.83796499999994</v>
      </c>
      <c r="G398" s="69"/>
      <c r="H398" s="70"/>
      <c r="I398" s="34"/>
    </row>
    <row r="399" spans="1:9" s="35" customFormat="1" x14ac:dyDescent="0.25">
      <c r="A399" s="65">
        <v>6</v>
      </c>
      <c r="B399" s="66"/>
      <c r="C399" s="40" t="s">
        <v>209</v>
      </c>
      <c r="D399" s="40">
        <f t="shared" si="24"/>
        <v>383.22530999999998</v>
      </c>
      <c r="E399" s="40">
        <v>0</v>
      </c>
      <c r="F399" s="40">
        <f t="shared" si="23"/>
        <v>574.83796499999994</v>
      </c>
      <c r="G399" s="69"/>
      <c r="H399" s="70"/>
      <c r="I399" s="34"/>
    </row>
    <row r="400" spans="1:9" s="35" customFormat="1" x14ac:dyDescent="0.25">
      <c r="A400" s="65">
        <v>7</v>
      </c>
      <c r="B400" s="66"/>
      <c r="C400" s="40" t="s">
        <v>209</v>
      </c>
      <c r="D400" s="40">
        <f t="shared" si="24"/>
        <v>383.22530999999998</v>
      </c>
      <c r="E400" s="40">
        <v>0</v>
      </c>
      <c r="F400" s="40">
        <f t="shared" si="23"/>
        <v>574.83796499999994</v>
      </c>
      <c r="G400" s="69"/>
      <c r="H400" s="70"/>
      <c r="I400" s="34"/>
    </row>
    <row r="401" spans="1:9" s="35" customFormat="1" x14ac:dyDescent="0.25">
      <c r="A401" s="65">
        <v>8</v>
      </c>
      <c r="B401" s="66"/>
      <c r="C401" s="40" t="s">
        <v>209</v>
      </c>
      <c r="D401" s="40">
        <f t="shared" si="24"/>
        <v>383.22530999999998</v>
      </c>
      <c r="E401" s="40">
        <v>0</v>
      </c>
      <c r="F401" s="40">
        <f t="shared" si="23"/>
        <v>574.83796499999994</v>
      </c>
      <c r="G401" s="69"/>
      <c r="H401" s="70"/>
      <c r="I401" s="34"/>
    </row>
    <row r="402" spans="1:9" s="35" customFormat="1" x14ac:dyDescent="0.25">
      <c r="A402" s="65">
        <v>9</v>
      </c>
      <c r="B402" s="66"/>
      <c r="C402" s="40" t="s">
        <v>209</v>
      </c>
      <c r="D402" s="40">
        <f t="shared" si="24"/>
        <v>383.22530999999998</v>
      </c>
      <c r="E402" s="40">
        <v>0</v>
      </c>
      <c r="F402" s="40">
        <f t="shared" si="23"/>
        <v>574.83796499999994</v>
      </c>
      <c r="G402" s="69"/>
      <c r="H402" s="70"/>
      <c r="I402" s="34"/>
    </row>
    <row r="403" spans="1:9" s="35" customFormat="1" x14ac:dyDescent="0.25">
      <c r="A403" s="65">
        <v>10</v>
      </c>
      <c r="B403" s="66"/>
      <c r="C403" s="40" t="s">
        <v>209</v>
      </c>
      <c r="D403" s="40">
        <f>(29.97+(0.75*(3.95+1.4)+1.2*1.225))*10.764</f>
        <v>381.61070999999998</v>
      </c>
      <c r="E403" s="40">
        <v>0</v>
      </c>
      <c r="F403" s="40">
        <f t="shared" si="23"/>
        <v>572.416065</v>
      </c>
      <c r="G403" s="69"/>
      <c r="H403" s="70"/>
      <c r="I403" s="34"/>
    </row>
    <row r="404" spans="1:9" s="35" customFormat="1" x14ac:dyDescent="0.25">
      <c r="A404" s="65">
        <v>11</v>
      </c>
      <c r="B404" s="66"/>
      <c r="C404" s="40" t="s">
        <v>209</v>
      </c>
      <c r="D404" s="40">
        <f>(29.97+(0.75*(3.95+1.4)+1.2*1.225))*10.764</f>
        <v>381.61070999999998</v>
      </c>
      <c r="E404" s="40">
        <v>0</v>
      </c>
      <c r="F404" s="40">
        <f t="shared" si="23"/>
        <v>572.416065</v>
      </c>
      <c r="G404" s="69"/>
      <c r="H404" s="70"/>
      <c r="I404" s="34"/>
    </row>
    <row r="405" spans="1:9" s="35" customFormat="1" x14ac:dyDescent="0.25">
      <c r="A405" s="65">
        <v>12</v>
      </c>
      <c r="B405" s="66"/>
      <c r="C405" s="40" t="s">
        <v>209</v>
      </c>
      <c r="D405" s="40">
        <f>(29.97+(0.75*(3.95+1.4)+1.2*1.225))*10.764</f>
        <v>381.61070999999998</v>
      </c>
      <c r="E405" s="40">
        <v>0</v>
      </c>
      <c r="F405" s="40">
        <f t="shared" si="23"/>
        <v>572.416065</v>
      </c>
      <c r="G405" s="69"/>
      <c r="H405" s="70"/>
      <c r="I405" s="34"/>
    </row>
    <row r="406" spans="1:9" s="35" customFormat="1" x14ac:dyDescent="0.25">
      <c r="A406" s="65">
        <v>13</v>
      </c>
      <c r="B406" s="66"/>
      <c r="C406" s="40" t="s">
        <v>209</v>
      </c>
      <c r="D406" s="40">
        <f>(29.97+(0.75*(3.95+1.4)+1.2*1.225))*10.764</f>
        <v>381.61070999999998</v>
      </c>
      <c r="E406" s="40">
        <v>0</v>
      </c>
      <c r="F406" s="40">
        <f t="shared" si="23"/>
        <v>572.416065</v>
      </c>
      <c r="G406" s="69"/>
      <c r="H406" s="70"/>
      <c r="I406" s="34"/>
    </row>
    <row r="407" spans="1:9" s="35" customFormat="1" x14ac:dyDescent="0.25">
      <c r="A407" s="65">
        <v>14</v>
      </c>
      <c r="B407" s="66"/>
      <c r="C407" s="40" t="s">
        <v>209</v>
      </c>
      <c r="D407" s="40">
        <f>(29.97+(0.75*(3.95+1.6)+1.2*1.225))*10.764</f>
        <v>383.22530999999998</v>
      </c>
      <c r="E407" s="40">
        <v>0</v>
      </c>
      <c r="F407" s="40">
        <f t="shared" si="23"/>
        <v>574.83796499999994</v>
      </c>
      <c r="G407" s="69"/>
      <c r="H407" s="70"/>
      <c r="I407" s="34"/>
    </row>
    <row r="408" spans="1:9" s="35" customFormat="1" x14ac:dyDescent="0.25">
      <c r="A408" s="65">
        <v>15</v>
      </c>
      <c r="B408" s="66"/>
      <c r="C408" s="40" t="s">
        <v>209</v>
      </c>
      <c r="D408" s="40">
        <f>(29.97+(0.75*(3.95+1.6)+1.2*1.225))*10.764</f>
        <v>383.22530999999998</v>
      </c>
      <c r="E408" s="40">
        <v>0</v>
      </c>
      <c r="F408" s="40">
        <f t="shared" si="23"/>
        <v>574.83796499999994</v>
      </c>
      <c r="G408" s="69"/>
      <c r="H408" s="70"/>
      <c r="I408" s="34"/>
    </row>
    <row r="409" spans="1:9" s="35" customFormat="1" x14ac:dyDescent="0.25">
      <c r="A409" s="65">
        <v>16</v>
      </c>
      <c r="B409" s="66"/>
      <c r="C409" s="40" t="s">
        <v>209</v>
      </c>
      <c r="D409" s="40">
        <f>(29.97+(0.75*(3.95+1.6)+1.2*1.225))*10.764</f>
        <v>383.22530999999998</v>
      </c>
      <c r="E409" s="40">
        <v>0</v>
      </c>
      <c r="F409" s="40">
        <f t="shared" si="23"/>
        <v>574.83796499999994</v>
      </c>
      <c r="G409" s="69"/>
      <c r="H409" s="70"/>
      <c r="I409" s="34"/>
    </row>
    <row r="410" spans="1:9" s="35" customFormat="1" ht="15.75" customHeight="1" x14ac:dyDescent="0.25">
      <c r="A410" s="65">
        <v>17</v>
      </c>
      <c r="B410" s="66"/>
      <c r="C410" s="40" t="s">
        <v>209</v>
      </c>
      <c r="D410" s="40">
        <f>(29.97+(0.75*(3.95+1.6)+1.2*1.225))*10.764</f>
        <v>383.22530999999998</v>
      </c>
      <c r="E410" s="40">
        <v>0</v>
      </c>
      <c r="F410" s="40">
        <f t="shared" si="23"/>
        <v>574.83796499999994</v>
      </c>
      <c r="G410" s="69"/>
      <c r="H410" s="70"/>
      <c r="I410" s="34"/>
    </row>
    <row r="411" spans="1:9" s="35" customFormat="1" ht="15.75" customHeight="1" x14ac:dyDescent="0.25">
      <c r="A411" s="65">
        <v>18</v>
      </c>
      <c r="B411" s="66"/>
      <c r="C411" s="40" t="s">
        <v>209</v>
      </c>
      <c r="D411" s="40">
        <f>(29.97+(0.75*(3.95+1.6)+1.2*1.225))*10.764</f>
        <v>383.22530999999998</v>
      </c>
      <c r="E411" s="40">
        <v>0</v>
      </c>
      <c r="F411" s="40">
        <f t="shared" si="23"/>
        <v>574.83796499999994</v>
      </c>
      <c r="G411" s="69"/>
      <c r="H411" s="70"/>
      <c r="I411" s="34"/>
    </row>
    <row r="412" spans="1:9" s="35" customFormat="1" ht="15.75" customHeight="1" x14ac:dyDescent="0.25">
      <c r="A412" s="65">
        <v>19</v>
      </c>
      <c r="B412" s="66"/>
      <c r="C412" s="40" t="s">
        <v>209</v>
      </c>
      <c r="D412" s="40">
        <f>(29.97+(0.75*(3.95+1.55)+1.2*1.225))*10.764</f>
        <v>382.82165999999995</v>
      </c>
      <c r="E412" s="40">
        <v>0</v>
      </c>
      <c r="F412" s="40">
        <f t="shared" si="23"/>
        <v>574.23248999999987</v>
      </c>
      <c r="G412" s="71"/>
      <c r="H412" s="72"/>
      <c r="I412" s="34"/>
    </row>
    <row r="413" spans="1:9" s="35" customFormat="1" ht="15.75" customHeight="1" x14ac:dyDescent="0.25">
      <c r="A413" s="75" t="s">
        <v>216</v>
      </c>
      <c r="B413" s="76"/>
      <c r="C413" s="76"/>
      <c r="D413" s="76"/>
      <c r="E413" s="76"/>
      <c r="F413" s="76"/>
      <c r="G413" s="76"/>
      <c r="H413" s="77"/>
      <c r="I413" s="34"/>
    </row>
    <row r="414" spans="1:9" s="35" customFormat="1" ht="15.75" customHeight="1" x14ac:dyDescent="0.25">
      <c r="A414" s="65">
        <v>1</v>
      </c>
      <c r="B414" s="66"/>
      <c r="C414" s="40" t="s">
        <v>209</v>
      </c>
      <c r="D414" s="40">
        <f>(29.97+(0.75*(3.95+1.4)+1.2*1.225))*10.764</f>
        <v>381.61070999999998</v>
      </c>
      <c r="E414" s="40">
        <v>0</v>
      </c>
      <c r="F414" s="40">
        <f t="shared" ref="F414:F431" si="25">D414*(($F$267)+1)+(IF(E414&lt;101,E414,IF(E414&lt;201,E414/2,IF(E414&lt;=301,E414/3,E414/4))))</f>
        <v>572.416065</v>
      </c>
      <c r="G414" s="67" t="str">
        <f>A413</f>
        <v>9th, 14th &amp; 19th Floor (Part Refuge Area)</v>
      </c>
      <c r="H414" s="68"/>
      <c r="I414" s="34"/>
    </row>
    <row r="415" spans="1:9" s="35" customFormat="1" ht="15.75" customHeight="1" x14ac:dyDescent="0.25">
      <c r="A415" s="65">
        <v>2</v>
      </c>
      <c r="B415" s="66"/>
      <c r="C415" s="40" t="s">
        <v>209</v>
      </c>
      <c r="D415" s="40">
        <f>(29.97+(0.75*(3.95+1.4)+1.2*1.225))*10.764</f>
        <v>381.61070999999998</v>
      </c>
      <c r="E415" s="40">
        <v>0</v>
      </c>
      <c r="F415" s="40">
        <f t="shared" si="25"/>
        <v>572.416065</v>
      </c>
      <c r="G415" s="69"/>
      <c r="H415" s="70"/>
      <c r="I415" s="34"/>
    </row>
    <row r="416" spans="1:9" s="35" customFormat="1" ht="15.75" customHeight="1" x14ac:dyDescent="0.25">
      <c r="A416" s="65">
        <v>3</v>
      </c>
      <c r="B416" s="66"/>
      <c r="C416" s="40" t="s">
        <v>209</v>
      </c>
      <c r="D416" s="40">
        <f>(29.97+(0.75*(3.95+1.4)+1.2*1.225))*10.764</f>
        <v>381.61070999999998</v>
      </c>
      <c r="E416" s="40">
        <v>0</v>
      </c>
      <c r="F416" s="40">
        <f t="shared" si="25"/>
        <v>572.416065</v>
      </c>
      <c r="G416" s="69"/>
      <c r="H416" s="70"/>
      <c r="I416" s="34"/>
    </row>
    <row r="417" spans="1:9" s="35" customFormat="1" ht="15.75" customHeight="1" x14ac:dyDescent="0.25">
      <c r="A417" s="65">
        <v>4</v>
      </c>
      <c r="B417" s="66"/>
      <c r="C417" s="40" t="s">
        <v>209</v>
      </c>
      <c r="D417" s="40">
        <f t="shared" ref="D417:D422" si="26">(29.97+(0.75*(3.95+1.6)+1.2*1.225))*10.764</f>
        <v>383.22530999999998</v>
      </c>
      <c r="E417" s="40">
        <v>0</v>
      </c>
      <c r="F417" s="40">
        <f t="shared" si="25"/>
        <v>574.83796499999994</v>
      </c>
      <c r="G417" s="69"/>
      <c r="H417" s="70"/>
      <c r="I417" s="34"/>
    </row>
    <row r="418" spans="1:9" s="35" customFormat="1" ht="15.75" customHeight="1" x14ac:dyDescent="0.25">
      <c r="A418" s="65">
        <v>5</v>
      </c>
      <c r="B418" s="66"/>
      <c r="C418" s="40" t="s">
        <v>209</v>
      </c>
      <c r="D418" s="40">
        <f t="shared" si="26"/>
        <v>383.22530999999998</v>
      </c>
      <c r="E418" s="40">
        <v>0</v>
      </c>
      <c r="F418" s="40">
        <f t="shared" si="25"/>
        <v>574.83796499999994</v>
      </c>
      <c r="G418" s="69"/>
      <c r="H418" s="70"/>
      <c r="I418" s="34"/>
    </row>
    <row r="419" spans="1:9" s="35" customFormat="1" ht="15.75" customHeight="1" x14ac:dyDescent="0.25">
      <c r="A419" s="65">
        <v>6</v>
      </c>
      <c r="B419" s="66"/>
      <c r="C419" s="40" t="s">
        <v>209</v>
      </c>
      <c r="D419" s="40">
        <f t="shared" si="26"/>
        <v>383.22530999999998</v>
      </c>
      <c r="E419" s="40">
        <v>0</v>
      </c>
      <c r="F419" s="40">
        <f t="shared" si="25"/>
        <v>574.83796499999994</v>
      </c>
      <c r="G419" s="69"/>
      <c r="H419" s="70"/>
      <c r="I419" s="34"/>
    </row>
    <row r="420" spans="1:9" s="35" customFormat="1" ht="15.75" customHeight="1" x14ac:dyDescent="0.25">
      <c r="A420" s="65">
        <v>7</v>
      </c>
      <c r="B420" s="66"/>
      <c r="C420" s="40" t="s">
        <v>209</v>
      </c>
      <c r="D420" s="40">
        <f t="shared" si="26"/>
        <v>383.22530999999998</v>
      </c>
      <c r="E420" s="40">
        <v>0</v>
      </c>
      <c r="F420" s="40">
        <f t="shared" si="25"/>
        <v>574.83796499999994</v>
      </c>
      <c r="G420" s="69"/>
      <c r="H420" s="70"/>
      <c r="I420" s="34"/>
    </row>
    <row r="421" spans="1:9" s="35" customFormat="1" ht="15.75" customHeight="1" x14ac:dyDescent="0.25">
      <c r="A421" s="65">
        <v>8</v>
      </c>
      <c r="B421" s="66"/>
      <c r="C421" s="40" t="s">
        <v>209</v>
      </c>
      <c r="D421" s="40">
        <f t="shared" si="26"/>
        <v>383.22530999999998</v>
      </c>
      <c r="E421" s="40">
        <v>0</v>
      </c>
      <c r="F421" s="40">
        <f t="shared" si="25"/>
        <v>574.83796499999994</v>
      </c>
      <c r="G421" s="69"/>
      <c r="H421" s="70"/>
      <c r="I421" s="34"/>
    </row>
    <row r="422" spans="1:9" s="35" customFormat="1" ht="15.75" customHeight="1" x14ac:dyDescent="0.25">
      <c r="A422" s="65">
        <v>9</v>
      </c>
      <c r="B422" s="66"/>
      <c r="C422" s="40" t="s">
        <v>209</v>
      </c>
      <c r="D422" s="40">
        <f t="shared" si="26"/>
        <v>383.22530999999998</v>
      </c>
      <c r="E422" s="40">
        <v>0</v>
      </c>
      <c r="F422" s="40">
        <f t="shared" si="25"/>
        <v>574.83796499999994</v>
      </c>
      <c r="G422" s="69"/>
      <c r="H422" s="70"/>
      <c r="I422" s="34"/>
    </row>
    <row r="423" spans="1:9" s="35" customFormat="1" ht="15.75" customHeight="1" x14ac:dyDescent="0.25">
      <c r="A423" s="65">
        <v>10</v>
      </c>
      <c r="B423" s="66"/>
      <c r="C423" s="40" t="s">
        <v>209</v>
      </c>
      <c r="D423" s="40">
        <f>(29.97+(0.75*(3.95+1.4)+1.2*1.225))*10.764</f>
        <v>381.61070999999998</v>
      </c>
      <c r="E423" s="40">
        <v>0</v>
      </c>
      <c r="F423" s="40">
        <f t="shared" si="25"/>
        <v>572.416065</v>
      </c>
      <c r="G423" s="69"/>
      <c r="H423" s="70"/>
      <c r="I423" s="34"/>
    </row>
    <row r="424" spans="1:9" s="35" customFormat="1" ht="15.75" customHeight="1" x14ac:dyDescent="0.25">
      <c r="A424" s="65">
        <v>11</v>
      </c>
      <c r="B424" s="66"/>
      <c r="C424" s="40" t="s">
        <v>209</v>
      </c>
      <c r="D424" s="40">
        <f>(29.97+(0.75*(3.95+1.4)+1.2*1.225))*10.764</f>
        <v>381.61070999999998</v>
      </c>
      <c r="E424" s="40">
        <v>0</v>
      </c>
      <c r="F424" s="40">
        <f t="shared" si="25"/>
        <v>572.416065</v>
      </c>
      <c r="G424" s="69"/>
      <c r="H424" s="70"/>
      <c r="I424" s="34"/>
    </row>
    <row r="425" spans="1:9" s="35" customFormat="1" ht="15.75" customHeight="1" x14ac:dyDescent="0.25">
      <c r="A425" s="65">
        <v>12</v>
      </c>
      <c r="B425" s="66"/>
      <c r="C425" s="40" t="s">
        <v>209</v>
      </c>
      <c r="D425" s="40">
        <f>(29.97+(0.75*(3.95+1.4)+1.2*1.225))*10.764</f>
        <v>381.61070999999998</v>
      </c>
      <c r="E425" s="40">
        <v>0</v>
      </c>
      <c r="F425" s="40">
        <f t="shared" si="25"/>
        <v>572.416065</v>
      </c>
      <c r="G425" s="69"/>
      <c r="H425" s="70"/>
      <c r="I425" s="34"/>
    </row>
    <row r="426" spans="1:9" s="35" customFormat="1" ht="15.75" customHeight="1" x14ac:dyDescent="0.25">
      <c r="A426" s="65">
        <v>13</v>
      </c>
      <c r="B426" s="66"/>
      <c r="C426" s="40" t="s">
        <v>209</v>
      </c>
      <c r="D426" s="40">
        <f>(29.97+(0.75*(3.95+1.4)+1.2*1.225))*10.764</f>
        <v>381.61070999999998</v>
      </c>
      <c r="E426" s="40">
        <v>0</v>
      </c>
      <c r="F426" s="40">
        <f t="shared" si="25"/>
        <v>572.416065</v>
      </c>
      <c r="G426" s="69"/>
      <c r="H426" s="70"/>
      <c r="I426" s="34"/>
    </row>
    <row r="427" spans="1:9" s="35" customFormat="1" ht="15.75" customHeight="1" x14ac:dyDescent="0.25">
      <c r="A427" s="65">
        <v>14</v>
      </c>
      <c r="B427" s="66"/>
      <c r="C427" s="40" t="s">
        <v>209</v>
      </c>
      <c r="D427" s="40">
        <f>(29.97+(0.75*(3.95+1.6)+1.2*1.225))*10.764</f>
        <v>383.22530999999998</v>
      </c>
      <c r="E427" s="40">
        <v>0</v>
      </c>
      <c r="F427" s="40">
        <f t="shared" si="25"/>
        <v>574.83796499999994</v>
      </c>
      <c r="G427" s="69"/>
      <c r="H427" s="70"/>
      <c r="I427" s="34"/>
    </row>
    <row r="428" spans="1:9" s="35" customFormat="1" ht="15.75" customHeight="1" x14ac:dyDescent="0.25">
      <c r="A428" s="65">
        <v>15</v>
      </c>
      <c r="B428" s="66"/>
      <c r="C428" s="40" t="s">
        <v>209</v>
      </c>
      <c r="D428" s="40">
        <f>(29.97+(0.75*(3.95+1.6)+1.2*1.225))*10.764</f>
        <v>383.22530999999998</v>
      </c>
      <c r="E428" s="40">
        <v>0</v>
      </c>
      <c r="F428" s="40">
        <f t="shared" si="25"/>
        <v>574.83796499999994</v>
      </c>
      <c r="G428" s="69"/>
      <c r="H428" s="70"/>
      <c r="I428" s="34"/>
    </row>
    <row r="429" spans="1:9" s="35" customFormat="1" x14ac:dyDescent="0.25">
      <c r="A429" s="65">
        <v>16</v>
      </c>
      <c r="B429" s="66"/>
      <c r="C429" s="40" t="s">
        <v>209</v>
      </c>
      <c r="D429" s="40">
        <f>(29.97+(0.75*(3.95+1.6)+1.2*1.225))*10.764</f>
        <v>383.22530999999998</v>
      </c>
      <c r="E429" s="40">
        <v>0</v>
      </c>
      <c r="F429" s="40">
        <f t="shared" si="25"/>
        <v>574.83796499999994</v>
      </c>
      <c r="G429" s="69"/>
      <c r="H429" s="70"/>
      <c r="I429" s="34"/>
    </row>
    <row r="430" spans="1:9" s="35" customFormat="1" x14ac:dyDescent="0.25">
      <c r="A430" s="65">
        <v>17</v>
      </c>
      <c r="B430" s="66"/>
      <c r="C430" s="40" t="s">
        <v>209</v>
      </c>
      <c r="D430" s="40">
        <f>(29.97+(0.75*(3.95+1.6)+1.2*1.225))*10.764</f>
        <v>383.22530999999998</v>
      </c>
      <c r="E430" s="40">
        <v>0</v>
      </c>
      <c r="F430" s="40">
        <f t="shared" si="25"/>
        <v>574.83796499999994</v>
      </c>
      <c r="G430" s="69"/>
      <c r="H430" s="70"/>
      <c r="I430" s="34"/>
    </row>
    <row r="431" spans="1:9" s="35" customFormat="1" x14ac:dyDescent="0.25">
      <c r="A431" s="65">
        <v>18</v>
      </c>
      <c r="B431" s="66"/>
      <c r="C431" s="40" t="s">
        <v>209</v>
      </c>
      <c r="D431" s="40">
        <f>(29.97+(0.75*(3.95+1.6)+1.2*1.225))*10.764</f>
        <v>383.22530999999998</v>
      </c>
      <c r="E431" s="40">
        <v>0</v>
      </c>
      <c r="F431" s="40">
        <f t="shared" si="25"/>
        <v>574.83796499999994</v>
      </c>
      <c r="G431" s="69"/>
      <c r="H431" s="70"/>
      <c r="I431" s="34"/>
    </row>
    <row r="432" spans="1:9" s="35" customFormat="1" ht="15.75" customHeight="1" x14ac:dyDescent="0.25">
      <c r="A432" s="65">
        <v>19</v>
      </c>
      <c r="B432" s="66"/>
      <c r="C432" s="65" t="s">
        <v>207</v>
      </c>
      <c r="D432" s="127"/>
      <c r="E432" s="127"/>
      <c r="F432" s="66"/>
      <c r="G432" s="71"/>
      <c r="H432" s="72"/>
      <c r="I432" s="34"/>
    </row>
    <row r="433" spans="1:9" s="35" customFormat="1" ht="15.75" customHeight="1" x14ac:dyDescent="0.25">
      <c r="A433" s="73" t="s">
        <v>208</v>
      </c>
      <c r="B433" s="73"/>
      <c r="C433" s="73"/>
      <c r="D433" s="73"/>
      <c r="E433" s="73"/>
      <c r="F433" s="73"/>
      <c r="G433" s="73"/>
      <c r="H433" s="73"/>
      <c r="I433" s="34"/>
    </row>
    <row r="434" spans="1:9" s="35" customFormat="1" ht="15.75" customHeight="1" x14ac:dyDescent="0.25">
      <c r="A434" s="73" t="s">
        <v>217</v>
      </c>
      <c r="B434" s="73"/>
      <c r="C434" s="73"/>
      <c r="D434" s="73"/>
      <c r="E434" s="73"/>
      <c r="F434" s="73"/>
      <c r="G434" s="73"/>
      <c r="H434" s="73"/>
      <c r="I434" s="34"/>
    </row>
    <row r="435" spans="1:9" s="35" customFormat="1" ht="15.75" customHeight="1" x14ac:dyDescent="0.25">
      <c r="A435" s="73" t="s">
        <v>203</v>
      </c>
      <c r="B435" s="73"/>
      <c r="C435" s="73"/>
      <c r="D435" s="73"/>
      <c r="E435" s="73"/>
      <c r="F435" s="73"/>
      <c r="G435" s="73"/>
      <c r="H435" s="73"/>
      <c r="I435" s="34"/>
    </row>
    <row r="436" spans="1:9" s="35" customFormat="1" ht="15.75" customHeight="1" x14ac:dyDescent="0.25">
      <c r="A436" s="64">
        <v>1</v>
      </c>
      <c r="B436" s="64"/>
      <c r="C436" s="40" t="s">
        <v>209</v>
      </c>
      <c r="D436" s="40">
        <f>(29.98+(0.75*3.95))*10.764</f>
        <v>354.59307000000001</v>
      </c>
      <c r="E436" s="40">
        <f>(1.8+1.2)*2.15*10.764</f>
        <v>69.427799999999991</v>
      </c>
      <c r="F436" s="40">
        <f t="shared" ref="F436:F454" si="27">D436*(($F$267)+1)+(IF(E436&lt;101,E436,IF(E436&lt;201,E436/2,IF(E436&lt;=301,E436/3,E436/4))))</f>
        <v>601.31740500000001</v>
      </c>
      <c r="G436" s="64" t="str">
        <f>A435</f>
        <v>1st Floor For Residential</v>
      </c>
      <c r="H436" s="64"/>
      <c r="I436" s="34"/>
    </row>
    <row r="437" spans="1:9" s="35" customFormat="1" ht="15.75" customHeight="1" x14ac:dyDescent="0.25">
      <c r="A437" s="64">
        <v>2</v>
      </c>
      <c r="B437" s="64"/>
      <c r="C437" s="40" t="s">
        <v>209</v>
      </c>
      <c r="D437" s="40">
        <f t="shared" ref="D437:D454" si="28">(29.98+(0.75*3.95))*10.764</f>
        <v>354.59307000000001</v>
      </c>
      <c r="E437" s="40">
        <f t="shared" ref="E437:E438" si="29">(1.8+1.2)*2.15*10.764</f>
        <v>69.427799999999991</v>
      </c>
      <c r="F437" s="40">
        <f t="shared" si="27"/>
        <v>601.31740500000001</v>
      </c>
      <c r="G437" s="64"/>
      <c r="H437" s="64"/>
      <c r="I437" s="34"/>
    </row>
    <row r="438" spans="1:9" s="35" customFormat="1" ht="15.75" customHeight="1" x14ac:dyDescent="0.25">
      <c r="A438" s="64">
        <v>3</v>
      </c>
      <c r="B438" s="64"/>
      <c r="C438" s="40" t="s">
        <v>209</v>
      </c>
      <c r="D438" s="40">
        <f t="shared" si="28"/>
        <v>354.59307000000001</v>
      </c>
      <c r="E438" s="40">
        <f t="shared" si="29"/>
        <v>69.427799999999991</v>
      </c>
      <c r="F438" s="40">
        <f t="shared" si="27"/>
        <v>601.31740500000001</v>
      </c>
      <c r="G438" s="64"/>
      <c r="H438" s="64"/>
      <c r="I438" s="34"/>
    </row>
    <row r="439" spans="1:9" s="35" customFormat="1" ht="15.75" customHeight="1" x14ac:dyDescent="0.25">
      <c r="A439" s="64">
        <v>4</v>
      </c>
      <c r="B439" s="64"/>
      <c r="C439" s="40" t="s">
        <v>209</v>
      </c>
      <c r="D439" s="40">
        <f t="shared" si="28"/>
        <v>354.59307000000001</v>
      </c>
      <c r="E439" s="40">
        <f>(1.8+1.2)*2.15*10.764</f>
        <v>69.427799999999991</v>
      </c>
      <c r="F439" s="40">
        <f t="shared" si="27"/>
        <v>601.31740500000001</v>
      </c>
      <c r="G439" s="64"/>
      <c r="H439" s="64"/>
      <c r="I439" s="34"/>
    </row>
    <row r="440" spans="1:9" s="35" customFormat="1" ht="15.75" customHeight="1" x14ac:dyDescent="0.25">
      <c r="A440" s="64">
        <v>5</v>
      </c>
      <c r="B440" s="64"/>
      <c r="C440" s="40" t="s">
        <v>209</v>
      </c>
      <c r="D440" s="40">
        <f t="shared" si="28"/>
        <v>354.59307000000001</v>
      </c>
      <c r="E440" s="40">
        <f>(2.6+1.2)*2.15*10.764</f>
        <v>87.941879999999998</v>
      </c>
      <c r="F440" s="40">
        <f t="shared" si="27"/>
        <v>619.83148500000004</v>
      </c>
      <c r="G440" s="64"/>
      <c r="H440" s="64"/>
      <c r="I440" s="34"/>
    </row>
    <row r="441" spans="1:9" s="35" customFormat="1" ht="15.75" customHeight="1" x14ac:dyDescent="0.25">
      <c r="A441" s="64">
        <v>6</v>
      </c>
      <c r="B441" s="64"/>
      <c r="C441" s="40" t="s">
        <v>209</v>
      </c>
      <c r="D441" s="40">
        <f t="shared" si="28"/>
        <v>354.59307000000001</v>
      </c>
      <c r="E441" s="40">
        <f>(2.6+1.2)*2.15*10.764</f>
        <v>87.941879999999998</v>
      </c>
      <c r="F441" s="40">
        <f t="shared" si="27"/>
        <v>619.83148500000004</v>
      </c>
      <c r="G441" s="64"/>
      <c r="H441" s="64"/>
      <c r="I441" s="34"/>
    </row>
    <row r="442" spans="1:9" s="35" customFormat="1" ht="15.75" customHeight="1" x14ac:dyDescent="0.25">
      <c r="A442" s="64">
        <v>7</v>
      </c>
      <c r="B442" s="64"/>
      <c r="C442" s="40" t="s">
        <v>209</v>
      </c>
      <c r="D442" s="40">
        <f t="shared" si="28"/>
        <v>354.59307000000001</v>
      </c>
      <c r="E442" s="40">
        <f>(2.6+1.2)*2.15*10.764</f>
        <v>87.941879999999998</v>
      </c>
      <c r="F442" s="40">
        <f t="shared" si="27"/>
        <v>619.83148500000004</v>
      </c>
      <c r="G442" s="64"/>
      <c r="H442" s="64"/>
      <c r="I442" s="34"/>
    </row>
    <row r="443" spans="1:9" s="35" customFormat="1" ht="15.75" customHeight="1" x14ac:dyDescent="0.25">
      <c r="A443" s="64">
        <v>8</v>
      </c>
      <c r="B443" s="64"/>
      <c r="C443" s="40" t="s">
        <v>209</v>
      </c>
      <c r="D443" s="40">
        <f t="shared" si="28"/>
        <v>354.59307000000001</v>
      </c>
      <c r="E443" s="40">
        <f>(2.6+1.2)*2.15*10.764</f>
        <v>87.941879999999998</v>
      </c>
      <c r="F443" s="40">
        <f t="shared" si="27"/>
        <v>619.83148500000004</v>
      </c>
      <c r="G443" s="64"/>
      <c r="H443" s="64"/>
      <c r="I443" s="34"/>
    </row>
    <row r="444" spans="1:9" s="35" customFormat="1" ht="15.75" customHeight="1" x14ac:dyDescent="0.25">
      <c r="A444" s="64">
        <v>9</v>
      </c>
      <c r="B444" s="64"/>
      <c r="C444" s="40" t="s">
        <v>209</v>
      </c>
      <c r="D444" s="40">
        <f t="shared" si="28"/>
        <v>354.59307000000001</v>
      </c>
      <c r="E444" s="40">
        <f>(1.8+1.2)*2.15*10.764</f>
        <v>69.427799999999991</v>
      </c>
      <c r="F444" s="40">
        <f t="shared" si="27"/>
        <v>601.31740500000001</v>
      </c>
      <c r="G444" s="64"/>
      <c r="H444" s="64"/>
      <c r="I444" s="34"/>
    </row>
    <row r="445" spans="1:9" s="35" customFormat="1" ht="15.75" customHeight="1" x14ac:dyDescent="0.25">
      <c r="A445" s="64">
        <v>10</v>
      </c>
      <c r="B445" s="64"/>
      <c r="C445" s="40" t="s">
        <v>209</v>
      </c>
      <c r="D445" s="40">
        <f t="shared" si="28"/>
        <v>354.59307000000001</v>
      </c>
      <c r="E445" s="40">
        <f t="shared" ref="E445:E450" si="30">(1.8+1.2)*2.15*10.764</f>
        <v>69.427799999999991</v>
      </c>
      <c r="F445" s="40">
        <f t="shared" si="27"/>
        <v>601.31740500000001</v>
      </c>
      <c r="G445" s="64"/>
      <c r="H445" s="64"/>
      <c r="I445" s="34"/>
    </row>
    <row r="446" spans="1:9" s="35" customFormat="1" ht="15.75" customHeight="1" x14ac:dyDescent="0.25">
      <c r="A446" s="64">
        <v>11</v>
      </c>
      <c r="B446" s="64"/>
      <c r="C446" s="40" t="s">
        <v>209</v>
      </c>
      <c r="D446" s="40">
        <f t="shared" si="28"/>
        <v>354.59307000000001</v>
      </c>
      <c r="E446" s="40">
        <f t="shared" si="30"/>
        <v>69.427799999999991</v>
      </c>
      <c r="F446" s="40">
        <f t="shared" si="27"/>
        <v>601.31740500000001</v>
      </c>
      <c r="G446" s="64"/>
      <c r="H446" s="64"/>
      <c r="I446" s="34"/>
    </row>
    <row r="447" spans="1:9" s="35" customFormat="1" ht="15.75" customHeight="1" x14ac:dyDescent="0.25">
      <c r="A447" s="64">
        <v>12</v>
      </c>
      <c r="B447" s="64"/>
      <c r="C447" s="40" t="s">
        <v>209</v>
      </c>
      <c r="D447" s="40">
        <f t="shared" si="28"/>
        <v>354.59307000000001</v>
      </c>
      <c r="E447" s="40">
        <f t="shared" si="30"/>
        <v>69.427799999999991</v>
      </c>
      <c r="F447" s="40">
        <f t="shared" si="27"/>
        <v>601.31740500000001</v>
      </c>
      <c r="G447" s="64"/>
      <c r="H447" s="64"/>
      <c r="I447" s="34"/>
    </row>
    <row r="448" spans="1:9" s="35" customFormat="1" ht="15.75" customHeight="1" x14ac:dyDescent="0.25">
      <c r="A448" s="64">
        <v>13</v>
      </c>
      <c r="B448" s="64"/>
      <c r="C448" s="40" t="s">
        <v>209</v>
      </c>
      <c r="D448" s="40">
        <f t="shared" si="28"/>
        <v>354.59307000000001</v>
      </c>
      <c r="E448" s="40">
        <f t="shared" si="30"/>
        <v>69.427799999999991</v>
      </c>
      <c r="F448" s="40">
        <f t="shared" si="27"/>
        <v>601.31740500000001</v>
      </c>
      <c r="G448" s="64"/>
      <c r="H448" s="64"/>
      <c r="I448" s="34"/>
    </row>
    <row r="449" spans="1:9" s="35" customFormat="1" ht="15.75" customHeight="1" x14ac:dyDescent="0.25">
      <c r="A449" s="64">
        <v>14</v>
      </c>
      <c r="B449" s="64"/>
      <c r="C449" s="40" t="s">
        <v>209</v>
      </c>
      <c r="D449" s="40">
        <f t="shared" si="28"/>
        <v>354.59307000000001</v>
      </c>
      <c r="E449" s="40">
        <f t="shared" si="30"/>
        <v>69.427799999999991</v>
      </c>
      <c r="F449" s="40">
        <f t="shared" si="27"/>
        <v>601.31740500000001</v>
      </c>
      <c r="G449" s="64"/>
      <c r="H449" s="64"/>
      <c r="I449" s="34"/>
    </row>
    <row r="450" spans="1:9" s="35" customFormat="1" ht="15.75" customHeight="1" x14ac:dyDescent="0.25">
      <c r="A450" s="64">
        <v>15</v>
      </c>
      <c r="B450" s="64"/>
      <c r="C450" s="40" t="s">
        <v>209</v>
      </c>
      <c r="D450" s="40">
        <f t="shared" si="28"/>
        <v>354.59307000000001</v>
      </c>
      <c r="E450" s="40">
        <f t="shared" si="30"/>
        <v>69.427799999999991</v>
      </c>
      <c r="F450" s="40">
        <f t="shared" si="27"/>
        <v>601.31740500000001</v>
      </c>
      <c r="G450" s="64"/>
      <c r="H450" s="64"/>
      <c r="I450" s="34"/>
    </row>
    <row r="451" spans="1:9" s="35" customFormat="1" x14ac:dyDescent="0.25">
      <c r="A451" s="64">
        <v>16</v>
      </c>
      <c r="B451" s="64"/>
      <c r="C451" s="40" t="s">
        <v>209</v>
      </c>
      <c r="D451" s="40">
        <f t="shared" si="28"/>
        <v>354.59307000000001</v>
      </c>
      <c r="E451" s="40">
        <f t="shared" ref="E451:E452" si="31">(2.6+1.2)*2.15*10.764</f>
        <v>87.941879999999998</v>
      </c>
      <c r="F451" s="40">
        <f t="shared" si="27"/>
        <v>619.83148500000004</v>
      </c>
      <c r="G451" s="64"/>
      <c r="H451" s="64"/>
      <c r="I451" s="34"/>
    </row>
    <row r="452" spans="1:9" s="35" customFormat="1" ht="15.75" customHeight="1" x14ac:dyDescent="0.25">
      <c r="A452" s="64">
        <v>17</v>
      </c>
      <c r="B452" s="64"/>
      <c r="C452" s="40" t="s">
        <v>209</v>
      </c>
      <c r="D452" s="40">
        <f t="shared" si="28"/>
        <v>354.59307000000001</v>
      </c>
      <c r="E452" s="40">
        <f t="shared" si="31"/>
        <v>87.941879999999998</v>
      </c>
      <c r="F452" s="40">
        <f t="shared" si="27"/>
        <v>619.83148500000004</v>
      </c>
      <c r="G452" s="64"/>
      <c r="H452" s="64"/>
      <c r="I452" s="34"/>
    </row>
    <row r="453" spans="1:9" s="35" customFormat="1" ht="15.75" customHeight="1" x14ac:dyDescent="0.25">
      <c r="A453" s="64">
        <v>18</v>
      </c>
      <c r="B453" s="64"/>
      <c r="C453" s="40" t="s">
        <v>209</v>
      </c>
      <c r="D453" s="40">
        <f t="shared" si="28"/>
        <v>354.59307000000001</v>
      </c>
      <c r="E453" s="40">
        <f t="shared" ref="E453" si="32">(1.8+1.2)*2.15*10.764</f>
        <v>69.427799999999991</v>
      </c>
      <c r="F453" s="40">
        <f t="shared" si="27"/>
        <v>601.31740500000001</v>
      </c>
      <c r="G453" s="64"/>
      <c r="H453" s="64"/>
      <c r="I453" s="34"/>
    </row>
    <row r="454" spans="1:9" s="35" customFormat="1" ht="15.75" customHeight="1" x14ac:dyDescent="0.25">
      <c r="A454" s="64">
        <v>19</v>
      </c>
      <c r="B454" s="64"/>
      <c r="C454" s="40" t="s">
        <v>209</v>
      </c>
      <c r="D454" s="40">
        <f t="shared" si="28"/>
        <v>354.59307000000001</v>
      </c>
      <c r="E454" s="40">
        <f>(((1.8+1.2)*2.15)+1.6*5.5)*10.764</f>
        <v>164.15099999999998</v>
      </c>
      <c r="F454" s="40">
        <f t="shared" si="27"/>
        <v>613.96510500000011</v>
      </c>
      <c r="G454" s="64"/>
      <c r="H454" s="64"/>
      <c r="I454" s="34"/>
    </row>
    <row r="455" spans="1:9" s="35" customFormat="1" ht="15.75" customHeight="1" x14ac:dyDescent="0.25">
      <c r="A455" s="75" t="s">
        <v>215</v>
      </c>
      <c r="B455" s="76"/>
      <c r="C455" s="76"/>
      <c r="D455" s="76"/>
      <c r="E455" s="76"/>
      <c r="F455" s="76"/>
      <c r="G455" s="76"/>
      <c r="H455" s="77"/>
      <c r="I455" s="34"/>
    </row>
    <row r="456" spans="1:9" s="35" customFormat="1" ht="15.75" customHeight="1" x14ac:dyDescent="0.25">
      <c r="A456" s="65">
        <v>1</v>
      </c>
      <c r="B456" s="66"/>
      <c r="C456" s="40" t="s">
        <v>209</v>
      </c>
      <c r="D456" s="40">
        <f>(29.97+(0.75*(3.95+1.4)+1.2*1.225))*10.764</f>
        <v>381.61070999999998</v>
      </c>
      <c r="E456" s="40">
        <v>0</v>
      </c>
      <c r="F456" s="40">
        <f t="shared" ref="F456:F474" si="33">D456*(($F$267)+1)+(IF(E456&lt;101,E456,IF(E456&lt;201,E456/2,IF(E456&lt;=301,E456/3,E456/4))))</f>
        <v>572.416065</v>
      </c>
      <c r="G456" s="67" t="str">
        <f>A455</f>
        <v>2nd to 8th, 10th to 13th, 15th to 18th &amp; 20th to 23rd Floor</v>
      </c>
      <c r="H456" s="68"/>
      <c r="I456" s="34"/>
    </row>
    <row r="457" spans="1:9" s="35" customFormat="1" ht="15.75" customHeight="1" x14ac:dyDescent="0.25">
      <c r="A457" s="65">
        <v>2</v>
      </c>
      <c r="B457" s="66"/>
      <c r="C457" s="40" t="s">
        <v>209</v>
      </c>
      <c r="D457" s="40">
        <f>(29.97+(0.75*(3.95+1.4)+1.2*1.225))*10.764</f>
        <v>381.61070999999998</v>
      </c>
      <c r="E457" s="40">
        <v>0</v>
      </c>
      <c r="F457" s="40">
        <f t="shared" si="33"/>
        <v>572.416065</v>
      </c>
      <c r="G457" s="69"/>
      <c r="H457" s="70"/>
      <c r="I457" s="34"/>
    </row>
    <row r="458" spans="1:9" s="35" customFormat="1" ht="15.75" customHeight="1" x14ac:dyDescent="0.25">
      <c r="A458" s="65">
        <v>3</v>
      </c>
      <c r="B458" s="66"/>
      <c r="C458" s="40" t="s">
        <v>209</v>
      </c>
      <c r="D458" s="40">
        <f>(29.97+(0.75*(3.95+1.4)+1.2*1.225))*10.764</f>
        <v>381.61070999999998</v>
      </c>
      <c r="E458" s="40">
        <v>0</v>
      </c>
      <c r="F458" s="40">
        <f t="shared" si="33"/>
        <v>572.416065</v>
      </c>
      <c r="G458" s="69"/>
      <c r="H458" s="70"/>
      <c r="I458" s="34"/>
    </row>
    <row r="459" spans="1:9" s="35" customFormat="1" ht="15.75" customHeight="1" x14ac:dyDescent="0.25">
      <c r="A459" s="65">
        <v>4</v>
      </c>
      <c r="B459" s="66"/>
      <c r="C459" s="40" t="s">
        <v>209</v>
      </c>
      <c r="D459" s="40">
        <f t="shared" ref="D459:D464" si="34">(29.97+(0.75*(3.95+1.6)+1.2*1.225))*10.764</f>
        <v>383.22530999999998</v>
      </c>
      <c r="E459" s="40">
        <v>0</v>
      </c>
      <c r="F459" s="40">
        <f t="shared" si="33"/>
        <v>574.83796499999994</v>
      </c>
      <c r="G459" s="69"/>
      <c r="H459" s="70"/>
      <c r="I459" s="34"/>
    </row>
    <row r="460" spans="1:9" s="35" customFormat="1" ht="15.75" customHeight="1" x14ac:dyDescent="0.25">
      <c r="A460" s="65">
        <v>5</v>
      </c>
      <c r="B460" s="66"/>
      <c r="C460" s="40" t="s">
        <v>209</v>
      </c>
      <c r="D460" s="40">
        <f t="shared" si="34"/>
        <v>383.22530999999998</v>
      </c>
      <c r="E460" s="40">
        <v>0</v>
      </c>
      <c r="F460" s="40">
        <f t="shared" si="33"/>
        <v>574.83796499999994</v>
      </c>
      <c r="G460" s="69"/>
      <c r="H460" s="70"/>
      <c r="I460" s="34"/>
    </row>
    <row r="461" spans="1:9" s="35" customFormat="1" ht="15.75" customHeight="1" x14ac:dyDescent="0.25">
      <c r="A461" s="65">
        <v>6</v>
      </c>
      <c r="B461" s="66"/>
      <c r="C461" s="40" t="s">
        <v>209</v>
      </c>
      <c r="D461" s="40">
        <f t="shared" si="34"/>
        <v>383.22530999999998</v>
      </c>
      <c r="E461" s="40">
        <v>0</v>
      </c>
      <c r="F461" s="40">
        <f t="shared" si="33"/>
        <v>574.83796499999994</v>
      </c>
      <c r="G461" s="69"/>
      <c r="H461" s="70"/>
      <c r="I461" s="34"/>
    </row>
    <row r="462" spans="1:9" s="35" customFormat="1" ht="15.75" customHeight="1" x14ac:dyDescent="0.25">
      <c r="A462" s="65">
        <v>7</v>
      </c>
      <c r="B462" s="66"/>
      <c r="C462" s="40" t="s">
        <v>209</v>
      </c>
      <c r="D462" s="40">
        <f t="shared" si="34"/>
        <v>383.22530999999998</v>
      </c>
      <c r="E462" s="40">
        <v>0</v>
      </c>
      <c r="F462" s="40">
        <f t="shared" si="33"/>
        <v>574.83796499999994</v>
      </c>
      <c r="G462" s="69"/>
      <c r="H462" s="70"/>
      <c r="I462" s="34"/>
    </row>
    <row r="463" spans="1:9" s="35" customFormat="1" ht="15.75" customHeight="1" x14ac:dyDescent="0.25">
      <c r="A463" s="65">
        <v>8</v>
      </c>
      <c r="B463" s="66"/>
      <c r="C463" s="40" t="s">
        <v>209</v>
      </c>
      <c r="D463" s="40">
        <f t="shared" si="34"/>
        <v>383.22530999999998</v>
      </c>
      <c r="E463" s="40">
        <v>0</v>
      </c>
      <c r="F463" s="40">
        <f t="shared" si="33"/>
        <v>574.83796499999994</v>
      </c>
      <c r="G463" s="69"/>
      <c r="H463" s="70"/>
      <c r="I463" s="34"/>
    </row>
    <row r="464" spans="1:9" s="35" customFormat="1" ht="15.75" customHeight="1" x14ac:dyDescent="0.25">
      <c r="A464" s="65">
        <v>9</v>
      </c>
      <c r="B464" s="66"/>
      <c r="C464" s="40" t="s">
        <v>209</v>
      </c>
      <c r="D464" s="40">
        <f t="shared" si="34"/>
        <v>383.22530999999998</v>
      </c>
      <c r="E464" s="40">
        <v>0</v>
      </c>
      <c r="F464" s="40">
        <f t="shared" si="33"/>
        <v>574.83796499999994</v>
      </c>
      <c r="G464" s="69"/>
      <c r="H464" s="70"/>
      <c r="I464" s="34"/>
    </row>
    <row r="465" spans="1:9" s="35" customFormat="1" ht="15.75" customHeight="1" x14ac:dyDescent="0.25">
      <c r="A465" s="65">
        <v>10</v>
      </c>
      <c r="B465" s="66"/>
      <c r="C465" s="40" t="s">
        <v>209</v>
      </c>
      <c r="D465" s="40">
        <f>(29.97+(0.75*(3.95+1.4)+1.2*1.225))*10.764</f>
        <v>381.61070999999998</v>
      </c>
      <c r="E465" s="40">
        <v>0</v>
      </c>
      <c r="F465" s="40">
        <f t="shared" si="33"/>
        <v>572.416065</v>
      </c>
      <c r="G465" s="69"/>
      <c r="H465" s="70"/>
      <c r="I465" s="34"/>
    </row>
    <row r="466" spans="1:9" s="35" customFormat="1" ht="15.75" customHeight="1" x14ac:dyDescent="0.25">
      <c r="A466" s="65">
        <v>11</v>
      </c>
      <c r="B466" s="66"/>
      <c r="C466" s="40" t="s">
        <v>209</v>
      </c>
      <c r="D466" s="40">
        <f>(29.97+(0.75*(3.95+1.4)+1.2*1.225))*10.764</f>
        <v>381.61070999999998</v>
      </c>
      <c r="E466" s="40">
        <v>0</v>
      </c>
      <c r="F466" s="40">
        <f t="shared" si="33"/>
        <v>572.416065</v>
      </c>
      <c r="G466" s="69"/>
      <c r="H466" s="70"/>
      <c r="I466" s="34"/>
    </row>
    <row r="467" spans="1:9" s="35" customFormat="1" ht="15.75" customHeight="1" x14ac:dyDescent="0.25">
      <c r="A467" s="65">
        <v>12</v>
      </c>
      <c r="B467" s="66"/>
      <c r="C467" s="40" t="s">
        <v>209</v>
      </c>
      <c r="D467" s="40">
        <f>(29.97+(0.75*(3.95+1.4)+1.2*1.225))*10.764</f>
        <v>381.61070999999998</v>
      </c>
      <c r="E467" s="40">
        <v>0</v>
      </c>
      <c r="F467" s="40">
        <f t="shared" si="33"/>
        <v>572.416065</v>
      </c>
      <c r="G467" s="69"/>
      <c r="H467" s="70"/>
      <c r="I467" s="34"/>
    </row>
    <row r="468" spans="1:9" s="35" customFormat="1" ht="15.75" customHeight="1" x14ac:dyDescent="0.25">
      <c r="A468" s="65">
        <v>13</v>
      </c>
      <c r="B468" s="66"/>
      <c r="C468" s="40" t="s">
        <v>209</v>
      </c>
      <c r="D468" s="40">
        <f>(29.97+(0.75*(3.95+1.4)+1.2*1.225))*10.764</f>
        <v>381.61070999999998</v>
      </c>
      <c r="E468" s="40">
        <v>0</v>
      </c>
      <c r="F468" s="40">
        <f t="shared" si="33"/>
        <v>572.416065</v>
      </c>
      <c r="G468" s="69"/>
      <c r="H468" s="70"/>
      <c r="I468" s="34"/>
    </row>
    <row r="469" spans="1:9" s="35" customFormat="1" ht="15.75" customHeight="1" x14ac:dyDescent="0.25">
      <c r="A469" s="65">
        <v>14</v>
      </c>
      <c r="B469" s="66"/>
      <c r="C469" s="40" t="s">
        <v>209</v>
      </c>
      <c r="D469" s="40">
        <f>(29.97+(0.75*(3.95+1.6)+1.2*1.225))*10.764</f>
        <v>383.22530999999998</v>
      </c>
      <c r="E469" s="40">
        <v>0</v>
      </c>
      <c r="F469" s="40">
        <f t="shared" si="33"/>
        <v>574.83796499999994</v>
      </c>
      <c r="G469" s="69"/>
      <c r="H469" s="70"/>
      <c r="I469" s="34"/>
    </row>
    <row r="470" spans="1:9" s="35" customFormat="1" ht="15.75" customHeight="1" x14ac:dyDescent="0.25">
      <c r="A470" s="65">
        <v>15</v>
      </c>
      <c r="B470" s="66"/>
      <c r="C470" s="40" t="s">
        <v>209</v>
      </c>
      <c r="D470" s="40">
        <f>(29.97+(0.75*(3.95+1.6)+1.2*1.225))*10.764</f>
        <v>383.22530999999998</v>
      </c>
      <c r="E470" s="40">
        <v>0</v>
      </c>
      <c r="F470" s="40">
        <f t="shared" si="33"/>
        <v>574.83796499999994</v>
      </c>
      <c r="G470" s="69"/>
      <c r="H470" s="70"/>
      <c r="I470" s="34"/>
    </row>
    <row r="471" spans="1:9" s="35" customFormat="1" x14ac:dyDescent="0.25">
      <c r="A471" s="65">
        <v>16</v>
      </c>
      <c r="B471" s="66"/>
      <c r="C471" s="40" t="s">
        <v>209</v>
      </c>
      <c r="D471" s="40">
        <f>(29.97+(0.75*(3.95+1.6)+1.2*1.225))*10.764</f>
        <v>383.22530999999998</v>
      </c>
      <c r="E471" s="40">
        <v>0</v>
      </c>
      <c r="F471" s="40">
        <f t="shared" si="33"/>
        <v>574.83796499999994</v>
      </c>
      <c r="G471" s="69"/>
      <c r="H471" s="70"/>
      <c r="I471" s="34"/>
    </row>
    <row r="472" spans="1:9" s="35" customFormat="1" ht="15.75" customHeight="1" x14ac:dyDescent="0.25">
      <c r="A472" s="65">
        <v>17</v>
      </c>
      <c r="B472" s="66"/>
      <c r="C472" s="40" t="s">
        <v>209</v>
      </c>
      <c r="D472" s="40">
        <f>(29.97+(0.75*(3.95+1.6)+1.2*1.225))*10.764</f>
        <v>383.22530999999998</v>
      </c>
      <c r="E472" s="40">
        <v>0</v>
      </c>
      <c r="F472" s="40">
        <f t="shared" si="33"/>
        <v>574.83796499999994</v>
      </c>
      <c r="G472" s="69"/>
      <c r="H472" s="70"/>
      <c r="I472" s="34"/>
    </row>
    <row r="473" spans="1:9" s="35" customFormat="1" ht="15.75" customHeight="1" x14ac:dyDescent="0.25">
      <c r="A473" s="65">
        <v>18</v>
      </c>
      <c r="B473" s="66"/>
      <c r="C473" s="40" t="s">
        <v>209</v>
      </c>
      <c r="D473" s="40">
        <f>(29.97+(0.75*(3.95+1.6)+1.2*1.225))*10.764</f>
        <v>383.22530999999998</v>
      </c>
      <c r="E473" s="40">
        <v>0</v>
      </c>
      <c r="F473" s="40">
        <f t="shared" si="33"/>
        <v>574.83796499999994</v>
      </c>
      <c r="G473" s="69"/>
      <c r="H473" s="70"/>
      <c r="I473" s="34"/>
    </row>
    <row r="474" spans="1:9" s="35" customFormat="1" ht="15.75" customHeight="1" x14ac:dyDescent="0.25">
      <c r="A474" s="65">
        <v>19</v>
      </c>
      <c r="B474" s="66"/>
      <c r="C474" s="40" t="s">
        <v>209</v>
      </c>
      <c r="D474" s="40">
        <f>(29.97+(0.75*(3.95+1.55)+1.2*1.225))*10.764</f>
        <v>382.82165999999995</v>
      </c>
      <c r="E474" s="40">
        <v>0</v>
      </c>
      <c r="F474" s="40">
        <f t="shared" si="33"/>
        <v>574.23248999999987</v>
      </c>
      <c r="G474" s="71"/>
      <c r="H474" s="72"/>
      <c r="I474" s="34"/>
    </row>
    <row r="475" spans="1:9" s="35" customFormat="1" ht="15.75" customHeight="1" x14ac:dyDescent="0.25">
      <c r="A475" s="73" t="s">
        <v>216</v>
      </c>
      <c r="B475" s="73"/>
      <c r="C475" s="73"/>
      <c r="D475" s="73"/>
      <c r="E475" s="73"/>
      <c r="F475" s="73"/>
      <c r="G475" s="73"/>
      <c r="H475" s="73"/>
      <c r="I475" s="34"/>
    </row>
    <row r="476" spans="1:9" s="35" customFormat="1" ht="15.75" customHeight="1" x14ac:dyDescent="0.25">
      <c r="A476" s="64">
        <v>1</v>
      </c>
      <c r="B476" s="64"/>
      <c r="C476" s="40" t="s">
        <v>209</v>
      </c>
      <c r="D476" s="40">
        <f>(29.97+(0.75*(3.95+1.4)+1.2*1.225))*10.764</f>
        <v>381.61070999999998</v>
      </c>
      <c r="E476" s="40">
        <v>0</v>
      </c>
      <c r="F476" s="40">
        <f t="shared" ref="F476:F493" si="35">D476*(($F$267)+1)+(IF(E476&lt;101,E476,IF(E476&lt;201,E476/2,IF(E476&lt;=301,E476/3,E476/4))))</f>
        <v>572.416065</v>
      </c>
      <c r="G476" s="64" t="str">
        <f>A475</f>
        <v>9th, 14th &amp; 19th Floor (Part Refuge Area)</v>
      </c>
      <c r="H476" s="64"/>
      <c r="I476" s="34"/>
    </row>
    <row r="477" spans="1:9" s="35" customFormat="1" ht="15.75" customHeight="1" x14ac:dyDescent="0.25">
      <c r="A477" s="64">
        <v>2</v>
      </c>
      <c r="B477" s="64"/>
      <c r="C477" s="40" t="s">
        <v>209</v>
      </c>
      <c r="D477" s="40">
        <f>(29.97+(0.75*(3.95+1.4)+1.2*1.225))*10.764</f>
        <v>381.61070999999998</v>
      </c>
      <c r="E477" s="40">
        <v>0</v>
      </c>
      <c r="F477" s="40">
        <f t="shared" si="35"/>
        <v>572.416065</v>
      </c>
      <c r="G477" s="64"/>
      <c r="H477" s="64"/>
      <c r="I477" s="34"/>
    </row>
    <row r="478" spans="1:9" s="35" customFormat="1" ht="15.75" customHeight="1" x14ac:dyDescent="0.25">
      <c r="A478" s="64">
        <v>3</v>
      </c>
      <c r="B478" s="64"/>
      <c r="C478" s="40" t="s">
        <v>209</v>
      </c>
      <c r="D478" s="40">
        <f>(29.97+(0.75*(3.95+1.4)+1.2*1.225))*10.764</f>
        <v>381.61070999999998</v>
      </c>
      <c r="E478" s="40">
        <v>0</v>
      </c>
      <c r="F478" s="40">
        <f t="shared" si="35"/>
        <v>572.416065</v>
      </c>
      <c r="G478" s="64"/>
      <c r="H478" s="64"/>
      <c r="I478" s="34"/>
    </row>
    <row r="479" spans="1:9" s="35" customFormat="1" ht="15.75" customHeight="1" x14ac:dyDescent="0.25">
      <c r="A479" s="64">
        <v>4</v>
      </c>
      <c r="B479" s="64"/>
      <c r="C479" s="40" t="s">
        <v>209</v>
      </c>
      <c r="D479" s="40">
        <f t="shared" ref="D479:D484" si="36">(29.97+(0.75*(3.95+1.6)+1.2*1.225))*10.764</f>
        <v>383.22530999999998</v>
      </c>
      <c r="E479" s="40">
        <v>0</v>
      </c>
      <c r="F479" s="40">
        <f t="shared" si="35"/>
        <v>574.83796499999994</v>
      </c>
      <c r="G479" s="64"/>
      <c r="H479" s="64"/>
      <c r="I479" s="34"/>
    </row>
    <row r="480" spans="1:9" s="35" customFormat="1" ht="15.75" customHeight="1" x14ac:dyDescent="0.25">
      <c r="A480" s="64">
        <v>5</v>
      </c>
      <c r="B480" s="64"/>
      <c r="C480" s="40" t="s">
        <v>209</v>
      </c>
      <c r="D480" s="40">
        <f t="shared" si="36"/>
        <v>383.22530999999998</v>
      </c>
      <c r="E480" s="40">
        <v>0</v>
      </c>
      <c r="F480" s="40">
        <f t="shared" si="35"/>
        <v>574.83796499999994</v>
      </c>
      <c r="G480" s="64"/>
      <c r="H480" s="64"/>
      <c r="I480" s="34"/>
    </row>
    <row r="481" spans="1:9" s="35" customFormat="1" ht="15.75" customHeight="1" x14ac:dyDescent="0.25">
      <c r="A481" s="64">
        <v>6</v>
      </c>
      <c r="B481" s="64"/>
      <c r="C481" s="40" t="s">
        <v>209</v>
      </c>
      <c r="D481" s="40">
        <f t="shared" si="36"/>
        <v>383.22530999999998</v>
      </c>
      <c r="E481" s="40">
        <v>0</v>
      </c>
      <c r="F481" s="40">
        <f t="shared" si="35"/>
        <v>574.83796499999994</v>
      </c>
      <c r="G481" s="64"/>
      <c r="H481" s="64"/>
      <c r="I481" s="34"/>
    </row>
    <row r="482" spans="1:9" s="35" customFormat="1" ht="15.75" customHeight="1" x14ac:dyDescent="0.25">
      <c r="A482" s="64">
        <v>7</v>
      </c>
      <c r="B482" s="64"/>
      <c r="C482" s="40" t="s">
        <v>209</v>
      </c>
      <c r="D482" s="40">
        <f t="shared" si="36"/>
        <v>383.22530999999998</v>
      </c>
      <c r="E482" s="40">
        <v>0</v>
      </c>
      <c r="F482" s="40">
        <f t="shared" si="35"/>
        <v>574.83796499999994</v>
      </c>
      <c r="G482" s="64"/>
      <c r="H482" s="64"/>
      <c r="I482" s="34"/>
    </row>
    <row r="483" spans="1:9" s="35" customFormat="1" ht="15.75" customHeight="1" x14ac:dyDescent="0.25">
      <c r="A483" s="64">
        <v>8</v>
      </c>
      <c r="B483" s="64"/>
      <c r="C483" s="40" t="s">
        <v>209</v>
      </c>
      <c r="D483" s="40">
        <f t="shared" si="36"/>
        <v>383.22530999999998</v>
      </c>
      <c r="E483" s="40">
        <v>0</v>
      </c>
      <c r="F483" s="40">
        <f t="shared" si="35"/>
        <v>574.83796499999994</v>
      </c>
      <c r="G483" s="64"/>
      <c r="H483" s="64"/>
      <c r="I483" s="34"/>
    </row>
    <row r="484" spans="1:9" s="35" customFormat="1" ht="15.75" customHeight="1" x14ac:dyDescent="0.25">
      <c r="A484" s="64">
        <v>9</v>
      </c>
      <c r="B484" s="64"/>
      <c r="C484" s="40" t="s">
        <v>209</v>
      </c>
      <c r="D484" s="40">
        <f t="shared" si="36"/>
        <v>383.22530999999998</v>
      </c>
      <c r="E484" s="40">
        <v>0</v>
      </c>
      <c r="F484" s="40">
        <f t="shared" si="35"/>
        <v>574.83796499999994</v>
      </c>
      <c r="G484" s="64"/>
      <c r="H484" s="64"/>
      <c r="I484" s="34"/>
    </row>
    <row r="485" spans="1:9" s="35" customFormat="1" ht="15.75" customHeight="1" x14ac:dyDescent="0.25">
      <c r="A485" s="64">
        <v>10</v>
      </c>
      <c r="B485" s="64"/>
      <c r="C485" s="40" t="s">
        <v>209</v>
      </c>
      <c r="D485" s="40">
        <f>(29.97+(0.75*(3.95+1.4)+1.2*1.225))*10.764</f>
        <v>381.61070999999998</v>
      </c>
      <c r="E485" s="40">
        <v>0</v>
      </c>
      <c r="F485" s="40">
        <f t="shared" si="35"/>
        <v>572.416065</v>
      </c>
      <c r="G485" s="64"/>
      <c r="H485" s="64"/>
      <c r="I485" s="34"/>
    </row>
    <row r="486" spans="1:9" s="35" customFormat="1" ht="15.75" customHeight="1" x14ac:dyDescent="0.25">
      <c r="A486" s="64">
        <v>11</v>
      </c>
      <c r="B486" s="64"/>
      <c r="C486" s="40" t="s">
        <v>209</v>
      </c>
      <c r="D486" s="40">
        <f>(29.97+(0.75*(3.95+1.4)+1.2*1.225))*10.764</f>
        <v>381.61070999999998</v>
      </c>
      <c r="E486" s="40">
        <v>0</v>
      </c>
      <c r="F486" s="40">
        <f t="shared" si="35"/>
        <v>572.416065</v>
      </c>
      <c r="G486" s="64"/>
      <c r="H486" s="64"/>
      <c r="I486" s="34"/>
    </row>
    <row r="487" spans="1:9" s="35" customFormat="1" ht="15.75" customHeight="1" x14ac:dyDescent="0.25">
      <c r="A487" s="64">
        <v>12</v>
      </c>
      <c r="B487" s="64"/>
      <c r="C487" s="40" t="s">
        <v>209</v>
      </c>
      <c r="D487" s="40">
        <f>(29.97+(0.75*(3.95+1.4)+1.2*1.225))*10.764</f>
        <v>381.61070999999998</v>
      </c>
      <c r="E487" s="40">
        <v>0</v>
      </c>
      <c r="F487" s="40">
        <f t="shared" si="35"/>
        <v>572.416065</v>
      </c>
      <c r="G487" s="64"/>
      <c r="H487" s="64"/>
      <c r="I487" s="34"/>
    </row>
    <row r="488" spans="1:9" s="35" customFormat="1" ht="15.75" customHeight="1" x14ac:dyDescent="0.25">
      <c r="A488" s="64">
        <v>13</v>
      </c>
      <c r="B488" s="64"/>
      <c r="C488" s="40" t="s">
        <v>209</v>
      </c>
      <c r="D488" s="40">
        <f>(29.97+(0.75*(3.95+1.4)+1.2*1.225))*10.764</f>
        <v>381.61070999999998</v>
      </c>
      <c r="E488" s="40">
        <v>0</v>
      </c>
      <c r="F488" s="40">
        <f t="shared" si="35"/>
        <v>572.416065</v>
      </c>
      <c r="G488" s="64"/>
      <c r="H488" s="64"/>
      <c r="I488" s="34"/>
    </row>
    <row r="489" spans="1:9" s="35" customFormat="1" ht="15.75" customHeight="1" x14ac:dyDescent="0.25">
      <c r="A489" s="64">
        <v>14</v>
      </c>
      <c r="B489" s="64"/>
      <c r="C489" s="40" t="s">
        <v>209</v>
      </c>
      <c r="D489" s="40">
        <f>(29.97+(0.75*(3.95+1.6)+1.2*1.225))*10.764</f>
        <v>383.22530999999998</v>
      </c>
      <c r="E489" s="40">
        <v>0</v>
      </c>
      <c r="F489" s="40">
        <f t="shared" si="35"/>
        <v>574.83796499999994</v>
      </c>
      <c r="G489" s="64"/>
      <c r="H489" s="64"/>
      <c r="I489" s="34"/>
    </row>
    <row r="490" spans="1:9" s="35" customFormat="1" ht="15.75" customHeight="1" x14ac:dyDescent="0.25">
      <c r="A490" s="64">
        <v>15</v>
      </c>
      <c r="B490" s="64"/>
      <c r="C490" s="40" t="s">
        <v>209</v>
      </c>
      <c r="D490" s="40">
        <f>(29.97+(0.75*(3.95+1.6)+1.2*1.225))*10.764</f>
        <v>383.22530999999998</v>
      </c>
      <c r="E490" s="40">
        <v>0</v>
      </c>
      <c r="F490" s="40">
        <f t="shared" si="35"/>
        <v>574.83796499999994</v>
      </c>
      <c r="G490" s="64"/>
      <c r="H490" s="64"/>
      <c r="I490" s="34"/>
    </row>
    <row r="491" spans="1:9" s="33" customFormat="1" x14ac:dyDescent="0.25">
      <c r="A491" s="64">
        <v>16</v>
      </c>
      <c r="B491" s="64"/>
      <c r="C491" s="40" t="s">
        <v>209</v>
      </c>
      <c r="D491" s="40">
        <f>(29.97+(0.75*(3.95+1.6)+1.2*1.225))*10.764</f>
        <v>383.22530999999998</v>
      </c>
      <c r="E491" s="40">
        <v>0</v>
      </c>
      <c r="F491" s="40">
        <f t="shared" si="35"/>
        <v>574.83796499999994</v>
      </c>
      <c r="G491" s="64"/>
      <c r="H491" s="64"/>
    </row>
    <row r="492" spans="1:9" s="33" customFormat="1" x14ac:dyDescent="0.25">
      <c r="A492" s="64">
        <v>17</v>
      </c>
      <c r="B492" s="64"/>
      <c r="C492" s="40" t="s">
        <v>209</v>
      </c>
      <c r="D492" s="40">
        <f>(29.97+(0.75*(3.95+1.6)+1.2*1.225))*10.764</f>
        <v>383.22530999999998</v>
      </c>
      <c r="E492" s="40">
        <v>0</v>
      </c>
      <c r="F492" s="40">
        <f t="shared" si="35"/>
        <v>574.83796499999994</v>
      </c>
      <c r="G492" s="64"/>
      <c r="H492" s="64"/>
    </row>
    <row r="493" spans="1:9" s="33" customFormat="1" x14ac:dyDescent="0.25">
      <c r="A493" s="64">
        <v>18</v>
      </c>
      <c r="B493" s="64"/>
      <c r="C493" s="40" t="s">
        <v>209</v>
      </c>
      <c r="D493" s="40">
        <f>(29.97+(0.75*(3.95+1.6)+1.2*1.225))*10.764</f>
        <v>383.22530999999998</v>
      </c>
      <c r="E493" s="40">
        <v>0</v>
      </c>
      <c r="F493" s="40">
        <f t="shared" si="35"/>
        <v>574.83796499999994</v>
      </c>
      <c r="G493" s="64"/>
      <c r="H493" s="64"/>
    </row>
    <row r="494" spans="1:9" s="33" customFormat="1" x14ac:dyDescent="0.25">
      <c r="A494" s="64">
        <v>19</v>
      </c>
      <c r="B494" s="64"/>
      <c r="C494" s="64" t="s">
        <v>207</v>
      </c>
      <c r="D494" s="64"/>
      <c r="E494" s="64"/>
      <c r="F494" s="64"/>
      <c r="G494" s="64"/>
      <c r="H494" s="64"/>
    </row>
    <row r="495" spans="1:9" s="33" customFormat="1" x14ac:dyDescent="0.25">
      <c r="A495" s="128" t="s">
        <v>70</v>
      </c>
      <c r="B495" s="128"/>
      <c r="C495" s="128"/>
      <c r="D495" s="128"/>
      <c r="E495" s="128"/>
      <c r="F495" s="128"/>
      <c r="G495" s="128"/>
      <c r="H495" s="128"/>
    </row>
    <row r="496" spans="1:9" s="33" customFormat="1" ht="33" customHeight="1" x14ac:dyDescent="0.25">
      <c r="A496" s="43" t="s">
        <v>158</v>
      </c>
      <c r="B496" s="123" t="s">
        <v>244</v>
      </c>
      <c r="C496" s="124"/>
      <c r="D496" s="124"/>
      <c r="E496" s="124"/>
      <c r="F496" s="124"/>
      <c r="G496" s="124"/>
      <c r="H496" s="125"/>
    </row>
    <row r="497" spans="1:8" s="33" customFormat="1" x14ac:dyDescent="0.25">
      <c r="A497" s="43" t="s">
        <v>158</v>
      </c>
      <c r="B497" s="123" t="str">
        <f>(IF(F266="Saleable area Loading :","We have considered Saleable area of Flats as per our Calculation.","We considered Saleable area of Flat as per Builder area Sheet."))</f>
        <v>We have considered Saleable area of Flats as per our Calculation.</v>
      </c>
      <c r="C497" s="124"/>
      <c r="D497" s="124"/>
      <c r="E497" s="124"/>
      <c r="F497" s="124"/>
      <c r="G497" s="124"/>
      <c r="H497" s="125"/>
    </row>
    <row r="498" spans="1:8" s="33" customFormat="1" x14ac:dyDescent="0.25">
      <c r="A498" s="43" t="s">
        <v>158</v>
      </c>
      <c r="B498" s="123" t="str">
        <f>(IF(F184="Saleable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498" s="124"/>
      <c r="D498" s="124"/>
      <c r="E498" s="124"/>
      <c r="F498" s="124"/>
      <c r="G498" s="124"/>
      <c r="H498" s="125"/>
    </row>
    <row r="499" spans="1:8" s="33" customFormat="1" x14ac:dyDescent="0.25">
      <c r="A499" s="43" t="s">
        <v>158</v>
      </c>
      <c r="B499" s="60" t="s">
        <v>128</v>
      </c>
      <c r="C499" s="61"/>
      <c r="D499" s="61"/>
      <c r="E499" s="61"/>
      <c r="F499" s="61"/>
      <c r="G499" s="61"/>
      <c r="H499" s="62"/>
    </row>
    <row r="500" spans="1:8" s="33" customFormat="1" x14ac:dyDescent="0.25">
      <c r="A500" s="43" t="s">
        <v>158</v>
      </c>
      <c r="B500" s="60" t="s">
        <v>218</v>
      </c>
      <c r="C500" s="61"/>
      <c r="D500" s="61"/>
      <c r="E500" s="61"/>
      <c r="F500" s="61"/>
      <c r="G500" s="61"/>
      <c r="H500" s="62"/>
    </row>
    <row r="501" spans="1:8" s="33" customFormat="1" x14ac:dyDescent="0.25">
      <c r="A501" s="43" t="s">
        <v>158</v>
      </c>
      <c r="B501" s="60" t="s">
        <v>157</v>
      </c>
      <c r="C501" s="61"/>
      <c r="D501" s="61"/>
      <c r="E501" s="61"/>
      <c r="F501" s="61"/>
      <c r="G501" s="61"/>
      <c r="H501" s="62"/>
    </row>
    <row r="502" spans="1:8" s="33" customFormat="1" x14ac:dyDescent="0.25">
      <c r="A502" s="43" t="s">
        <v>158</v>
      </c>
      <c r="B502" s="60" t="s">
        <v>129</v>
      </c>
      <c r="C502" s="61"/>
      <c r="D502" s="61"/>
      <c r="E502" s="61"/>
      <c r="F502" s="61"/>
      <c r="G502" s="61"/>
      <c r="H502" s="62"/>
    </row>
    <row r="503" spans="1:8" s="33" customFormat="1" x14ac:dyDescent="0.25">
      <c r="A503" s="43" t="s">
        <v>158</v>
      </c>
      <c r="B503" s="60" t="s">
        <v>159</v>
      </c>
      <c r="C503" s="61"/>
      <c r="D503" s="61"/>
      <c r="E503" s="61"/>
      <c r="F503" s="61"/>
      <c r="G503" s="61"/>
      <c r="H503" s="62"/>
    </row>
    <row r="504" spans="1:8" s="33" customFormat="1" x14ac:dyDescent="0.25">
      <c r="A504" s="43" t="s">
        <v>158</v>
      </c>
      <c r="B504" s="60" t="s">
        <v>130</v>
      </c>
      <c r="C504" s="61"/>
      <c r="D504" s="61"/>
      <c r="E504" s="61"/>
      <c r="F504" s="61"/>
      <c r="G504" s="61"/>
      <c r="H504" s="62"/>
    </row>
    <row r="505" spans="1:8" x14ac:dyDescent="0.25">
      <c r="A505" s="43" t="s">
        <v>158</v>
      </c>
      <c r="B505" s="60" t="s">
        <v>234</v>
      </c>
      <c r="C505" s="61"/>
      <c r="D505" s="61"/>
      <c r="E505" s="61"/>
      <c r="F505" s="61"/>
      <c r="G505" s="61"/>
      <c r="H505" s="62"/>
    </row>
    <row r="506" spans="1:8" x14ac:dyDescent="0.25">
      <c r="A506" s="43" t="s">
        <v>158</v>
      </c>
      <c r="B506" s="60" t="s">
        <v>237</v>
      </c>
      <c r="C506" s="61"/>
      <c r="D506" s="61"/>
      <c r="E506" s="61"/>
      <c r="F506" s="61"/>
      <c r="G506" s="61"/>
      <c r="H506" s="62"/>
    </row>
    <row r="507" spans="1:8" ht="15.75" customHeight="1" x14ac:dyDescent="0.25">
      <c r="A507" s="43" t="s">
        <v>158</v>
      </c>
      <c r="B507" s="60" t="s">
        <v>237</v>
      </c>
      <c r="C507" s="61"/>
      <c r="D507" s="61"/>
      <c r="E507" s="61"/>
      <c r="F507" s="61"/>
      <c r="G507" s="61"/>
      <c r="H507" s="62"/>
    </row>
    <row r="508" spans="1:8" x14ac:dyDescent="0.25">
      <c r="A508" s="59" t="s">
        <v>158</v>
      </c>
      <c r="B508" s="60" t="s">
        <v>256</v>
      </c>
      <c r="C508" s="61"/>
      <c r="D508" s="61"/>
      <c r="E508" s="61"/>
      <c r="F508" s="61"/>
      <c r="G508" s="61"/>
      <c r="H508" s="62"/>
    </row>
    <row r="509" spans="1:8" x14ac:dyDescent="0.25">
      <c r="A509" s="43" t="s">
        <v>158</v>
      </c>
      <c r="B509" s="123" t="s">
        <v>253</v>
      </c>
      <c r="C509" s="124"/>
      <c r="D509" s="124"/>
      <c r="E509" s="124"/>
      <c r="F509" s="124"/>
      <c r="G509" s="124"/>
      <c r="H509" s="125"/>
    </row>
    <row r="510" spans="1:8" x14ac:dyDescent="0.25">
      <c r="A510" s="113" t="s">
        <v>63</v>
      </c>
      <c r="B510" s="113"/>
      <c r="C510" s="113"/>
      <c r="D510" s="113"/>
      <c r="E510" s="113"/>
      <c r="F510" s="113"/>
      <c r="G510" s="113"/>
      <c r="H510" s="113"/>
    </row>
    <row r="511" spans="1:8" x14ac:dyDescent="0.25">
      <c r="A511" s="83" t="s">
        <v>64</v>
      </c>
      <c r="B511" s="83"/>
      <c r="C511" s="83"/>
      <c r="D511" s="83"/>
      <c r="E511" s="83"/>
      <c r="F511" s="83"/>
      <c r="G511" s="83"/>
      <c r="H511" s="83"/>
    </row>
    <row r="512" spans="1:8" x14ac:dyDescent="0.25">
      <c r="A512" s="91" t="s">
        <v>65</v>
      </c>
      <c r="B512" s="91"/>
      <c r="C512" s="91"/>
      <c r="D512" s="91"/>
      <c r="E512" s="91"/>
      <c r="F512" s="91"/>
      <c r="G512" s="91"/>
      <c r="H512" s="91"/>
    </row>
    <row r="513" spans="1:8" x14ac:dyDescent="0.25">
      <c r="A513" s="83" t="s">
        <v>66</v>
      </c>
      <c r="B513" s="83"/>
      <c r="C513" s="83"/>
      <c r="D513" s="83"/>
      <c r="E513" s="83"/>
      <c r="F513" s="83"/>
      <c r="G513" s="83"/>
      <c r="H513" s="83"/>
    </row>
    <row r="514" spans="1:8" x14ac:dyDescent="0.25">
      <c r="A514" s="83" t="s">
        <v>67</v>
      </c>
      <c r="B514" s="83"/>
      <c r="C514" s="83"/>
      <c r="D514" s="83"/>
      <c r="E514" s="83"/>
      <c r="F514" s="83"/>
      <c r="G514" s="83"/>
      <c r="H514" s="83"/>
    </row>
    <row r="515" spans="1:8" x14ac:dyDescent="0.25">
      <c r="A515" s="83" t="s">
        <v>131</v>
      </c>
      <c r="B515" s="83"/>
      <c r="C515" s="83"/>
      <c r="D515" s="83"/>
      <c r="E515" s="83"/>
      <c r="F515" s="83"/>
      <c r="G515" s="83"/>
      <c r="H515" s="83"/>
    </row>
    <row r="516" spans="1:8" x14ac:dyDescent="0.25">
      <c r="A516" s="114" t="s">
        <v>132</v>
      </c>
      <c r="B516" s="114"/>
      <c r="C516" s="114"/>
      <c r="D516" s="114"/>
      <c r="E516" s="114"/>
      <c r="F516" s="114"/>
      <c r="G516" s="114"/>
      <c r="H516" s="114"/>
    </row>
    <row r="517" spans="1:8" x14ac:dyDescent="0.25">
      <c r="A517" s="130" t="s">
        <v>80</v>
      </c>
      <c r="B517" s="130"/>
      <c r="C517" s="130" t="s">
        <v>176</v>
      </c>
      <c r="D517" s="130"/>
      <c r="E517" s="130" t="s">
        <v>108</v>
      </c>
      <c r="F517" s="130"/>
      <c r="G517" s="130" t="s">
        <v>245</v>
      </c>
      <c r="H517" s="130"/>
    </row>
    <row r="518" spans="1:8" x14ac:dyDescent="0.25">
      <c r="A518" s="129" t="s">
        <v>82</v>
      </c>
      <c r="B518" s="129"/>
      <c r="C518" s="129"/>
      <c r="D518" s="129"/>
      <c r="E518" s="129"/>
      <c r="F518" s="129"/>
      <c r="G518" s="129"/>
      <c r="H518" s="129"/>
    </row>
    <row r="519" spans="1:8" ht="15" customHeight="1" x14ac:dyDescent="0.25">
      <c r="A519" s="129"/>
      <c r="B519" s="129"/>
      <c r="C519" s="129"/>
      <c r="D519" s="129"/>
      <c r="E519" s="129"/>
      <c r="F519" s="129"/>
      <c r="G519" s="129"/>
      <c r="H519" s="129"/>
    </row>
    <row r="520" spans="1:8" x14ac:dyDescent="0.25">
      <c r="A520" s="129"/>
      <c r="B520" s="129"/>
      <c r="C520" s="129"/>
      <c r="D520" s="129"/>
      <c r="E520" s="129"/>
      <c r="F520" s="129"/>
      <c r="G520" s="129"/>
      <c r="H520" s="129"/>
    </row>
    <row r="521" spans="1:8" x14ac:dyDescent="0.25">
      <c r="A521" s="36" t="s">
        <v>68</v>
      </c>
      <c r="B521" s="37"/>
      <c r="C521" s="37"/>
      <c r="D521" s="36" t="str">
        <f>E8</f>
        <v>Narayani Dham</v>
      </c>
      <c r="F521" s="37"/>
      <c r="G521" s="37"/>
      <c r="H521" s="37"/>
    </row>
    <row r="522" spans="1:8" x14ac:dyDescent="0.25">
      <c r="A522" s="37"/>
      <c r="B522" s="37"/>
      <c r="C522" s="37"/>
      <c r="D522" s="37"/>
      <c r="E522" s="37"/>
      <c r="F522" s="37"/>
      <c r="G522" s="37"/>
      <c r="H522" s="37"/>
    </row>
    <row r="523" spans="1:8" x14ac:dyDescent="0.25">
      <c r="A523" s="37"/>
      <c r="B523" s="37"/>
      <c r="C523" s="37"/>
      <c r="D523" s="37"/>
      <c r="E523" s="37"/>
      <c r="F523" s="37"/>
      <c r="G523" s="37"/>
      <c r="H523" s="37"/>
    </row>
    <row r="563" spans="1:1" x14ac:dyDescent="0.25">
      <c r="A563" s="39" t="s">
        <v>169</v>
      </c>
    </row>
    <row r="605" spans="1:1" x14ac:dyDescent="0.25">
      <c r="A605" s="39" t="s">
        <v>69</v>
      </c>
    </row>
  </sheetData>
  <mergeCells count="784">
    <mergeCell ref="C50:E50"/>
    <mergeCell ref="G50:H50"/>
    <mergeCell ref="C51:H51"/>
    <mergeCell ref="B508:H508"/>
    <mergeCell ref="A96:B96"/>
    <mergeCell ref="A97:B97"/>
    <mergeCell ref="A98:B98"/>
    <mergeCell ref="A99:B99"/>
    <mergeCell ref="A100:B100"/>
    <mergeCell ref="A102:B102"/>
    <mergeCell ref="A103:B103"/>
    <mergeCell ref="A114:B114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B509:H509"/>
    <mergeCell ref="B505:H505"/>
    <mergeCell ref="A178:A179"/>
    <mergeCell ref="A487:B487"/>
    <mergeCell ref="A488:B488"/>
    <mergeCell ref="A489:B489"/>
    <mergeCell ref="A490:B490"/>
    <mergeCell ref="G189:H233"/>
    <mergeCell ref="G235:H264"/>
    <mergeCell ref="G370:H372"/>
    <mergeCell ref="A475:H475"/>
    <mergeCell ref="A476:B476"/>
    <mergeCell ref="G476:H494"/>
    <mergeCell ref="A477:B477"/>
    <mergeCell ref="A478:B478"/>
    <mergeCell ref="A479:B479"/>
    <mergeCell ref="A480:B480"/>
    <mergeCell ref="A481:B481"/>
    <mergeCell ref="A485:B485"/>
    <mergeCell ref="A486:B486"/>
    <mergeCell ref="A492:B492"/>
    <mergeCell ref="A493:B493"/>
    <mergeCell ref="A494:B494"/>
    <mergeCell ref="C494:F494"/>
    <mergeCell ref="A457:B457"/>
    <mergeCell ref="A458:B458"/>
    <mergeCell ref="A459:B459"/>
    <mergeCell ref="A460:B460"/>
    <mergeCell ref="A461:B461"/>
    <mergeCell ref="G456:H474"/>
    <mergeCell ref="A462:B462"/>
    <mergeCell ref="A463:B463"/>
    <mergeCell ref="A464:B464"/>
    <mergeCell ref="A465:B465"/>
    <mergeCell ref="A466:B466"/>
    <mergeCell ref="A467:B467"/>
    <mergeCell ref="A468:B468"/>
    <mergeCell ref="A469:B469"/>
    <mergeCell ref="A470:B470"/>
    <mergeCell ref="A471:B471"/>
    <mergeCell ref="A472:B472"/>
    <mergeCell ref="A473:B473"/>
    <mergeCell ref="A474:B474"/>
    <mergeCell ref="A491:B491"/>
    <mergeCell ref="A482:B482"/>
    <mergeCell ref="A483:B483"/>
    <mergeCell ref="A484:B484"/>
    <mergeCell ref="A433:H433"/>
    <mergeCell ref="A455:H455"/>
    <mergeCell ref="A456:B456"/>
    <mergeCell ref="A448:B448"/>
    <mergeCell ref="A449:B449"/>
    <mergeCell ref="A450:B450"/>
    <mergeCell ref="A451:B451"/>
    <mergeCell ref="A452:B452"/>
    <mergeCell ref="A443:B443"/>
    <mergeCell ref="A444:B444"/>
    <mergeCell ref="A445:B445"/>
    <mergeCell ref="A435:H435"/>
    <mergeCell ref="A436:B436"/>
    <mergeCell ref="A437:B437"/>
    <mergeCell ref="G436:H454"/>
    <mergeCell ref="A446:B446"/>
    <mergeCell ref="A447:B447"/>
    <mergeCell ref="A438:B438"/>
    <mergeCell ref="A439:B439"/>
    <mergeCell ref="A440:B440"/>
    <mergeCell ref="A441:B441"/>
    <mergeCell ref="A442:B442"/>
    <mergeCell ref="A453:B453"/>
    <mergeCell ref="A454:B454"/>
    <mergeCell ref="A415:B415"/>
    <mergeCell ref="G414:H432"/>
    <mergeCell ref="A416:B416"/>
    <mergeCell ref="A417:B417"/>
    <mergeCell ref="A418:B418"/>
    <mergeCell ref="A419:B419"/>
    <mergeCell ref="A420:B420"/>
    <mergeCell ref="A421:B421"/>
    <mergeCell ref="A422:B422"/>
    <mergeCell ref="A423:B423"/>
    <mergeCell ref="A424:B424"/>
    <mergeCell ref="A425:B425"/>
    <mergeCell ref="A426:B426"/>
    <mergeCell ref="A427:B427"/>
    <mergeCell ref="A428:B428"/>
    <mergeCell ref="A429:B429"/>
    <mergeCell ref="A430:B430"/>
    <mergeCell ref="A431:B431"/>
    <mergeCell ref="A432:B432"/>
    <mergeCell ref="C432:F432"/>
    <mergeCell ref="A434:H434"/>
    <mergeCell ref="A393:H393"/>
    <mergeCell ref="A394:B394"/>
    <mergeCell ref="A395:B395"/>
    <mergeCell ref="G394:H412"/>
    <mergeCell ref="A396:B396"/>
    <mergeCell ref="A397:B397"/>
    <mergeCell ref="A398:B398"/>
    <mergeCell ref="A399:B399"/>
    <mergeCell ref="A400:B400"/>
    <mergeCell ref="A401:B401"/>
    <mergeCell ref="A402:B402"/>
    <mergeCell ref="A403:B403"/>
    <mergeCell ref="A404:B404"/>
    <mergeCell ref="A405:B405"/>
    <mergeCell ref="A406:B406"/>
    <mergeCell ref="A407:B407"/>
    <mergeCell ref="A408:B408"/>
    <mergeCell ref="A409:B409"/>
    <mergeCell ref="A410:B410"/>
    <mergeCell ref="A411:B411"/>
    <mergeCell ref="A412:B412"/>
    <mergeCell ref="A413:H413"/>
    <mergeCell ref="A414:B414"/>
    <mergeCell ref="A373:H373"/>
    <mergeCell ref="A374:B374"/>
    <mergeCell ref="A375:B375"/>
    <mergeCell ref="G374:H392"/>
    <mergeCell ref="A376:B376"/>
    <mergeCell ref="A377:B377"/>
    <mergeCell ref="A378:B378"/>
    <mergeCell ref="A379:B379"/>
    <mergeCell ref="A380:B380"/>
    <mergeCell ref="A381:B381"/>
    <mergeCell ref="A382:B382"/>
    <mergeCell ref="A383:B383"/>
    <mergeCell ref="A384:B384"/>
    <mergeCell ref="A385:B385"/>
    <mergeCell ref="A386:B386"/>
    <mergeCell ref="A387:B387"/>
    <mergeCell ref="A388:B388"/>
    <mergeCell ref="A389:B389"/>
    <mergeCell ref="A390:B390"/>
    <mergeCell ref="A391:B391"/>
    <mergeCell ref="A392:B392"/>
    <mergeCell ref="A367:H367"/>
    <mergeCell ref="A369:H369"/>
    <mergeCell ref="A370:B370"/>
    <mergeCell ref="A371:B371"/>
    <mergeCell ref="A372:B372"/>
    <mergeCell ref="A368:H368"/>
    <mergeCell ref="C371:F371"/>
    <mergeCell ref="C372:F372"/>
    <mergeCell ref="A350:H350"/>
    <mergeCell ref="A351:B351"/>
    <mergeCell ref="A352:B352"/>
    <mergeCell ref="A353:B353"/>
    <mergeCell ref="A354:B354"/>
    <mergeCell ref="A355:B355"/>
    <mergeCell ref="G351:H366"/>
    <mergeCell ref="A356:B356"/>
    <mergeCell ref="A357:B357"/>
    <mergeCell ref="A358:B358"/>
    <mergeCell ref="A359:B359"/>
    <mergeCell ref="A360:B360"/>
    <mergeCell ref="A361:B361"/>
    <mergeCell ref="A362:B362"/>
    <mergeCell ref="A363:B363"/>
    <mergeCell ref="A364:B364"/>
    <mergeCell ref="C366:F366"/>
    <mergeCell ref="A333:H333"/>
    <mergeCell ref="A334:B334"/>
    <mergeCell ref="A335:B335"/>
    <mergeCell ref="G334:H349"/>
    <mergeCell ref="A336:B336"/>
    <mergeCell ref="A337:B337"/>
    <mergeCell ref="A338:B338"/>
    <mergeCell ref="A339:B339"/>
    <mergeCell ref="A340:B340"/>
    <mergeCell ref="A341:B341"/>
    <mergeCell ref="A342:B342"/>
    <mergeCell ref="A343:B343"/>
    <mergeCell ref="A344:B344"/>
    <mergeCell ref="A345:B345"/>
    <mergeCell ref="A346:B346"/>
    <mergeCell ref="A347:B347"/>
    <mergeCell ref="A348:B348"/>
    <mergeCell ref="A349:B349"/>
    <mergeCell ref="A47:B47"/>
    <mergeCell ref="C47:H47"/>
    <mergeCell ref="B501:H501"/>
    <mergeCell ref="A134:B134"/>
    <mergeCell ref="A135:B135"/>
    <mergeCell ref="G119:H128"/>
    <mergeCell ref="A120:B120"/>
    <mergeCell ref="A121:B121"/>
    <mergeCell ref="A122:B122"/>
    <mergeCell ref="F159:H159"/>
    <mergeCell ref="A159:E159"/>
    <mergeCell ref="D184:D185"/>
    <mergeCell ref="A161:E161"/>
    <mergeCell ref="A189:B189"/>
    <mergeCell ref="A190:B190"/>
    <mergeCell ref="A290:B290"/>
    <mergeCell ref="A291:B291"/>
    <mergeCell ref="A317:B317"/>
    <mergeCell ref="A316:H316"/>
    <mergeCell ref="A318:B318"/>
    <mergeCell ref="A319:B319"/>
    <mergeCell ref="A320:B320"/>
    <mergeCell ref="G317:H332"/>
    <mergeCell ref="A330:B330"/>
    <mergeCell ref="A145:B145"/>
    <mergeCell ref="C145:H145"/>
    <mergeCell ref="A146:B146"/>
    <mergeCell ref="E146:F146"/>
    <mergeCell ref="G146:H146"/>
    <mergeCell ref="A147:B147"/>
    <mergeCell ref="E147:F156"/>
    <mergeCell ref="G147:H156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17:B117"/>
    <mergeCell ref="C117:H117"/>
    <mergeCell ref="A118:B118"/>
    <mergeCell ref="E118:F118"/>
    <mergeCell ref="G118:H118"/>
    <mergeCell ref="A163:E163"/>
    <mergeCell ref="F163:H163"/>
    <mergeCell ref="A165:E165"/>
    <mergeCell ref="F160:H160"/>
    <mergeCell ref="A164:E164"/>
    <mergeCell ref="A136:B136"/>
    <mergeCell ref="A137:B137"/>
    <mergeCell ref="A138:B138"/>
    <mergeCell ref="A140:B140"/>
    <mergeCell ref="A141:B141"/>
    <mergeCell ref="A160:E160"/>
    <mergeCell ref="A157:E157"/>
    <mergeCell ref="F161:H161"/>
    <mergeCell ref="G132:H132"/>
    <mergeCell ref="A143:B143"/>
    <mergeCell ref="C143:H143"/>
    <mergeCell ref="A279:B279"/>
    <mergeCell ref="A321:B321"/>
    <mergeCell ref="A208:B208"/>
    <mergeCell ref="A213:B213"/>
    <mergeCell ref="A218:B218"/>
    <mergeCell ref="A223:B223"/>
    <mergeCell ref="A228:B228"/>
    <mergeCell ref="A180:B180"/>
    <mergeCell ref="E180:F180"/>
    <mergeCell ref="A292:B292"/>
    <mergeCell ref="A293:H293"/>
    <mergeCell ref="A294:B294"/>
    <mergeCell ref="A295:B295"/>
    <mergeCell ref="A285:B285"/>
    <mergeCell ref="A300:B300"/>
    <mergeCell ref="A181:B181"/>
    <mergeCell ref="E181:F181"/>
    <mergeCell ref="G181:H181"/>
    <mergeCell ref="A315:B315"/>
    <mergeCell ref="A296:B296"/>
    <mergeCell ref="A297:B297"/>
    <mergeCell ref="A298:B298"/>
    <mergeCell ref="A299:B299"/>
    <mergeCell ref="A301:B301"/>
    <mergeCell ref="F157:H157"/>
    <mergeCell ref="F162:H162"/>
    <mergeCell ref="L271:M271"/>
    <mergeCell ref="A265:H265"/>
    <mergeCell ref="A266:A267"/>
    <mergeCell ref="A280:B280"/>
    <mergeCell ref="A277:B277"/>
    <mergeCell ref="A278:B278"/>
    <mergeCell ref="A167:E167"/>
    <mergeCell ref="G180:H180"/>
    <mergeCell ref="A173:B173"/>
    <mergeCell ref="C173:D173"/>
    <mergeCell ref="E173:F173"/>
    <mergeCell ref="G173:H173"/>
    <mergeCell ref="C179:D179"/>
    <mergeCell ref="E179:F179"/>
    <mergeCell ref="C175:D175"/>
    <mergeCell ref="C184:C185"/>
    <mergeCell ref="B266:B267"/>
    <mergeCell ref="A274:B274"/>
    <mergeCell ref="A271:B271"/>
    <mergeCell ref="F166:H166"/>
    <mergeCell ref="A37:B37"/>
    <mergeCell ref="C37:H37"/>
    <mergeCell ref="A44:D44"/>
    <mergeCell ref="L188:M188"/>
    <mergeCell ref="L187:M187"/>
    <mergeCell ref="L186:M186"/>
    <mergeCell ref="L185:M185"/>
    <mergeCell ref="A83:B83"/>
    <mergeCell ref="C178:D178"/>
    <mergeCell ref="E178:F178"/>
    <mergeCell ref="G178:H178"/>
    <mergeCell ref="A158:E158"/>
    <mergeCell ref="A129:B129"/>
    <mergeCell ref="C129:H129"/>
    <mergeCell ref="A188:H188"/>
    <mergeCell ref="E184:E185"/>
    <mergeCell ref="G184:H185"/>
    <mergeCell ref="A119:B119"/>
    <mergeCell ref="E119:F128"/>
    <mergeCell ref="A131:B131"/>
    <mergeCell ref="A162:E162"/>
    <mergeCell ref="E41:H41"/>
    <mergeCell ref="E133:F142"/>
    <mergeCell ref="A35:B35"/>
    <mergeCell ref="C35:E35"/>
    <mergeCell ref="G133:H142"/>
    <mergeCell ref="A40:D40"/>
    <mergeCell ref="E40:H40"/>
    <mergeCell ref="G49:H49"/>
    <mergeCell ref="A54:B55"/>
    <mergeCell ref="A82:B82"/>
    <mergeCell ref="A75:B75"/>
    <mergeCell ref="A78:B78"/>
    <mergeCell ref="A74:B74"/>
    <mergeCell ref="A72:B72"/>
    <mergeCell ref="C72:H72"/>
    <mergeCell ref="A80:B80"/>
    <mergeCell ref="A67:C67"/>
    <mergeCell ref="D67:H67"/>
    <mergeCell ref="C74:H74"/>
    <mergeCell ref="A77:B77"/>
    <mergeCell ref="A79:B79"/>
    <mergeCell ref="C131:H131"/>
    <mergeCell ref="A132:B132"/>
    <mergeCell ref="E132:F132"/>
    <mergeCell ref="A38:B38"/>
    <mergeCell ref="C38:H38"/>
    <mergeCell ref="A41:D41"/>
    <mergeCell ref="A71:C71"/>
    <mergeCell ref="D71:H71"/>
    <mergeCell ref="A69:C69"/>
    <mergeCell ref="D69:H69"/>
    <mergeCell ref="A128:B128"/>
    <mergeCell ref="A133:B133"/>
    <mergeCell ref="A36:H36"/>
    <mergeCell ref="C100:H100"/>
    <mergeCell ref="C102:H102"/>
    <mergeCell ref="E103:F103"/>
    <mergeCell ref="G103:H103"/>
    <mergeCell ref="C114:D114"/>
    <mergeCell ref="E114:F114"/>
    <mergeCell ref="G114:H114"/>
    <mergeCell ref="E104:F113"/>
    <mergeCell ref="G104:H113"/>
    <mergeCell ref="A93:B93"/>
    <mergeCell ref="A94:B94"/>
    <mergeCell ref="A95:B95"/>
    <mergeCell ref="E75:F75"/>
    <mergeCell ref="A68:C68"/>
    <mergeCell ref="D68:H68"/>
    <mergeCell ref="A39:H39"/>
    <mergeCell ref="A65:C65"/>
    <mergeCell ref="A66:C66"/>
    <mergeCell ref="D65:H65"/>
    <mergeCell ref="E76:F85"/>
    <mergeCell ref="G76:H85"/>
    <mergeCell ref="A84:B84"/>
    <mergeCell ref="A85:B85"/>
    <mergeCell ref="D66:H66"/>
    <mergeCell ref="A42:D42"/>
    <mergeCell ref="E42:H42"/>
    <mergeCell ref="E43:H43"/>
    <mergeCell ref="E44:H44"/>
    <mergeCell ref="A46:H46"/>
    <mergeCell ref="D62:H62"/>
    <mergeCell ref="A62:C62"/>
    <mergeCell ref="E45:H45"/>
    <mergeCell ref="A43:D43"/>
    <mergeCell ref="A70:C70"/>
    <mergeCell ref="D70:H70"/>
    <mergeCell ref="A76:B76"/>
    <mergeCell ref="G75:H75"/>
    <mergeCell ref="C48:E48"/>
    <mergeCell ref="G55:H55"/>
    <mergeCell ref="A31:B31"/>
    <mergeCell ref="C32:E32"/>
    <mergeCell ref="A33:B33"/>
    <mergeCell ref="C33:E33"/>
    <mergeCell ref="F32:H32"/>
    <mergeCell ref="F33:H33"/>
    <mergeCell ref="A126:B126"/>
    <mergeCell ref="A127:B127"/>
    <mergeCell ref="A52:B53"/>
    <mergeCell ref="C52:E52"/>
    <mergeCell ref="G52:H52"/>
    <mergeCell ref="C53:H53"/>
    <mergeCell ref="A86:B86"/>
    <mergeCell ref="C86:H86"/>
    <mergeCell ref="A88:B88"/>
    <mergeCell ref="C88:H88"/>
    <mergeCell ref="A89:B89"/>
    <mergeCell ref="E89:F89"/>
    <mergeCell ref="G89:H89"/>
    <mergeCell ref="A90:B90"/>
    <mergeCell ref="E90:F99"/>
    <mergeCell ref="G90:H99"/>
    <mergeCell ref="A91:B91"/>
    <mergeCell ref="A92:B92"/>
    <mergeCell ref="F35:H35"/>
    <mergeCell ref="A34:B34"/>
    <mergeCell ref="C34:E34"/>
    <mergeCell ref="A45:D45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F168:H168"/>
    <mergeCell ref="A169:E169"/>
    <mergeCell ref="F169:H169"/>
    <mergeCell ref="A275:H275"/>
    <mergeCell ref="A287:B287"/>
    <mergeCell ref="A172:B172"/>
    <mergeCell ref="A513:H513"/>
    <mergeCell ref="A174:H174"/>
    <mergeCell ref="A516:H516"/>
    <mergeCell ref="A514:H514"/>
    <mergeCell ref="A510:H510"/>
    <mergeCell ref="A511:H511"/>
    <mergeCell ref="E171:F171"/>
    <mergeCell ref="A176:A177"/>
    <mergeCell ref="E175:F175"/>
    <mergeCell ref="B504:H504"/>
    <mergeCell ref="G175:H175"/>
    <mergeCell ref="G304:H315"/>
    <mergeCell ref="A289:B289"/>
    <mergeCell ref="A288:B288"/>
    <mergeCell ref="A192:B192"/>
    <mergeCell ref="A305:B305"/>
    <mergeCell ref="A306:B306"/>
    <mergeCell ref="A307:B307"/>
    <mergeCell ref="A308:B308"/>
    <mergeCell ref="A303:H303"/>
    <mergeCell ref="A284:H284"/>
    <mergeCell ref="A518:H520"/>
    <mergeCell ref="A517:B517"/>
    <mergeCell ref="E517:F517"/>
    <mergeCell ref="C517:D517"/>
    <mergeCell ref="G517:H517"/>
    <mergeCell ref="G294:H301"/>
    <mergeCell ref="G285:H292"/>
    <mergeCell ref="B503:H503"/>
    <mergeCell ref="A331:B331"/>
    <mergeCell ref="A332:B332"/>
    <mergeCell ref="A365:B365"/>
    <mergeCell ref="A325:B325"/>
    <mergeCell ref="A326:B326"/>
    <mergeCell ref="A327:B327"/>
    <mergeCell ref="A328:B328"/>
    <mergeCell ref="A329:B329"/>
    <mergeCell ref="A322:B322"/>
    <mergeCell ref="A323:B323"/>
    <mergeCell ref="A324:B324"/>
    <mergeCell ref="A366:B366"/>
    <mergeCell ref="A115:B115"/>
    <mergeCell ref="C115:H115"/>
    <mergeCell ref="A81:B81"/>
    <mergeCell ref="F158:H158"/>
    <mergeCell ref="B502:H502"/>
    <mergeCell ref="B498:H498"/>
    <mergeCell ref="A311:B311"/>
    <mergeCell ref="A309:B309"/>
    <mergeCell ref="A310:B310"/>
    <mergeCell ref="A313:B313"/>
    <mergeCell ref="A312:B312"/>
    <mergeCell ref="A182:H182"/>
    <mergeCell ref="B496:H496"/>
    <mergeCell ref="B497:H497"/>
    <mergeCell ref="A304:B304"/>
    <mergeCell ref="A234:H234"/>
    <mergeCell ref="A238:B238"/>
    <mergeCell ref="A255:B255"/>
    <mergeCell ref="C301:F301"/>
    <mergeCell ref="A302:H302"/>
    <mergeCell ref="A314:B314"/>
    <mergeCell ref="B499:H499"/>
    <mergeCell ref="B500:H500"/>
    <mergeCell ref="A495:H495"/>
    <mergeCell ref="G48:H48"/>
    <mergeCell ref="G54:H54"/>
    <mergeCell ref="D60:H60"/>
    <mergeCell ref="A63:C64"/>
    <mergeCell ref="D63:H63"/>
    <mergeCell ref="D64:H64"/>
    <mergeCell ref="C49:E49"/>
    <mergeCell ref="A58:B58"/>
    <mergeCell ref="C58:E58"/>
    <mergeCell ref="A49:B49"/>
    <mergeCell ref="A59:H59"/>
    <mergeCell ref="A60:C60"/>
    <mergeCell ref="A61:C61"/>
    <mergeCell ref="D61:H61"/>
    <mergeCell ref="G58:H58"/>
    <mergeCell ref="A48:B48"/>
    <mergeCell ref="C54:E55"/>
    <mergeCell ref="A56:B57"/>
    <mergeCell ref="C56:E56"/>
    <mergeCell ref="G56:H56"/>
    <mergeCell ref="C57:H57"/>
    <mergeCell ref="A50:B51"/>
    <mergeCell ref="A515:H515"/>
    <mergeCell ref="A512:H512"/>
    <mergeCell ref="A276:B276"/>
    <mergeCell ref="A175:B175"/>
    <mergeCell ref="D266:D267"/>
    <mergeCell ref="E266:E267"/>
    <mergeCell ref="G266:H267"/>
    <mergeCell ref="A123:B123"/>
    <mergeCell ref="A124:B124"/>
    <mergeCell ref="A125:B125"/>
    <mergeCell ref="A198:B198"/>
    <mergeCell ref="A203:B203"/>
    <mergeCell ref="A246:B246"/>
    <mergeCell ref="A251:B251"/>
    <mergeCell ref="A256:B256"/>
    <mergeCell ref="A282:B282"/>
    <mergeCell ref="A283:B283"/>
    <mergeCell ref="A272:B272"/>
    <mergeCell ref="F164:H164"/>
    <mergeCell ref="C171:D171"/>
    <mergeCell ref="F167:H167"/>
    <mergeCell ref="F165:H165"/>
    <mergeCell ref="A286:B286"/>
    <mergeCell ref="A139:B139"/>
    <mergeCell ref="G172:H172"/>
    <mergeCell ref="A142:B142"/>
    <mergeCell ref="A187:H187"/>
    <mergeCell ref="A193:B193"/>
    <mergeCell ref="G171:H171"/>
    <mergeCell ref="A166:E166"/>
    <mergeCell ref="C172:D172"/>
    <mergeCell ref="E172:F172"/>
    <mergeCell ref="B184:B185"/>
    <mergeCell ref="A184:A185"/>
    <mergeCell ref="C180:D180"/>
    <mergeCell ref="C181:D181"/>
    <mergeCell ref="A186:H186"/>
    <mergeCell ref="C176:D176"/>
    <mergeCell ref="E176:F176"/>
    <mergeCell ref="G176:H176"/>
    <mergeCell ref="C177:D177"/>
    <mergeCell ref="E177:F177"/>
    <mergeCell ref="G177:H177"/>
    <mergeCell ref="A171:B171"/>
    <mergeCell ref="G179:H179"/>
    <mergeCell ref="A183:H183"/>
    <mergeCell ref="A170:H170"/>
    <mergeCell ref="A168:E168"/>
    <mergeCell ref="L189:M189"/>
    <mergeCell ref="A194:B194"/>
    <mergeCell ref="L190:M190"/>
    <mergeCell ref="A195:B195"/>
    <mergeCell ref="L191:M191"/>
    <mergeCell ref="A191:B191"/>
    <mergeCell ref="A196:B196"/>
    <mergeCell ref="L192:M192"/>
    <mergeCell ref="A197:B197"/>
    <mergeCell ref="L193:M193"/>
    <mergeCell ref="L194:M194"/>
    <mergeCell ref="A199:B199"/>
    <mergeCell ref="L195:M195"/>
    <mergeCell ref="A200:B200"/>
    <mergeCell ref="L196:M196"/>
    <mergeCell ref="A201:B201"/>
    <mergeCell ref="L197:M197"/>
    <mergeCell ref="A202:B202"/>
    <mergeCell ref="L198:M198"/>
    <mergeCell ref="L199:M199"/>
    <mergeCell ref="A204:B204"/>
    <mergeCell ref="L200:M200"/>
    <mergeCell ref="A205:B205"/>
    <mergeCell ref="L201:M201"/>
    <mergeCell ref="A206:B206"/>
    <mergeCell ref="L202:M202"/>
    <mergeCell ref="A207:B207"/>
    <mergeCell ref="L203:M203"/>
    <mergeCell ref="L204:M204"/>
    <mergeCell ref="A209:B209"/>
    <mergeCell ref="L205:M205"/>
    <mergeCell ref="A210:B210"/>
    <mergeCell ref="L206:M206"/>
    <mergeCell ref="A211:B211"/>
    <mergeCell ref="L207:M207"/>
    <mergeCell ref="A212:B212"/>
    <mergeCell ref="L208:M208"/>
    <mergeCell ref="L209:M209"/>
    <mergeCell ref="A214:B214"/>
    <mergeCell ref="L210:M210"/>
    <mergeCell ref="A215:B215"/>
    <mergeCell ref="L211:M211"/>
    <mergeCell ref="A216:B216"/>
    <mergeCell ref="L212:M212"/>
    <mergeCell ref="A217:B217"/>
    <mergeCell ref="L213:M213"/>
    <mergeCell ref="L214:M214"/>
    <mergeCell ref="A219:B219"/>
    <mergeCell ref="L215:M215"/>
    <mergeCell ref="A220:B220"/>
    <mergeCell ref="L216:M216"/>
    <mergeCell ref="A221:B221"/>
    <mergeCell ref="L217:M217"/>
    <mergeCell ref="A222:B222"/>
    <mergeCell ref="L218:M218"/>
    <mergeCell ref="L219:M219"/>
    <mergeCell ref="A224:B224"/>
    <mergeCell ref="L220:M220"/>
    <mergeCell ref="A225:B225"/>
    <mergeCell ref="L221:M221"/>
    <mergeCell ref="A226:B226"/>
    <mergeCell ref="L222:M222"/>
    <mergeCell ref="A227:B227"/>
    <mergeCell ref="L223:M223"/>
    <mergeCell ref="L224:M224"/>
    <mergeCell ref="A232:B232"/>
    <mergeCell ref="L228:M228"/>
    <mergeCell ref="A233:B233"/>
    <mergeCell ref="L229:M229"/>
    <mergeCell ref="A229:B229"/>
    <mergeCell ref="L225:M225"/>
    <mergeCell ref="A230:B230"/>
    <mergeCell ref="L226:M226"/>
    <mergeCell ref="A231:B231"/>
    <mergeCell ref="L227:M227"/>
    <mergeCell ref="L234:M234"/>
    <mergeCell ref="A239:B239"/>
    <mergeCell ref="L235:M235"/>
    <mergeCell ref="A240:B240"/>
    <mergeCell ref="L236:M236"/>
    <mergeCell ref="A235:B235"/>
    <mergeCell ref="L231:M231"/>
    <mergeCell ref="A236:B236"/>
    <mergeCell ref="L232:M232"/>
    <mergeCell ref="A237:B237"/>
    <mergeCell ref="L233:M233"/>
    <mergeCell ref="L237:M237"/>
    <mergeCell ref="A242:B242"/>
    <mergeCell ref="L238:M238"/>
    <mergeCell ref="A243:B243"/>
    <mergeCell ref="L239:M239"/>
    <mergeCell ref="A244:B244"/>
    <mergeCell ref="L240:M240"/>
    <mergeCell ref="A245:B245"/>
    <mergeCell ref="L241:M241"/>
    <mergeCell ref="A241:B241"/>
    <mergeCell ref="L252:M252"/>
    <mergeCell ref="A257:B257"/>
    <mergeCell ref="L253:M253"/>
    <mergeCell ref="A258:B258"/>
    <mergeCell ref="L254:M254"/>
    <mergeCell ref="L258:M258"/>
    <mergeCell ref="A263:B263"/>
    <mergeCell ref="L259:M259"/>
    <mergeCell ref="L242:M242"/>
    <mergeCell ref="A247:B247"/>
    <mergeCell ref="L243:M243"/>
    <mergeCell ref="A248:B248"/>
    <mergeCell ref="L244:M244"/>
    <mergeCell ref="A249:B249"/>
    <mergeCell ref="L245:M245"/>
    <mergeCell ref="A250:B250"/>
    <mergeCell ref="L246:M246"/>
    <mergeCell ref="L247:M247"/>
    <mergeCell ref="A252:B252"/>
    <mergeCell ref="L248:M248"/>
    <mergeCell ref="A253:B253"/>
    <mergeCell ref="L249:M249"/>
    <mergeCell ref="A254:B254"/>
    <mergeCell ref="L250:M250"/>
    <mergeCell ref="B506:H506"/>
    <mergeCell ref="B507:H507"/>
    <mergeCell ref="L251:M251"/>
    <mergeCell ref="A281:B281"/>
    <mergeCell ref="A262:B262"/>
    <mergeCell ref="G276:H283"/>
    <mergeCell ref="G271:H274"/>
    <mergeCell ref="A264:B264"/>
    <mergeCell ref="L260:M260"/>
    <mergeCell ref="A259:B259"/>
    <mergeCell ref="L255:M255"/>
    <mergeCell ref="A260:B260"/>
    <mergeCell ref="L256:M256"/>
    <mergeCell ref="A261:B261"/>
    <mergeCell ref="L257:M257"/>
    <mergeCell ref="A269:H269"/>
    <mergeCell ref="A268:H268"/>
    <mergeCell ref="L270:M270"/>
    <mergeCell ref="L267:M267"/>
    <mergeCell ref="C266:C267"/>
    <mergeCell ref="A270:H270"/>
    <mergeCell ref="L268:M268"/>
    <mergeCell ref="A273:B273"/>
    <mergeCell ref="L269:M269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181" max="7" man="1"/>
    <brk id="265" max="7" man="1"/>
    <brk id="520" max="7" man="1"/>
    <brk id="562" max="7" man="1"/>
    <brk id="604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28515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01" t="s">
        <v>109</v>
      </c>
      <c r="C3" s="201"/>
      <c r="D3" s="201"/>
      <c r="E3" s="201"/>
      <c r="F3" s="201"/>
      <c r="G3" s="201"/>
      <c r="H3" s="201"/>
    </row>
    <row r="4" spans="1:9" x14ac:dyDescent="0.25">
      <c r="A4" s="2"/>
      <c r="B4" s="3" t="s">
        <v>110</v>
      </c>
      <c r="C4" s="3" t="s">
        <v>111</v>
      </c>
      <c r="D4" s="3" t="s">
        <v>71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2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2025-09-25T13:02:08Z</cp:lastPrinted>
  <dcterms:created xsi:type="dcterms:W3CDTF">2019-07-16T09:29:46Z</dcterms:created>
  <dcterms:modified xsi:type="dcterms:W3CDTF">2025-09-25T13:02:20Z</dcterms:modified>
</cp:coreProperties>
</file>