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D50F0404-F63D-4835-9563-66F03B9357B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Report!$A$1:$H$614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6" i="1" l="1"/>
  <c r="K235" i="1"/>
  <c r="K234" i="1"/>
  <c r="L234" i="1" s="1"/>
  <c r="K233" i="1"/>
  <c r="L233" i="1" s="1"/>
  <c r="I153" i="1" l="1"/>
  <c r="I152" i="1"/>
  <c r="I148" i="1"/>
  <c r="E200" i="1"/>
  <c r="I200" i="1"/>
  <c r="E192" i="1" l="1"/>
  <c r="E191" i="1"/>
  <c r="E189" i="1"/>
  <c r="E246" i="1"/>
  <c r="D246" i="1"/>
  <c r="E245" i="1"/>
  <c r="D245" i="1"/>
  <c r="E243" i="1"/>
  <c r="D243" i="1"/>
  <c r="E242" i="1"/>
  <c r="D242" i="1"/>
  <c r="E241" i="1"/>
  <c r="D241" i="1"/>
  <c r="E240" i="1"/>
  <c r="D240" i="1"/>
  <c r="E238" i="1"/>
  <c r="E237" i="1"/>
  <c r="E235" i="1"/>
  <c r="D238" i="1"/>
  <c r="D237" i="1"/>
  <c r="D236" i="1"/>
  <c r="D235" i="1"/>
  <c r="E230" i="1"/>
  <c r="D230" i="1"/>
  <c r="E229" i="1"/>
  <c r="D229" i="1"/>
  <c r="E228" i="1"/>
  <c r="D228" i="1"/>
  <c r="E227" i="1"/>
  <c r="D227" i="1"/>
  <c r="E225" i="1"/>
  <c r="D225" i="1"/>
  <c r="E224" i="1"/>
  <c r="D224" i="1"/>
  <c r="E223" i="1"/>
  <c r="D223" i="1"/>
  <c r="E222" i="1"/>
  <c r="D222" i="1"/>
  <c r="G191" i="1"/>
  <c r="G201" i="1"/>
  <c r="G206" i="1"/>
  <c r="G219" i="1"/>
  <c r="G218" i="1"/>
  <c r="E220" i="1"/>
  <c r="D220" i="1"/>
  <c r="D219" i="1"/>
  <c r="D218" i="1"/>
  <c r="E217" i="1"/>
  <c r="D217" i="1"/>
  <c r="E215" i="1"/>
  <c r="D215" i="1"/>
  <c r="E212" i="1"/>
  <c r="D212" i="1"/>
  <c r="E207" i="1"/>
  <c r="E206" i="1"/>
  <c r="E205" i="1"/>
  <c r="E204" i="1"/>
  <c r="E202" i="1"/>
  <c r="E201" i="1"/>
  <c r="E199" i="1"/>
  <c r="E197" i="1"/>
  <c r="E196" i="1"/>
  <c r="E195" i="1"/>
  <c r="E194" i="1"/>
  <c r="D207" i="1"/>
  <c r="D206" i="1"/>
  <c r="D205" i="1"/>
  <c r="D204" i="1"/>
  <c r="D202" i="1"/>
  <c r="D201" i="1"/>
  <c r="D200" i="1"/>
  <c r="D199" i="1"/>
  <c r="D197" i="1"/>
  <c r="D196" i="1"/>
  <c r="D195" i="1"/>
  <c r="D194" i="1"/>
  <c r="D192" i="1"/>
  <c r="D191" i="1"/>
  <c r="D190" i="1"/>
  <c r="J190" i="1" s="1"/>
  <c r="K190" i="1" s="1"/>
  <c r="D189" i="1"/>
  <c r="F189" i="1" s="1"/>
  <c r="I192" i="1"/>
  <c r="I191" i="1"/>
  <c r="I190" i="1"/>
  <c r="I237" i="1"/>
  <c r="I219" i="1"/>
  <c r="I218" i="1"/>
  <c r="I224" i="1"/>
  <c r="I212" i="1"/>
  <c r="I215" i="1"/>
  <c r="I189" i="1"/>
  <c r="J192" i="1" l="1"/>
  <c r="K192" i="1" s="1"/>
  <c r="J191" i="1"/>
  <c r="K191" i="1" s="1"/>
  <c r="J189" i="1"/>
  <c r="K189" i="1" s="1"/>
  <c r="A251" i="1"/>
  <c r="A252" i="1" s="1"/>
  <c r="A253" i="1" s="1"/>
  <c r="A254" i="1" s="1"/>
  <c r="A255" i="1" s="1"/>
  <c r="A256" i="1" s="1"/>
  <c r="A257" i="1" s="1"/>
  <c r="A258" i="1" s="1"/>
  <c r="A259" i="1" s="1"/>
  <c r="A260" i="1" s="1"/>
  <c r="A261" i="1" s="1"/>
  <c r="A262" i="1" s="1"/>
  <c r="A246" i="1"/>
  <c r="A247" i="1" s="1"/>
  <c r="A248" i="1" s="1"/>
  <c r="F241" i="1"/>
  <c r="H241" i="1" s="1"/>
  <c r="F242" i="1"/>
  <c r="A241" i="1"/>
  <c r="A242" i="1" s="1"/>
  <c r="A243" i="1" s="1"/>
  <c r="F236" i="1"/>
  <c r="H236" i="1" s="1"/>
  <c r="F235" i="1"/>
  <c r="A236" i="1"/>
  <c r="A237" i="1" s="1"/>
  <c r="A238" i="1" s="1"/>
  <c r="F229" i="1"/>
  <c r="H229" i="1" s="1"/>
  <c r="F228" i="1"/>
  <c r="H228" i="1" s="1"/>
  <c r="A228" i="1"/>
  <c r="A229" i="1" s="1"/>
  <c r="A230" i="1" s="1"/>
  <c r="F227" i="1"/>
  <c r="H227" i="1" s="1"/>
  <c r="A223" i="1"/>
  <c r="A224" i="1" s="1"/>
  <c r="A225" i="1" s="1"/>
  <c r="E218" i="1"/>
  <c r="F218" i="1" s="1"/>
  <c r="F219" i="1"/>
  <c r="H219" i="1" s="1"/>
  <c r="A218" i="1"/>
  <c r="A219" i="1" s="1"/>
  <c r="A220" i="1" s="1"/>
  <c r="F220" i="1"/>
  <c r="H220" i="1" s="1"/>
  <c r="F212" i="1"/>
  <c r="H212" i="1" s="1"/>
  <c r="F204" i="1"/>
  <c r="H204" i="1" s="1"/>
  <c r="A205" i="1"/>
  <c r="A206" i="1" s="1"/>
  <c r="A207" i="1" s="1"/>
  <c r="F202" i="1"/>
  <c r="H202" i="1" s="1"/>
  <c r="A200" i="1"/>
  <c r="A201" i="1" s="1"/>
  <c r="A202" i="1" s="1"/>
  <c r="A195" i="1"/>
  <c r="A196" i="1" s="1"/>
  <c r="A197" i="1" s="1"/>
  <c r="I171" i="1"/>
  <c r="E164" i="1"/>
  <c r="E163" i="1"/>
  <c r="D181" i="1"/>
  <c r="H181" i="1" s="1"/>
  <c r="D180" i="1"/>
  <c r="D179" i="1"/>
  <c r="H179" i="1" s="1"/>
  <c r="D178" i="1"/>
  <c r="H178" i="1" s="1"/>
  <c r="D177" i="1"/>
  <c r="H177" i="1" s="1"/>
  <c r="D176" i="1"/>
  <c r="H176" i="1" s="1"/>
  <c r="D174" i="1"/>
  <c r="H174" i="1" s="1"/>
  <c r="D173" i="1"/>
  <c r="H173" i="1" s="1"/>
  <c r="D172" i="1"/>
  <c r="H172" i="1" s="1"/>
  <c r="D171" i="1"/>
  <c r="F171" i="1" s="1"/>
  <c r="D170" i="1"/>
  <c r="H170" i="1" s="1"/>
  <c r="D169" i="1"/>
  <c r="H169" i="1" s="1"/>
  <c r="D167" i="1"/>
  <c r="H167" i="1" s="1"/>
  <c r="D166" i="1"/>
  <c r="D165" i="1"/>
  <c r="D164" i="1"/>
  <c r="D163" i="1"/>
  <c r="H180" i="1"/>
  <c r="A177" i="1"/>
  <c r="A178" i="1" s="1"/>
  <c r="A179" i="1" s="1"/>
  <c r="A180" i="1" s="1"/>
  <c r="A181" i="1" s="1"/>
  <c r="I163" i="1"/>
  <c r="A170" i="1"/>
  <c r="A171" i="1" s="1"/>
  <c r="A172" i="1" s="1"/>
  <c r="A173" i="1" s="1"/>
  <c r="A174" i="1" s="1"/>
  <c r="C118" i="1"/>
  <c r="E43" i="1"/>
  <c r="K229" i="1" l="1"/>
  <c r="J229" i="1"/>
  <c r="K227" i="1"/>
  <c r="J227" i="1"/>
  <c r="J228" i="1"/>
  <c r="K228" i="1"/>
  <c r="F240" i="1"/>
  <c r="H240" i="1" s="1"/>
  <c r="F222" i="1"/>
  <c r="H222" i="1" s="1"/>
  <c r="K222" i="1" s="1"/>
  <c r="F243" i="1"/>
  <c r="H243" i="1" s="1"/>
  <c r="H235" i="1"/>
  <c r="H242" i="1"/>
  <c r="F201" i="1"/>
  <c r="H201" i="1" s="1"/>
  <c r="F238" i="1"/>
  <c r="H238" i="1" s="1"/>
  <c r="F223" i="1"/>
  <c r="H223" i="1" s="1"/>
  <c r="K223" i="1" s="1"/>
  <c r="F217" i="1"/>
  <c r="H217" i="1" s="1"/>
  <c r="F195" i="1"/>
  <c r="H195" i="1" s="1"/>
  <c r="F245" i="1"/>
  <c r="H245" i="1" s="1"/>
  <c r="F224" i="1"/>
  <c r="H224" i="1" s="1"/>
  <c r="K224" i="1" s="1"/>
  <c r="F225" i="1"/>
  <c r="H225" i="1" s="1"/>
  <c r="K225" i="1" s="1"/>
  <c r="F246" i="1"/>
  <c r="H246" i="1" s="1"/>
  <c r="F199" i="1"/>
  <c r="H199" i="1" s="1"/>
  <c r="F237" i="1"/>
  <c r="H237" i="1" s="1"/>
  <c r="F230" i="1"/>
  <c r="H230" i="1" s="1"/>
  <c r="H218" i="1"/>
  <c r="F205" i="1"/>
  <c r="H205" i="1" s="1"/>
  <c r="F194" i="1"/>
  <c r="H194" i="1" s="1"/>
  <c r="F206" i="1"/>
  <c r="H206" i="1" s="1"/>
  <c r="F215" i="1"/>
  <c r="H215" i="1" s="1"/>
  <c r="F207" i="1"/>
  <c r="H207" i="1" s="1"/>
  <c r="F200" i="1"/>
  <c r="H200" i="1" s="1"/>
  <c r="F197" i="1"/>
  <c r="H197" i="1" s="1"/>
  <c r="F181" i="1"/>
  <c r="F179" i="1"/>
  <c r="F196" i="1"/>
  <c r="H196" i="1" s="1"/>
  <c r="F169" i="1"/>
  <c r="F177" i="1"/>
  <c r="F176" i="1"/>
  <c r="F178" i="1"/>
  <c r="F180" i="1"/>
  <c r="F174" i="1"/>
  <c r="F173" i="1"/>
  <c r="H171" i="1"/>
  <c r="F172" i="1"/>
  <c r="F170" i="1"/>
  <c r="F167" i="1"/>
  <c r="B251" i="1"/>
  <c r="G153" i="1" l="1"/>
  <c r="I230" i="1"/>
  <c r="K230" i="1"/>
  <c r="J230" i="1"/>
  <c r="E153" i="1"/>
  <c r="C153" i="1"/>
  <c r="C154" i="1"/>
  <c r="E154" i="1"/>
  <c r="G154" i="1"/>
  <c r="G58" i="1"/>
  <c r="C58" i="1"/>
  <c r="G56" i="1"/>
  <c r="C56" i="1"/>
  <c r="C54" i="1"/>
  <c r="S33" i="1" l="1"/>
  <c r="F11" i="5" l="1"/>
  <c r="G11" i="5" s="1"/>
  <c r="F10" i="5"/>
  <c r="G10" i="5" s="1"/>
  <c r="F9" i="5"/>
  <c r="G9" i="5" s="1"/>
  <c r="F8" i="5"/>
  <c r="G8" i="5" s="1"/>
  <c r="F7" i="5"/>
  <c r="G7" i="5" s="1"/>
  <c r="F6" i="5"/>
  <c r="G6" i="5" s="1"/>
  <c r="F5" i="5"/>
  <c r="G5" i="5" s="1"/>
  <c r="G12" i="5" s="1"/>
  <c r="D279" i="1"/>
  <c r="B252" i="1"/>
  <c r="F192" i="1"/>
  <c r="H192" i="1" s="1"/>
  <c r="F191" i="1"/>
  <c r="H191" i="1" s="1"/>
  <c r="F190" i="1"/>
  <c r="A190" i="1"/>
  <c r="A191" i="1" s="1"/>
  <c r="A192" i="1" s="1"/>
  <c r="H166" i="1"/>
  <c r="F166" i="1"/>
  <c r="H165" i="1"/>
  <c r="F165" i="1"/>
  <c r="H164" i="1"/>
  <c r="F164" i="1"/>
  <c r="A164" i="1"/>
  <c r="A166" i="1" s="1"/>
  <c r="A167" i="1" s="1"/>
  <c r="H163" i="1"/>
  <c r="J163" i="1" s="1"/>
  <c r="F163" i="1"/>
  <c r="F144" i="1"/>
  <c r="C104" i="1"/>
  <c r="C90" i="1"/>
  <c r="C76" i="1"/>
  <c r="D70" i="1"/>
  <c r="D62" i="1"/>
  <c r="G51" i="1"/>
  <c r="G52" i="1" s="1"/>
  <c r="C51" i="1"/>
  <c r="E44" i="1"/>
  <c r="E45" i="1" s="1"/>
  <c r="E31" i="1"/>
  <c r="E28" i="1"/>
  <c r="E26" i="1"/>
  <c r="C16" i="1"/>
  <c r="I15" i="1"/>
  <c r="Z13" i="1"/>
  <c r="E8" i="1"/>
  <c r="E3" i="1"/>
  <c r="H105" i="1"/>
  <c r="H91" i="1"/>
  <c r="H77" i="1"/>
  <c r="G148" i="1" l="1"/>
  <c r="H190" i="1"/>
  <c r="E152" i="1"/>
  <c r="E155" i="1" s="1"/>
  <c r="C148" i="1"/>
  <c r="E148" i="1"/>
  <c r="C147" i="1"/>
  <c r="E147" i="1"/>
  <c r="G147" i="1"/>
  <c r="H189" i="1"/>
  <c r="C152" i="1"/>
  <c r="C155" i="1" s="1"/>
  <c r="J76" i="1"/>
  <c r="J78" i="1" s="1"/>
  <c r="J79" i="1"/>
  <c r="J80" i="1"/>
  <c r="J81" i="1"/>
  <c r="C80" i="1" s="1"/>
  <c r="J95" i="1"/>
  <c r="C94" i="1" s="1"/>
  <c r="D94" i="1" s="1"/>
  <c r="D99" i="1"/>
  <c r="D101" i="1"/>
  <c r="J94" i="1"/>
  <c r="D100" i="1"/>
  <c r="J90" i="1"/>
  <c r="J92" i="1" s="1"/>
  <c r="D98" i="1"/>
  <c r="J93" i="1"/>
  <c r="D97" i="1"/>
  <c r="D103" i="1"/>
  <c r="D102" i="1"/>
  <c r="D96" i="1"/>
  <c r="D84" i="1"/>
  <c r="D86" i="1"/>
  <c r="D85" i="1"/>
  <c r="D89" i="1"/>
  <c r="D83" i="1"/>
  <c r="D88" i="1"/>
  <c r="D82" i="1"/>
  <c r="D87" i="1"/>
  <c r="J104" i="1"/>
  <c r="J106" i="1" s="1"/>
  <c r="D113" i="1"/>
  <c r="D115" i="1"/>
  <c r="J109" i="1"/>
  <c r="D114" i="1"/>
  <c r="J108" i="1"/>
  <c r="D112" i="1"/>
  <c r="J107" i="1"/>
  <c r="D111" i="1"/>
  <c r="D117" i="1"/>
  <c r="D116" i="1"/>
  <c r="B105" i="1"/>
  <c r="B91" i="1"/>
  <c r="B77" i="1"/>
  <c r="J82" i="1" s="1"/>
  <c r="G149" i="1" l="1"/>
  <c r="G152" i="1"/>
  <c r="G155" i="1" s="1"/>
  <c r="G156" i="1" s="1"/>
  <c r="E149" i="1"/>
  <c r="E156" i="1" s="1"/>
  <c r="C149" i="1"/>
  <c r="C156" i="1" s="1"/>
  <c r="C108" i="1"/>
  <c r="D108" i="1" s="1"/>
  <c r="D80" i="1"/>
  <c r="D110" i="1"/>
  <c r="J115" i="1"/>
  <c r="J112" i="1"/>
  <c r="J114" i="1"/>
  <c r="J113" i="1"/>
  <c r="J110" i="1"/>
  <c r="J111" i="1" s="1"/>
  <c r="J116" i="1" s="1"/>
  <c r="J101" i="1"/>
  <c r="J98" i="1"/>
  <c r="J100" i="1"/>
  <c r="J99" i="1"/>
  <c r="J96" i="1"/>
  <c r="J97" i="1" s="1"/>
  <c r="J86" i="1"/>
  <c r="J84" i="1"/>
  <c r="J85" i="1"/>
  <c r="J83" i="1"/>
  <c r="J88" i="1" s="1"/>
  <c r="J89" i="1" s="1"/>
  <c r="C81" i="1" s="1"/>
  <c r="J87" i="1"/>
  <c r="J117" i="1" l="1"/>
  <c r="C109" i="1" s="1"/>
  <c r="E108" i="1" s="1"/>
  <c r="J77" i="1"/>
  <c r="J102" i="1"/>
  <c r="J103" i="1" s="1"/>
  <c r="E80" i="1"/>
  <c r="D81" i="1"/>
  <c r="G80" i="1"/>
  <c r="D74" i="1" s="1"/>
  <c r="G108" i="1" l="1"/>
  <c r="J105" i="1"/>
  <c r="D109" i="1"/>
  <c r="I105" i="1" s="1"/>
  <c r="I106" i="1" s="1"/>
  <c r="C95" i="1"/>
  <c r="I77" i="1"/>
  <c r="I78" i="1" s="1"/>
  <c r="I76" i="1" s="1"/>
  <c r="C78" i="1" s="1"/>
  <c r="F75" i="1"/>
  <c r="D75" i="1"/>
  <c r="I104" i="1" l="1"/>
  <c r="C106" i="1" s="1"/>
  <c r="E94" i="1"/>
  <c r="D95" i="1"/>
  <c r="I91" i="1" s="1"/>
  <c r="I92" i="1" s="1"/>
  <c r="G94" i="1"/>
  <c r="J91" i="1"/>
  <c r="B119" i="1"/>
  <c r="H119" i="1"/>
  <c r="I90" i="1" l="1"/>
  <c r="C92" i="1" s="1"/>
  <c r="D131" i="1"/>
  <c r="D127" i="1"/>
  <c r="J123" i="1"/>
  <c r="C122" i="1" s="1"/>
  <c r="D122" i="1" s="1"/>
  <c r="J121" i="1"/>
  <c r="J122" i="1"/>
  <c r="D130" i="1"/>
  <c r="D126" i="1"/>
  <c r="C124" i="1"/>
  <c r="J118" i="1" s="1"/>
  <c r="J120" i="1" s="1"/>
  <c r="D129" i="1"/>
  <c r="D125" i="1"/>
  <c r="D128" i="1"/>
  <c r="J128" i="1"/>
  <c r="J127" i="1"/>
  <c r="J126" i="1"/>
  <c r="J129" i="1"/>
  <c r="J124" i="1"/>
  <c r="J125" i="1" s="1"/>
  <c r="J130" i="1" s="1"/>
  <c r="J131" i="1" s="1"/>
  <c r="C123" i="1" s="1"/>
  <c r="D124" i="1" l="1"/>
  <c r="E122" i="1"/>
  <c r="D123" i="1"/>
  <c r="J119" i="1"/>
  <c r="G122" i="1"/>
  <c r="I119" i="1" l="1"/>
  <c r="I120" i="1" s="1"/>
  <c r="I118" i="1" l="1"/>
  <c r="C1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<sst xmlns="http://schemas.openxmlformats.org/spreadsheetml/2006/main" count="725" uniqueCount="379">
  <si>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</si>
  <si>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</si>
  <si>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</si>
  <si>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</si>
  <si>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</si>
  <si>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</si>
  <si>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</si>
  <si>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</si>
  <si>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</si>
  <si>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</si>
  <si>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</si>
  <si>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</si>
  <si>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</si>
  <si>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</si>
  <si>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</si>
  <si>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</si>
  <si>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</si>
  <si>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</si>
  <si>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</si>
  <si>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</si>
  <si>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</si>
  <si>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</si>
  <si>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</si>
  <si>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</si>
  <si>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</si>
  <si>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</si>
  <si>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</si>
  <si>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</si>
  <si>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</si>
  <si>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</si>
  <si>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</si>
  <si>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</si>
  <si>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</si>
  <si>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</si>
  <si>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</si>
  <si>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</si>
  <si>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</si>
  <si>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</si>
  <si>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</si>
  <si>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</si>
  <si>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</si>
  <si>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</si>
  <si>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</si>
  <si>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</si>
  <si>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</si>
  <si>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</si>
  <si>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</si>
  <si>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</si>
  <si>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</si>
  <si>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</si>
  <si>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</si>
  <si>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</si>
  <si>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</si>
  <si>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</si>
  <si>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</si>
  <si>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</si>
  <si>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</si>
  <si>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</si>
  <si>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</si>
  <si>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</si>
  <si>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</si>
  <si>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</si>
  <si>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</si>
  <si>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</si>
  <si>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</si>
  <si>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</si>
  <si>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</si>
  <si>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</si>
  <si>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</si>
  <si>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</si>
  <si>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</si>
  <si>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</si>
  <si>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</si>
  <si>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</si>
  <si>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</si>
  <si>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</si>
  <si>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</si>
  <si>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</si>
  <si>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</si>
  <si>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</si>
  <si>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</si>
  <si>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</si>
  <si>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</si>
  <si>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</si>
  <si>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</si>
  <si>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</si>
  <si>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</si>
  <si>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</si>
  <si>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</si>
  <si>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</si>
  <si>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</si>
  <si>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</si>
  <si>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</si>
  <si>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</si>
  <si>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</si>
  <si>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</si>
  <si>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</si>
  <si>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</si>
  <si>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</si>
  <si>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</si>
  <si>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</si>
  <si>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</si>
  <si>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</si>
  <si>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</si>
  <si>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</si>
  <si>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</si>
  <si>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</si>
  <si>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</si>
  <si>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</si>
  <si>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</si>
  <si>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</si>
  <si>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</si>
  <si>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</si>
  <si>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</si>
  <si>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</si>
  <si>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</si>
  <si>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</si>
  <si>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</si>
  <si>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</si>
  <si>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</si>
  <si>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</si>
  <si>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</si>
  <si>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</si>
  <si>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</si>
  <si>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</si>
  <si>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</si>
  <si>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</si>
  <si>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</si>
  <si>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</si>
  <si>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</si>
  <si>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</si>
  <si>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</si>
  <si>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</si>
  <si>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</si>
  <si>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</si>
  <si>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</si>
  <si>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</si>
  <si>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</si>
  <si>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</si>
  <si>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</si>
  <si>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</si>
  <si>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</si>
  <si>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</si>
  <si>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</si>
  <si>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</si>
  <si>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</si>
  <si>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</si>
  <si>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</si>
  <si>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</si>
  <si>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</si>
  <si>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</si>
  <si>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</si>
  <si>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</si>
  <si>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</si>
  <si>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</si>
  <si>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</si>
  <si>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</si>
  <si>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</si>
  <si>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</si>
  <si>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</si>
  <si>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</si>
  <si>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</si>
  <si>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</si>
  <si>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</si>
  <si>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</si>
  <si>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</si>
  <si>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</si>
  <si>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</si>
  <si>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</si>
  <si>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</si>
  <si>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</si>
  <si>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</si>
  <si>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</si>
  <si>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</si>
  <si>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</si>
  <si>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</si>
  <si>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</si>
  <si>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</si>
  <si>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</si>
  <si>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</si>
  <si>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</si>
  <si>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</si>
  <si>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</si>
  <si>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</si>
  <si>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</si>
  <si>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</si>
  <si>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</si>
  <si>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</si>
  <si>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</si>
  <si>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</si>
  <si>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</si>
  <si>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</si>
  <si>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</si>
  <si>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</si>
  <si>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</si>
  <si>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</si>
  <si>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</si>
  <si>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</si>
  <si>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</si>
  <si>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</si>
  <si>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</si>
  <si>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</si>
  <si>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</si>
  <si>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</si>
  <si>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</si>
  <si>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</si>
  <si>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</si>
  <si>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</si>
  <si>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</si>
  <si>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</si>
  <si>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</si>
  <si>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</si>
  <si>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</si>
  <si>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</si>
  <si>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</si>
  <si>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</si>
  <si>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</si>
  <si>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</si>
  <si>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</si>
  <si>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</si>
  <si>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</si>
  <si>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</si>
  <si>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</si>
  <si>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</si>
  <si>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</si>
  <si>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</si>
  <si>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</si>
  <si>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</si>
  <si>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</si>
  <si>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</si>
  <si>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</si>
  <si>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</si>
  <si>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</si>
  <si>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</si>
  <si>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</si>
  <si>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</si>
  <si>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</si>
  <si>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</si>
  <si>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</si>
  <si>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</si>
  <si>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</si>
  <si>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</si>
  <si>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</si>
  <si>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</si>
  <si>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</si>
  <si>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</si>
  <si>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</si>
  <si>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</si>
  <si>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</si>
  <si>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</si>
  <si>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</si>
  <si>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</si>
  <si>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</si>
  <si>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</si>
  <si>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</si>
  <si>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</si>
  <si>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</si>
  <si>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</si>
  <si>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</si>
  <si>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</si>
  <si>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</si>
  <si>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</si>
  <si>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</si>
  <si>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</si>
  <si>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</si>
  <si>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</si>
  <si>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</si>
  <si>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</si>
  <si>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</si>
  <si>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</si>
  <si>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</si>
  <si>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</si>
  <si>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</si>
  <si>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</si>
  <si>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</si>
  <si>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</si>
  <si>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</si>
  <si>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</si>
  <si>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</si>
  <si>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</si>
  <si>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</si>
  <si>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</si>
  <si>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</si>
  <si>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</si>
  <si>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</si>
  <si>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</si>
  <si>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</si>
  <si>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</si>
  <si>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</si>
  <si>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</si>
  <si>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</si>
  <si>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</si>
  <si>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</si>
  <si>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</si>
  <si>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</si>
  <si>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</si>
  <si>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</si>
  <si>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Vastu Infrastructure</t>
  </si>
  <si>
    <t>Munot Vastu Exotica Phase I, II, III &amp; Commercial</t>
  </si>
  <si>
    <t>Mr. Aarti Jaiswal 8291079577</t>
  </si>
  <si>
    <t>Mr. Rohan Gole 9820173702</t>
  </si>
  <si>
    <t>Wing A, B, C &amp; Commercial Building</t>
  </si>
  <si>
    <t>Phase I = P52000034556,
Phase II = P52000034528,
Phase III = P52000045759,
Commercial = P52000046865</t>
  </si>
  <si>
    <t>16/3</t>
  </si>
  <si>
    <t>Plot No</t>
  </si>
  <si>
    <t>18.995225,73.106253</t>
  </si>
  <si>
    <t>https://maps.app.goo.gl/LaF3wcbamUDvJXpb9</t>
  </si>
  <si>
    <t>Old Thane Naka Road</t>
  </si>
  <si>
    <t>Old Panvel</t>
  </si>
  <si>
    <t>Panvel City Police Station</t>
  </si>
  <si>
    <t>2.60KM from Panvel Railway Station</t>
  </si>
  <si>
    <t>Police Line/ Plot No. 15</t>
  </si>
  <si>
    <t>Plot No. 529</t>
  </si>
  <si>
    <t>Plot No. 17</t>
  </si>
  <si>
    <t>Plot No. 534, 531</t>
  </si>
  <si>
    <t>Open Plot</t>
  </si>
  <si>
    <t>Riddhi Residency CHS</t>
  </si>
  <si>
    <t>Kanak Sarovar CHS</t>
  </si>
  <si>
    <t>04 Building</t>
  </si>
  <si>
    <t>Commercial Building = Gr + 1st to 9th Floor</t>
  </si>
  <si>
    <r>
      <t xml:space="preserve">Proposed Amenities :                                                                                                                                                                                                                         </t>
    </r>
    <r>
      <rPr>
        <b/>
        <sz val="12"/>
        <rFont val="Times New Roman"/>
        <family val="1"/>
      </rPr>
      <t xml:space="preserve">                                               </t>
    </r>
  </si>
  <si>
    <t>PMC/TP/Panvel/16/3/21-22/16227/
1984/2022</t>
  </si>
  <si>
    <t>Approved Plans, CC &amp; Cost Sheet.</t>
  </si>
  <si>
    <t>Commercial Building</t>
  </si>
  <si>
    <t>Shop</t>
  </si>
  <si>
    <t>Office</t>
  </si>
  <si>
    <t>Offfice</t>
  </si>
  <si>
    <t>Ground Floor For Commercial &amp; Entrance Lobby</t>
  </si>
  <si>
    <t>1st to 7th &amp; 9th Floor</t>
  </si>
  <si>
    <t>8th Floor (Refuge Area at Stairecase)</t>
  </si>
  <si>
    <t>Wing A</t>
  </si>
  <si>
    <t>2nd Floor For Residential</t>
  </si>
  <si>
    <t>Ground Floor For Entrance Lobby, Drivers Room &amp; Parking</t>
  </si>
  <si>
    <t>1st Floor For OWC Area &amp; Parking</t>
  </si>
  <si>
    <t>4BHK</t>
  </si>
  <si>
    <t>3BHK</t>
  </si>
  <si>
    <t>2BHK</t>
  </si>
  <si>
    <t>8th &amp; 12th Floor (Part Refuge Area)</t>
  </si>
  <si>
    <t>3rd, 5th, 7th, 9th, 11th &amp; 13th Floor</t>
  </si>
  <si>
    <t>4th, 6th &amp; 10th Floor</t>
  </si>
  <si>
    <t>Wing B</t>
  </si>
  <si>
    <t>Ground Floor For Entrance Lobby &amp; Parking</t>
  </si>
  <si>
    <t>1st Floor For Parking</t>
  </si>
  <si>
    <t>-</t>
  </si>
  <si>
    <t>Club Hall, Celebration Hall, Gym, Daycare &amp; Society Office</t>
  </si>
  <si>
    <t>2nd Floor For Residential, Club Hall, Celebration Hall, Gym, Daycare &amp; Society Office</t>
  </si>
  <si>
    <t>3rd Floor</t>
  </si>
  <si>
    <t>4th to 7th, 9th to 11th &amp; 13th Floor</t>
  </si>
  <si>
    <t>Wing C</t>
  </si>
  <si>
    <t>4th Floor (Part Terrace Area)</t>
  </si>
  <si>
    <t>Terrace Area</t>
  </si>
  <si>
    <t>Offices</t>
  </si>
  <si>
    <t>Flats - 104, Shops - 02, Offices - 57</t>
  </si>
  <si>
    <t>Ravindra Vishwakarma</t>
  </si>
  <si>
    <t>RCU Report :</t>
  </si>
  <si>
    <t>We have considered above CC due to positive RCU report provided by bank and is attached below.</t>
  </si>
  <si>
    <t>The provided C.C does not consist the C.C number and CC date.</t>
  </si>
  <si>
    <t>Remark No 10 :</t>
  </si>
  <si>
    <t>Balcony Area + WS Area</t>
  </si>
  <si>
    <t>We considered Gross carpet area = Net carpet + Balcony + WS Area.</t>
  </si>
  <si>
    <t>Swimming Pool, Yoga Area, Gym, Kids Play Area, Cross Fit Area, Decorative Entrance &amp; Landscape Garden, etc.</t>
  </si>
  <si>
    <t>PMP/NRV/16227/J.K.1984/2022</t>
  </si>
  <si>
    <t>Wing A &amp; B = Stilt + 1st Podium + 12th Upper Floor
Wing C = Stilt + 1st Podium + 3rd Upper Floor
Commercial Building = Ground + 1st to 9th Floor</t>
  </si>
  <si>
    <t>Wing No. A = Gr + 1st Podium + 2nd to 13th Floor</t>
  </si>
  <si>
    <t>As per RERA - 
Phase I, II &amp; Commercial Building = 31/03/2027 
Phase III = 31/03/2030</t>
  </si>
  <si>
    <t>7800 to 8700 Akash verbal on higher side</t>
  </si>
  <si>
    <t>Recommended Rates/Other Charges of the Property have been revised on 29/03/2025.</t>
  </si>
  <si>
    <t>Building Phase wise bifercation provided below</t>
  </si>
  <si>
    <t>Phase I</t>
  </si>
  <si>
    <t>Phase II</t>
  </si>
  <si>
    <t>Phase III</t>
  </si>
  <si>
    <t>Wing A = Gr + 1st Podium + 2nd to 13th Floor</t>
  </si>
  <si>
    <t>Wing B = Gr + 1st Podium + 2nd to 13th Floor</t>
  </si>
  <si>
    <t>C Wing = Part 4th Floor - 13th Floor</t>
  </si>
  <si>
    <t>Wing A = Gr + 1st Podium + 2nd to 13th Floor
Wing B = Gr + 1st Podium + 2nd to 13th Floor
Wing C = Gr + 1st Podium + 2nd to 8th Floor
Commercial Building = Gr + 1st to 9th Floor</t>
  </si>
  <si>
    <t>Wing C = Gr + 1st Podium + 2nd to 13th Floor</t>
  </si>
  <si>
    <t>Wing C = Ground + 1st to 3rd Floor is not registered on RERA.</t>
  </si>
  <si>
    <t>Wing A, B &amp; C = Construction work is in process at the time of Visit.
Commercial Building  = Finishing work is in process at the time of Visit.</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</si>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</sst>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4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35" xfId="0" applyBorder="1"/>
    <xf numFmtId="0" fontId="12" fillId="0" borderId="1" xfId="1" applyFont="1" applyBorder="1" applyAlignment="1" applyProtection="1">
      <alignment vertical="top" wrapText="1"/>
      <protection locked="0"/>
    </xf>
    <xf numFmtId="9" fontId="13" fillId="0" borderId="16"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68" fontId="7" fillId="0" borderId="0" xfId="1" applyNumberFormat="1" applyFont="1" applyAlignment="1">
      <alignment horizontal="center" vertical="center"/>
    </xf>
    <xf numFmtId="0" fontId="7" fillId="0" borderId="0" xfId="1" applyFont="1" applyAlignment="1">
      <alignment vertical="center"/>
    </xf>
    <xf numFmtId="1" fontId="7" fillId="0" borderId="1" xfId="1" applyNumberFormat="1" applyFont="1" applyBorder="1" applyAlignment="1" applyProtection="1">
      <alignment horizontal="center" vertical="center" wrapText="1"/>
      <protection locked="0"/>
    </xf>
    <xf numFmtId="1" fontId="6" fillId="4" borderId="1" xfId="0" applyNumberFormat="1" applyFont="1" applyFill="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30" fillId="0" borderId="3" xfId="0" applyNumberFormat="1" applyFont="1" applyBorder="1" applyAlignment="1" applyProtection="1">
      <alignment horizontal="center" vertical="center" wrapText="1"/>
      <protection locked="0"/>
    </xf>
    <xf numFmtId="1" fontId="30" fillId="0" borderId="16"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7"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4" borderId="8" xfId="0" applyNumberFormat="1" applyFont="1" applyFill="1" applyBorder="1" applyAlignment="1" applyProtection="1">
      <alignment vertical="top" wrapText="1"/>
      <protection locked="0"/>
    </xf>
    <xf numFmtId="1" fontId="8" fillId="4" borderId="21" xfId="0" applyNumberFormat="1" applyFont="1" applyFill="1" applyBorder="1" applyAlignment="1" applyProtection="1">
      <alignment vertical="top" wrapText="1"/>
      <protection locked="0"/>
    </xf>
    <xf numFmtId="1" fontId="8" fillId="4" borderId="9" xfId="0" applyNumberFormat="1" applyFont="1" applyFill="1" applyBorder="1" applyAlignment="1" applyProtection="1">
      <alignmen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49" fontId="12"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35"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horizontal="left" vertical="top" wrapText="1"/>
      <protection locked="0"/>
    </xf>
    <xf numFmtId="1" fontId="8" fillId="0" borderId="21" xfId="0" applyNumberFormat="1" applyFont="1" applyBorder="1" applyAlignment="1" applyProtection="1">
      <alignment horizontal="left" vertical="top" wrapText="1"/>
      <protection locked="0"/>
    </xf>
    <xf numFmtId="1" fontId="8" fillId="0" borderId="9" xfId="0" applyNumberFormat="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681084</xdr:colOff>
      <xdr:row>554</xdr:row>
      <xdr:rowOff>92972</xdr:rowOff>
    </xdr:from>
    <xdr:to>
      <xdr:col>6</xdr:col>
      <xdr:colOff>129650</xdr:colOff>
      <xdr:row>570</xdr:row>
      <xdr:rowOff>152451</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43084" y="98026537"/>
          <a:ext cx="3531892" cy="3240000"/>
        </a:xfrm>
        <a:prstGeom prst="rect">
          <a:avLst/>
        </a:prstGeom>
        <a:ln>
          <a:solidFill>
            <a:schemeClr val="tx1"/>
          </a:solidFill>
        </a:ln>
      </xdr:spPr>
    </xdr:pic>
    <xdr:clientData/>
  </xdr:twoCellAnchor>
  <xdr:twoCellAnchor>
    <xdr:from>
      <xdr:col>0</xdr:col>
      <xdr:colOff>248478</xdr:colOff>
      <xdr:row>532</xdr:row>
      <xdr:rowOff>16565</xdr:rowOff>
    </xdr:from>
    <xdr:to>
      <xdr:col>7</xdr:col>
      <xdr:colOff>494008</xdr:colOff>
      <xdr:row>553</xdr:row>
      <xdr:rowOff>162130</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248478" y="109775045"/>
          <a:ext cx="5975770" cy="4306085"/>
          <a:chOff x="566737" y="233362"/>
          <a:chExt cx="5828008" cy="4320000"/>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66737" y="233362"/>
            <a:ext cx="5828008" cy="4320000"/>
          </a:xfrm>
          <a:prstGeom prst="rect">
            <a:avLst/>
          </a:prstGeom>
          <a:ln>
            <a:solidFill>
              <a:schemeClr val="tx1"/>
            </a:solidFill>
          </a:ln>
        </xdr:spPr>
      </xdr:pic>
      <xdr:sp macro="" textlink="">
        <xdr:nvSpPr>
          <xdr:cNvPr id="45" name="Rectangle 44">
            <a:extLst>
              <a:ext uri="{FF2B5EF4-FFF2-40B4-BE49-F238E27FC236}">
                <a16:creationId xmlns:a16="http://schemas.microsoft.com/office/drawing/2014/main" id="{00000000-0008-0000-0000-00002D000000}"/>
              </a:ext>
            </a:extLst>
          </xdr:cNvPr>
          <xdr:cNvSpPr/>
        </xdr:nvSpPr>
        <xdr:spPr>
          <a:xfrm>
            <a:off x="1162050" y="476250"/>
            <a:ext cx="866775" cy="1590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a:off x="1162050" y="2152650"/>
            <a:ext cx="1087463" cy="1609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Rectangle 46">
            <a:extLst>
              <a:ext uri="{FF2B5EF4-FFF2-40B4-BE49-F238E27FC236}">
                <a16:creationId xmlns:a16="http://schemas.microsoft.com/office/drawing/2014/main" id="{00000000-0008-0000-0000-00002F000000}"/>
              </a:ext>
            </a:extLst>
          </xdr:cNvPr>
          <xdr:cNvSpPr/>
        </xdr:nvSpPr>
        <xdr:spPr>
          <a:xfrm>
            <a:off x="2305050" y="2505281"/>
            <a:ext cx="1562100" cy="12189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3922687" y="2505281"/>
            <a:ext cx="1562100" cy="12189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8">
            <a:extLst>
              <a:ext uri="{FF2B5EF4-FFF2-40B4-BE49-F238E27FC236}">
                <a16:creationId xmlns:a16="http://schemas.microsoft.com/office/drawing/2014/main" id="{00000000-0008-0000-0000-000031000000}"/>
              </a:ext>
            </a:extLst>
          </xdr:cNvPr>
          <xdr:cNvSpPr txBox="1"/>
        </xdr:nvSpPr>
        <xdr:spPr>
          <a:xfrm rot="16200000">
            <a:off x="429301" y="2943660"/>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solidFill>
                  <a:srgbClr val="FF0000"/>
                </a:solidFill>
              </a:rPr>
              <a:t>WING A</a:t>
            </a:r>
          </a:p>
        </xdr:txBody>
      </xdr:sp>
      <xdr:sp macro="" textlink="">
        <xdr:nvSpPr>
          <xdr:cNvPr id="50" name="TextBox 9">
            <a:extLst>
              <a:ext uri="{FF2B5EF4-FFF2-40B4-BE49-F238E27FC236}">
                <a16:creationId xmlns:a16="http://schemas.microsoft.com/office/drawing/2014/main" id="{00000000-0008-0000-0000-000032000000}"/>
              </a:ext>
            </a:extLst>
          </xdr:cNvPr>
          <xdr:cNvSpPr txBox="1"/>
        </xdr:nvSpPr>
        <xdr:spPr>
          <a:xfrm>
            <a:off x="2507206" y="2046298"/>
            <a:ext cx="769763"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solidFill>
                  <a:srgbClr val="FF0000"/>
                </a:solidFill>
              </a:rPr>
              <a:t>WING B</a:t>
            </a:r>
          </a:p>
        </xdr:txBody>
      </xdr:sp>
      <xdr:sp macro="" textlink="">
        <xdr:nvSpPr>
          <xdr:cNvPr id="51" name="TextBox 10">
            <a:extLst>
              <a:ext uri="{FF2B5EF4-FFF2-40B4-BE49-F238E27FC236}">
                <a16:creationId xmlns:a16="http://schemas.microsoft.com/office/drawing/2014/main" id="{00000000-0008-0000-0000-000033000000}"/>
              </a:ext>
            </a:extLst>
          </xdr:cNvPr>
          <xdr:cNvSpPr txBox="1"/>
        </xdr:nvSpPr>
        <xdr:spPr>
          <a:xfrm>
            <a:off x="4322061" y="3724275"/>
            <a:ext cx="76335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solidFill>
                  <a:srgbClr val="FF0000"/>
                </a:solidFill>
              </a:rPr>
              <a:t>WING C</a:t>
            </a:r>
          </a:p>
        </xdr:txBody>
      </xdr:sp>
      <xdr:sp macro="" textlink="">
        <xdr:nvSpPr>
          <xdr:cNvPr id="52" name="TextBox 11">
            <a:extLst>
              <a:ext uri="{FF2B5EF4-FFF2-40B4-BE49-F238E27FC236}">
                <a16:creationId xmlns:a16="http://schemas.microsoft.com/office/drawing/2014/main" id="{00000000-0008-0000-0000-000034000000}"/>
              </a:ext>
            </a:extLst>
          </xdr:cNvPr>
          <xdr:cNvSpPr txBox="1"/>
        </xdr:nvSpPr>
        <xdr:spPr>
          <a:xfrm>
            <a:off x="2011557" y="624989"/>
            <a:ext cx="17610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solidFill>
                  <a:srgbClr val="FF0000"/>
                </a:solidFill>
              </a:rPr>
              <a:t>Commercial  Building</a:t>
            </a:r>
          </a:p>
        </xdr:txBody>
      </xdr:sp>
    </xdr:grpSp>
    <xdr:clientData/>
  </xdr:twoCellAnchor>
  <xdr:twoCellAnchor editAs="oneCell">
    <xdr:from>
      <xdr:col>0</xdr:col>
      <xdr:colOff>289892</xdr:colOff>
      <xdr:row>364</xdr:row>
      <xdr:rowOff>24848</xdr:rowOff>
    </xdr:from>
    <xdr:to>
      <xdr:col>7</xdr:col>
      <xdr:colOff>467414</xdr:colOff>
      <xdr:row>401</xdr:row>
      <xdr:rowOff>124009</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9892" y="67345891"/>
          <a:ext cx="5760000" cy="7454118"/>
        </a:xfrm>
        <a:prstGeom prst="rect">
          <a:avLst/>
        </a:prstGeom>
        <a:ln>
          <a:solidFill>
            <a:schemeClr val="tx1"/>
          </a:solidFill>
        </a:ln>
      </xdr:spPr>
    </xdr:pic>
    <xdr:clientData/>
  </xdr:twoCellAnchor>
  <xdr:twoCellAnchor editAs="oneCell">
    <xdr:from>
      <xdr:col>0</xdr:col>
      <xdr:colOff>298176</xdr:colOff>
      <xdr:row>448</xdr:row>
      <xdr:rowOff>16566</xdr:rowOff>
    </xdr:from>
    <xdr:to>
      <xdr:col>7</xdr:col>
      <xdr:colOff>475698</xdr:colOff>
      <xdr:row>485</xdr:row>
      <xdr:rowOff>115728</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98176" y="84830479"/>
          <a:ext cx="5760000" cy="7454118"/>
        </a:xfrm>
        <a:prstGeom prst="rect">
          <a:avLst/>
        </a:prstGeom>
        <a:ln>
          <a:solidFill>
            <a:schemeClr val="tx1"/>
          </a:solidFill>
        </a:ln>
      </xdr:spPr>
    </xdr:pic>
    <xdr:clientData/>
  </xdr:twoCellAnchor>
  <xdr:twoCellAnchor editAs="oneCell">
    <xdr:from>
      <xdr:col>0</xdr:col>
      <xdr:colOff>289892</xdr:colOff>
      <xdr:row>490</xdr:row>
      <xdr:rowOff>24849</xdr:rowOff>
    </xdr:from>
    <xdr:to>
      <xdr:col>7</xdr:col>
      <xdr:colOff>467414</xdr:colOff>
      <xdr:row>527</xdr:row>
      <xdr:rowOff>124011</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89892" y="93585197"/>
          <a:ext cx="5760000" cy="7454118"/>
        </a:xfrm>
        <a:prstGeom prst="rect">
          <a:avLst/>
        </a:prstGeom>
        <a:ln>
          <a:solidFill>
            <a:schemeClr val="tx1"/>
          </a:solidFill>
        </a:ln>
      </xdr:spPr>
    </xdr:pic>
    <xdr:clientData/>
  </xdr:twoCellAnchor>
  <xdr:twoCellAnchor>
    <xdr:from>
      <xdr:col>0</xdr:col>
      <xdr:colOff>306458</xdr:colOff>
      <xdr:row>406</xdr:row>
      <xdr:rowOff>24849</xdr:rowOff>
    </xdr:from>
    <xdr:to>
      <xdr:col>7</xdr:col>
      <xdr:colOff>483980</xdr:colOff>
      <xdr:row>443</xdr:row>
      <xdr:rowOff>124010</xdr:rowOff>
    </xdr:to>
    <xdr:grpSp>
      <xdr:nvGrpSpPr>
        <xdr:cNvPr id="59" name="Group 58">
          <a:extLst>
            <a:ext uri="{FF2B5EF4-FFF2-40B4-BE49-F238E27FC236}">
              <a16:creationId xmlns:a16="http://schemas.microsoft.com/office/drawing/2014/main" id="{00000000-0008-0000-0000-00003B000000}"/>
            </a:ext>
          </a:extLst>
        </xdr:cNvPr>
        <xdr:cNvGrpSpPr/>
      </xdr:nvGrpSpPr>
      <xdr:grpSpPr>
        <a:xfrm>
          <a:off x="306458" y="84820209"/>
          <a:ext cx="5907762" cy="7429601"/>
          <a:chOff x="306458" y="76092327"/>
          <a:chExt cx="5760000" cy="7454118"/>
        </a:xfrm>
      </xdr:grpSpPr>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06458" y="76092327"/>
            <a:ext cx="5760000" cy="7454118"/>
          </a:xfrm>
          <a:prstGeom prst="rect">
            <a:avLst/>
          </a:prstGeom>
          <a:ln>
            <a:solidFill>
              <a:schemeClr val="tx1"/>
            </a:solidFill>
          </a:ln>
        </xdr:spPr>
      </xdr:pic>
      <xdr:sp macro="" textlink="">
        <xdr:nvSpPr>
          <xdr:cNvPr id="58" name="Rectangle 57">
            <a:extLst>
              <a:ext uri="{FF2B5EF4-FFF2-40B4-BE49-F238E27FC236}">
                <a16:creationId xmlns:a16="http://schemas.microsoft.com/office/drawing/2014/main" id="{00000000-0008-0000-0000-00003A000000}"/>
              </a:ext>
            </a:extLst>
          </xdr:cNvPr>
          <xdr:cNvSpPr/>
        </xdr:nvSpPr>
        <xdr:spPr>
          <a:xfrm>
            <a:off x="455543" y="78577109"/>
            <a:ext cx="5027544" cy="52180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228600</xdr:colOff>
      <xdr:row>321</xdr:row>
      <xdr:rowOff>180975</xdr:rowOff>
    </xdr:from>
    <xdr:to>
      <xdr:col>7</xdr:col>
      <xdr:colOff>406950</xdr:colOff>
      <xdr:row>359</xdr:row>
      <xdr:rowOff>67391</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28600" y="68275200"/>
          <a:ext cx="5760000" cy="7487365"/>
        </a:xfrm>
        <a:prstGeom prst="rect">
          <a:avLst/>
        </a:prstGeom>
      </xdr:spPr>
    </xdr:pic>
    <xdr:clientData/>
  </xdr:twoCellAnchor>
  <xdr:twoCellAnchor editAs="oneCell">
    <xdr:from>
      <xdr:col>0</xdr:col>
      <xdr:colOff>285750</xdr:colOff>
      <xdr:row>574</xdr:row>
      <xdr:rowOff>38100</xdr:rowOff>
    </xdr:from>
    <xdr:to>
      <xdr:col>7</xdr:col>
      <xdr:colOff>464100</xdr:colOff>
      <xdr:row>592</xdr:row>
      <xdr:rowOff>63674</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285750" y="121138950"/>
          <a:ext cx="5760000" cy="3626024"/>
        </a:xfrm>
        <a:prstGeom prst="rect">
          <a:avLst/>
        </a:prstGeom>
        <a:ln>
          <a:solidFill>
            <a:schemeClr val="tx1"/>
          </a:solidFill>
        </a:ln>
      </xdr:spPr>
    </xdr:pic>
    <xdr:clientData/>
  </xdr:twoCellAnchor>
  <xdr:twoCellAnchor>
    <xdr:from>
      <xdr:col>0</xdr:col>
      <xdr:colOff>465750</xdr:colOff>
      <xdr:row>593</xdr:row>
      <xdr:rowOff>14556</xdr:rowOff>
    </xdr:from>
    <xdr:to>
      <xdr:col>7</xdr:col>
      <xdr:colOff>284100</xdr:colOff>
      <xdr:row>612</xdr:row>
      <xdr:rowOff>198547</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465750" y="121858356"/>
          <a:ext cx="5548590" cy="3948271"/>
          <a:chOff x="465750" y="3948381"/>
          <a:chExt cx="5400000" cy="3984466"/>
        </a:xfrm>
      </xdr:grpSpPr>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465750" y="3948381"/>
            <a:ext cx="5400000" cy="3984466"/>
          </a:xfrm>
          <a:prstGeom prst="rect">
            <a:avLst/>
          </a:prstGeom>
          <a:ln>
            <a:solidFill>
              <a:schemeClr val="tx1"/>
            </a:solidFill>
          </a:ln>
        </xdr:spPr>
      </xdr:pic>
      <xdr:grpSp>
        <xdr:nvGrpSpPr>
          <xdr:cNvPr id="66" name="Group 65">
            <a:extLst>
              <a:ext uri="{FF2B5EF4-FFF2-40B4-BE49-F238E27FC236}">
                <a16:creationId xmlns:a16="http://schemas.microsoft.com/office/drawing/2014/main" id="{00000000-0008-0000-0000-000042000000}"/>
              </a:ext>
            </a:extLst>
          </xdr:cNvPr>
          <xdr:cNvGrpSpPr/>
        </xdr:nvGrpSpPr>
        <xdr:grpSpPr>
          <a:xfrm rot="5715923">
            <a:off x="2313391" y="4447870"/>
            <a:ext cx="2151820" cy="2203364"/>
            <a:chOff x="2794994" y="6170096"/>
            <a:chExt cx="1608934" cy="1312610"/>
          </a:xfrm>
        </xdr:grpSpPr>
        <xdr:cxnSp macro="">
          <xdr:nvCxnSpPr>
            <xdr:cNvPr id="67" name="Straight Connector 66">
              <a:extLst>
                <a:ext uri="{FF2B5EF4-FFF2-40B4-BE49-F238E27FC236}">
                  <a16:creationId xmlns:a16="http://schemas.microsoft.com/office/drawing/2014/main" id="{00000000-0008-0000-0000-000043000000}"/>
                </a:ext>
              </a:extLst>
            </xdr:cNvPr>
            <xdr:cNvCxnSpPr/>
          </xdr:nvCxnSpPr>
          <xdr:spPr>
            <a:xfrm rot="15884077" flipH="1" flipV="1">
              <a:off x="2402685" y="6579991"/>
              <a:ext cx="1074729" cy="290112"/>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a:extLst>
                <a:ext uri="{FF2B5EF4-FFF2-40B4-BE49-F238E27FC236}">
                  <a16:creationId xmlns:a16="http://schemas.microsoft.com/office/drawing/2014/main" id="{00000000-0008-0000-0000-000044000000}"/>
                </a:ext>
              </a:extLst>
            </xdr:cNvPr>
            <xdr:cNvCxnSpPr/>
          </xdr:nvCxnSpPr>
          <xdr:spPr>
            <a:xfrm rot="15884077" flipH="1">
              <a:off x="3457199" y="6630077"/>
              <a:ext cx="265163" cy="1440096"/>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a:extLst>
                <a:ext uri="{FF2B5EF4-FFF2-40B4-BE49-F238E27FC236}">
                  <a16:creationId xmlns:a16="http://schemas.microsoft.com/office/drawing/2014/main" id="{00000000-0008-0000-0000-000045000000}"/>
                </a:ext>
              </a:extLst>
            </xdr:cNvPr>
            <xdr:cNvCxnSpPr/>
          </xdr:nvCxnSpPr>
          <xdr:spPr>
            <a:xfrm rot="15884077">
              <a:off x="4100780" y="7123353"/>
              <a:ext cx="495651" cy="110644"/>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a:extLst>
                <a:ext uri="{FF2B5EF4-FFF2-40B4-BE49-F238E27FC236}">
                  <a16:creationId xmlns:a16="http://schemas.microsoft.com/office/drawing/2014/main" id="{00000000-0008-0000-0000-000046000000}"/>
                </a:ext>
              </a:extLst>
            </xdr:cNvPr>
            <xdr:cNvCxnSpPr/>
          </xdr:nvCxnSpPr>
          <xdr:spPr>
            <a:xfrm rot="15884077" flipV="1">
              <a:off x="3922280" y="6523219"/>
              <a:ext cx="219941" cy="650512"/>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00000000-0008-0000-0000-000047000000}"/>
                </a:ext>
              </a:extLst>
            </xdr:cNvPr>
            <xdr:cNvCxnSpPr/>
          </xdr:nvCxnSpPr>
          <xdr:spPr>
            <a:xfrm rot="15884077" flipV="1">
              <a:off x="3297652" y="6388198"/>
              <a:ext cx="368268" cy="41255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00000000-0008-0000-0000-000048000000}"/>
                </a:ext>
              </a:extLst>
            </xdr:cNvPr>
            <xdr:cNvCxnSpPr/>
          </xdr:nvCxnSpPr>
          <xdr:spPr>
            <a:xfrm rot="15884077">
              <a:off x="3159371" y="6294962"/>
              <a:ext cx="213395" cy="46576"/>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00000000-0008-0000-0000-000049000000}"/>
                </a:ext>
              </a:extLst>
            </xdr:cNvPr>
            <xdr:cNvCxnSpPr/>
          </xdr:nvCxnSpPr>
          <xdr:spPr>
            <a:xfrm rot="15884077" flipH="1">
              <a:off x="3128234" y="6066416"/>
              <a:ext cx="43101" cy="250461"/>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584019</xdr:colOff>
      <xdr:row>276</xdr:row>
      <xdr:rowOff>131717</xdr:rowOff>
    </xdr:from>
    <xdr:to>
      <xdr:col>15</xdr:col>
      <xdr:colOff>693964</xdr:colOff>
      <xdr:row>316</xdr:row>
      <xdr:rowOff>145325</xdr:rowOff>
    </xdr:to>
    <xdr:grpSp>
      <xdr:nvGrpSpPr>
        <xdr:cNvPr id="60" name="Group 59">
          <a:extLst>
            <a:ext uri="{FF2B5EF4-FFF2-40B4-BE49-F238E27FC236}">
              <a16:creationId xmlns:a16="http://schemas.microsoft.com/office/drawing/2014/main" id="{00000000-0008-0000-0000-00003C000000}"/>
            </a:ext>
          </a:extLst>
        </xdr:cNvPr>
        <xdr:cNvGrpSpPr/>
      </xdr:nvGrpSpPr>
      <xdr:grpSpPr>
        <a:xfrm>
          <a:off x="7304859" y="59179097"/>
          <a:ext cx="6274525" cy="7930788"/>
          <a:chOff x="-79858" y="343489"/>
          <a:chExt cx="6996252" cy="8297106"/>
        </a:xfrm>
      </xdr:grpSpPr>
      <xdr:pic>
        <xdr:nvPicPr>
          <xdr:cNvPr id="61" name="Picture 60" descr="https://vsjcllp.vsjadon.com/upload/insp-236795-1525.jpg">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754248" y="647494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36795-877.jp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1126" y="343489"/>
            <a:ext cx="3029807" cy="40439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36795-1022.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18616" y="4531195"/>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36795-916.jpg">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93905" y="648059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36795-928.jpg">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528016" y="343489"/>
            <a:ext cx="3029807" cy="40439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36795-845.jpg">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3562" y="647494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36795-844.jpg">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454468" y="4531195"/>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36795-847.jpg">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9858" y="4531195"/>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36795-860.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71213" y="4531195"/>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388620</xdr:colOff>
      <xdr:row>279</xdr:row>
      <xdr:rowOff>182880</xdr:rowOff>
    </xdr:from>
    <xdr:to>
      <xdr:col>7</xdr:col>
      <xdr:colOff>449580</xdr:colOff>
      <xdr:row>317</xdr:row>
      <xdr:rowOff>83820</xdr:rowOff>
    </xdr:to>
    <xdr:grpSp>
      <xdr:nvGrpSpPr>
        <xdr:cNvPr id="2" name="Group 1">
          <a:extLst>
            <a:ext uri="{FF2B5EF4-FFF2-40B4-BE49-F238E27FC236}">
              <a16:creationId xmlns:a16="http://schemas.microsoft.com/office/drawing/2014/main" id="{3E9DDC3D-1996-90B3-3E4A-C8D324C3508F}"/>
            </a:ext>
          </a:extLst>
        </xdr:cNvPr>
        <xdr:cNvGrpSpPr/>
      </xdr:nvGrpSpPr>
      <xdr:grpSpPr>
        <a:xfrm>
          <a:off x="388620" y="59824620"/>
          <a:ext cx="5791200" cy="7421880"/>
          <a:chOff x="421583" y="222068"/>
          <a:chExt cx="6014834" cy="8521212"/>
        </a:xfrm>
      </xdr:grpSpPr>
      <xdr:grpSp>
        <xdr:nvGrpSpPr>
          <xdr:cNvPr id="4" name="Group 3">
            <a:extLst>
              <a:ext uri="{FF2B5EF4-FFF2-40B4-BE49-F238E27FC236}">
                <a16:creationId xmlns:a16="http://schemas.microsoft.com/office/drawing/2014/main" id="{BED93259-A698-8AC3-0EE7-4D571BF4223A}"/>
              </a:ext>
            </a:extLst>
          </xdr:cNvPr>
          <xdr:cNvGrpSpPr/>
        </xdr:nvGrpSpPr>
        <xdr:grpSpPr>
          <a:xfrm>
            <a:off x="672716" y="4244677"/>
            <a:ext cx="5512568" cy="2520000"/>
            <a:chOff x="682871" y="4283866"/>
            <a:chExt cx="5512568" cy="2520000"/>
          </a:xfrm>
        </xdr:grpSpPr>
        <xdr:pic>
          <xdr:nvPicPr>
            <xdr:cNvPr id="11" name="Picture 10">
              <a:extLst>
                <a:ext uri="{FF2B5EF4-FFF2-40B4-BE49-F238E27FC236}">
                  <a16:creationId xmlns:a16="http://schemas.microsoft.com/office/drawing/2014/main" id="{B3423509-3871-0151-064F-425339F0AB0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682871" y="4283866"/>
              <a:ext cx="3356889"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311FBA26-E286-E021-7C77-758B14568D73}"/>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307408" y="4283866"/>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14A4F552-8951-1B21-161B-F84F3647F104}"/>
              </a:ext>
            </a:extLst>
          </xdr:cNvPr>
          <xdr:cNvGrpSpPr/>
        </xdr:nvGrpSpPr>
        <xdr:grpSpPr>
          <a:xfrm>
            <a:off x="1421990" y="6943280"/>
            <a:ext cx="4014020" cy="1800000"/>
            <a:chOff x="1685341" y="7021658"/>
            <a:chExt cx="4014020" cy="1800000"/>
          </a:xfrm>
        </xdr:grpSpPr>
        <xdr:pic>
          <xdr:nvPicPr>
            <xdr:cNvPr id="9" name="Picture 8">
              <a:extLst>
                <a:ext uri="{FF2B5EF4-FFF2-40B4-BE49-F238E27FC236}">
                  <a16:creationId xmlns:a16="http://schemas.microsoft.com/office/drawing/2014/main" id="{9A428D23-63BE-0F9C-2E89-36B1FDC4FC28}"/>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1685341" y="7021658"/>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CB7DA346-2A65-D09B-22A8-1C0AB621BC4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tretch>
              <a:fillRect/>
            </a:stretch>
          </xdr:blipFill>
          <xdr:spPr>
            <a:xfrm>
              <a:off x="3301583" y="7021658"/>
              <a:ext cx="2397778"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4140349B-D316-675C-8236-EE6FAD9066B0}"/>
              </a:ext>
            </a:extLst>
          </xdr:cNvPr>
          <xdr:cNvGrpSpPr/>
        </xdr:nvGrpSpPr>
        <xdr:grpSpPr>
          <a:xfrm>
            <a:off x="421583" y="222068"/>
            <a:ext cx="6014834" cy="3844006"/>
            <a:chOff x="421583" y="222068"/>
            <a:chExt cx="6014834" cy="3844006"/>
          </a:xfrm>
        </xdr:grpSpPr>
        <xdr:pic>
          <xdr:nvPicPr>
            <xdr:cNvPr id="7" name="Picture 6">
              <a:extLst>
                <a:ext uri="{FF2B5EF4-FFF2-40B4-BE49-F238E27FC236}">
                  <a16:creationId xmlns:a16="http://schemas.microsoft.com/office/drawing/2014/main" id="{6D900BD2-BAAB-D9DB-FD57-A2EAB9E90518}"/>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3556417" y="222068"/>
              <a:ext cx="2880000" cy="3844005"/>
            </a:xfrm>
            <a:prstGeom prst="rect">
              <a:avLst/>
            </a:prstGeom>
            <a:ln>
              <a:solidFill>
                <a:schemeClr val="tx1"/>
              </a:solidFill>
            </a:ln>
          </xdr:spPr>
        </xdr:pic>
        <xdr:pic>
          <xdr:nvPicPr>
            <xdr:cNvPr id="8" name="Picture 7">
              <a:extLst>
                <a:ext uri="{FF2B5EF4-FFF2-40B4-BE49-F238E27FC236}">
                  <a16:creationId xmlns:a16="http://schemas.microsoft.com/office/drawing/2014/main" id="{C6873D71-2098-B7B5-FF84-BF89F4C3653D}"/>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421583" y="222069"/>
              <a:ext cx="2880000" cy="3844005"/>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aF3wcbamUDvJXpb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73"/>
  <sheetViews>
    <sheetView tabSelected="1" view="pageBreakPreview" zoomScaleNormal="100" zoomScaleSheetLayoutView="100" zoomScalePageLayoutView="85" workbookViewId="0">
      <selection activeCell="E5" sqref="E5:H5"/>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7" width="11" style="39" customWidth="1"/>
    <col min="8" max="8" width="14.44140625"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98" t="s">
        <v>161</v>
      </c>
      <c r="B1" s="198"/>
      <c r="C1" s="198"/>
      <c r="D1" s="198"/>
      <c r="E1" s="198"/>
      <c r="F1" s="198"/>
      <c r="G1" s="198"/>
      <c r="H1" s="198"/>
    </row>
    <row r="2" spans="1:26" ht="16.5" customHeight="1" x14ac:dyDescent="0.3">
      <c r="A2" s="199" t="s">
        <v>0</v>
      </c>
      <c r="B2" s="199"/>
      <c r="C2" s="199"/>
      <c r="D2" s="199"/>
      <c r="E2" s="199"/>
      <c r="F2" s="199"/>
      <c r="G2" s="199"/>
      <c r="H2" s="199"/>
    </row>
    <row r="3" spans="1:26" x14ac:dyDescent="0.3">
      <c r="A3" s="156" t="s">
        <v>1</v>
      </c>
      <c r="B3" s="156"/>
      <c r="C3" s="156"/>
      <c r="D3" s="156"/>
      <c r="E3" s="156" t="str">
        <f ca="1">TEXT(TODAY(),"DD/MM/YYYY")</f>
        <v>13/09/2025</v>
      </c>
      <c r="F3" s="156"/>
      <c r="G3" s="156"/>
      <c r="H3" s="156"/>
      <c r="K3" s="56" t="s">
        <v>232</v>
      </c>
      <c r="L3" s="54" t="s">
        <v>230</v>
      </c>
      <c r="M3" s="54" t="s">
        <v>235</v>
      </c>
      <c r="N3" s="54" t="s">
        <v>233</v>
      </c>
      <c r="O3" s="54" t="s">
        <v>234</v>
      </c>
      <c r="P3" s="54" t="s">
        <v>236</v>
      </c>
    </row>
    <row r="4" spans="1:26" ht="15" customHeight="1" x14ac:dyDescent="0.3">
      <c r="A4" s="156" t="s">
        <v>229</v>
      </c>
      <c r="B4" s="156"/>
      <c r="C4" s="156"/>
      <c r="D4" s="156"/>
      <c r="E4" s="156" t="s">
        <v>230</v>
      </c>
      <c r="F4" s="156"/>
      <c r="G4" s="156"/>
      <c r="H4" s="156"/>
      <c r="K4" s="53" t="s">
        <v>231</v>
      </c>
      <c r="L4" s="54" t="s">
        <v>167</v>
      </c>
      <c r="M4" s="54" t="s">
        <v>240</v>
      </c>
      <c r="N4" s="54" t="s">
        <v>242</v>
      </c>
      <c r="O4" s="54" t="s">
        <v>244</v>
      </c>
      <c r="P4" s="54"/>
    </row>
    <row r="5" spans="1:26" ht="15" customHeight="1" x14ac:dyDescent="0.3">
      <c r="A5" s="156" t="s">
        <v>2</v>
      </c>
      <c r="B5" s="156"/>
      <c r="C5" s="156"/>
      <c r="D5" s="156"/>
      <c r="E5" s="156" t="s">
        <v>238</v>
      </c>
      <c r="F5" s="156"/>
      <c r="G5" s="156"/>
      <c r="H5" s="156"/>
      <c r="K5" s="53"/>
      <c r="L5" s="54" t="s">
        <v>237</v>
      </c>
      <c r="M5" s="54" t="s">
        <v>241</v>
      </c>
      <c r="N5" s="54" t="s">
        <v>243</v>
      </c>
      <c r="O5" s="54" t="s">
        <v>245</v>
      </c>
      <c r="P5" s="54"/>
    </row>
    <row r="6" spans="1:26" x14ac:dyDescent="0.3">
      <c r="A6" s="156" t="s">
        <v>3</v>
      </c>
      <c r="B6" s="156"/>
      <c r="C6" s="156"/>
      <c r="D6" s="156"/>
      <c r="E6" s="200">
        <v>45909</v>
      </c>
      <c r="F6" s="156"/>
      <c r="G6" s="156"/>
      <c r="H6" s="156"/>
      <c r="K6" s="53"/>
      <c r="L6" s="54" t="s">
        <v>238</v>
      </c>
      <c r="M6" s="54"/>
      <c r="N6" s="54"/>
      <c r="O6" s="54" t="s">
        <v>246</v>
      </c>
      <c r="P6" s="54"/>
    </row>
    <row r="7" spans="1:26" ht="16.5" customHeight="1" x14ac:dyDescent="0.3">
      <c r="A7" s="156" t="s">
        <v>4</v>
      </c>
      <c r="B7" s="156"/>
      <c r="C7" s="156"/>
      <c r="D7" s="156"/>
      <c r="E7" s="156" t="s">
        <v>297</v>
      </c>
      <c r="F7" s="156"/>
      <c r="G7" s="156"/>
      <c r="H7" s="156"/>
      <c r="K7" s="53"/>
      <c r="L7" s="54" t="s">
        <v>239</v>
      </c>
      <c r="M7" s="54"/>
      <c r="N7" s="54"/>
      <c r="O7" s="54" t="s">
        <v>246</v>
      </c>
      <c r="P7" s="54"/>
    </row>
    <row r="8" spans="1:26" ht="15" customHeight="1" x14ac:dyDescent="0.3">
      <c r="A8" s="156" t="s">
        <v>5</v>
      </c>
      <c r="B8" s="156"/>
      <c r="C8" s="156"/>
      <c r="D8" s="156"/>
      <c r="E8" s="156" t="str">
        <f>E7</f>
        <v>Vastu Infrastructure</v>
      </c>
      <c r="F8" s="156"/>
      <c r="G8" s="156"/>
      <c r="H8" s="156"/>
      <c r="K8" s="53"/>
      <c r="L8" s="54"/>
      <c r="M8" s="54"/>
      <c r="N8" s="54"/>
      <c r="O8" s="54" t="s">
        <v>247</v>
      </c>
      <c r="P8" s="54"/>
    </row>
    <row r="9" spans="1:26" ht="32.25" customHeight="1" x14ac:dyDescent="0.3">
      <c r="A9" s="156" t="s">
        <v>6</v>
      </c>
      <c r="B9" s="156"/>
      <c r="C9" s="156"/>
      <c r="D9" s="156"/>
      <c r="E9" s="118" t="s">
        <v>298</v>
      </c>
      <c r="F9" s="118"/>
      <c r="G9" s="118"/>
      <c r="H9" s="118"/>
      <c r="K9" s="53"/>
      <c r="L9" s="54"/>
      <c r="M9" s="54"/>
      <c r="N9" s="54"/>
      <c r="O9" s="54" t="s">
        <v>248</v>
      </c>
      <c r="P9" s="54"/>
    </row>
    <row r="10" spans="1:26" x14ac:dyDescent="0.3">
      <c r="A10" s="156" t="s">
        <v>164</v>
      </c>
      <c r="B10" s="156"/>
      <c r="C10" s="156"/>
      <c r="D10" s="156"/>
      <c r="E10" s="156" t="s">
        <v>299</v>
      </c>
      <c r="F10" s="156"/>
      <c r="G10" s="156"/>
      <c r="H10" s="156"/>
      <c r="K10" s="53"/>
      <c r="L10" s="54"/>
      <c r="M10" s="54"/>
      <c r="N10" s="54"/>
      <c r="O10" s="54"/>
      <c r="P10" s="54"/>
    </row>
    <row r="11" spans="1:26" x14ac:dyDescent="0.3">
      <c r="A11" s="156" t="s">
        <v>165</v>
      </c>
      <c r="B11" s="156"/>
      <c r="C11" s="156"/>
      <c r="D11" s="156"/>
      <c r="E11" s="156" t="s">
        <v>300</v>
      </c>
      <c r="F11" s="156"/>
      <c r="G11" s="156"/>
      <c r="H11" s="156"/>
    </row>
    <row r="12" spans="1:26" x14ac:dyDescent="0.3">
      <c r="A12" s="156" t="s">
        <v>7</v>
      </c>
      <c r="B12" s="156"/>
      <c r="C12" s="156"/>
      <c r="D12" s="156"/>
      <c r="E12" s="156" t="s">
        <v>301</v>
      </c>
      <c r="F12" s="156"/>
      <c r="G12" s="156"/>
      <c r="H12" s="156"/>
    </row>
    <row r="13" spans="1:26" x14ac:dyDescent="0.3">
      <c r="A13" s="156" t="s">
        <v>168</v>
      </c>
      <c r="B13" s="156"/>
      <c r="C13" s="156"/>
      <c r="D13" s="156"/>
      <c r="E13" s="156" t="s">
        <v>28</v>
      </c>
      <c r="F13" s="156"/>
      <c r="G13" s="156"/>
      <c r="H13" s="156"/>
      <c r="S13" s="54" t="s">
        <v>175</v>
      </c>
      <c r="T13" s="54" t="s">
        <v>185</v>
      </c>
      <c r="U13" s="54" t="s">
        <v>169</v>
      </c>
      <c r="V13" s="54" t="s">
        <v>190</v>
      </c>
      <c r="W13" s="54" t="s">
        <v>208</v>
      </c>
      <c r="X13"/>
      <c r="Y13" t="s">
        <v>190</v>
      </c>
      <c r="Z13" t="e">
        <f ca="1">OFFSET($S$13,1,MATCH($G20,$S$13:$W$13,0)-1,15,1)</f>
        <v>#VALUE!</v>
      </c>
    </row>
    <row r="14" spans="1:26" x14ac:dyDescent="0.3">
      <c r="A14" s="98" t="s">
        <v>275</v>
      </c>
      <c r="B14" s="98"/>
      <c r="C14" s="98"/>
      <c r="D14" s="98"/>
      <c r="E14" s="155" t="s">
        <v>322</v>
      </c>
      <c r="F14" s="155"/>
      <c r="G14" s="155"/>
      <c r="H14" s="155"/>
      <c r="S14" s="54" t="s">
        <v>176</v>
      </c>
      <c r="T14" s="54" t="s">
        <v>183</v>
      </c>
      <c r="U14" s="54" t="s">
        <v>205</v>
      </c>
      <c r="V14" s="54" t="s">
        <v>191</v>
      </c>
      <c r="W14" s="54" t="s">
        <v>209</v>
      </c>
      <c r="X14"/>
      <c r="Y14"/>
      <c r="Z14"/>
    </row>
    <row r="15" spans="1:26" ht="63.75" customHeight="1" x14ac:dyDescent="0.3">
      <c r="A15" s="98" t="s">
        <v>8</v>
      </c>
      <c r="B15" s="98"/>
      <c r="C15" s="98"/>
      <c r="D15" s="98"/>
      <c r="E15" s="155" t="s">
        <v>302</v>
      </c>
      <c r="F15" s="156"/>
      <c r="G15" s="156"/>
      <c r="H15" s="156"/>
      <c r="I15" s="135" t="e">
        <f ca="1">OFFSET($D$5,1,MATCH($J13,$D$5:$H$5,0)-1,15,1)</f>
        <v>#N/A</v>
      </c>
      <c r="J15" s="136"/>
      <c r="K15" s="136"/>
      <c r="L15" s="136"/>
      <c r="M15" s="136"/>
      <c r="N15" s="136"/>
      <c r="O15" s="136"/>
      <c r="P15" s="136"/>
      <c r="S15" s="54" t="s">
        <v>177</v>
      </c>
      <c r="T15" s="54" t="s">
        <v>184</v>
      </c>
      <c r="U15" s="54" t="s">
        <v>206</v>
      </c>
      <c r="V15" s="54" t="s">
        <v>192</v>
      </c>
      <c r="W15" s="54" t="s">
        <v>222</v>
      </c>
      <c r="X15"/>
      <c r="Y15"/>
      <c r="Z15"/>
    </row>
    <row r="16" spans="1:26" ht="48.75" customHeight="1" x14ac:dyDescent="0.3">
      <c r="A16" s="144" t="s">
        <v>9</v>
      </c>
      <c r="B16" s="144"/>
      <c r="C16" s="144" t="str">
        <f>CONCATENATE((IF(OR(E9="",E9="NA"),"",E9)),", ",(IF(OR(A17="",A17="NA"),"",A17)),".",(IF(OR(C17="",C17="NA"),"",C17)),", near ",(IF(OR(C22="",C22="NA"),"",C22)),", ",(IF(OR(C19="",C19="NA"),"",C19)),", ",(IF(OR(C18="",C18="NA"),"",C18)),", ",(IF(OR(G19="",G19="NA"),"",G19)),", ",(IF(OR(C20="",C20="NA"),"",C20)),", ",(IF(OR(C21="",C21="NA"),"",C21)),", ",(IF(OR(G20="",G20="NA"),"",G20))," - ",(IF(OR(G21="",G21="NA"),"",G21)),".")</f>
        <v>Munot Vastu Exotica Phase I, II, III &amp; Commercial, Plot No.16/3, near Panvel City Police Station, Old Thane Naka Road, Old Panvel, Panvel, Panvel, Panvel, Raigad - 410206.</v>
      </c>
      <c r="D16" s="144"/>
      <c r="E16" s="144"/>
      <c r="F16" s="144"/>
      <c r="G16" s="144"/>
      <c r="H16" s="144"/>
      <c r="S16" s="54" t="s">
        <v>178</v>
      </c>
      <c r="T16" s="54" t="s">
        <v>186</v>
      </c>
      <c r="U16" s="54" t="s">
        <v>207</v>
      </c>
      <c r="V16" s="54" t="s">
        <v>193</v>
      </c>
      <c r="W16" s="54" t="s">
        <v>210</v>
      </c>
      <c r="X16"/>
      <c r="Y16"/>
      <c r="Z16"/>
    </row>
    <row r="17" spans="1:26" x14ac:dyDescent="0.3">
      <c r="A17" s="155" t="s">
        <v>304</v>
      </c>
      <c r="B17" s="155"/>
      <c r="C17" s="201" t="s">
        <v>303</v>
      </c>
      <c r="D17" s="201"/>
      <c r="E17" s="201"/>
      <c r="F17" s="201"/>
      <c r="G17" s="201"/>
      <c r="H17" s="201"/>
      <c r="S17" s="54" t="s">
        <v>179</v>
      </c>
      <c r="T17" s="54" t="s">
        <v>187</v>
      </c>
      <c r="U17" s="54" t="s">
        <v>169</v>
      </c>
      <c r="V17" s="54" t="s">
        <v>194</v>
      </c>
      <c r="W17" s="54" t="s">
        <v>211</v>
      </c>
      <c r="X17"/>
      <c r="Y17"/>
      <c r="Z17"/>
    </row>
    <row r="18" spans="1:26" ht="15.75" customHeight="1" x14ac:dyDescent="0.3">
      <c r="A18" s="155" t="s">
        <v>159</v>
      </c>
      <c r="B18" s="155"/>
      <c r="C18" s="155" t="s">
        <v>308</v>
      </c>
      <c r="D18" s="155"/>
      <c r="E18" s="155"/>
      <c r="F18" s="155"/>
      <c r="G18" s="155"/>
      <c r="H18" s="155"/>
      <c r="S18" s="54" t="s">
        <v>180</v>
      </c>
      <c r="T18" s="54" t="s">
        <v>185</v>
      </c>
      <c r="U18" s="54"/>
      <c r="V18" s="54" t="s">
        <v>195</v>
      </c>
      <c r="W18" s="54" t="s">
        <v>212</v>
      </c>
      <c r="X18"/>
      <c r="Y18"/>
      <c r="Z18"/>
    </row>
    <row r="19" spans="1:26" ht="15.75" customHeight="1" x14ac:dyDescent="0.3">
      <c r="A19" s="144" t="s">
        <v>10</v>
      </c>
      <c r="B19" s="144"/>
      <c r="C19" s="156" t="s">
        <v>307</v>
      </c>
      <c r="D19" s="156"/>
      <c r="E19" s="144" t="s">
        <v>70</v>
      </c>
      <c r="F19" s="144"/>
      <c r="G19" s="155" t="s">
        <v>192</v>
      </c>
      <c r="H19" s="155"/>
      <c r="S19" s="54" t="s">
        <v>181</v>
      </c>
      <c r="T19" s="54" t="s">
        <v>188</v>
      </c>
      <c r="U19" s="54"/>
      <c r="V19" s="54" t="s">
        <v>196</v>
      </c>
      <c r="W19" s="54" t="s">
        <v>213</v>
      </c>
      <c r="X19"/>
      <c r="Y19"/>
      <c r="Z19"/>
    </row>
    <row r="20" spans="1:26" x14ac:dyDescent="0.3">
      <c r="A20" s="98" t="s">
        <v>12</v>
      </c>
      <c r="B20" s="98"/>
      <c r="C20" s="155" t="s">
        <v>192</v>
      </c>
      <c r="D20" s="155"/>
      <c r="E20" s="144" t="s">
        <v>11</v>
      </c>
      <c r="F20" s="144"/>
      <c r="G20" s="205" t="s">
        <v>190</v>
      </c>
      <c r="H20" s="205"/>
      <c r="S20" s="54" t="s">
        <v>182</v>
      </c>
      <c r="T20" s="54" t="s">
        <v>189</v>
      </c>
      <c r="U20" s="54"/>
      <c r="V20" s="54" t="s">
        <v>197</v>
      </c>
      <c r="W20" s="54" t="s">
        <v>214</v>
      </c>
      <c r="X20"/>
      <c r="Y20"/>
      <c r="Z20"/>
    </row>
    <row r="21" spans="1:26" x14ac:dyDescent="0.3">
      <c r="A21" s="98" t="s">
        <v>71</v>
      </c>
      <c r="B21" s="98"/>
      <c r="C21" s="155" t="s">
        <v>192</v>
      </c>
      <c r="D21" s="155"/>
      <c r="E21" s="144" t="s">
        <v>13</v>
      </c>
      <c r="F21" s="144"/>
      <c r="G21" s="155">
        <v>410206</v>
      </c>
      <c r="H21" s="155"/>
      <c r="S21" s="54"/>
      <c r="T21" s="54"/>
      <c r="U21" s="54"/>
      <c r="V21" s="54" t="s">
        <v>198</v>
      </c>
      <c r="W21" s="54" t="s">
        <v>215</v>
      </c>
      <c r="X21"/>
      <c r="Y21"/>
      <c r="Z21"/>
    </row>
    <row r="22" spans="1:26" ht="32.25" customHeight="1" x14ac:dyDescent="0.3">
      <c r="A22" s="98" t="s">
        <v>119</v>
      </c>
      <c r="B22" s="98"/>
      <c r="C22" s="155" t="s">
        <v>309</v>
      </c>
      <c r="D22" s="155"/>
      <c r="E22" s="144" t="s">
        <v>14</v>
      </c>
      <c r="F22" s="144"/>
      <c r="G22" s="155" t="s">
        <v>310</v>
      </c>
      <c r="H22" s="155"/>
      <c r="S22" s="54"/>
      <c r="T22" s="54"/>
      <c r="U22" s="54"/>
      <c r="V22" s="54" t="s">
        <v>199</v>
      </c>
      <c r="W22" s="54" t="s">
        <v>216</v>
      </c>
      <c r="X22"/>
      <c r="Y22"/>
      <c r="Z22"/>
    </row>
    <row r="23" spans="1:26" ht="15" customHeight="1" x14ac:dyDescent="0.3">
      <c r="A23" s="144" t="s">
        <v>73</v>
      </c>
      <c r="B23" s="144"/>
      <c r="C23" s="144"/>
      <c r="D23" s="144"/>
      <c r="E23" s="156" t="s">
        <v>15</v>
      </c>
      <c r="F23" s="156"/>
      <c r="G23" s="156"/>
      <c r="H23" s="156"/>
      <c r="S23" s="54"/>
      <c r="T23" s="54"/>
      <c r="U23" s="54"/>
      <c r="V23" s="54" t="s">
        <v>200</v>
      </c>
      <c r="W23" s="54" t="s">
        <v>217</v>
      </c>
      <c r="X23"/>
      <c r="Y23"/>
      <c r="Z23"/>
    </row>
    <row r="24" spans="1:26" ht="18.75" customHeight="1" x14ac:dyDescent="0.3">
      <c r="A24" s="144"/>
      <c r="B24" s="144"/>
      <c r="C24" s="144"/>
      <c r="D24" s="144"/>
      <c r="E24" s="156"/>
      <c r="F24" s="156"/>
      <c r="G24" s="156"/>
      <c r="H24" s="156"/>
      <c r="S24" s="54"/>
      <c r="T24" s="54"/>
      <c r="U24" s="54"/>
      <c r="V24" s="54" t="s">
        <v>201</v>
      </c>
      <c r="W24" s="54" t="s">
        <v>218</v>
      </c>
      <c r="X24"/>
      <c r="Y24"/>
      <c r="Z24"/>
    </row>
    <row r="25" spans="1:26" ht="15" customHeight="1" x14ac:dyDescent="0.3">
      <c r="A25" s="144" t="s">
        <v>16</v>
      </c>
      <c r="B25" s="144"/>
      <c r="C25" s="144"/>
      <c r="D25" s="144"/>
      <c r="E25" s="155" t="s">
        <v>17</v>
      </c>
      <c r="F25" s="155"/>
      <c r="G25" s="155"/>
      <c r="H25" s="155"/>
      <c r="S25" s="54"/>
      <c r="T25" s="54"/>
      <c r="U25" s="54"/>
      <c r="V25" s="54" t="s">
        <v>202</v>
      </c>
      <c r="W25" s="54" t="s">
        <v>219</v>
      </c>
      <c r="X25"/>
      <c r="Y25"/>
      <c r="Z25"/>
    </row>
    <row r="26" spans="1:26" ht="15" customHeight="1" x14ac:dyDescent="0.3">
      <c r="A26" s="98" t="s">
        <v>18</v>
      </c>
      <c r="B26" s="98"/>
      <c r="C26" s="98"/>
      <c r="D26" s="98"/>
      <c r="E26" s="155" t="str">
        <f>IF(AND(G20="Mumbai"),"Upper Class","Middle Class")</f>
        <v>Middle Class</v>
      </c>
      <c r="F26" s="155"/>
      <c r="G26" s="155"/>
      <c r="H26" s="155"/>
      <c r="S26" s="54"/>
      <c r="T26" s="54"/>
      <c r="U26" s="54"/>
      <c r="V26" s="54" t="s">
        <v>203</v>
      </c>
      <c r="W26" s="54" t="s">
        <v>220</v>
      </c>
      <c r="X26"/>
      <c r="Y26"/>
      <c r="Z26"/>
    </row>
    <row r="27" spans="1:26" x14ac:dyDescent="0.3">
      <c r="A27" s="98" t="s">
        <v>19</v>
      </c>
      <c r="B27" s="98"/>
      <c r="C27" s="98"/>
      <c r="D27" s="98"/>
      <c r="E27" s="155" t="s">
        <v>20</v>
      </c>
      <c r="F27" s="155"/>
      <c r="G27" s="155"/>
      <c r="H27" s="155"/>
      <c r="S27" s="54"/>
      <c r="T27" s="54"/>
      <c r="U27" s="54"/>
      <c r="V27" s="54" t="s">
        <v>204</v>
      </c>
      <c r="W27" s="54" t="s">
        <v>221</v>
      </c>
      <c r="X27"/>
      <c r="Y27"/>
      <c r="Z27"/>
    </row>
    <row r="28" spans="1:26" ht="15.75" customHeight="1" x14ac:dyDescent="0.3">
      <c r="A28" s="98" t="s">
        <v>21</v>
      </c>
      <c r="B28" s="98"/>
      <c r="C28" s="98"/>
      <c r="D28" s="98"/>
      <c r="E28" s="155" t="str">
        <f>IF(AND(G20="Mumbai"),"Developed","Developing")</f>
        <v>Developing</v>
      </c>
      <c r="F28" s="155"/>
      <c r="G28" s="155"/>
      <c r="H28" s="155"/>
    </row>
    <row r="29" spans="1:26" x14ac:dyDescent="0.3">
      <c r="A29" s="98" t="s">
        <v>22</v>
      </c>
      <c r="B29" s="98"/>
      <c r="C29" s="98"/>
      <c r="D29" s="98"/>
      <c r="E29" s="155" t="s">
        <v>23</v>
      </c>
      <c r="F29" s="155"/>
      <c r="G29" s="155"/>
      <c r="H29" s="155"/>
    </row>
    <row r="30" spans="1:26" ht="15.75" customHeight="1" x14ac:dyDescent="0.3">
      <c r="A30" s="98" t="s">
        <v>78</v>
      </c>
      <c r="B30" s="98"/>
      <c r="C30" s="98"/>
      <c r="D30" s="98"/>
      <c r="E30" s="155" t="s">
        <v>79</v>
      </c>
      <c r="F30" s="155"/>
      <c r="G30" s="155"/>
      <c r="H30" s="155"/>
    </row>
    <row r="31" spans="1:26" ht="15" customHeight="1" x14ac:dyDescent="0.3">
      <c r="A31" s="98" t="s">
        <v>30</v>
      </c>
      <c r="B31" s="98"/>
      <c r="C31" s="98"/>
      <c r="D31" s="98"/>
      <c r="E31" s="15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5"/>
      <c r="G31" s="155"/>
      <c r="H31" s="155"/>
    </row>
    <row r="32" spans="1:26" ht="15.75" customHeight="1" x14ac:dyDescent="0.3">
      <c r="A32" s="98" t="s">
        <v>90</v>
      </c>
      <c r="B32" s="98"/>
      <c r="C32" s="98"/>
      <c r="D32" s="98"/>
      <c r="E32" s="155" t="s">
        <v>31</v>
      </c>
      <c r="F32" s="155"/>
      <c r="G32" s="155"/>
      <c r="H32" s="155"/>
    </row>
    <row r="33" spans="1:19" s="21" customFormat="1" x14ac:dyDescent="0.3">
      <c r="A33" s="210" t="s">
        <v>91</v>
      </c>
      <c r="B33" s="210"/>
      <c r="C33" s="207" t="s">
        <v>170</v>
      </c>
      <c r="D33" s="208"/>
      <c r="E33" s="209"/>
      <c r="F33" s="207" t="s">
        <v>29</v>
      </c>
      <c r="G33" s="208"/>
      <c r="H33" s="209"/>
      <c r="S33" s="21" t="e">
        <f ca="1">OFFSET($S$13,1,MATCH($G20,$S$13:$W$13,0)-1,15,1)</f>
        <v>#VALUE!</v>
      </c>
    </row>
    <row r="34" spans="1:19" s="21" customFormat="1" x14ac:dyDescent="0.3">
      <c r="A34" s="206" t="s">
        <v>24</v>
      </c>
      <c r="B34" s="206" t="s">
        <v>28</v>
      </c>
      <c r="C34" s="202" t="s">
        <v>313</v>
      </c>
      <c r="D34" s="203"/>
      <c r="E34" s="204"/>
      <c r="F34" s="202" t="s">
        <v>317</v>
      </c>
      <c r="G34" s="203"/>
      <c r="H34" s="204"/>
    </row>
    <row r="35" spans="1:19" x14ac:dyDescent="0.3">
      <c r="A35" s="206" t="s">
        <v>25</v>
      </c>
      <c r="B35" s="206" t="s">
        <v>28</v>
      </c>
      <c r="C35" s="202" t="s">
        <v>314</v>
      </c>
      <c r="D35" s="203"/>
      <c r="E35" s="204"/>
      <c r="F35" s="202" t="s">
        <v>309</v>
      </c>
      <c r="G35" s="203"/>
      <c r="H35" s="204"/>
    </row>
    <row r="36" spans="1:19" s="21" customFormat="1" x14ac:dyDescent="0.3">
      <c r="A36" s="206" t="s">
        <v>27</v>
      </c>
      <c r="B36" s="206" t="s">
        <v>28</v>
      </c>
      <c r="C36" s="202" t="s">
        <v>311</v>
      </c>
      <c r="D36" s="203"/>
      <c r="E36" s="204"/>
      <c r="F36" s="202" t="s">
        <v>315</v>
      </c>
      <c r="G36" s="203"/>
      <c r="H36" s="204"/>
    </row>
    <row r="37" spans="1:19" x14ac:dyDescent="0.3">
      <c r="A37" s="206" t="s">
        <v>26</v>
      </c>
      <c r="B37" s="206" t="s">
        <v>28</v>
      </c>
      <c r="C37" s="202" t="s">
        <v>312</v>
      </c>
      <c r="D37" s="203"/>
      <c r="E37" s="204"/>
      <c r="F37" s="202" t="s">
        <v>316</v>
      </c>
      <c r="G37" s="203"/>
      <c r="H37" s="204"/>
    </row>
    <row r="38" spans="1:19" x14ac:dyDescent="0.3">
      <c r="A38" s="98" t="s">
        <v>276</v>
      </c>
      <c r="B38" s="98"/>
      <c r="C38" s="98"/>
      <c r="D38" s="98"/>
      <c r="E38" s="98"/>
      <c r="F38" s="98"/>
      <c r="G38" s="98"/>
      <c r="H38" s="98"/>
    </row>
    <row r="39" spans="1:19" ht="15.75" customHeight="1" x14ac:dyDescent="0.3">
      <c r="A39" s="98" t="s">
        <v>162</v>
      </c>
      <c r="B39" s="98"/>
      <c r="C39" s="98" t="s">
        <v>305</v>
      </c>
      <c r="D39" s="98"/>
      <c r="E39" s="98"/>
      <c r="F39" s="98"/>
      <c r="G39" s="98"/>
      <c r="H39" s="98"/>
    </row>
    <row r="40" spans="1:19" x14ac:dyDescent="0.3">
      <c r="A40" s="98" t="s">
        <v>158</v>
      </c>
      <c r="B40" s="98"/>
      <c r="C40" s="221" t="s">
        <v>306</v>
      </c>
      <c r="D40" s="155"/>
      <c r="E40" s="155"/>
      <c r="F40" s="155"/>
      <c r="G40" s="155"/>
      <c r="H40" s="155"/>
    </row>
    <row r="41" spans="1:19" x14ac:dyDescent="0.3">
      <c r="A41" s="197" t="s">
        <v>32</v>
      </c>
      <c r="B41" s="197"/>
      <c r="C41" s="197"/>
      <c r="D41" s="197"/>
      <c r="E41" s="197"/>
      <c r="F41" s="197"/>
      <c r="G41" s="197"/>
      <c r="H41" s="197"/>
    </row>
    <row r="42" spans="1:19" x14ac:dyDescent="0.3">
      <c r="A42" s="98" t="s">
        <v>33</v>
      </c>
      <c r="B42" s="98"/>
      <c r="C42" s="98"/>
      <c r="D42" s="98"/>
      <c r="E42" s="214">
        <v>7837</v>
      </c>
      <c r="F42" s="214"/>
      <c r="G42" s="214"/>
      <c r="H42" s="214"/>
    </row>
    <row r="43" spans="1:19" x14ac:dyDescent="0.3">
      <c r="A43" s="98" t="s">
        <v>34</v>
      </c>
      <c r="B43" s="98"/>
      <c r="C43" s="98"/>
      <c r="D43" s="98"/>
      <c r="E43" s="146">
        <f>8620.7/E42</f>
        <v>1.1000000000000001</v>
      </c>
      <c r="F43" s="146"/>
      <c r="G43" s="146"/>
      <c r="H43" s="146"/>
    </row>
    <row r="44" spans="1:19" x14ac:dyDescent="0.3">
      <c r="A44" s="98" t="s">
        <v>35</v>
      </c>
      <c r="B44" s="98"/>
      <c r="C44" s="98"/>
      <c r="D44" s="98"/>
      <c r="E44" s="146">
        <f>E46/E42-E43</f>
        <v>1.5215260941686872</v>
      </c>
      <c r="F44" s="146"/>
      <c r="G44" s="146"/>
      <c r="H44" s="146"/>
    </row>
    <row r="45" spans="1:19" x14ac:dyDescent="0.3">
      <c r="A45" s="98" t="s">
        <v>36</v>
      </c>
      <c r="B45" s="98"/>
      <c r="C45" s="98"/>
      <c r="D45" s="98"/>
      <c r="E45" s="146">
        <f>E43+E44</f>
        <v>2.6215260941686873</v>
      </c>
      <c r="F45" s="146"/>
      <c r="G45" s="146"/>
      <c r="H45" s="146"/>
    </row>
    <row r="46" spans="1:19" x14ac:dyDescent="0.3">
      <c r="A46" s="98" t="s">
        <v>89</v>
      </c>
      <c r="B46" s="98"/>
      <c r="C46" s="98"/>
      <c r="D46" s="98"/>
      <c r="E46" s="217">
        <v>20544.900000000001</v>
      </c>
      <c r="F46" s="217"/>
      <c r="G46" s="217"/>
      <c r="H46" s="217"/>
    </row>
    <row r="47" spans="1:19" x14ac:dyDescent="0.3">
      <c r="A47" s="156" t="s">
        <v>37</v>
      </c>
      <c r="B47" s="156"/>
      <c r="C47" s="156"/>
      <c r="D47" s="156"/>
      <c r="E47" s="156" t="s">
        <v>318</v>
      </c>
      <c r="F47" s="156"/>
      <c r="G47" s="156"/>
      <c r="H47" s="156"/>
    </row>
    <row r="48" spans="1:19" x14ac:dyDescent="0.3">
      <c r="A48" s="197" t="s">
        <v>38</v>
      </c>
      <c r="B48" s="197"/>
      <c r="C48" s="197"/>
      <c r="D48" s="197"/>
      <c r="E48" s="197"/>
      <c r="F48" s="197"/>
      <c r="G48" s="197"/>
      <c r="H48" s="197"/>
    </row>
    <row r="49" spans="1:24" ht="32.25" customHeight="1" x14ac:dyDescent="0.3">
      <c r="A49" s="147" t="s">
        <v>148</v>
      </c>
      <c r="B49" s="148"/>
      <c r="C49" s="227" t="s">
        <v>266</v>
      </c>
      <c r="D49" s="228"/>
      <c r="E49" s="228"/>
      <c r="F49" s="228"/>
      <c r="G49" s="228"/>
      <c r="H49" s="229"/>
      <c r="R49" t="s">
        <v>249</v>
      </c>
      <c r="S49" t="s">
        <v>169</v>
      </c>
      <c r="T49" t="s">
        <v>175</v>
      </c>
      <c r="U49" t="s">
        <v>190</v>
      </c>
      <c r="V49" t="s">
        <v>185</v>
      </c>
    </row>
    <row r="50" spans="1:24" ht="15.75" customHeight="1" x14ac:dyDescent="0.3">
      <c r="A50" s="147" t="s">
        <v>39</v>
      </c>
      <c r="B50" s="148"/>
      <c r="C50" s="149" t="s">
        <v>361</v>
      </c>
      <c r="D50" s="150"/>
      <c r="E50" s="151"/>
      <c r="F50" s="61" t="s">
        <v>40</v>
      </c>
      <c r="G50" s="152">
        <v>44742</v>
      </c>
      <c r="H50" s="151"/>
      <c r="R50"/>
      <c r="S50" t="s">
        <v>250</v>
      </c>
      <c r="T50" t="s">
        <v>255</v>
      </c>
      <c r="U50" t="s">
        <v>266</v>
      </c>
      <c r="V50" t="s">
        <v>271</v>
      </c>
    </row>
    <row r="51" spans="1:24" ht="15.75" customHeight="1" x14ac:dyDescent="0.3">
      <c r="A51" s="147" t="s">
        <v>41</v>
      </c>
      <c r="B51" s="148"/>
      <c r="C51" s="147" t="str">
        <f>C50</f>
        <v>PMP/NRV/16227/J.K.1984/2022</v>
      </c>
      <c r="D51" s="164"/>
      <c r="E51" s="148"/>
      <c r="F51" s="17" t="s">
        <v>40</v>
      </c>
      <c r="G51" s="153">
        <f>G50</f>
        <v>44742</v>
      </c>
      <c r="H51" s="148"/>
      <c r="R51"/>
      <c r="S51" t="s">
        <v>251</v>
      </c>
      <c r="T51" t="s">
        <v>256</v>
      </c>
      <c r="U51" t="s">
        <v>264</v>
      </c>
      <c r="V51" t="s">
        <v>272</v>
      </c>
    </row>
    <row r="52" spans="1:24" s="22" customFormat="1" ht="30.75" customHeight="1" x14ac:dyDescent="0.3">
      <c r="A52" s="165" t="s">
        <v>151</v>
      </c>
      <c r="B52" s="166"/>
      <c r="C52" s="147" t="s">
        <v>321</v>
      </c>
      <c r="D52" s="164"/>
      <c r="E52" s="148"/>
      <c r="F52" s="17" t="s">
        <v>40</v>
      </c>
      <c r="G52" s="153">
        <f>G51</f>
        <v>44742</v>
      </c>
      <c r="H52" s="148"/>
      <c r="R52"/>
      <c r="S52" t="s">
        <v>252</v>
      </c>
      <c r="T52" t="s">
        <v>257</v>
      </c>
      <c r="U52" t="s">
        <v>254</v>
      </c>
      <c r="V52" t="s">
        <v>273</v>
      </c>
    </row>
    <row r="53" spans="1:24" s="22" customFormat="1" ht="46.5" customHeight="1" x14ac:dyDescent="0.3">
      <c r="A53" s="167"/>
      <c r="B53" s="168"/>
      <c r="C53" s="147" t="s">
        <v>362</v>
      </c>
      <c r="D53" s="164"/>
      <c r="E53" s="164"/>
      <c r="F53" s="164"/>
      <c r="G53" s="164"/>
      <c r="H53" s="148"/>
      <c r="R53"/>
      <c r="S53" t="s">
        <v>253</v>
      </c>
      <c r="T53" t="s">
        <v>260</v>
      </c>
      <c r="U53" t="s">
        <v>267</v>
      </c>
    </row>
    <row r="54" spans="1:24" s="22" customFormat="1" hidden="1" x14ac:dyDescent="0.3">
      <c r="A54" s="160" t="s">
        <v>277</v>
      </c>
      <c r="B54" s="161"/>
      <c r="C54" s="147" t="str">
        <f>C53</f>
        <v>Wing A &amp; B = Stilt + 1st Podium + 12th Upper Floor
Wing C = Stilt + 1st Podium + 3rd Upper Floor
Commercial Building = Ground + 1st to 9th Floor</v>
      </c>
      <c r="D54" s="164"/>
      <c r="E54" s="148"/>
      <c r="F54" s="17" t="s">
        <v>40</v>
      </c>
      <c r="G54" s="147"/>
      <c r="H54" s="148"/>
      <c r="R54"/>
      <c r="S54" t="s">
        <v>252</v>
      </c>
      <c r="T54" t="s">
        <v>257</v>
      </c>
      <c r="U54" t="s">
        <v>254</v>
      </c>
      <c r="V54" t="s">
        <v>273</v>
      </c>
    </row>
    <row r="55" spans="1:24" s="22" customFormat="1" ht="32.25" hidden="1" customHeight="1" x14ac:dyDescent="0.3">
      <c r="A55" s="162"/>
      <c r="B55" s="163"/>
      <c r="C55" s="224"/>
      <c r="D55" s="225"/>
      <c r="E55" s="225"/>
      <c r="F55" s="225"/>
      <c r="G55" s="225"/>
      <c r="H55" s="226"/>
      <c r="R55"/>
      <c r="S55" t="s">
        <v>254</v>
      </c>
      <c r="T55" t="s">
        <v>258</v>
      </c>
      <c r="U55" t="s">
        <v>268</v>
      </c>
      <c r="V55" s="20"/>
      <c r="W55" s="20"/>
      <c r="X55" s="20"/>
    </row>
    <row r="56" spans="1:24" s="22" customFormat="1" ht="34.5" hidden="1" customHeight="1" x14ac:dyDescent="0.3">
      <c r="A56" s="160" t="s">
        <v>278</v>
      </c>
      <c r="B56" s="161"/>
      <c r="C56" s="147">
        <f>C55</f>
        <v>0</v>
      </c>
      <c r="D56" s="164"/>
      <c r="E56" s="148"/>
      <c r="F56" s="17" t="s">
        <v>40</v>
      </c>
      <c r="G56" s="147">
        <f>G55</f>
        <v>0</v>
      </c>
      <c r="H56" s="148"/>
      <c r="R56"/>
      <c r="S56" s="20"/>
      <c r="T56" t="s">
        <v>259</v>
      </c>
      <c r="U56" t="s">
        <v>269</v>
      </c>
      <c r="V56" s="20"/>
      <c r="W56" s="20"/>
      <c r="X56" s="20"/>
    </row>
    <row r="57" spans="1:24" s="22" customFormat="1" ht="41.25" hidden="1" customHeight="1" x14ac:dyDescent="0.3">
      <c r="A57" s="162"/>
      <c r="B57" s="163"/>
      <c r="C57" s="147"/>
      <c r="D57" s="164"/>
      <c r="E57" s="164"/>
      <c r="F57" s="164"/>
      <c r="G57" s="164"/>
      <c r="H57" s="148"/>
      <c r="R57"/>
      <c r="S57" s="20"/>
      <c r="T57" t="s">
        <v>261</v>
      </c>
      <c r="U57" t="s">
        <v>270</v>
      </c>
      <c r="V57" s="20"/>
      <c r="W57" s="20"/>
      <c r="X57" s="20"/>
    </row>
    <row r="58" spans="1:24" s="22" customFormat="1" ht="15.75" hidden="1" customHeight="1" x14ac:dyDescent="0.3">
      <c r="A58" s="160" t="s">
        <v>279</v>
      </c>
      <c r="B58" s="161"/>
      <c r="C58" s="147">
        <f>C57</f>
        <v>0</v>
      </c>
      <c r="D58" s="164"/>
      <c r="E58" s="148"/>
      <c r="F58" s="17" t="s">
        <v>40</v>
      </c>
      <c r="G58" s="147">
        <f>G57</f>
        <v>0</v>
      </c>
      <c r="H58" s="148"/>
      <c r="R58"/>
      <c r="S58" s="20"/>
      <c r="T58" t="s">
        <v>262</v>
      </c>
      <c r="U58" s="20" t="s">
        <v>293</v>
      </c>
      <c r="V58" s="20"/>
      <c r="W58" s="20"/>
      <c r="X58" s="20"/>
    </row>
    <row r="59" spans="1:24" s="22" customFormat="1" ht="33.75" hidden="1" customHeight="1" x14ac:dyDescent="0.3">
      <c r="A59" s="162"/>
      <c r="B59" s="163"/>
      <c r="C59" s="147"/>
      <c r="D59" s="164"/>
      <c r="E59" s="164"/>
      <c r="F59" s="164"/>
      <c r="G59" s="164"/>
      <c r="H59" s="148"/>
      <c r="R59"/>
      <c r="S59" s="20"/>
      <c r="T59" t="s">
        <v>263</v>
      </c>
      <c r="U59" s="20"/>
      <c r="V59" s="20"/>
      <c r="W59" s="20"/>
      <c r="X59" s="20"/>
    </row>
    <row r="60" spans="1:24" x14ac:dyDescent="0.3">
      <c r="A60" s="139" t="s">
        <v>42</v>
      </c>
      <c r="B60" s="140"/>
      <c r="C60" s="139" t="s">
        <v>103</v>
      </c>
      <c r="D60" s="141"/>
      <c r="E60" s="140"/>
      <c r="F60" s="44" t="s">
        <v>40</v>
      </c>
      <c r="G60" s="158" t="s">
        <v>28</v>
      </c>
      <c r="H60" s="159"/>
      <c r="R60"/>
      <c r="T60" t="s">
        <v>265</v>
      </c>
    </row>
    <row r="61" spans="1:24" x14ac:dyDescent="0.3">
      <c r="A61" s="154" t="s">
        <v>44</v>
      </c>
      <c r="B61" s="154"/>
      <c r="C61" s="154"/>
      <c r="D61" s="154"/>
      <c r="E61" s="154"/>
      <c r="F61" s="154"/>
      <c r="G61" s="154"/>
      <c r="H61" s="154"/>
      <c r="T61" t="s">
        <v>274</v>
      </c>
    </row>
    <row r="62" spans="1:24" x14ac:dyDescent="0.3">
      <c r="A62" s="144" t="s">
        <v>88</v>
      </c>
      <c r="B62" s="144"/>
      <c r="C62" s="144"/>
      <c r="D62" s="98">
        <f>E46</f>
        <v>20544.900000000001</v>
      </c>
      <c r="E62" s="98"/>
      <c r="F62" s="98"/>
      <c r="G62" s="98"/>
      <c r="H62" s="98"/>
      <c r="R62"/>
    </row>
    <row r="63" spans="1:24" x14ac:dyDescent="0.3">
      <c r="A63" s="155" t="s">
        <v>45</v>
      </c>
      <c r="B63" s="156"/>
      <c r="C63" s="156"/>
      <c r="D63" s="157" t="s">
        <v>352</v>
      </c>
      <c r="E63" s="157"/>
      <c r="F63" s="157"/>
      <c r="G63" s="157"/>
      <c r="H63" s="157"/>
      <c r="I63" s="23"/>
      <c r="R63"/>
    </row>
    <row r="64" spans="1:24" ht="62.25" customHeight="1" x14ac:dyDescent="0.3">
      <c r="A64" s="103" t="s">
        <v>46</v>
      </c>
      <c r="B64" s="104"/>
      <c r="C64" s="105"/>
      <c r="D64" s="192" t="s">
        <v>374</v>
      </c>
      <c r="E64" s="220"/>
      <c r="F64" s="220"/>
      <c r="G64" s="220"/>
      <c r="H64" s="220"/>
      <c r="R64"/>
    </row>
    <row r="65" spans="1:19" ht="15.75" customHeight="1" x14ac:dyDescent="0.3">
      <c r="A65" s="103" t="s">
        <v>86</v>
      </c>
      <c r="B65" s="104"/>
      <c r="C65" s="105"/>
      <c r="D65" s="126" t="s">
        <v>371</v>
      </c>
      <c r="E65" s="127"/>
      <c r="F65" s="127"/>
      <c r="G65" s="127"/>
      <c r="H65" s="128"/>
      <c r="R65"/>
    </row>
    <row r="66" spans="1:19" ht="15.75" customHeight="1" x14ac:dyDescent="0.3">
      <c r="A66" s="106"/>
      <c r="B66" s="107"/>
      <c r="C66" s="108"/>
      <c r="D66" s="123" t="s">
        <v>372</v>
      </c>
      <c r="E66" s="124"/>
      <c r="F66" s="124"/>
      <c r="G66" s="124"/>
      <c r="H66" s="125"/>
      <c r="R66"/>
    </row>
    <row r="67" spans="1:19" ht="15.75" customHeight="1" x14ac:dyDescent="0.3">
      <c r="A67" s="106"/>
      <c r="B67" s="107"/>
      <c r="C67" s="108"/>
      <c r="D67" s="123" t="s">
        <v>375</v>
      </c>
      <c r="E67" s="124"/>
      <c r="F67" s="124"/>
      <c r="G67" s="124"/>
      <c r="H67" s="125"/>
      <c r="S67"/>
    </row>
    <row r="68" spans="1:19" ht="15.75" customHeight="1" x14ac:dyDescent="0.3">
      <c r="A68" s="109"/>
      <c r="B68" s="110"/>
      <c r="C68" s="110"/>
      <c r="D68" s="100" t="s">
        <v>319</v>
      </c>
      <c r="E68" s="101"/>
      <c r="F68" s="101"/>
      <c r="G68" s="101"/>
      <c r="H68" s="102"/>
      <c r="S68"/>
    </row>
    <row r="69" spans="1:19" ht="48.75" customHeight="1" x14ac:dyDescent="0.3">
      <c r="A69" s="98" t="s">
        <v>43</v>
      </c>
      <c r="B69" s="98"/>
      <c r="C69" s="98"/>
      <c r="D69" s="215" t="s">
        <v>364</v>
      </c>
      <c r="E69" s="215"/>
      <c r="F69" s="215"/>
      <c r="G69" s="215"/>
      <c r="H69" s="215"/>
      <c r="J69" s="24"/>
      <c r="K69" s="23"/>
      <c r="N69" s="23"/>
      <c r="S69"/>
    </row>
    <row r="70" spans="1:19" ht="15.75" customHeight="1" x14ac:dyDescent="0.3">
      <c r="A70" s="98" t="s">
        <v>84</v>
      </c>
      <c r="B70" s="98"/>
      <c r="C70" s="98"/>
      <c r="D70" s="216" t="str">
        <f>(IF(G60="NA","60 Years After Completion",IF(G60&lt;&gt;"NA",""&amp;60-ROUNDDOWN((E3-G60)/360,0)&amp;" Years"," ")))</f>
        <v>60 Years After Completion</v>
      </c>
      <c r="E70" s="216"/>
      <c r="F70" s="216"/>
      <c r="G70" s="216"/>
      <c r="H70" s="216"/>
      <c r="N70" s="23"/>
      <c r="S70"/>
    </row>
    <row r="71" spans="1:19" ht="15.75" customHeight="1" x14ac:dyDescent="0.3">
      <c r="A71" s="98" t="s">
        <v>85</v>
      </c>
      <c r="B71" s="98"/>
      <c r="C71" s="98"/>
      <c r="D71" s="144" t="s">
        <v>23</v>
      </c>
      <c r="E71" s="144"/>
      <c r="F71" s="144"/>
      <c r="G71" s="144"/>
      <c r="H71" s="144"/>
      <c r="J71" s="25"/>
      <c r="K71" s="25"/>
      <c r="S71"/>
    </row>
    <row r="72" spans="1:19" ht="32.25" customHeight="1" x14ac:dyDescent="0.3">
      <c r="A72" s="156" t="s">
        <v>320</v>
      </c>
      <c r="B72" s="156"/>
      <c r="C72" s="156"/>
      <c r="D72" s="230" t="s">
        <v>360</v>
      </c>
      <c r="E72" s="230"/>
      <c r="F72" s="230"/>
      <c r="G72" s="230"/>
      <c r="H72" s="230"/>
      <c r="S72"/>
    </row>
    <row r="73" spans="1:19" x14ac:dyDescent="0.3">
      <c r="A73" s="144" t="s">
        <v>145</v>
      </c>
      <c r="B73" s="144"/>
      <c r="C73" s="144"/>
      <c r="D73" s="144" t="s">
        <v>28</v>
      </c>
      <c r="E73" s="144"/>
      <c r="F73" s="144"/>
      <c r="G73" s="144"/>
      <c r="H73" s="144"/>
      <c r="I73" s="26"/>
      <c r="J73" s="26"/>
      <c r="K73" s="26"/>
      <c r="L73" s="26"/>
      <c r="M73" s="26"/>
      <c r="N73" s="26"/>
    </row>
    <row r="74" spans="1:19" ht="15.75" customHeight="1" x14ac:dyDescent="0.3">
      <c r="A74" s="145" t="s">
        <v>83</v>
      </c>
      <c r="B74" s="145"/>
      <c r="C74" s="145"/>
      <c r="D74" s="192" t="str">
        <f ca="1">(IF(G80&gt;95%,"Nothing",IF(G80&gt;0%,"Cement, Aggregate, Steel, etc",IF(G80=0%,"Work not yet Started"))))</f>
        <v>Cement, Aggregate, Steel, etc</v>
      </c>
      <c r="E74" s="192"/>
      <c r="F74" s="192"/>
      <c r="G74" s="192"/>
      <c r="H74" s="192"/>
      <c r="J74" s="25"/>
      <c r="S74"/>
    </row>
    <row r="75" spans="1:19" ht="33.75" customHeight="1" thickBot="1" x14ac:dyDescent="0.35">
      <c r="A75" s="191" t="s">
        <v>116</v>
      </c>
      <c r="B75" s="191"/>
      <c r="C75" s="191"/>
      <c r="D75" s="192" t="str">
        <f ca="1">(IF(D74="Nothing","Yes",IF(D74="Cement, Aggregate, Steel, etc","Under Construction",IF(D74="Work not yet Started","Work not yet Started"))))</f>
        <v>Under Construction</v>
      </c>
      <c r="E75" s="192"/>
      <c r="F75" s="192" t="str">
        <f ca="1">(IF(D74="Nothing","Yes",IF(D74="Cement, Aggregate, Steel, etc","Under Construction",IF(D74="Work not yet Started","Work not yet Started"))))</f>
        <v>Under Construction</v>
      </c>
      <c r="G75" s="192"/>
      <c r="H75" s="192"/>
      <c r="S75"/>
    </row>
    <row r="76" spans="1:19" ht="15.75" customHeight="1" x14ac:dyDescent="0.3">
      <c r="A76" s="111" t="s">
        <v>137</v>
      </c>
      <c r="B76" s="112"/>
      <c r="C76" s="113" t="str">
        <f>D65</f>
        <v>Wing A = Gr + 1st Podium + 2nd to 13th Floor</v>
      </c>
      <c r="D76" s="114"/>
      <c r="E76" s="114"/>
      <c r="F76" s="114"/>
      <c r="G76" s="114"/>
      <c r="H76" s="115"/>
      <c r="I76" s="48" t="str">
        <f ca="1">IF(D89=100%,"All work Completed. Possession granted to the Building.",IF(D88=100%,"All work Completed, Waiting for OC",I77&amp;""&amp;I78&amp;""&amp;J77&amp;""&amp;J76&amp;" "&amp;J78))</f>
        <v>Excavation, Plinth, RCC Slab, Brickwork, Internal Plaster, External Plaster Completed, Flooring upto 11 Floor, Painting upto 11 Floor, Finishing upto 5 Floor Completed</v>
      </c>
      <c r="J76" s="49"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Flooring upto 11 Floor, Painting upto 11 Floor, Finishing upto 5 Floor</v>
      </c>
      <c r="S76"/>
    </row>
    <row r="77" spans="1:19" x14ac:dyDescent="0.3">
      <c r="A77" s="15" t="s">
        <v>139</v>
      </c>
      <c r="B77" s="46">
        <f>IF(AND(ISNUMBER(SEARCH("1B",C76))),1,IF(AND(ISNUMBER(SEARCH("2B",C76))),2,IF(AND(ISNUMBER(SEARCH("3B",C76))),3,IF(AND(ISNUMBER(SEARCH("4B",C76))),4,IF(ISNUMBER(SEARCH("5B",C76)),5,0)))))</f>
        <v>0</v>
      </c>
      <c r="C77" s="46" t="s">
        <v>69</v>
      </c>
      <c r="D77" s="46">
        <v>1</v>
      </c>
      <c r="E77" s="46" t="s">
        <v>68</v>
      </c>
      <c r="F77" s="46">
        <v>0</v>
      </c>
      <c r="G77" s="47" t="s">
        <v>77</v>
      </c>
      <c r="H77" s="16">
        <f ca="1">--TRIM(RIGHT(SUBSTITUTE(LEFT(C76,_xlfn.AGGREGATE(16,6,FIND({0,1,2,3,4,5,6,7,8,9},C76,ROW(INDIRECT("1:"&amp;LEN(C76)))),1))," ",REPT(" ",LEN(C76))),LEN(C76)))</f>
        <v>13</v>
      </c>
      <c r="I77" s="50"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v>
      </c>
      <c r="J77" s="51"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53.4" customHeight="1" x14ac:dyDescent="0.3">
      <c r="A78" s="116" t="s">
        <v>87</v>
      </c>
      <c r="B78" s="117"/>
      <c r="C78" s="118" t="str">
        <f ca="1">I76</f>
        <v>Excavation, Plinth, RCC Slab, Brickwork, Internal Plaster, External Plaster Completed, Flooring upto 11 Floor, Painting upto 11 Floor, Finishing upto 5 Floor Completed</v>
      </c>
      <c r="D78" s="118"/>
      <c r="E78" s="118"/>
      <c r="F78" s="118"/>
      <c r="G78" s="118"/>
      <c r="H78" s="119"/>
      <c r="I78" s="50" t="str">
        <f ca="1">IF(I77&lt;&gt;""," Completed","")</f>
        <v xml:space="preserve"> Completed</v>
      </c>
      <c r="J78" s="51" t="str">
        <f ca="1">IF(J76&lt;&gt;"","Completed","")</f>
        <v>Completed</v>
      </c>
      <c r="S78"/>
    </row>
    <row r="79" spans="1:19" ht="15.75" customHeight="1" x14ac:dyDescent="0.3">
      <c r="A79" s="120" t="s">
        <v>47</v>
      </c>
      <c r="B79" s="121"/>
      <c r="C79" s="42" t="s">
        <v>136</v>
      </c>
      <c r="D79" s="42" t="s">
        <v>80</v>
      </c>
      <c r="E79" s="121" t="s">
        <v>82</v>
      </c>
      <c r="F79" s="121"/>
      <c r="G79" s="121" t="s">
        <v>81</v>
      </c>
      <c r="H79" s="122"/>
      <c r="I79" s="13" t="s">
        <v>138</v>
      </c>
      <c r="J79" s="27">
        <f ca="1">H77*25%</f>
        <v>3.25</v>
      </c>
      <c r="S79"/>
    </row>
    <row r="80" spans="1:19" x14ac:dyDescent="0.3">
      <c r="A80" s="120" t="s">
        <v>125</v>
      </c>
      <c r="B80" s="121"/>
      <c r="C80" s="42">
        <f ca="1">J81</f>
        <v>13</v>
      </c>
      <c r="D80" s="18">
        <f ca="1">((100/H77)*C80)/100</f>
        <v>1</v>
      </c>
      <c r="E80" s="129">
        <f ca="1">(((C81/H77*10)+(40/(D77+F77+H77)*C82)+(7.5/(H77)*C83)+(7.5/(H77)*C84)+(10/H77*C85)+(10/H77*C86)+(5/H77*C87)+(5/H77*C88)+(5/H77*C89))/100)</f>
        <v>0.89615384615384608</v>
      </c>
      <c r="F80" s="130"/>
      <c r="G80" s="129">
        <f ca="1">((((C80/H77)*20)+((C81/H77)*25)+(30/(H77+F77+D77)*C82)+(5/H77*C83)+(5/H77*C84)+(5/H77*C85)+(5/H77*C86)+(0/H77*C87)+(0/H77*C88)+(5/H77*C89))/100)</f>
        <v>0.94230769230769229</v>
      </c>
      <c r="H80" s="211"/>
      <c r="I80" s="13" t="s">
        <v>98</v>
      </c>
      <c r="J80" s="28">
        <f ca="1">H77*50%</f>
        <v>6.5</v>
      </c>
    </row>
    <row r="81" spans="1:19" x14ac:dyDescent="0.3">
      <c r="A81" s="120" t="s">
        <v>48</v>
      </c>
      <c r="B81" s="121"/>
      <c r="C81" s="42">
        <f ca="1">J89</f>
        <v>13</v>
      </c>
      <c r="D81" s="18">
        <f ca="1">((100/H77)*C81)/100</f>
        <v>1</v>
      </c>
      <c r="E81" s="131"/>
      <c r="F81" s="132"/>
      <c r="G81" s="131"/>
      <c r="H81" s="212"/>
      <c r="I81" s="13" t="s">
        <v>99</v>
      </c>
      <c r="J81" s="28">
        <f ca="1">H77</f>
        <v>13</v>
      </c>
      <c r="S81"/>
    </row>
    <row r="82" spans="1:19" ht="15.75" customHeight="1" x14ac:dyDescent="0.3">
      <c r="A82" s="120" t="s">
        <v>126</v>
      </c>
      <c r="B82" s="121"/>
      <c r="C82" s="42">
        <v>14</v>
      </c>
      <c r="D82" s="18">
        <f ca="1">((100/(D77+F77+H77))*C82)/100</f>
        <v>1</v>
      </c>
      <c r="E82" s="131"/>
      <c r="F82" s="132"/>
      <c r="G82" s="131"/>
      <c r="H82" s="212"/>
      <c r="I82" s="13" t="s">
        <v>100</v>
      </c>
      <c r="J82" s="29">
        <f ca="1">(IF(B77&gt;1,(H77/(B77+2)),H77/4))</f>
        <v>3.25</v>
      </c>
      <c r="S82"/>
    </row>
    <row r="83" spans="1:19" ht="15.75" customHeight="1" x14ac:dyDescent="0.3">
      <c r="A83" s="120" t="s">
        <v>133</v>
      </c>
      <c r="B83" s="121" t="s">
        <v>127</v>
      </c>
      <c r="C83" s="42">
        <v>13</v>
      </c>
      <c r="D83" s="18">
        <f ca="1">((100/H77)*C83)/100</f>
        <v>1</v>
      </c>
      <c r="E83" s="131"/>
      <c r="F83" s="132"/>
      <c r="G83" s="131"/>
      <c r="H83" s="212"/>
      <c r="I83" s="13" t="s">
        <v>101</v>
      </c>
      <c r="J83" s="29">
        <f ca="1">(IF(B77&gt;1,(H77/(B77+2)+J82),H77/4+J82))</f>
        <v>6.5</v>
      </c>
    </row>
    <row r="84" spans="1:19" ht="15.75" customHeight="1" x14ac:dyDescent="0.3">
      <c r="A84" s="120" t="s">
        <v>134</v>
      </c>
      <c r="B84" s="121" t="s">
        <v>127</v>
      </c>
      <c r="C84" s="42">
        <v>13</v>
      </c>
      <c r="D84" s="18">
        <f ca="1">((100/H77)*C84)/100</f>
        <v>1</v>
      </c>
      <c r="E84" s="131"/>
      <c r="F84" s="132"/>
      <c r="G84" s="131"/>
      <c r="H84" s="212"/>
      <c r="I84" s="13" t="s">
        <v>143</v>
      </c>
      <c r="J84" s="29">
        <f>(IF(B77&gt;1,(H77/(B77+2)+J83),0))</f>
        <v>0</v>
      </c>
    </row>
    <row r="85" spans="1:19" ht="15" customHeight="1" x14ac:dyDescent="0.3">
      <c r="A85" s="120" t="s">
        <v>132</v>
      </c>
      <c r="B85" s="121" t="s">
        <v>129</v>
      </c>
      <c r="C85" s="42">
        <v>13</v>
      </c>
      <c r="D85" s="18">
        <f ca="1">((100/(H77))*C85)/100</f>
        <v>1</v>
      </c>
      <c r="E85" s="131"/>
      <c r="F85" s="132"/>
      <c r="G85" s="131"/>
      <c r="H85" s="212"/>
      <c r="I85" s="13" t="s">
        <v>140</v>
      </c>
      <c r="J85" s="29">
        <f>(IF(B77&gt;2,(H77/(B77+2)+J84),0))</f>
        <v>0</v>
      </c>
    </row>
    <row r="86" spans="1:19" ht="15.75" customHeight="1" x14ac:dyDescent="0.3">
      <c r="A86" s="120" t="s">
        <v>128</v>
      </c>
      <c r="B86" s="121" t="s">
        <v>128</v>
      </c>
      <c r="C86" s="42">
        <v>11</v>
      </c>
      <c r="D86" s="18">
        <f ca="1">((100/H77)*C86)/100</f>
        <v>0.84615384615384615</v>
      </c>
      <c r="E86" s="131"/>
      <c r="F86" s="132"/>
      <c r="G86" s="131"/>
      <c r="H86" s="212"/>
      <c r="I86" s="13" t="s">
        <v>141</v>
      </c>
      <c r="J86" s="30">
        <f>(IF(B77&gt;3,(H77/(B77+2)+J85),0))</f>
        <v>0</v>
      </c>
    </row>
    <row r="87" spans="1:19" ht="15.75" customHeight="1" x14ac:dyDescent="0.3">
      <c r="A87" s="120" t="s">
        <v>135</v>
      </c>
      <c r="B87" s="121"/>
      <c r="C87" s="42">
        <v>11</v>
      </c>
      <c r="D87" s="18">
        <f ca="1">((100/H77)*C87)/100</f>
        <v>0.84615384615384615</v>
      </c>
      <c r="E87" s="131"/>
      <c r="F87" s="132"/>
      <c r="G87" s="131"/>
      <c r="H87" s="212"/>
      <c r="I87" s="13" t="s">
        <v>142</v>
      </c>
      <c r="J87" s="29">
        <f>(IF(B77&gt;4,(H77/(B77+2)+J86),0))</f>
        <v>0</v>
      </c>
    </row>
    <row r="88" spans="1:19" ht="15.75" customHeight="1" x14ac:dyDescent="0.3">
      <c r="A88" s="120" t="s">
        <v>130</v>
      </c>
      <c r="B88" s="121" t="s">
        <v>130</v>
      </c>
      <c r="C88" s="42">
        <v>5</v>
      </c>
      <c r="D88" s="18">
        <f ca="1">((100/(H77))*C88)/100</f>
        <v>0.38461538461538458</v>
      </c>
      <c r="E88" s="131"/>
      <c r="F88" s="132"/>
      <c r="G88" s="131"/>
      <c r="H88" s="212"/>
      <c r="I88" s="13" t="s">
        <v>144</v>
      </c>
      <c r="J88" s="29">
        <f ca="1">(IF(B77=1,(H77/(B77+3)+J83),IF(B77=0,(H77/4+J83),IF(B77&gt;1,0))))</f>
        <v>9.75</v>
      </c>
    </row>
    <row r="89" spans="1:19" ht="16.2" thickBot="1" x14ac:dyDescent="0.35">
      <c r="A89" s="171" t="s">
        <v>131</v>
      </c>
      <c r="B89" s="172"/>
      <c r="C89" s="43">
        <v>0</v>
      </c>
      <c r="D89" s="19">
        <f ca="1">((100/(H77))*C89)/100</f>
        <v>0</v>
      </c>
      <c r="E89" s="133"/>
      <c r="F89" s="134"/>
      <c r="G89" s="133"/>
      <c r="H89" s="213"/>
      <c r="I89" s="14" t="s">
        <v>102</v>
      </c>
      <c r="J89" s="31">
        <f ca="1">(IF(B77&gt;1.5,(H77/(B77+2)+J83+MAX(0,J84-J83)+MAX(0,J85-J84)+MAX(0,J86-J85)+MAX(0,J87-J86)+MAX(0,J88-J87)),IF(B77=1,(H77/(B77+3)+J88),IF(B77=0,H77/4+J88))))</f>
        <v>13</v>
      </c>
    </row>
    <row r="90" spans="1:19" ht="15.75" customHeight="1" x14ac:dyDescent="0.3">
      <c r="A90" s="111" t="s">
        <v>137</v>
      </c>
      <c r="B90" s="112"/>
      <c r="C90" s="113" t="str">
        <f>D66</f>
        <v>Wing B = Gr + 1st Podium + 2nd to 13th Floor</v>
      </c>
      <c r="D90" s="114"/>
      <c r="E90" s="114"/>
      <c r="F90" s="114"/>
      <c r="G90" s="114"/>
      <c r="H90" s="115"/>
      <c r="I90" s="48" t="str">
        <f ca="1">IF(D103=100%,"All work Completed. Possession granted to the Building.",IF(D102=100%,"All work Completed, Waiting for OC",I91&amp;""&amp;I92&amp;""&amp;J91&amp;""&amp;J90&amp;" "&amp;J92))</f>
        <v>Excavation, Plinth, RCC Slab, Brickwork, Internal Plaster Completed, External Plaster upto 12 Floor, Flooring upto 8 Floor, Painting upto 8 Floor Completed</v>
      </c>
      <c r="J90" s="49"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External Plaster upto 12 Floor, Flooring upto 8 Floor, Painting upto 8 Floor</v>
      </c>
    </row>
    <row r="91" spans="1:19" x14ac:dyDescent="0.3">
      <c r="A91" s="15" t="s">
        <v>139</v>
      </c>
      <c r="B91" s="46">
        <f>IF(AND(ISNUMBER(SEARCH("1B",C90))),1,IF(AND(ISNUMBER(SEARCH("2B",C90))),2,IF(AND(ISNUMBER(SEARCH("3B",C90))),3,IF(AND(ISNUMBER(SEARCH("4B",C90))),4,IF(ISNUMBER(SEARCH("5B",C90)),5,0)))))</f>
        <v>0</v>
      </c>
      <c r="C91" s="46" t="s">
        <v>69</v>
      </c>
      <c r="D91" s="46">
        <v>1</v>
      </c>
      <c r="E91" s="46" t="s">
        <v>68</v>
      </c>
      <c r="F91" s="46">
        <v>0</v>
      </c>
      <c r="G91" s="47" t="s">
        <v>77</v>
      </c>
      <c r="H91" s="16">
        <f ca="1">--TRIM(RIGHT(SUBSTITUTE(LEFT(C90,_xlfn.AGGREGATE(16,6,FIND({0,1,2,3,4,5,6,7,8,9},C90,ROW(INDIRECT("1:"&amp;LEN(C90)))),1))," ",REPT(" ",LEN(C90))),LEN(C90)))</f>
        <v>13</v>
      </c>
      <c r="I91" s="50"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v>
      </c>
      <c r="J91" s="51"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46.8" customHeight="1" x14ac:dyDescent="0.3">
      <c r="A92" s="116" t="s">
        <v>87</v>
      </c>
      <c r="B92" s="117"/>
      <c r="C92" s="118" t="str">
        <f ca="1">(IF($G$60="NA",I90,"All work Completed. OC Received."))</f>
        <v>Excavation, Plinth, RCC Slab, Brickwork, Internal Plaster Completed, External Plaster upto 12 Floor, Flooring upto 8 Floor, Painting upto 8 Floor Completed</v>
      </c>
      <c r="D92" s="118"/>
      <c r="E92" s="118"/>
      <c r="F92" s="118"/>
      <c r="G92" s="118"/>
      <c r="H92" s="119"/>
      <c r="I92" s="50" t="str">
        <f ca="1">IF(I91&lt;&gt;""," Completed","")</f>
        <v xml:space="preserve"> Completed</v>
      </c>
      <c r="J92" s="51" t="str">
        <f ca="1">IF(J90&lt;&gt;"","Completed","")</f>
        <v>Completed</v>
      </c>
    </row>
    <row r="93" spans="1:19" ht="15.75" customHeight="1" x14ac:dyDescent="0.3">
      <c r="A93" s="120" t="s">
        <v>47</v>
      </c>
      <c r="B93" s="121"/>
      <c r="C93" s="42" t="s">
        <v>136</v>
      </c>
      <c r="D93" s="42" t="s">
        <v>80</v>
      </c>
      <c r="E93" s="121" t="s">
        <v>82</v>
      </c>
      <c r="F93" s="121"/>
      <c r="G93" s="121" t="s">
        <v>81</v>
      </c>
      <c r="H93" s="122"/>
      <c r="I93" s="13" t="s">
        <v>138</v>
      </c>
      <c r="J93" s="27">
        <f ca="1">H91*25%</f>
        <v>3.25</v>
      </c>
    </row>
    <row r="94" spans="1:19" x14ac:dyDescent="0.3">
      <c r="A94" s="120" t="s">
        <v>125</v>
      </c>
      <c r="B94" s="121"/>
      <c r="C94" s="42">
        <f ca="1">J95</f>
        <v>13</v>
      </c>
      <c r="D94" s="18">
        <f ca="1">((100/H91)*C94)/100</f>
        <v>1</v>
      </c>
      <c r="E94" s="129">
        <f ca="1">(((C95/H91*10)+(40/(D91+F91+H91)*C96)+(7.5/(H91)*C97)+(7.5/(H91)*C98)+(10/H91*C99)+(10/H91*C100)+(5/H91*C101)+(5/H91*C102)+(5/H91*C103))/100)</f>
        <v>0.83461538461538465</v>
      </c>
      <c r="F94" s="130"/>
      <c r="G94" s="129">
        <f ca="1">((((C94/H91)*20)+((C95/H91)*25)+(30/(H91+F91+D91)*C96)+(5/H91*C97)+(5/H91*C98)+(5/H91*C99)+(5/H91*C100)+(0/H91*C101)+(0/H91*C102)+(5/H91*C103))/100)</f>
        <v>0.92692307692307696</v>
      </c>
      <c r="H94" s="211"/>
      <c r="I94" s="13" t="s">
        <v>98</v>
      </c>
      <c r="J94" s="28">
        <f ca="1">H91*50%</f>
        <v>6.5</v>
      </c>
    </row>
    <row r="95" spans="1:19" x14ac:dyDescent="0.3">
      <c r="A95" s="120" t="s">
        <v>48</v>
      </c>
      <c r="B95" s="121"/>
      <c r="C95" s="52">
        <f ca="1">J103</f>
        <v>13</v>
      </c>
      <c r="D95" s="18">
        <f ca="1">((100/H91)*C95)/100</f>
        <v>1</v>
      </c>
      <c r="E95" s="131"/>
      <c r="F95" s="132"/>
      <c r="G95" s="131"/>
      <c r="H95" s="212"/>
      <c r="I95" s="13" t="s">
        <v>99</v>
      </c>
      <c r="J95" s="28">
        <f ca="1">H91</f>
        <v>13</v>
      </c>
    </row>
    <row r="96" spans="1:19" ht="15.75" customHeight="1" x14ac:dyDescent="0.3">
      <c r="A96" s="120" t="s">
        <v>126</v>
      </c>
      <c r="B96" s="121"/>
      <c r="C96" s="42">
        <v>14</v>
      </c>
      <c r="D96" s="18">
        <f ca="1">((100/(D91+F91+H91))*C96)/100</f>
        <v>1</v>
      </c>
      <c r="E96" s="131"/>
      <c r="F96" s="132"/>
      <c r="G96" s="131"/>
      <c r="H96" s="212"/>
      <c r="I96" s="13" t="s">
        <v>100</v>
      </c>
      <c r="J96" s="29">
        <f ca="1">(IF(B91&gt;1,(H91/(B91+2)),H91/4))</f>
        <v>3.25</v>
      </c>
    </row>
    <row r="97" spans="1:10" ht="15.75" customHeight="1" x14ac:dyDescent="0.3">
      <c r="A97" s="120" t="s">
        <v>133</v>
      </c>
      <c r="B97" s="121" t="s">
        <v>127</v>
      </c>
      <c r="C97" s="42">
        <v>13</v>
      </c>
      <c r="D97" s="18">
        <f ca="1">((100/H91)*C97)/100</f>
        <v>1</v>
      </c>
      <c r="E97" s="131"/>
      <c r="F97" s="132"/>
      <c r="G97" s="131"/>
      <c r="H97" s="212"/>
      <c r="I97" s="13" t="s">
        <v>101</v>
      </c>
      <c r="J97" s="29">
        <f ca="1">(IF(B91&gt;1,(H91/(B91+2)+J96),H91/4+J96))</f>
        <v>6.5</v>
      </c>
    </row>
    <row r="98" spans="1:10" ht="15.75" customHeight="1" x14ac:dyDescent="0.3">
      <c r="A98" s="120" t="s">
        <v>134</v>
      </c>
      <c r="B98" s="121" t="s">
        <v>127</v>
      </c>
      <c r="C98" s="42">
        <v>13</v>
      </c>
      <c r="D98" s="18">
        <f ca="1">((100/H91)*C98)/100</f>
        <v>1</v>
      </c>
      <c r="E98" s="131"/>
      <c r="F98" s="132"/>
      <c r="G98" s="131"/>
      <c r="H98" s="212"/>
      <c r="I98" s="13" t="s">
        <v>143</v>
      </c>
      <c r="J98" s="29">
        <f>(IF(B91&gt;1,(H91/(B91+2)+J97),0))</f>
        <v>0</v>
      </c>
    </row>
    <row r="99" spans="1:10" ht="15" customHeight="1" x14ac:dyDescent="0.3">
      <c r="A99" s="120" t="s">
        <v>132</v>
      </c>
      <c r="B99" s="121" t="s">
        <v>129</v>
      </c>
      <c r="C99" s="42">
        <v>12</v>
      </c>
      <c r="D99" s="18">
        <f ca="1">((100/(H91))*C99)/100</f>
        <v>0.92307692307692302</v>
      </c>
      <c r="E99" s="131"/>
      <c r="F99" s="132"/>
      <c r="G99" s="131"/>
      <c r="H99" s="212"/>
      <c r="I99" s="13" t="s">
        <v>140</v>
      </c>
      <c r="J99" s="29">
        <f>(IF(B91&gt;2,(H91/(B91+2)+J98),0))</f>
        <v>0</v>
      </c>
    </row>
    <row r="100" spans="1:10" ht="15.75" customHeight="1" x14ac:dyDescent="0.3">
      <c r="A100" s="120" t="s">
        <v>128</v>
      </c>
      <c r="B100" s="121" t="s">
        <v>128</v>
      </c>
      <c r="C100" s="42">
        <v>8</v>
      </c>
      <c r="D100" s="18">
        <f ca="1">((100/H91)*C100)/100</f>
        <v>0.61538461538461542</v>
      </c>
      <c r="E100" s="131"/>
      <c r="F100" s="132"/>
      <c r="G100" s="131"/>
      <c r="H100" s="212"/>
      <c r="I100" s="13" t="s">
        <v>141</v>
      </c>
      <c r="J100" s="30">
        <f>(IF(B91&gt;3,(H91/(B91+2)+J99),0))</f>
        <v>0</v>
      </c>
    </row>
    <row r="101" spans="1:10" ht="15.75" customHeight="1" x14ac:dyDescent="0.3">
      <c r="A101" s="120" t="s">
        <v>135</v>
      </c>
      <c r="B101" s="121"/>
      <c r="C101" s="42">
        <v>8</v>
      </c>
      <c r="D101" s="18">
        <f ca="1">((100/H91)*C101)/100</f>
        <v>0.61538461538461542</v>
      </c>
      <c r="E101" s="131"/>
      <c r="F101" s="132"/>
      <c r="G101" s="131"/>
      <c r="H101" s="212"/>
      <c r="I101" s="13" t="s">
        <v>142</v>
      </c>
      <c r="J101" s="29">
        <f>(IF(B91&gt;4,(H91/(B91+2)+J100),0))</f>
        <v>0</v>
      </c>
    </row>
    <row r="102" spans="1:10" ht="15.75" customHeight="1" x14ac:dyDescent="0.3">
      <c r="A102" s="120" t="s">
        <v>130</v>
      </c>
      <c r="B102" s="121" t="s">
        <v>130</v>
      </c>
      <c r="C102" s="42">
        <v>0</v>
      </c>
      <c r="D102" s="18">
        <f ca="1">((100/(H91))*C102)/100</f>
        <v>0</v>
      </c>
      <c r="E102" s="131"/>
      <c r="F102" s="132"/>
      <c r="G102" s="131"/>
      <c r="H102" s="212"/>
      <c r="I102" s="13" t="s">
        <v>144</v>
      </c>
      <c r="J102" s="29">
        <f ca="1">(IF(B91=1,(H91/(B91+3)+J97),IF(B91=0,(H91/4+J97),IF(B91&gt;1,0))))</f>
        <v>9.75</v>
      </c>
    </row>
    <row r="103" spans="1:10" ht="16.2" thickBot="1" x14ac:dyDescent="0.35">
      <c r="A103" s="171" t="s">
        <v>131</v>
      </c>
      <c r="B103" s="172"/>
      <c r="C103" s="43">
        <v>0</v>
      </c>
      <c r="D103" s="19">
        <f ca="1">((100/(H91))*C103)/100</f>
        <v>0</v>
      </c>
      <c r="E103" s="133"/>
      <c r="F103" s="134"/>
      <c r="G103" s="133"/>
      <c r="H103" s="213"/>
      <c r="I103" s="14" t="s">
        <v>102</v>
      </c>
      <c r="J103" s="31">
        <f ca="1">(IF(B91&gt;1.5,(H91/(B91+2)+J97+MAX(0,J98-J97)+MAX(0,J99-J98)+MAX(0,J100-J99)+MAX(0,J101-J100)+MAX(0,J102-J101)),IF(B91=1,(H91/(B91+3)+J102),IF(B91=0,H91/4+J102))))</f>
        <v>13</v>
      </c>
    </row>
    <row r="104" spans="1:10" ht="15.75" customHeight="1" x14ac:dyDescent="0.3">
      <c r="A104" s="111" t="s">
        <v>137</v>
      </c>
      <c r="B104" s="112"/>
      <c r="C104" s="113" t="str">
        <f>D67</f>
        <v>Wing C = Gr + 1st Podium + 2nd to 13th Floor</v>
      </c>
      <c r="D104" s="114"/>
      <c r="E104" s="114"/>
      <c r="F104" s="114"/>
      <c r="G104" s="114"/>
      <c r="H104" s="115"/>
      <c r="I104" s="48" t="str">
        <f ca="1">IF(D117=100%,"All work Completed. Possession granted to the Building.",IF(D116=100%,"All work Completed, Waiting for OC",I105&amp;""&amp;I106&amp;""&amp;J105&amp;""&amp;J104&amp;" "&amp;J106))</f>
        <v>Excavation, Plinth Completed, RCC upto 1 Slab Completed</v>
      </c>
      <c r="J104" s="49"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RCC upto 1 Slab</v>
      </c>
    </row>
    <row r="105" spans="1:10" x14ac:dyDescent="0.3">
      <c r="A105" s="15" t="s">
        <v>139</v>
      </c>
      <c r="B105" s="46">
        <f>IF(AND(ISNUMBER(SEARCH("1B",C104))),1,IF(AND(ISNUMBER(SEARCH("2B",C104))),2,IF(AND(ISNUMBER(SEARCH("3B",C104))),3,IF(AND(ISNUMBER(SEARCH("4B",C104))),4,IF(ISNUMBER(SEARCH("5B",C104)),5,0)))))</f>
        <v>0</v>
      </c>
      <c r="C105" s="46" t="s">
        <v>69</v>
      </c>
      <c r="D105" s="46">
        <v>1</v>
      </c>
      <c r="E105" s="46" t="s">
        <v>68</v>
      </c>
      <c r="F105" s="46">
        <v>0</v>
      </c>
      <c r="G105" s="47" t="s">
        <v>77</v>
      </c>
      <c r="H105" s="16">
        <f ca="1">--TRIM(RIGHT(SUBSTITUTE(LEFT(C104,_xlfn.AGGREGATE(16,6,FIND({0,1,2,3,4,5,6,7,8,9},C104,ROW(INDIRECT("1:"&amp;LEN(C104)))),1))," ",REPT(" ",LEN(C104))),LEN(C104)))</f>
        <v>13</v>
      </c>
      <c r="I105" s="50" t="str">
        <f ca="1">IF(D108=100%,"Excavation","")&amp;IF(D109=100%,", Plinth","")&amp;IF(D110=100%,", RCC Slab","")&amp;IF(D111=100%,", Brickwork","")&amp;IF(D112=100%,", Internal Plaster","")&amp;IF(D113=100%,", External Plaster","")&amp;IF(D114=100%,", Flooring","")&amp;IF(D115=100%,", Painting","")&amp;IF(D116=100%,", Building common Amenities","")</f>
        <v>Excavation, Plinth</v>
      </c>
      <c r="J105" s="51"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x14ac:dyDescent="0.3">
      <c r="A106" s="116" t="s">
        <v>87</v>
      </c>
      <c r="B106" s="117"/>
      <c r="C106" s="118" t="str">
        <f ca="1">(IF($G$60="NA",I104,"All work Completed. OC Received."))</f>
        <v>Excavation, Plinth Completed, RCC upto 1 Slab Completed</v>
      </c>
      <c r="D106" s="118"/>
      <c r="E106" s="118"/>
      <c r="F106" s="118"/>
      <c r="G106" s="118"/>
      <c r="H106" s="119"/>
      <c r="I106" s="50" t="str">
        <f ca="1">IF(I105&lt;&gt;""," Completed","")</f>
        <v xml:space="preserve"> Completed</v>
      </c>
      <c r="J106" s="51" t="str">
        <f ca="1">IF(J104&lt;&gt;"","Completed","")</f>
        <v>Completed</v>
      </c>
    </row>
    <row r="107" spans="1:10" ht="15.75" customHeight="1" x14ac:dyDescent="0.3">
      <c r="A107" s="120" t="s">
        <v>47</v>
      </c>
      <c r="B107" s="121"/>
      <c r="C107" s="42" t="s">
        <v>136</v>
      </c>
      <c r="D107" s="42" t="s">
        <v>80</v>
      </c>
      <c r="E107" s="121" t="s">
        <v>82</v>
      </c>
      <c r="F107" s="121"/>
      <c r="G107" s="121" t="s">
        <v>81</v>
      </c>
      <c r="H107" s="122"/>
      <c r="I107" s="13" t="s">
        <v>138</v>
      </c>
      <c r="J107" s="27">
        <f ca="1">H105*25%</f>
        <v>3.25</v>
      </c>
    </row>
    <row r="108" spans="1:10" x14ac:dyDescent="0.3">
      <c r="A108" s="120" t="s">
        <v>125</v>
      </c>
      <c r="B108" s="121"/>
      <c r="C108" s="42">
        <f ca="1">J109</f>
        <v>13</v>
      </c>
      <c r="D108" s="18">
        <f ca="1">((100/H105)*C108)/100</f>
        <v>1</v>
      </c>
      <c r="E108" s="129">
        <f ca="1">(((C109/H105*10)+(40/(D105+F105+H105)*C110)+(7.5/(H105)*C111)+(7.5/(H105)*C112)+(10/H105*C113)+(10/H105*C114)+(5/H105*C115)+(5/H105*C116)+(5/H105*C117))/100)</f>
        <v>0.12857142857142859</v>
      </c>
      <c r="F108" s="130"/>
      <c r="G108" s="129">
        <f ca="1">((((C108/H105)*20)+((C109/H105)*25)+(30/(H105+F105+D105)*C110)+(5/H105*C111)+(5/H105*C112)+(5/H105*C113)+(5/H105*C114)+(0/H105*C115)+(0/H105*C116)+(5/H105*C117))/100)</f>
        <v>0.47142857142857147</v>
      </c>
      <c r="H108" s="211"/>
      <c r="I108" s="13" t="s">
        <v>98</v>
      </c>
      <c r="J108" s="28">
        <f ca="1">H105*50%</f>
        <v>6.5</v>
      </c>
    </row>
    <row r="109" spans="1:10" x14ac:dyDescent="0.3">
      <c r="A109" s="120" t="s">
        <v>48</v>
      </c>
      <c r="B109" s="121"/>
      <c r="C109" s="52">
        <f ca="1">J117</f>
        <v>13</v>
      </c>
      <c r="D109" s="18">
        <f ca="1">((100/H105)*C109)/100</f>
        <v>1</v>
      </c>
      <c r="E109" s="131"/>
      <c r="F109" s="132"/>
      <c r="G109" s="131"/>
      <c r="H109" s="212"/>
      <c r="I109" s="13" t="s">
        <v>99</v>
      </c>
      <c r="J109" s="28">
        <f ca="1">H105</f>
        <v>13</v>
      </c>
    </row>
    <row r="110" spans="1:10" ht="15.75" customHeight="1" x14ac:dyDescent="0.3">
      <c r="A110" s="120" t="s">
        <v>126</v>
      </c>
      <c r="B110" s="121"/>
      <c r="C110" s="42">
        <v>1</v>
      </c>
      <c r="D110" s="18">
        <f ca="1">((100/(D105+F105+H105))*C110)/100</f>
        <v>7.1428571428571438E-2</v>
      </c>
      <c r="E110" s="131"/>
      <c r="F110" s="132"/>
      <c r="G110" s="131"/>
      <c r="H110" s="212"/>
      <c r="I110" s="13" t="s">
        <v>100</v>
      </c>
      <c r="J110" s="29">
        <f ca="1">(IF(B105&gt;1,(H105/(B105+2)),H105/4))</f>
        <v>3.25</v>
      </c>
    </row>
    <row r="111" spans="1:10" ht="15.75" customHeight="1" x14ac:dyDescent="0.3">
      <c r="A111" s="120" t="s">
        <v>133</v>
      </c>
      <c r="B111" s="121" t="s">
        <v>127</v>
      </c>
      <c r="C111" s="42">
        <v>0</v>
      </c>
      <c r="D111" s="18">
        <f ca="1">((100/H105)*C111)/100</f>
        <v>0</v>
      </c>
      <c r="E111" s="131"/>
      <c r="F111" s="132"/>
      <c r="G111" s="131"/>
      <c r="H111" s="212"/>
      <c r="I111" s="13" t="s">
        <v>101</v>
      </c>
      <c r="J111" s="29">
        <f ca="1">(IF(B105&gt;1,(H105/(B105+2)+J110),H105/4+J110))</f>
        <v>6.5</v>
      </c>
    </row>
    <row r="112" spans="1:10" ht="15.75" customHeight="1" x14ac:dyDescent="0.3">
      <c r="A112" s="120" t="s">
        <v>134</v>
      </c>
      <c r="B112" s="121" t="s">
        <v>127</v>
      </c>
      <c r="C112" s="42">
        <v>0</v>
      </c>
      <c r="D112" s="18">
        <f ca="1">((100/H105)*C112)/100</f>
        <v>0</v>
      </c>
      <c r="E112" s="131"/>
      <c r="F112" s="132"/>
      <c r="G112" s="131"/>
      <c r="H112" s="212"/>
      <c r="I112" s="13" t="s">
        <v>143</v>
      </c>
      <c r="J112" s="29">
        <f>(IF(B105&gt;1,(H105/(B105+2)+J111),0))</f>
        <v>0</v>
      </c>
    </row>
    <row r="113" spans="1:10" ht="15" customHeight="1" x14ac:dyDescent="0.3">
      <c r="A113" s="120" t="s">
        <v>132</v>
      </c>
      <c r="B113" s="121" t="s">
        <v>129</v>
      </c>
      <c r="C113" s="42">
        <v>0</v>
      </c>
      <c r="D113" s="18">
        <f ca="1">((100/(H105))*C113)/100</f>
        <v>0</v>
      </c>
      <c r="E113" s="131"/>
      <c r="F113" s="132"/>
      <c r="G113" s="131"/>
      <c r="H113" s="212"/>
      <c r="I113" s="13" t="s">
        <v>140</v>
      </c>
      <c r="J113" s="29">
        <f>(IF(B105&gt;2,(H105/(B105+2)+J112),0))</f>
        <v>0</v>
      </c>
    </row>
    <row r="114" spans="1:10" ht="15.75" customHeight="1" x14ac:dyDescent="0.3">
      <c r="A114" s="120" t="s">
        <v>128</v>
      </c>
      <c r="B114" s="121" t="s">
        <v>128</v>
      </c>
      <c r="C114" s="42">
        <v>0</v>
      </c>
      <c r="D114" s="18">
        <f ca="1">((100/H105)*C114)/100</f>
        <v>0</v>
      </c>
      <c r="E114" s="131"/>
      <c r="F114" s="132"/>
      <c r="G114" s="131"/>
      <c r="H114" s="212"/>
      <c r="I114" s="13" t="s">
        <v>141</v>
      </c>
      <c r="J114" s="30">
        <f>(IF(B105&gt;3,(H105/(B105+2)+J113),0))</f>
        <v>0</v>
      </c>
    </row>
    <row r="115" spans="1:10" ht="15.75" customHeight="1" x14ac:dyDescent="0.3">
      <c r="A115" s="120" t="s">
        <v>135</v>
      </c>
      <c r="B115" s="121"/>
      <c r="C115" s="42">
        <v>0</v>
      </c>
      <c r="D115" s="18">
        <f ca="1">((100/H105)*C115)/100</f>
        <v>0</v>
      </c>
      <c r="E115" s="131"/>
      <c r="F115" s="132"/>
      <c r="G115" s="131"/>
      <c r="H115" s="212"/>
      <c r="I115" s="13" t="s">
        <v>142</v>
      </c>
      <c r="J115" s="29">
        <f>(IF(B105&gt;4,(H105/(B105+2)+J114),0))</f>
        <v>0</v>
      </c>
    </row>
    <row r="116" spans="1:10" ht="15.75" customHeight="1" x14ac:dyDescent="0.3">
      <c r="A116" s="120" t="s">
        <v>130</v>
      </c>
      <c r="B116" s="121" t="s">
        <v>130</v>
      </c>
      <c r="C116" s="42">
        <v>0</v>
      </c>
      <c r="D116" s="18">
        <f ca="1">((100/(H105))*C116)/100</f>
        <v>0</v>
      </c>
      <c r="E116" s="131"/>
      <c r="F116" s="132"/>
      <c r="G116" s="131"/>
      <c r="H116" s="212"/>
      <c r="I116" s="13" t="s">
        <v>144</v>
      </c>
      <c r="J116" s="29">
        <f ca="1">(IF(B105=1,(H105/(B105+3)+J111),IF(B105=0,(H105/4+J111),IF(B105&gt;1,0))))</f>
        <v>9.75</v>
      </c>
    </row>
    <row r="117" spans="1:10" ht="16.2" thickBot="1" x14ac:dyDescent="0.35">
      <c r="A117" s="171" t="s">
        <v>131</v>
      </c>
      <c r="B117" s="172"/>
      <c r="C117" s="43">
        <v>0</v>
      </c>
      <c r="D117" s="19">
        <f ca="1">((100/(H105))*C117)/100</f>
        <v>0</v>
      </c>
      <c r="E117" s="133"/>
      <c r="F117" s="134"/>
      <c r="G117" s="133"/>
      <c r="H117" s="213"/>
      <c r="I117" s="14" t="s">
        <v>102</v>
      </c>
      <c r="J117" s="31">
        <f ca="1">(IF(B105&gt;1.5,(H105/(B105+2)+J111+MAX(0,J112-J111)+MAX(0,J113-J112)+MAX(0,J114-J113)+MAX(0,J115-J114)+MAX(0,J116-J115)),IF(B105=1,(H105/(B105+3)+J116),IF(B105=0,H105/4+J116))))</f>
        <v>13</v>
      </c>
    </row>
    <row r="118" spans="1:10" ht="15.75" customHeight="1" x14ac:dyDescent="0.3">
      <c r="A118" s="111" t="s">
        <v>137</v>
      </c>
      <c r="B118" s="112"/>
      <c r="C118" s="113" t="str">
        <f>D68</f>
        <v>Commercial Building = Gr + 1st to 9th Floor</v>
      </c>
      <c r="D118" s="114"/>
      <c r="E118" s="114"/>
      <c r="F118" s="114"/>
      <c r="G118" s="114"/>
      <c r="H118" s="115"/>
      <c r="I118" s="48" t="str">
        <f ca="1">IF(D131=100%,"All work Completed. Possession granted to the Building.",IF(D130=100%,"All work Completed, Waiting for OC",I119&amp;""&amp;I120&amp;""&amp;J119&amp;""&amp;J118&amp;" "&amp;J120))</f>
        <v>Excavation, Plinth, RCC Slab, Brickwork, Internal Plaster, External Plaster, Flooring, Painting Completed, Finishing upto 8 Floor Completed</v>
      </c>
      <c r="J118" s="49"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Finishing upto 8 Floor</v>
      </c>
    </row>
    <row r="119" spans="1:10" x14ac:dyDescent="0.3">
      <c r="A119" s="15" t="s">
        <v>139</v>
      </c>
      <c r="B119" s="46">
        <f>IF(AND(ISNUMBER(SEARCH("1B",C118))),1,IF(AND(ISNUMBER(SEARCH("2B",C118))),2,IF(AND(ISNUMBER(SEARCH("3B",C118))),3,IF(AND(ISNUMBER(SEARCH("4B",C118))),4,IF(ISNUMBER(SEARCH("5B",C118)),5,0)))))</f>
        <v>0</v>
      </c>
      <c r="C119" s="46" t="s">
        <v>69</v>
      </c>
      <c r="D119" s="46">
        <v>1</v>
      </c>
      <c r="E119" s="46" t="s">
        <v>68</v>
      </c>
      <c r="F119" s="46">
        <v>0</v>
      </c>
      <c r="G119" s="47" t="s">
        <v>77</v>
      </c>
      <c r="H119" s="16">
        <f ca="1">--TRIM(RIGHT(SUBSTITUTE(LEFT(C118,_xlfn.AGGREGATE(16,6,FIND({0,1,2,3,4,5,6,7,8,9},C118,ROW(INDIRECT("1:"&amp;LEN(C118)))),1))," ",REPT(" ",LEN(C118))),LEN(C118)))</f>
        <v>9</v>
      </c>
      <c r="I119" s="50" t="str">
        <f ca="1">IF(D122=100%,"Excavation","")&amp;IF(D123=100%,", Plinth","")&amp;IF(D124=100%,", RCC Slab","")&amp;IF(D125=100%,", Brickwork","")&amp;IF(D126=100%,", Internal Plaster","")&amp;IF(D127=100%,", External Plaster","")&amp;IF(D128=100%,", Flooring","")&amp;IF(D129=100%,", Painting","")&amp;IF(D130=100%,", Building common Amenities","")</f>
        <v>Excavation, Plinth, RCC Slab, Brickwork, Internal Plaster, External Plaster, Flooring, Painting</v>
      </c>
      <c r="J119" s="51"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t="35.4" customHeight="1" x14ac:dyDescent="0.3">
      <c r="A120" s="116" t="s">
        <v>87</v>
      </c>
      <c r="B120" s="117"/>
      <c r="C120" s="118" t="str">
        <f ca="1">(IF($G$60="NA",I118,"All work Completed. OC Received."))</f>
        <v>Excavation, Plinth, RCC Slab, Brickwork, Internal Plaster, External Plaster, Flooring, Painting Completed, Finishing upto 8 Floor Completed</v>
      </c>
      <c r="D120" s="118"/>
      <c r="E120" s="118"/>
      <c r="F120" s="118"/>
      <c r="G120" s="118"/>
      <c r="H120" s="119"/>
      <c r="I120" s="50" t="str">
        <f ca="1">IF(I119&lt;&gt;""," Completed","")</f>
        <v xml:space="preserve"> Completed</v>
      </c>
      <c r="J120" s="51" t="str">
        <f ca="1">IF(J118&lt;&gt;"","Completed","")</f>
        <v>Completed</v>
      </c>
    </row>
    <row r="121" spans="1:10" ht="15.75" customHeight="1" x14ac:dyDescent="0.3">
      <c r="A121" s="120" t="s">
        <v>47</v>
      </c>
      <c r="B121" s="121"/>
      <c r="C121" s="42" t="s">
        <v>136</v>
      </c>
      <c r="D121" s="42" t="s">
        <v>80</v>
      </c>
      <c r="E121" s="121" t="s">
        <v>82</v>
      </c>
      <c r="F121" s="121"/>
      <c r="G121" s="121" t="s">
        <v>81</v>
      </c>
      <c r="H121" s="122"/>
      <c r="I121" s="13" t="s">
        <v>138</v>
      </c>
      <c r="J121" s="27">
        <f ca="1">H119*25%</f>
        <v>2.25</v>
      </c>
    </row>
    <row r="122" spans="1:10" x14ac:dyDescent="0.3">
      <c r="A122" s="120" t="s">
        <v>125</v>
      </c>
      <c r="B122" s="121"/>
      <c r="C122" s="42">
        <f ca="1">J123</f>
        <v>9</v>
      </c>
      <c r="D122" s="18">
        <f ca="1">((100/H119)*C122)/100</f>
        <v>1</v>
      </c>
      <c r="E122" s="129">
        <f ca="1">(((C123/H119*10)+(40/(D119+F119+H119)*C124)+(7.5/(H119)*C125)+(7.5/(H119)*C126)+(10/H119*C127)+(10/H119*C128)+(5/H119*C129)+(5/H119*C130)+(5/H119*C131))/100)</f>
        <v>0.94444444444444442</v>
      </c>
      <c r="F122" s="130"/>
      <c r="G122" s="129">
        <f ca="1">((((C122/H119)*20)+((C123/H119)*25)+(30/(H119+F119+D119)*C124)+(5/H119*C125)+(5/H119*C126)+(5/H119*C127)+(5/H119*C128)+(0/H119*C129)+(0/H119*C130)+(5/H119*C131))/100)</f>
        <v>0.95</v>
      </c>
      <c r="H122" s="211"/>
      <c r="I122" s="13" t="s">
        <v>98</v>
      </c>
      <c r="J122" s="28">
        <f ca="1">H119*50%</f>
        <v>4.5</v>
      </c>
    </row>
    <row r="123" spans="1:10" x14ac:dyDescent="0.3">
      <c r="A123" s="120" t="s">
        <v>48</v>
      </c>
      <c r="B123" s="121"/>
      <c r="C123" s="42">
        <f ca="1">J131</f>
        <v>9</v>
      </c>
      <c r="D123" s="18">
        <f ca="1">((100/H119)*C123)/100</f>
        <v>1</v>
      </c>
      <c r="E123" s="131"/>
      <c r="F123" s="132"/>
      <c r="G123" s="131"/>
      <c r="H123" s="212"/>
      <c r="I123" s="13" t="s">
        <v>99</v>
      </c>
      <c r="J123" s="28">
        <f ca="1">H119</f>
        <v>9</v>
      </c>
    </row>
    <row r="124" spans="1:10" ht="15.75" customHeight="1" x14ac:dyDescent="0.3">
      <c r="A124" s="120" t="s">
        <v>126</v>
      </c>
      <c r="B124" s="121"/>
      <c r="C124" s="42">
        <f ca="1">D119+H119</f>
        <v>10</v>
      </c>
      <c r="D124" s="18">
        <f ca="1">((100/(D119+F119+H119))*C124)/100</f>
        <v>1</v>
      </c>
      <c r="E124" s="131"/>
      <c r="F124" s="132"/>
      <c r="G124" s="131"/>
      <c r="H124" s="212"/>
      <c r="I124" s="13" t="s">
        <v>100</v>
      </c>
      <c r="J124" s="29">
        <f ca="1">(IF(B119&gt;1,(H119/(B119+2)),H119/4))</f>
        <v>2.25</v>
      </c>
    </row>
    <row r="125" spans="1:10" ht="15.75" customHeight="1" x14ac:dyDescent="0.3">
      <c r="A125" s="120" t="s">
        <v>133</v>
      </c>
      <c r="B125" s="121" t="s">
        <v>127</v>
      </c>
      <c r="C125" s="42">
        <v>9</v>
      </c>
      <c r="D125" s="18">
        <f ca="1">((100/H119)*C125)/100</f>
        <v>1</v>
      </c>
      <c r="E125" s="131"/>
      <c r="F125" s="132"/>
      <c r="G125" s="131"/>
      <c r="H125" s="212"/>
      <c r="I125" s="13" t="s">
        <v>101</v>
      </c>
      <c r="J125" s="29">
        <f ca="1">(IF(B119&gt;1,(H119/(B119+2)+J124),H119/4+J124))</f>
        <v>4.5</v>
      </c>
    </row>
    <row r="126" spans="1:10" ht="15.75" customHeight="1" x14ac:dyDescent="0.3">
      <c r="A126" s="120" t="s">
        <v>134</v>
      </c>
      <c r="B126" s="121" t="s">
        <v>127</v>
      </c>
      <c r="C126" s="42">
        <v>9</v>
      </c>
      <c r="D126" s="18">
        <f ca="1">((100/H119)*C126)/100</f>
        <v>1</v>
      </c>
      <c r="E126" s="131"/>
      <c r="F126" s="132"/>
      <c r="G126" s="131"/>
      <c r="H126" s="212"/>
      <c r="I126" s="13" t="s">
        <v>143</v>
      </c>
      <c r="J126" s="29">
        <f>(IF(B119&gt;1,(H119/(B119+2)+J125),0))</f>
        <v>0</v>
      </c>
    </row>
    <row r="127" spans="1:10" ht="15" customHeight="1" x14ac:dyDescent="0.3">
      <c r="A127" s="120" t="s">
        <v>132</v>
      </c>
      <c r="B127" s="121" t="s">
        <v>129</v>
      </c>
      <c r="C127" s="42">
        <v>9</v>
      </c>
      <c r="D127" s="18">
        <f ca="1">((100/(H119))*C127)/100</f>
        <v>1</v>
      </c>
      <c r="E127" s="131"/>
      <c r="F127" s="132"/>
      <c r="G127" s="131"/>
      <c r="H127" s="212"/>
      <c r="I127" s="13" t="s">
        <v>140</v>
      </c>
      <c r="J127" s="29">
        <f>(IF(B119&gt;2,(H119/(B119+2)+J126),0))</f>
        <v>0</v>
      </c>
    </row>
    <row r="128" spans="1:10" ht="15.75" customHeight="1" x14ac:dyDescent="0.3">
      <c r="A128" s="120" t="s">
        <v>128</v>
      </c>
      <c r="B128" s="121" t="s">
        <v>128</v>
      </c>
      <c r="C128" s="42">
        <v>9</v>
      </c>
      <c r="D128" s="18">
        <f ca="1">((100/H119)*C128)/100</f>
        <v>1</v>
      </c>
      <c r="E128" s="131"/>
      <c r="F128" s="132"/>
      <c r="G128" s="131"/>
      <c r="H128" s="212"/>
      <c r="I128" s="13" t="s">
        <v>141</v>
      </c>
      <c r="J128" s="30">
        <f>(IF(B119&gt;3,(H119/(B119+2)+J127),0))</f>
        <v>0</v>
      </c>
    </row>
    <row r="129" spans="1:22" ht="15.75" customHeight="1" x14ac:dyDescent="0.3">
      <c r="A129" s="120" t="s">
        <v>135</v>
      </c>
      <c r="B129" s="121"/>
      <c r="C129" s="42">
        <v>9</v>
      </c>
      <c r="D129" s="18">
        <f ca="1">((100/H119)*C129)/100</f>
        <v>1</v>
      </c>
      <c r="E129" s="131"/>
      <c r="F129" s="132"/>
      <c r="G129" s="131"/>
      <c r="H129" s="212"/>
      <c r="I129" s="13" t="s">
        <v>142</v>
      </c>
      <c r="J129" s="29">
        <f>(IF(B119&gt;4,(H119/(B119+2)+J128),0))</f>
        <v>0</v>
      </c>
    </row>
    <row r="130" spans="1:22" ht="15.75" customHeight="1" x14ac:dyDescent="0.3">
      <c r="A130" s="120" t="s">
        <v>130</v>
      </c>
      <c r="B130" s="121" t="s">
        <v>130</v>
      </c>
      <c r="C130" s="42">
        <v>8</v>
      </c>
      <c r="D130" s="18">
        <f ca="1">((100/(H119))*C130)/100</f>
        <v>0.88888888888888884</v>
      </c>
      <c r="E130" s="131"/>
      <c r="F130" s="132"/>
      <c r="G130" s="131"/>
      <c r="H130" s="212"/>
      <c r="I130" s="13" t="s">
        <v>144</v>
      </c>
      <c r="J130" s="29">
        <f ca="1">(IF(B119=1,(H119/(B119+3)+J125),IF(B119=0,(H119/4+J125),IF(B119&gt;1,0))))</f>
        <v>6.75</v>
      </c>
    </row>
    <row r="131" spans="1:22" ht="16.2" thickBot="1" x14ac:dyDescent="0.35">
      <c r="A131" s="171" t="s">
        <v>131</v>
      </c>
      <c r="B131" s="172"/>
      <c r="C131" s="43">
        <v>0</v>
      </c>
      <c r="D131" s="19">
        <f ca="1">((100/(H119))*C131)/100</f>
        <v>0</v>
      </c>
      <c r="E131" s="133"/>
      <c r="F131" s="134"/>
      <c r="G131" s="133"/>
      <c r="H131" s="213"/>
      <c r="I131" s="14" t="s">
        <v>102</v>
      </c>
      <c r="J131" s="31">
        <f ca="1">(IF(B119&gt;1.5,(H119/(B119+2)+J125+MAX(0,J126-J125)+MAX(0,J127-J126)+MAX(0,J128-J127)+MAX(0,J129-J128)+MAX(0,J130-J129)),IF(B119=1,(H119/(B119+3)+J130),IF(B119=0,H119/4+J130))))</f>
        <v>9</v>
      </c>
    </row>
    <row r="132" spans="1:22" x14ac:dyDescent="0.3">
      <c r="A132" s="231" t="s">
        <v>153</v>
      </c>
      <c r="B132" s="231"/>
      <c r="C132" s="231"/>
      <c r="D132" s="231"/>
      <c r="E132" s="231"/>
      <c r="F132" s="183" t="s">
        <v>157</v>
      </c>
      <c r="G132" s="183"/>
      <c r="H132" s="183"/>
      <c r="R132" t="s">
        <v>249</v>
      </c>
      <c r="S132" t="s">
        <v>169</v>
      </c>
      <c r="T132" t="s">
        <v>175</v>
      </c>
      <c r="U132" t="s">
        <v>190</v>
      </c>
      <c r="V132" t="s">
        <v>185</v>
      </c>
    </row>
    <row r="133" spans="1:22" x14ac:dyDescent="0.3">
      <c r="A133" s="98" t="s">
        <v>155</v>
      </c>
      <c r="B133" s="98"/>
      <c r="C133" s="98"/>
      <c r="D133" s="98"/>
      <c r="E133" s="98"/>
      <c r="F133" s="99">
        <v>8700</v>
      </c>
      <c r="G133" s="99"/>
      <c r="H133" s="99"/>
      <c r="I133" s="20" t="s">
        <v>365</v>
      </c>
      <c r="R133"/>
      <c r="S133">
        <v>800000</v>
      </c>
      <c r="T133">
        <v>300000</v>
      </c>
      <c r="U133">
        <v>100000</v>
      </c>
      <c r="V133">
        <v>100000</v>
      </c>
    </row>
    <row r="134" spans="1:22" x14ac:dyDescent="0.3">
      <c r="A134" s="98" t="s">
        <v>154</v>
      </c>
      <c r="B134" s="98"/>
      <c r="C134" s="98"/>
      <c r="D134" s="98"/>
      <c r="E134" s="98"/>
      <c r="F134" s="99">
        <v>10000</v>
      </c>
      <c r="G134" s="99"/>
      <c r="H134" s="99"/>
      <c r="R134"/>
      <c r="S134">
        <v>900000</v>
      </c>
      <c r="T134">
        <v>350000</v>
      </c>
      <c r="U134">
        <v>150000</v>
      </c>
      <c r="V134">
        <v>150000</v>
      </c>
    </row>
    <row r="135" spans="1:22" x14ac:dyDescent="0.3">
      <c r="A135" s="98" t="s">
        <v>156</v>
      </c>
      <c r="B135" s="98"/>
      <c r="C135" s="98"/>
      <c r="D135" s="98"/>
      <c r="E135" s="98"/>
      <c r="F135" s="99">
        <v>8000</v>
      </c>
      <c r="G135" s="99"/>
      <c r="H135" s="99"/>
      <c r="R135"/>
      <c r="S135">
        <v>1000000</v>
      </c>
      <c r="T135">
        <v>400000</v>
      </c>
      <c r="U135">
        <v>200000</v>
      </c>
      <c r="V135">
        <v>200000</v>
      </c>
    </row>
    <row r="136" spans="1:22" s="32" customFormat="1" hidden="1" x14ac:dyDescent="0.3">
      <c r="A136" s="98" t="s">
        <v>172</v>
      </c>
      <c r="B136" s="98"/>
      <c r="C136" s="98"/>
      <c r="D136" s="98"/>
      <c r="E136" s="98"/>
      <c r="F136" s="99"/>
      <c r="G136" s="99"/>
      <c r="H136" s="99"/>
      <c r="R136"/>
      <c r="S136">
        <v>1100000</v>
      </c>
      <c r="T136">
        <v>500000</v>
      </c>
      <c r="U136">
        <v>250000</v>
      </c>
      <c r="V136" s="22">
        <v>250000</v>
      </c>
    </row>
    <row r="137" spans="1:22" s="32" customFormat="1" hidden="1" x14ac:dyDescent="0.3">
      <c r="A137" s="98" t="s">
        <v>92</v>
      </c>
      <c r="B137" s="98"/>
      <c r="C137" s="98"/>
      <c r="D137" s="98"/>
      <c r="E137" s="98"/>
      <c r="F137" s="99"/>
      <c r="G137" s="99"/>
      <c r="H137" s="99"/>
      <c r="R137"/>
      <c r="S137">
        <v>1200000</v>
      </c>
      <c r="T137">
        <v>600000</v>
      </c>
      <c r="U137">
        <v>300000</v>
      </c>
      <c r="V137">
        <v>300000</v>
      </c>
    </row>
    <row r="138" spans="1:22" s="32" customFormat="1" hidden="1" x14ac:dyDescent="0.3">
      <c r="A138" s="98" t="s">
        <v>93</v>
      </c>
      <c r="B138" s="98"/>
      <c r="C138" s="98"/>
      <c r="D138" s="98"/>
      <c r="E138" s="98"/>
      <c r="F138" s="99"/>
      <c r="G138" s="99"/>
      <c r="H138" s="99"/>
      <c r="R138"/>
      <c r="S138">
        <v>1300000</v>
      </c>
      <c r="T138">
        <v>700000</v>
      </c>
      <c r="U138">
        <v>350000</v>
      </c>
      <c r="V138" s="22">
        <v>400000</v>
      </c>
    </row>
    <row r="139" spans="1:22" s="32" customFormat="1" hidden="1" x14ac:dyDescent="0.3">
      <c r="A139" s="98" t="s">
        <v>94</v>
      </c>
      <c r="B139" s="98"/>
      <c r="C139" s="98"/>
      <c r="D139" s="98"/>
      <c r="E139" s="98"/>
      <c r="F139" s="99"/>
      <c r="G139" s="99"/>
      <c r="H139" s="99"/>
      <c r="R139"/>
      <c r="S139">
        <v>1400000</v>
      </c>
      <c r="T139">
        <v>800000</v>
      </c>
      <c r="U139">
        <v>400000</v>
      </c>
      <c r="V139"/>
    </row>
    <row r="140" spans="1:22" s="32" customFormat="1" hidden="1" x14ac:dyDescent="0.3">
      <c r="A140" s="98" t="s">
        <v>95</v>
      </c>
      <c r="B140" s="98"/>
      <c r="C140" s="98"/>
      <c r="D140" s="98"/>
      <c r="E140" s="98"/>
      <c r="F140" s="99"/>
      <c r="G140" s="99"/>
      <c r="H140" s="99"/>
      <c r="R140"/>
      <c r="S140">
        <v>1500000</v>
      </c>
      <c r="T140">
        <v>900000</v>
      </c>
      <c r="U140">
        <v>500000</v>
      </c>
      <c r="V140" s="22"/>
    </row>
    <row r="141" spans="1:22" s="32" customFormat="1" hidden="1" x14ac:dyDescent="0.3">
      <c r="A141" s="98" t="s">
        <v>96</v>
      </c>
      <c r="B141" s="98"/>
      <c r="C141" s="98"/>
      <c r="D141" s="98"/>
      <c r="E141" s="98"/>
      <c r="F141" s="99"/>
      <c r="G141" s="99"/>
      <c r="H141" s="99"/>
      <c r="R141"/>
      <c r="S141">
        <v>1600000</v>
      </c>
      <c r="T141">
        <v>1000000</v>
      </c>
      <c r="U141">
        <v>600000</v>
      </c>
      <c r="V141"/>
    </row>
    <row r="142" spans="1:22" s="32" customFormat="1" hidden="1" x14ac:dyDescent="0.3">
      <c r="A142" s="98" t="s">
        <v>97</v>
      </c>
      <c r="B142" s="98"/>
      <c r="C142" s="98"/>
      <c r="D142" s="98"/>
      <c r="E142" s="98"/>
      <c r="F142" s="99"/>
      <c r="G142" s="99"/>
      <c r="H142" s="99"/>
      <c r="R142"/>
      <c r="S142">
        <v>1700000</v>
      </c>
      <c r="T142"/>
      <c r="U142"/>
      <c r="V142" s="22"/>
    </row>
    <row r="143" spans="1:22" x14ac:dyDescent="0.3">
      <c r="A143" s="98" t="s">
        <v>49</v>
      </c>
      <c r="B143" s="98"/>
      <c r="C143" s="98"/>
      <c r="D143" s="98"/>
      <c r="E143" s="98"/>
      <c r="F143" s="196">
        <v>500000</v>
      </c>
      <c r="G143" s="196"/>
      <c r="H143" s="196"/>
      <c r="R143"/>
      <c r="S143">
        <v>1800000</v>
      </c>
      <c r="T143"/>
      <c r="U143"/>
    </row>
    <row r="144" spans="1:22" s="33" customFormat="1" x14ac:dyDescent="0.3">
      <c r="A144" s="197" t="s">
        <v>50</v>
      </c>
      <c r="B144" s="197"/>
      <c r="C144" s="197"/>
      <c r="D144" s="197"/>
      <c r="E144" s="197"/>
      <c r="F144" s="99">
        <f>F133*0.8</f>
        <v>6960</v>
      </c>
      <c r="G144" s="99"/>
      <c r="H144" s="99"/>
      <c r="R144" s="20"/>
      <c r="S144" s="20"/>
      <c r="T144"/>
      <c r="U144"/>
      <c r="V144" s="20"/>
    </row>
    <row r="145" spans="1:22" s="34" customFormat="1" ht="15.75" customHeight="1" x14ac:dyDescent="0.3">
      <c r="A145" s="195" t="s">
        <v>72</v>
      </c>
      <c r="B145" s="195"/>
      <c r="C145" s="195"/>
      <c r="D145" s="195"/>
      <c r="E145" s="195"/>
      <c r="F145" s="195"/>
      <c r="G145" s="195"/>
      <c r="H145" s="195"/>
      <c r="R145"/>
      <c r="S145" s="20"/>
      <c r="T145"/>
      <c r="U145"/>
      <c r="V145" s="20"/>
    </row>
    <row r="146" spans="1:22" s="34" customFormat="1" ht="15.75" customHeight="1" x14ac:dyDescent="0.3">
      <c r="A146" s="138" t="s">
        <v>51</v>
      </c>
      <c r="B146" s="138"/>
      <c r="C146" s="143" t="s">
        <v>75</v>
      </c>
      <c r="D146" s="143"/>
      <c r="E146" s="142" t="s">
        <v>52</v>
      </c>
      <c r="F146" s="142"/>
      <c r="G146" s="138" t="s">
        <v>53</v>
      </c>
      <c r="H146" s="138"/>
      <c r="R146"/>
      <c r="S146" s="20"/>
      <c r="T146"/>
      <c r="U146" s="20"/>
      <c r="V146" s="20"/>
    </row>
    <row r="147" spans="1:22" s="34" customFormat="1" x14ac:dyDescent="0.3">
      <c r="A147" s="78" t="s">
        <v>323</v>
      </c>
      <c r="B147" s="45" t="s">
        <v>324</v>
      </c>
      <c r="C147" s="81">
        <f>COUNT(F163:F164)</f>
        <v>2</v>
      </c>
      <c r="D147" s="82"/>
      <c r="E147" s="83">
        <f>SUM(F163:F164)</f>
        <v>2216.3355864</v>
      </c>
      <c r="F147" s="170"/>
      <c r="G147" s="83">
        <f>SUM(H163:H164)</f>
        <v>3435.3201589200003</v>
      </c>
      <c r="H147" s="170"/>
      <c r="R147"/>
      <c r="S147" s="20"/>
      <c r="T147"/>
      <c r="U147" s="20"/>
      <c r="V147" s="20"/>
    </row>
    <row r="148" spans="1:22" s="34" customFormat="1" x14ac:dyDescent="0.3">
      <c r="A148" s="79"/>
      <c r="B148" s="45" t="s">
        <v>351</v>
      </c>
      <c r="C148" s="81">
        <f>COUNT(F165:F167)+COUNT(F169:F174)*8+COUNT(F176:F181)</f>
        <v>57</v>
      </c>
      <c r="D148" s="81"/>
      <c r="E148" s="83">
        <f>SUM(F165:F167)+SUM(F169:F174)*8+SUM(F176:F181)</f>
        <v>36436.043123999996</v>
      </c>
      <c r="F148" s="83"/>
      <c r="G148" s="83">
        <f>SUM(H165:H167)+SUM(H169:H174)*8+SUM(H176:H181)</f>
        <v>56475.866842200005</v>
      </c>
      <c r="H148" s="83"/>
      <c r="I148" s="34">
        <f>6*9+3</f>
        <v>57</v>
      </c>
      <c r="R148"/>
      <c r="S148" s="20"/>
      <c r="T148"/>
      <c r="U148" s="20"/>
      <c r="V148" s="20"/>
    </row>
    <row r="149" spans="1:22" s="34" customFormat="1" x14ac:dyDescent="0.3">
      <c r="A149" s="195" t="s">
        <v>147</v>
      </c>
      <c r="B149" s="195"/>
      <c r="C149" s="240">
        <f>SUM(C147:C148)</f>
        <v>59</v>
      </c>
      <c r="D149" s="143"/>
      <c r="E149" s="240">
        <f>SUM(E147:E148)</f>
        <v>38652.378710399993</v>
      </c>
      <c r="F149" s="143"/>
      <c r="G149" s="240">
        <f>SUM(G147:G148)</f>
        <v>59911.187001120008</v>
      </c>
      <c r="H149" s="143"/>
      <c r="R149"/>
      <c r="S149" s="20"/>
      <c r="T149"/>
      <c r="U149" s="20"/>
      <c r="V149" s="20"/>
    </row>
    <row r="150" spans="1:22" s="34" customFormat="1" x14ac:dyDescent="0.3">
      <c r="A150" s="195" t="s">
        <v>67</v>
      </c>
      <c r="B150" s="195"/>
      <c r="C150" s="195"/>
      <c r="D150" s="195"/>
      <c r="E150" s="195"/>
      <c r="F150" s="195"/>
      <c r="G150" s="195"/>
      <c r="H150" s="195"/>
      <c r="T150"/>
    </row>
    <row r="151" spans="1:22" s="34" customFormat="1" ht="15.75" customHeight="1" x14ac:dyDescent="0.3">
      <c r="A151" s="138" t="s">
        <v>51</v>
      </c>
      <c r="B151" s="138"/>
      <c r="C151" s="143" t="s">
        <v>75</v>
      </c>
      <c r="D151" s="143"/>
      <c r="E151" s="142" t="s">
        <v>52</v>
      </c>
      <c r="F151" s="142"/>
      <c r="G151" s="138" t="s">
        <v>53</v>
      </c>
      <c r="H151" s="138"/>
      <c r="T151"/>
    </row>
    <row r="152" spans="1:22" s="34" customFormat="1" x14ac:dyDescent="0.3">
      <c r="A152" s="80" t="s">
        <v>330</v>
      </c>
      <c r="B152" s="80"/>
      <c r="C152" s="82">
        <f>COUNT(F189:F192)+COUNT(F194:F197)*6+COUNT(F199:F202)*2+COUNT(F204:F207)*3</f>
        <v>48</v>
      </c>
      <c r="D152" s="82"/>
      <c r="E152" s="83">
        <f>SUM(F189:F192)+SUM(F194:F197)*6+SUM(F199:F202)*2+SUM(F204:F207)*3</f>
        <v>60153.849755999981</v>
      </c>
      <c r="F152" s="83"/>
      <c r="G152" s="83">
        <f>SUM(H189:H192)+SUM(H194:H197)*6+SUM(H199:H202)*2+SUM(H204:H207)*3</f>
        <v>90586.632473999998</v>
      </c>
      <c r="H152" s="83"/>
      <c r="I152" s="34">
        <f>4*12</f>
        <v>48</v>
      </c>
      <c r="T152"/>
    </row>
    <row r="153" spans="1:22" s="34" customFormat="1" x14ac:dyDescent="0.3">
      <c r="A153" s="80" t="s">
        <v>340</v>
      </c>
      <c r="B153" s="80"/>
      <c r="C153" s="82">
        <f>COUNT(F212,F215)+COUNT(F217:F220)+COUNT(F222:F225)*8+COUNT(F227:F230)*2</f>
        <v>46</v>
      </c>
      <c r="D153" s="82"/>
      <c r="E153" s="83">
        <f>SUM(F212,F215)+SUM(F217:F220)+SUM(F222:F225)*8+SUM(F227:F230)*2</f>
        <v>61519.801355999996</v>
      </c>
      <c r="F153" s="83"/>
      <c r="G153" s="83">
        <f>SUM(H212,H215)+SUM(H217:H220)+SUM(H222:H225)*8+SUM(H227:H230)*2</f>
        <v>92448.433116</v>
      </c>
      <c r="H153" s="83"/>
      <c r="I153" s="34">
        <f>4*12-2</f>
        <v>46</v>
      </c>
    </row>
    <row r="154" spans="1:22" s="34" customFormat="1" x14ac:dyDescent="0.3">
      <c r="A154" s="80" t="s">
        <v>348</v>
      </c>
      <c r="B154" s="80"/>
      <c r="C154" s="81">
        <f>COUNT(F235:F238)+COUNT(F240:F243)+COUNT(F245:F246)</f>
        <v>10</v>
      </c>
      <c r="D154" s="82"/>
      <c r="E154" s="83">
        <f>SUM(F235:F238)+SUM(F240:F243)+SUM(F245:F246)</f>
        <v>13178.429784</v>
      </c>
      <c r="F154" s="83"/>
      <c r="G154" s="83">
        <f>SUM(H235:H238)+SUM(H240:H243)+SUM(H245:H246)</f>
        <v>19767.644676</v>
      </c>
      <c r="H154" s="83"/>
    </row>
    <row r="155" spans="1:22" s="34" customFormat="1" ht="16.2" thickBot="1" x14ac:dyDescent="0.35">
      <c r="A155" s="238" t="s">
        <v>147</v>
      </c>
      <c r="B155" s="238"/>
      <c r="C155" s="173">
        <f>SUM(C152:C154)</f>
        <v>104</v>
      </c>
      <c r="D155" s="173"/>
      <c r="E155" s="239">
        <f>SUM(E152:E154)</f>
        <v>134852.08089599997</v>
      </c>
      <c r="F155" s="239"/>
      <c r="G155" s="239">
        <f>SUM(G152:G154)</f>
        <v>202802.71026600001</v>
      </c>
      <c r="H155" s="239"/>
    </row>
    <row r="156" spans="1:22" s="34" customFormat="1" ht="16.2" thickBot="1" x14ac:dyDescent="0.35">
      <c r="A156" s="177" t="s">
        <v>163</v>
      </c>
      <c r="B156" s="178"/>
      <c r="C156" s="179">
        <f>C149+C155</f>
        <v>163</v>
      </c>
      <c r="D156" s="180"/>
      <c r="E156" s="181">
        <f>E149+E155</f>
        <v>173504.45960639996</v>
      </c>
      <c r="F156" s="181"/>
      <c r="G156" s="222">
        <f>G149+G155</f>
        <v>262713.89726712002</v>
      </c>
      <c r="H156" s="223"/>
    </row>
    <row r="157" spans="1:22" s="33" customFormat="1" x14ac:dyDescent="0.3">
      <c r="A157" s="183" t="s">
        <v>54</v>
      </c>
      <c r="B157" s="183"/>
      <c r="C157" s="183"/>
      <c r="D157" s="183"/>
      <c r="E157" s="183"/>
      <c r="F157" s="183"/>
      <c r="G157" s="183"/>
      <c r="H157" s="183"/>
      <c r="T157" s="34"/>
    </row>
    <row r="158" spans="1:22" x14ac:dyDescent="0.3">
      <c r="A158" s="137" t="s">
        <v>171</v>
      </c>
      <c r="B158" s="137"/>
      <c r="C158" s="137"/>
      <c r="D158" s="137"/>
      <c r="E158" s="137"/>
      <c r="F158" s="137"/>
      <c r="G158" s="137"/>
      <c r="H158" s="137"/>
      <c r="T158" s="34"/>
    </row>
    <row r="159" spans="1:22" ht="47.25" customHeight="1" x14ac:dyDescent="0.3">
      <c r="A159" s="94" t="s">
        <v>117</v>
      </c>
      <c r="B159" s="94" t="s">
        <v>173</v>
      </c>
      <c r="C159" s="94" t="s">
        <v>55</v>
      </c>
      <c r="D159" s="94" t="s">
        <v>228</v>
      </c>
      <c r="E159" s="218" t="s">
        <v>152</v>
      </c>
      <c r="F159" s="94" t="s">
        <v>56</v>
      </c>
      <c r="G159" s="218" t="s">
        <v>57</v>
      </c>
      <c r="H159" s="55" t="s">
        <v>146</v>
      </c>
      <c r="T159" s="34"/>
    </row>
    <row r="160" spans="1:22" s="36" customFormat="1" x14ac:dyDescent="0.3">
      <c r="A160" s="95"/>
      <c r="B160" s="95"/>
      <c r="C160" s="95"/>
      <c r="D160" s="95"/>
      <c r="E160" s="219"/>
      <c r="F160" s="95"/>
      <c r="G160" s="219"/>
      <c r="H160" s="62">
        <v>0.55000000000000004</v>
      </c>
      <c r="I160" s="41">
        <v>10.763999999999999</v>
      </c>
      <c r="T160" s="33"/>
    </row>
    <row r="161" spans="1:20" s="36" customFormat="1" x14ac:dyDescent="0.3">
      <c r="A161" s="84" t="s">
        <v>323</v>
      </c>
      <c r="B161" s="85"/>
      <c r="C161" s="85"/>
      <c r="D161" s="85"/>
      <c r="E161" s="85"/>
      <c r="F161" s="85"/>
      <c r="G161" s="85"/>
      <c r="H161" s="86"/>
      <c r="J161" s="35"/>
      <c r="T161" s="20"/>
    </row>
    <row r="162" spans="1:20" s="36" customFormat="1" x14ac:dyDescent="0.3">
      <c r="A162" s="90" t="s">
        <v>327</v>
      </c>
      <c r="B162" s="91"/>
      <c r="C162" s="91"/>
      <c r="D162" s="91"/>
      <c r="E162" s="91"/>
      <c r="F162" s="91"/>
      <c r="G162" s="91"/>
      <c r="H162" s="92"/>
      <c r="J162" s="35"/>
      <c r="T162" s="20"/>
    </row>
    <row r="163" spans="1:20" s="36" customFormat="1" ht="15.75" customHeight="1" x14ac:dyDescent="0.3">
      <c r="A163" s="70">
        <v>1</v>
      </c>
      <c r="B163" s="71"/>
      <c r="C163" s="41" t="s">
        <v>324</v>
      </c>
      <c r="D163" s="41">
        <f>(79.221)*10.764</f>
        <v>852.73484399999995</v>
      </c>
      <c r="E163" s="41">
        <f>(4.23*5.61)*10.764</f>
        <v>255.43294920000002</v>
      </c>
      <c r="F163" s="41">
        <f>D163+E163</f>
        <v>1108.1677932</v>
      </c>
      <c r="G163" s="41">
        <v>0</v>
      </c>
      <c r="H163" s="41">
        <f>(D163+E163)*(($H$160)+1)</f>
        <v>1717.6600794600001</v>
      </c>
      <c r="I163" s="35">
        <f>14.11*5.61</f>
        <v>79.1571</v>
      </c>
      <c r="J163" s="36">
        <f>10000*H163</f>
        <v>17176600.794600002</v>
      </c>
      <c r="L163" s="69"/>
      <c r="M163" s="69"/>
      <c r="N163" s="35"/>
      <c r="T163" s="20"/>
    </row>
    <row r="164" spans="1:20" s="36" customFormat="1" ht="15.75" customHeight="1" x14ac:dyDescent="0.3">
      <c r="A164" s="70">
        <f>A163+1</f>
        <v>2</v>
      </c>
      <c r="B164" s="71"/>
      <c r="C164" s="41" t="s">
        <v>324</v>
      </c>
      <c r="D164" s="41">
        <f>(79.221)*10.764</f>
        <v>852.73484399999995</v>
      </c>
      <c r="E164" s="41">
        <f>(4.23*5.61)*10.764</f>
        <v>255.43294920000002</v>
      </c>
      <c r="F164" s="41">
        <f>D164+E164</f>
        <v>1108.1677932</v>
      </c>
      <c r="G164" s="41">
        <v>0</v>
      </c>
      <c r="H164" s="41">
        <f>(D164+E164)*(($H$160)+1)</f>
        <v>1717.6600794600001</v>
      </c>
      <c r="I164" s="35"/>
      <c r="L164" s="69"/>
      <c r="M164" s="69"/>
      <c r="N164" s="35"/>
    </row>
    <row r="165" spans="1:20" s="36" customFormat="1" ht="15.75" customHeight="1" x14ac:dyDescent="0.3">
      <c r="A165" s="70">
        <v>1</v>
      </c>
      <c r="B165" s="71"/>
      <c r="C165" s="41" t="s">
        <v>325</v>
      </c>
      <c r="D165" s="41">
        <f>(48.57)*10.764</f>
        <v>522.80747999999994</v>
      </c>
      <c r="E165" s="41">
        <v>0</v>
      </c>
      <c r="F165" s="41">
        <f>D165+E165</f>
        <v>522.80747999999994</v>
      </c>
      <c r="G165" s="41">
        <v>0</v>
      </c>
      <c r="H165" s="41">
        <f>(D165+E165)*(($H$160)+1)</f>
        <v>810.35159399999998</v>
      </c>
      <c r="I165" s="35"/>
      <c r="L165" s="69"/>
      <c r="M165" s="69"/>
      <c r="N165" s="35"/>
    </row>
    <row r="166" spans="1:20" s="36" customFormat="1" ht="15.75" customHeight="1" x14ac:dyDescent="0.3">
      <c r="A166" s="70">
        <f>A165+1</f>
        <v>2</v>
      </c>
      <c r="B166" s="71"/>
      <c r="C166" s="41" t="s">
        <v>326</v>
      </c>
      <c r="D166" s="41">
        <f>(54.312)*10.764</f>
        <v>584.6143679999999</v>
      </c>
      <c r="E166" s="41">
        <v>0</v>
      </c>
      <c r="F166" s="41">
        <f>D166+E166</f>
        <v>584.6143679999999</v>
      </c>
      <c r="G166" s="41">
        <v>0</v>
      </c>
      <c r="H166" s="41">
        <f>(D166+E166)*(($H$160)+1)</f>
        <v>906.15227039999991</v>
      </c>
      <c r="I166" s="35"/>
      <c r="L166" s="69"/>
      <c r="M166" s="69"/>
      <c r="N166" s="35"/>
    </row>
    <row r="167" spans="1:20" s="36" customFormat="1" ht="15.75" customHeight="1" x14ac:dyDescent="0.3">
      <c r="A167" s="70">
        <f>A166+1</f>
        <v>3</v>
      </c>
      <c r="B167" s="71"/>
      <c r="C167" s="41" t="s">
        <v>326</v>
      </c>
      <c r="D167" s="41">
        <f>(53.215)*10.764</f>
        <v>572.80625999999995</v>
      </c>
      <c r="E167" s="41">
        <v>0</v>
      </c>
      <c r="F167" s="41">
        <f>D167+E167</f>
        <v>572.80625999999995</v>
      </c>
      <c r="G167" s="41">
        <v>0</v>
      </c>
      <c r="H167" s="41">
        <f>(D167+E167)*(($H$160)+1)</f>
        <v>887.84970299999998</v>
      </c>
      <c r="I167" s="35"/>
      <c r="L167" s="69"/>
      <c r="M167" s="69"/>
      <c r="N167" s="35"/>
    </row>
    <row r="168" spans="1:20" s="36" customFormat="1" x14ac:dyDescent="0.3">
      <c r="A168" s="90" t="s">
        <v>328</v>
      </c>
      <c r="B168" s="91"/>
      <c r="C168" s="91"/>
      <c r="D168" s="91"/>
      <c r="E168" s="91"/>
      <c r="F168" s="91"/>
      <c r="G168" s="91"/>
      <c r="H168" s="92"/>
      <c r="J168" s="35"/>
      <c r="T168" s="20"/>
    </row>
    <row r="169" spans="1:20" s="36" customFormat="1" ht="15.75" customHeight="1" x14ac:dyDescent="0.3">
      <c r="A169" s="70">
        <v>1</v>
      </c>
      <c r="B169" s="71"/>
      <c r="C169" s="41" t="s">
        <v>325</v>
      </c>
      <c r="D169" s="41">
        <f>(54.734)*10.764</f>
        <v>589.15677600000004</v>
      </c>
      <c r="E169" s="41">
        <v>0</v>
      </c>
      <c r="F169" s="41">
        <f t="shared" ref="F169:F174" si="0">D169+E169</f>
        <v>589.15677600000004</v>
      </c>
      <c r="G169" s="41">
        <v>0</v>
      </c>
      <c r="H169" s="41">
        <f t="shared" ref="H169:H174" si="1">(D169+E169)*(($H$160)+1)</f>
        <v>913.19300280000004</v>
      </c>
      <c r="I169" s="35"/>
      <c r="L169" s="69"/>
      <c r="M169" s="69"/>
      <c r="N169" s="35"/>
      <c r="T169" s="20"/>
    </row>
    <row r="170" spans="1:20" s="36" customFormat="1" ht="15.75" customHeight="1" x14ac:dyDescent="0.3">
      <c r="A170" s="70">
        <f>A169+1</f>
        <v>2</v>
      </c>
      <c r="B170" s="71"/>
      <c r="C170" s="41" t="s">
        <v>325</v>
      </c>
      <c r="D170" s="41">
        <f>(45.425)*10.764</f>
        <v>488.95469999999995</v>
      </c>
      <c r="E170" s="41">
        <v>0</v>
      </c>
      <c r="F170" s="41">
        <f t="shared" si="0"/>
        <v>488.95469999999995</v>
      </c>
      <c r="G170" s="41">
        <v>0</v>
      </c>
      <c r="H170" s="41">
        <f t="shared" si="1"/>
        <v>757.87978499999997</v>
      </c>
      <c r="I170" s="35"/>
      <c r="L170" s="69"/>
      <c r="M170" s="69"/>
      <c r="N170" s="35"/>
    </row>
    <row r="171" spans="1:20" s="36" customFormat="1" ht="15.75" customHeight="1" x14ac:dyDescent="0.3">
      <c r="A171" s="70">
        <f>A170+1</f>
        <v>3</v>
      </c>
      <c r="B171" s="71"/>
      <c r="C171" s="41" t="s">
        <v>325</v>
      </c>
      <c r="D171" s="41">
        <f>(45.428)*10.764</f>
        <v>488.98699199999993</v>
      </c>
      <c r="E171" s="41">
        <v>0</v>
      </c>
      <c r="F171" s="41">
        <f t="shared" si="0"/>
        <v>488.98699199999993</v>
      </c>
      <c r="G171" s="41">
        <v>0</v>
      </c>
      <c r="H171" s="41">
        <f t="shared" si="1"/>
        <v>757.92983759999993</v>
      </c>
      <c r="I171" s="35">
        <f>10.33*3.87+1.2*3.87</f>
        <v>44.621099999999998</v>
      </c>
      <c r="L171" s="69"/>
      <c r="M171" s="69"/>
      <c r="N171" s="35"/>
    </row>
    <row r="172" spans="1:20" s="36" customFormat="1" ht="15.75" customHeight="1" x14ac:dyDescent="0.3">
      <c r="A172" s="70">
        <f>A171+1</f>
        <v>4</v>
      </c>
      <c r="B172" s="71"/>
      <c r="C172" s="41" t="s">
        <v>325</v>
      </c>
      <c r="D172" s="41">
        <f>(60.711)*10.764</f>
        <v>653.49320399999999</v>
      </c>
      <c r="E172" s="41">
        <v>0</v>
      </c>
      <c r="F172" s="41">
        <f t="shared" si="0"/>
        <v>653.49320399999999</v>
      </c>
      <c r="G172" s="41">
        <v>0</v>
      </c>
      <c r="H172" s="41">
        <f t="shared" si="1"/>
        <v>1012.9144662</v>
      </c>
      <c r="I172" s="35"/>
      <c r="L172" s="69"/>
      <c r="M172" s="69"/>
      <c r="N172" s="35"/>
    </row>
    <row r="173" spans="1:20" s="36" customFormat="1" ht="15.75" customHeight="1" x14ac:dyDescent="0.3">
      <c r="A173" s="70">
        <f>A172+1</f>
        <v>5</v>
      </c>
      <c r="B173" s="71"/>
      <c r="C173" s="41" t="s">
        <v>326</v>
      </c>
      <c r="D173" s="41">
        <f>(78.604)*10.764</f>
        <v>846.09345599999995</v>
      </c>
      <c r="E173" s="41">
        <v>0</v>
      </c>
      <c r="F173" s="41">
        <f t="shared" si="0"/>
        <v>846.09345599999995</v>
      </c>
      <c r="G173" s="41">
        <v>0</v>
      </c>
      <c r="H173" s="41">
        <f t="shared" si="1"/>
        <v>1311.4448568</v>
      </c>
      <c r="I173" s="35"/>
      <c r="L173" s="69"/>
      <c r="M173" s="69"/>
      <c r="N173" s="35"/>
    </row>
    <row r="174" spans="1:20" s="36" customFormat="1" ht="15.75" customHeight="1" x14ac:dyDescent="0.3">
      <c r="A174" s="70">
        <f>A173+1</f>
        <v>6</v>
      </c>
      <c r="B174" s="71"/>
      <c r="C174" s="41" t="s">
        <v>326</v>
      </c>
      <c r="D174" s="41">
        <f>(73.864)*10.764</f>
        <v>795.07209599999999</v>
      </c>
      <c r="E174" s="41">
        <v>0</v>
      </c>
      <c r="F174" s="41">
        <f t="shared" si="0"/>
        <v>795.07209599999999</v>
      </c>
      <c r="G174" s="41">
        <v>0</v>
      </c>
      <c r="H174" s="41">
        <f t="shared" si="1"/>
        <v>1232.3617488</v>
      </c>
      <c r="I174" s="35"/>
      <c r="L174" s="69"/>
      <c r="M174" s="69"/>
      <c r="N174" s="35"/>
    </row>
    <row r="175" spans="1:20" s="36" customFormat="1" x14ac:dyDescent="0.3">
      <c r="A175" s="90" t="s">
        <v>329</v>
      </c>
      <c r="B175" s="91"/>
      <c r="C175" s="91"/>
      <c r="D175" s="91"/>
      <c r="E175" s="91"/>
      <c r="F175" s="91"/>
      <c r="G175" s="91"/>
      <c r="H175" s="92"/>
      <c r="J175" s="35"/>
      <c r="T175" s="20"/>
    </row>
    <row r="176" spans="1:20" s="36" customFormat="1" ht="15.75" customHeight="1" x14ac:dyDescent="0.3">
      <c r="A176" s="70">
        <v>1</v>
      </c>
      <c r="B176" s="71"/>
      <c r="C176" s="41" t="s">
        <v>325</v>
      </c>
      <c r="D176" s="41">
        <f>(54.734)*10.764</f>
        <v>589.15677600000004</v>
      </c>
      <c r="E176" s="41">
        <v>0</v>
      </c>
      <c r="F176" s="41">
        <f t="shared" ref="F176:F181" si="2">D176+E176</f>
        <v>589.15677600000004</v>
      </c>
      <c r="G176" s="41">
        <v>0</v>
      </c>
      <c r="H176" s="41">
        <f t="shared" ref="H176:H181" si="3">(D176+E176)*(($H$160)+1)</f>
        <v>913.19300280000004</v>
      </c>
      <c r="I176" s="35"/>
      <c r="J176" s="35"/>
      <c r="L176" s="69"/>
      <c r="M176" s="69"/>
      <c r="N176" s="35"/>
      <c r="T176" s="20"/>
    </row>
    <row r="177" spans="1:20" s="36" customFormat="1" ht="15.75" customHeight="1" x14ac:dyDescent="0.3">
      <c r="A177" s="70">
        <f>A176+1</f>
        <v>2</v>
      </c>
      <c r="B177" s="71"/>
      <c r="C177" s="41" t="s">
        <v>325</v>
      </c>
      <c r="D177" s="41">
        <f>(45.425)*10.764</f>
        <v>488.95469999999995</v>
      </c>
      <c r="E177" s="41">
        <v>0</v>
      </c>
      <c r="F177" s="41">
        <f t="shared" si="2"/>
        <v>488.95469999999995</v>
      </c>
      <c r="G177" s="41">
        <v>0</v>
      </c>
      <c r="H177" s="41">
        <f t="shared" si="3"/>
        <v>757.87978499999997</v>
      </c>
      <c r="I177" s="35"/>
      <c r="J177" s="35"/>
      <c r="L177" s="69"/>
      <c r="M177" s="69"/>
      <c r="N177" s="35"/>
    </row>
    <row r="178" spans="1:20" s="36" customFormat="1" ht="15.75" customHeight="1" x14ac:dyDescent="0.3">
      <c r="A178" s="70">
        <f>A177+1</f>
        <v>3</v>
      </c>
      <c r="B178" s="71"/>
      <c r="C178" s="41" t="s">
        <v>325</v>
      </c>
      <c r="D178" s="41">
        <f>(45.428)*10.764</f>
        <v>488.98699199999993</v>
      </c>
      <c r="E178" s="41">
        <v>0</v>
      </c>
      <c r="F178" s="41">
        <f t="shared" si="2"/>
        <v>488.98699199999993</v>
      </c>
      <c r="G178" s="41">
        <v>0</v>
      </c>
      <c r="H178" s="41">
        <f t="shared" si="3"/>
        <v>757.92983759999993</v>
      </c>
      <c r="I178" s="35"/>
      <c r="J178" s="35"/>
      <c r="L178" s="69"/>
      <c r="M178" s="69"/>
      <c r="N178" s="35"/>
    </row>
    <row r="179" spans="1:20" s="36" customFormat="1" ht="15.75" customHeight="1" x14ac:dyDescent="0.3">
      <c r="A179" s="70">
        <f>A178+1</f>
        <v>4</v>
      </c>
      <c r="B179" s="71"/>
      <c r="C179" s="41" t="s">
        <v>325</v>
      </c>
      <c r="D179" s="41">
        <f>(60.711)*10.764</f>
        <v>653.49320399999999</v>
      </c>
      <c r="E179" s="41">
        <v>0</v>
      </c>
      <c r="F179" s="41">
        <f t="shared" si="2"/>
        <v>653.49320399999999</v>
      </c>
      <c r="G179" s="41">
        <v>0</v>
      </c>
      <c r="H179" s="41">
        <f t="shared" si="3"/>
        <v>1012.9144662</v>
      </c>
      <c r="I179" s="35"/>
      <c r="J179" s="35"/>
      <c r="L179" s="69"/>
      <c r="M179" s="69"/>
      <c r="N179" s="35"/>
    </row>
    <row r="180" spans="1:20" s="36" customFormat="1" ht="15.75" customHeight="1" x14ac:dyDescent="0.3">
      <c r="A180" s="70">
        <f>A179+1</f>
        <v>5</v>
      </c>
      <c r="B180" s="71"/>
      <c r="C180" s="41" t="s">
        <v>326</v>
      </c>
      <c r="D180" s="41">
        <f>(78.604)*10.764</f>
        <v>846.09345599999995</v>
      </c>
      <c r="E180" s="41">
        <v>0</v>
      </c>
      <c r="F180" s="41">
        <f t="shared" si="2"/>
        <v>846.09345599999995</v>
      </c>
      <c r="G180" s="41">
        <v>0</v>
      </c>
      <c r="H180" s="41">
        <f t="shared" si="3"/>
        <v>1311.4448568</v>
      </c>
      <c r="I180" s="35"/>
      <c r="J180" s="35"/>
      <c r="L180" s="69"/>
      <c r="M180" s="69"/>
      <c r="N180" s="35"/>
    </row>
    <row r="181" spans="1:20" s="36" customFormat="1" ht="15.75" customHeight="1" x14ac:dyDescent="0.3">
      <c r="A181" s="70">
        <f>A180+1</f>
        <v>6</v>
      </c>
      <c r="B181" s="71"/>
      <c r="C181" s="41" t="s">
        <v>326</v>
      </c>
      <c r="D181" s="41">
        <f>(73.864)*10.764</f>
        <v>795.07209599999999</v>
      </c>
      <c r="E181" s="41">
        <v>0</v>
      </c>
      <c r="F181" s="41">
        <f t="shared" si="2"/>
        <v>795.07209599999999</v>
      </c>
      <c r="G181" s="41">
        <v>0</v>
      </c>
      <c r="H181" s="41">
        <f t="shared" si="3"/>
        <v>1232.3617488</v>
      </c>
      <c r="I181" s="35"/>
      <c r="J181" s="35"/>
      <c r="L181" s="69"/>
      <c r="M181" s="69"/>
      <c r="N181" s="35"/>
    </row>
    <row r="182" spans="1:20" s="36" customFormat="1" x14ac:dyDescent="0.3">
      <c r="A182" s="70"/>
      <c r="B182" s="182"/>
      <c r="C182" s="182"/>
      <c r="D182" s="182"/>
      <c r="E182" s="182"/>
      <c r="F182" s="182"/>
      <c r="G182" s="182"/>
      <c r="H182" s="71"/>
      <c r="I182" s="35"/>
      <c r="N182" s="35"/>
    </row>
    <row r="183" spans="1:20" ht="47.25" customHeight="1" x14ac:dyDescent="0.3">
      <c r="A183" s="96" t="s">
        <v>118</v>
      </c>
      <c r="B183" s="94" t="s">
        <v>174</v>
      </c>
      <c r="C183" s="94" t="s">
        <v>55</v>
      </c>
      <c r="D183" s="94" t="s">
        <v>228</v>
      </c>
      <c r="E183" s="94" t="s">
        <v>358</v>
      </c>
      <c r="F183" s="94" t="s">
        <v>56</v>
      </c>
      <c r="G183" s="218" t="s">
        <v>57</v>
      </c>
      <c r="H183" s="55" t="s">
        <v>146</v>
      </c>
      <c r="I183" s="35"/>
      <c r="T183" s="36"/>
    </row>
    <row r="184" spans="1:20" s="36" customFormat="1" x14ac:dyDescent="0.3">
      <c r="A184" s="97"/>
      <c r="B184" s="95"/>
      <c r="C184" s="95"/>
      <c r="D184" s="95"/>
      <c r="E184" s="95"/>
      <c r="F184" s="95"/>
      <c r="G184" s="219"/>
      <c r="H184" s="62">
        <v>0.5</v>
      </c>
      <c r="I184" s="41">
        <v>10.763999999999999</v>
      </c>
    </row>
    <row r="185" spans="1:20" s="36" customFormat="1" x14ac:dyDescent="0.3">
      <c r="A185" s="87" t="s">
        <v>330</v>
      </c>
      <c r="B185" s="88"/>
      <c r="C185" s="88"/>
      <c r="D185" s="88"/>
      <c r="E185" s="88"/>
      <c r="F185" s="88"/>
      <c r="G185" s="88"/>
      <c r="H185" s="89"/>
      <c r="J185" s="35"/>
    </row>
    <row r="186" spans="1:20" s="36" customFormat="1" x14ac:dyDescent="0.3">
      <c r="A186" s="90" t="s">
        <v>332</v>
      </c>
      <c r="B186" s="91"/>
      <c r="C186" s="91"/>
      <c r="D186" s="91"/>
      <c r="E186" s="91"/>
      <c r="F186" s="91"/>
      <c r="G186" s="91"/>
      <c r="H186" s="92"/>
      <c r="J186" s="35"/>
    </row>
    <row r="187" spans="1:20" s="36" customFormat="1" x14ac:dyDescent="0.3">
      <c r="A187" s="90" t="s">
        <v>333</v>
      </c>
      <c r="B187" s="91"/>
      <c r="C187" s="91"/>
      <c r="D187" s="91"/>
      <c r="E187" s="91"/>
      <c r="F187" s="91"/>
      <c r="G187" s="91"/>
      <c r="H187" s="92"/>
      <c r="J187" s="35"/>
    </row>
    <row r="188" spans="1:20" s="36" customFormat="1" x14ac:dyDescent="0.3">
      <c r="A188" s="90" t="s">
        <v>331</v>
      </c>
      <c r="B188" s="91"/>
      <c r="C188" s="91"/>
      <c r="D188" s="91"/>
      <c r="E188" s="91"/>
      <c r="F188" s="91"/>
      <c r="G188" s="91"/>
      <c r="H188" s="92"/>
      <c r="J188" s="35"/>
    </row>
    <row r="189" spans="1:20" s="36" customFormat="1" ht="15.75" customHeight="1" x14ac:dyDescent="0.3">
      <c r="A189" s="70">
        <v>1</v>
      </c>
      <c r="B189" s="71"/>
      <c r="C189" s="41" t="s">
        <v>334</v>
      </c>
      <c r="D189" s="41">
        <f>(131.515)*10.764</f>
        <v>1415.6274599999997</v>
      </c>
      <c r="E189" s="41">
        <f>(3.563)*10.764</f>
        <v>38.352131999999997</v>
      </c>
      <c r="F189" s="41">
        <f>D189+E189</f>
        <v>1453.9795919999997</v>
      </c>
      <c r="G189" s="41">
        <v>0</v>
      </c>
      <c r="H189" s="41">
        <f>F189*(($H$184)+1)+(IF(G189&lt;101,G189,IF(G189&lt;201,G189/2,IF(G189&lt;=301,G189/3,G189/4))))</f>
        <v>2180.9693879999995</v>
      </c>
      <c r="I189" s="35">
        <f>3.86*6.07+2.7*3.05+3.15*4.4+3.15*3.76+3.5*3.33+3.5*2.99+2.73*4.5+1.35*2.9+1.5*2.13+1.5*2.15+2.1*1.35+2.7*1.5+1*6.4+3.1*1.35+2.5*1.4+1*1</f>
        <v>124.0792</v>
      </c>
      <c r="J189" s="35">
        <f>D189-I189</f>
        <v>1291.5482599999998</v>
      </c>
      <c r="K189" s="36">
        <f>J189*10.764</f>
        <v>13902.225470639996</v>
      </c>
      <c r="L189" s="65" t="s">
        <v>334</v>
      </c>
      <c r="M189" s="65"/>
      <c r="N189" s="35"/>
      <c r="T189" s="20"/>
    </row>
    <row r="190" spans="1:20" s="36" customFormat="1" ht="15.75" customHeight="1" x14ac:dyDescent="0.3">
      <c r="A190" s="70">
        <f>A189+1</f>
        <v>2</v>
      </c>
      <c r="B190" s="71"/>
      <c r="C190" s="41" t="s">
        <v>335</v>
      </c>
      <c r="D190" s="41">
        <f>(84.11)*10.764</f>
        <v>905.36003999999991</v>
      </c>
      <c r="E190" s="41">
        <v>0</v>
      </c>
      <c r="F190" s="41">
        <f>D190+E190</f>
        <v>905.36003999999991</v>
      </c>
      <c r="G190" s="41">
        <v>0</v>
      </c>
      <c r="H190" s="41">
        <f>F190*(($H$184)+1)+(IF(G190&lt;101,G190,IF(G190&lt;201,G190/2,IF(G190&lt;=301,G190/3,G190/4))))</f>
        <v>1358.0400599999998</v>
      </c>
      <c r="I190" s="35">
        <f>3.05*5.23+2.55*3.08+2.35*2.8+3*3+3.74*3.8+1.2*2.1+1.25*2.45+3.25*3.88+1.4*2.25+0.9*3</f>
        <v>77.64</v>
      </c>
      <c r="J190" s="35">
        <f t="shared" ref="J190:J191" si="4">D190-I190</f>
        <v>827.72003999999993</v>
      </c>
      <c r="K190" s="36">
        <f t="shared" ref="K190:K191" si="5">J190*10.764</f>
        <v>8909.5785105599989</v>
      </c>
      <c r="L190" s="65" t="s">
        <v>335</v>
      </c>
      <c r="M190" s="65"/>
      <c r="N190" s="35"/>
    </row>
    <row r="191" spans="1:20" s="36" customFormat="1" ht="15.75" customHeight="1" x14ac:dyDescent="0.3">
      <c r="A191" s="70">
        <f>A190+1</f>
        <v>3</v>
      </c>
      <c r="B191" s="71"/>
      <c r="C191" s="41" t="s">
        <v>334</v>
      </c>
      <c r="D191" s="41">
        <f>(135.83)*10.764</f>
        <v>1462.07412</v>
      </c>
      <c r="E191" s="41">
        <f>(11.348)*10.764</f>
        <v>122.149872</v>
      </c>
      <c r="F191" s="41">
        <f>D191+E191</f>
        <v>1584.223992</v>
      </c>
      <c r="G191" s="41">
        <f>(5.51)*10.764</f>
        <v>59.309639999999995</v>
      </c>
      <c r="H191" s="41">
        <f>F191*(($H$184)+1)+(IF(G191&lt;101,G191,IF(G191&lt;201,G191/2,IF(G191&lt;=301,G191/3,G191/4))))</f>
        <v>2435.6456279999998</v>
      </c>
      <c r="I191" s="35">
        <f>3.85*6.08+2.7*3.05+3.15*4.4+3.8*3.38+3.5*3.34+3.5*3+2.73*4.5+2.1*2.9+1.5*2.15+2.1*1.35+1.5*2.15+2.7*1.5+1*6.5+2*1.35+1*1.5+0.9*1.5+2.5*1.5</f>
        <v>128.04699999999997</v>
      </c>
      <c r="J191" s="35">
        <f t="shared" si="4"/>
        <v>1334.02712</v>
      </c>
      <c r="K191" s="36">
        <f t="shared" si="5"/>
        <v>14359.467919679999</v>
      </c>
      <c r="L191" s="65" t="s">
        <v>334</v>
      </c>
      <c r="M191" s="65"/>
      <c r="N191" s="35"/>
    </row>
    <row r="192" spans="1:20" s="36" customFormat="1" ht="15.75" customHeight="1" x14ac:dyDescent="0.3">
      <c r="A192" s="70">
        <f>A191+1</f>
        <v>4</v>
      </c>
      <c r="B192" s="71"/>
      <c r="C192" s="41" t="s">
        <v>336</v>
      </c>
      <c r="D192" s="41">
        <f>(63.724)*10.764</f>
        <v>685.92513599999995</v>
      </c>
      <c r="E192" s="41">
        <f>(3.714)*10.764</f>
        <v>39.977495999999995</v>
      </c>
      <c r="F192" s="41">
        <f>D192+E192</f>
        <v>725.90263199999993</v>
      </c>
      <c r="G192" s="41">
        <v>0</v>
      </c>
      <c r="H192" s="41">
        <f>F192*(($H$184)+1)+(IF(G192&lt;101,G192,IF(G192&lt;201,G192/2,IF(G192&lt;=301,G192/3,G192/4))))</f>
        <v>1088.8539479999999</v>
      </c>
      <c r="I192" s="35">
        <f>3.04*4.25+2.14*2.48+3*3.14+3.4*4.22+2.24*2.7+1.2*2.14+1.8*2.28+1*2.1+2.1*1.6+0.4*1.2</f>
        <v>60.655199999999994</v>
      </c>
      <c r="J192" s="35">
        <f>D192-I192</f>
        <v>625.26993599999992</v>
      </c>
      <c r="K192" s="36">
        <f>J192*10.764</f>
        <v>6730.4055911039986</v>
      </c>
      <c r="L192" s="65" t="s">
        <v>336</v>
      </c>
      <c r="M192" s="65"/>
      <c r="N192" s="35"/>
    </row>
    <row r="193" spans="1:20" s="36" customFormat="1" x14ac:dyDescent="0.3">
      <c r="A193" s="93" t="s">
        <v>338</v>
      </c>
      <c r="B193" s="93"/>
      <c r="C193" s="93"/>
      <c r="D193" s="93"/>
      <c r="E193" s="93"/>
      <c r="F193" s="93"/>
      <c r="G193" s="93"/>
      <c r="H193" s="93"/>
      <c r="I193" s="35"/>
      <c r="L193" s="69"/>
      <c r="M193" s="69"/>
    </row>
    <row r="194" spans="1:20" s="36" customFormat="1" ht="15.75" customHeight="1" x14ac:dyDescent="0.3">
      <c r="A194" s="70">
        <v>1</v>
      </c>
      <c r="B194" s="71"/>
      <c r="C194" s="41" t="s">
        <v>334</v>
      </c>
      <c r="D194" s="41">
        <f>(131.987)*10.764</f>
        <v>1420.7080679999999</v>
      </c>
      <c r="E194" s="41">
        <f>(7.161+0.7*(4.4+3.76+3.33+2.99))*10.764</f>
        <v>186.18490799999995</v>
      </c>
      <c r="F194" s="41">
        <f>D194+E194</f>
        <v>1606.8929759999999</v>
      </c>
      <c r="G194" s="41">
        <v>0</v>
      </c>
      <c r="H194" s="41">
        <f>F194*(($H$184)+1)+(IF(G194&lt;101,G194,IF(G194&lt;201,G194/2,IF(G194&lt;=301,G194/3,G194/4))))</f>
        <v>2410.3394639999997</v>
      </c>
      <c r="I194" s="35"/>
      <c r="L194" s="69"/>
      <c r="M194" s="69"/>
      <c r="N194" s="35"/>
      <c r="T194" s="20"/>
    </row>
    <row r="195" spans="1:20" s="36" customFormat="1" ht="15.75" customHeight="1" x14ac:dyDescent="0.3">
      <c r="A195" s="70">
        <f>A194+1</f>
        <v>2</v>
      </c>
      <c r="B195" s="71"/>
      <c r="C195" s="41" t="s">
        <v>335</v>
      </c>
      <c r="D195" s="41">
        <f>(85.16)*10.764</f>
        <v>916.66223999999988</v>
      </c>
      <c r="E195" s="41">
        <f>(8.75+0.7*(2.35+3.74))*10.764</f>
        <v>140.071932</v>
      </c>
      <c r="F195" s="41">
        <f>D195+E195</f>
        <v>1056.7341719999999</v>
      </c>
      <c r="G195" s="41">
        <v>0</v>
      </c>
      <c r="H195" s="41">
        <f>F195*(($H$184)+1)+(IF(G195&lt;101,G195,IF(G195&lt;201,G195/2,IF(G195&lt;=301,G195/3,G195/4))))</f>
        <v>1585.1012579999999</v>
      </c>
      <c r="I195" s="35"/>
      <c r="L195" s="69"/>
      <c r="M195" s="69"/>
      <c r="N195" s="35"/>
    </row>
    <row r="196" spans="1:20" s="36" customFormat="1" ht="15.75" customHeight="1" x14ac:dyDescent="0.3">
      <c r="A196" s="70">
        <f>A195+1</f>
        <v>3</v>
      </c>
      <c r="B196" s="71"/>
      <c r="C196" s="41" t="s">
        <v>334</v>
      </c>
      <c r="D196" s="41">
        <f>(135.325)*10.764</f>
        <v>1456.6382999999998</v>
      </c>
      <c r="E196" s="41">
        <f>(11.348+0.75*(4.4+3+2.73))*10.764</f>
        <v>203.92936200000003</v>
      </c>
      <c r="F196" s="41">
        <f>D196+E196</f>
        <v>1660.5676619999999</v>
      </c>
      <c r="G196" s="41">
        <v>0</v>
      </c>
      <c r="H196" s="41">
        <f>F196*(($H$184)+1)+(IF(G196&lt;101,G196,IF(G196&lt;201,G196/2,IF(G196&lt;=301,G196/3,G196/4))))</f>
        <v>2490.8514930000001</v>
      </c>
      <c r="I196" s="35"/>
      <c r="L196" s="69"/>
      <c r="M196" s="69"/>
      <c r="N196" s="35"/>
    </row>
    <row r="197" spans="1:20" s="36" customFormat="1" ht="15.75" customHeight="1" x14ac:dyDescent="0.3">
      <c r="A197" s="70">
        <f>A196+1</f>
        <v>4</v>
      </c>
      <c r="B197" s="71"/>
      <c r="C197" s="41" t="s">
        <v>336</v>
      </c>
      <c r="D197" s="41">
        <f>(63.724)*10.764</f>
        <v>685.92513599999995</v>
      </c>
      <c r="E197" s="41">
        <f>(3.715+0.7*(3+3.4))*10.764</f>
        <v>88.210979999999992</v>
      </c>
      <c r="F197" s="41">
        <f>D197+E197</f>
        <v>774.1361159999999</v>
      </c>
      <c r="G197" s="41">
        <v>0</v>
      </c>
      <c r="H197" s="41">
        <f>F197*(($H$184)+1)+(IF(G197&lt;101,G197,IF(G197&lt;201,G197/2,IF(G197&lt;=301,G197/3,G197/4))))</f>
        <v>1161.204174</v>
      </c>
      <c r="I197" s="35"/>
      <c r="L197" s="69"/>
      <c r="M197" s="69"/>
      <c r="N197" s="35"/>
    </row>
    <row r="198" spans="1:20" s="36" customFormat="1" x14ac:dyDescent="0.3">
      <c r="A198" s="93" t="s">
        <v>337</v>
      </c>
      <c r="B198" s="93"/>
      <c r="C198" s="93"/>
      <c r="D198" s="93"/>
      <c r="E198" s="93"/>
      <c r="F198" s="93"/>
      <c r="G198" s="93"/>
      <c r="H198" s="93"/>
      <c r="I198" s="35"/>
      <c r="L198" s="69"/>
      <c r="M198" s="69"/>
    </row>
    <row r="199" spans="1:20" s="36" customFormat="1" ht="15.75" customHeight="1" x14ac:dyDescent="0.3">
      <c r="A199" s="70">
        <v>1</v>
      </c>
      <c r="B199" s="71"/>
      <c r="C199" s="41" t="s">
        <v>334</v>
      </c>
      <c r="D199" s="41">
        <f>(131.987)*10.764</f>
        <v>1420.7080679999999</v>
      </c>
      <c r="E199" s="41">
        <f>(7.161+0.7*(4.4+3.76+3.33+2.99))*10.764</f>
        <v>186.18490799999995</v>
      </c>
      <c r="F199" s="41">
        <f>D199+E199</f>
        <v>1606.8929759999999</v>
      </c>
      <c r="G199" s="41">
        <v>0</v>
      </c>
      <c r="H199" s="41">
        <f>F199*(($H$184)+1)+(IF(G199&lt;101,G199,IF(G199&lt;201,G199/2,IF(G199&lt;=301,G199/3,G199/4))))</f>
        <v>2410.3394639999997</v>
      </c>
      <c r="I199" s="35"/>
      <c r="L199" s="69"/>
      <c r="M199" s="69"/>
      <c r="N199" s="35"/>
      <c r="T199" s="20"/>
    </row>
    <row r="200" spans="1:20" s="36" customFormat="1" ht="15.75" customHeight="1" x14ac:dyDescent="0.3">
      <c r="A200" s="70">
        <f>A199+1</f>
        <v>2</v>
      </c>
      <c r="B200" s="71"/>
      <c r="C200" s="41" t="s">
        <v>336</v>
      </c>
      <c r="D200" s="41">
        <f>(65.823)*10.764</f>
        <v>708.5187719999999</v>
      </c>
      <c r="E200" s="41">
        <f>(4.2+0.7*(2.35+3.74))*10.764</f>
        <v>91.095731999999998</v>
      </c>
      <c r="F200" s="41">
        <f>D200+E200</f>
        <v>799.6145039999999</v>
      </c>
      <c r="G200" s="41">
        <v>0</v>
      </c>
      <c r="H200" s="41">
        <f>F200*(($H$184)+1)+(IF(G200&lt;101,G200,IF(G200&lt;201,G200/2,IF(G200&lt;=301,G200/3,G200/4))))</f>
        <v>1199.4217559999997</v>
      </c>
      <c r="I200" s="64">
        <f>3*1.5</f>
        <v>4.5</v>
      </c>
      <c r="L200" s="69"/>
      <c r="M200" s="69"/>
      <c r="N200" s="35"/>
    </row>
    <row r="201" spans="1:20" s="36" customFormat="1" ht="15.75" customHeight="1" x14ac:dyDescent="0.3">
      <c r="A201" s="70">
        <f>A200+1</f>
        <v>3</v>
      </c>
      <c r="B201" s="71"/>
      <c r="C201" s="41" t="s">
        <v>334</v>
      </c>
      <c r="D201" s="41">
        <f>(135.83)*10.764</f>
        <v>1462.07412</v>
      </c>
      <c r="E201" s="41">
        <f>(11.348+0.75*(4.4+3))*10.764</f>
        <v>181.89007200000003</v>
      </c>
      <c r="F201" s="41">
        <f>D201+E201</f>
        <v>1643.9641919999999</v>
      </c>
      <c r="G201" s="41">
        <f>(5.51)*10.764</f>
        <v>59.309639999999995</v>
      </c>
      <c r="H201" s="41">
        <f>F201*(($H$184)+1)+(IF(G201&lt;101,G201,IF(G201&lt;201,G201/2,IF(G201&lt;=301,G201/3,G201/4))))</f>
        <v>2525.255928</v>
      </c>
      <c r="I201" s="35"/>
      <c r="L201" s="69"/>
      <c r="M201" s="69"/>
      <c r="N201" s="35"/>
    </row>
    <row r="202" spans="1:20" s="36" customFormat="1" ht="15.75" customHeight="1" x14ac:dyDescent="0.3">
      <c r="A202" s="70">
        <f>A201+1</f>
        <v>4</v>
      </c>
      <c r="B202" s="71"/>
      <c r="C202" s="41" t="s">
        <v>336</v>
      </c>
      <c r="D202" s="41">
        <f>(63.724)*10.764</f>
        <v>685.92513599999995</v>
      </c>
      <c r="E202" s="41">
        <f>(3.715+0.7*(3+3.4))*10.764</f>
        <v>88.210979999999992</v>
      </c>
      <c r="F202" s="41">
        <f>D202+E202</f>
        <v>774.1361159999999</v>
      </c>
      <c r="G202" s="41">
        <v>0</v>
      </c>
      <c r="H202" s="41">
        <f>F202*(($H$184)+1)+(IF(G202&lt;101,G202,IF(G202&lt;201,G202/2,IF(G202&lt;=301,G202/3,G202/4))))</f>
        <v>1161.204174</v>
      </c>
      <c r="I202" s="35"/>
      <c r="L202" s="69"/>
      <c r="M202" s="69"/>
      <c r="N202" s="35"/>
    </row>
    <row r="203" spans="1:20" s="36" customFormat="1" x14ac:dyDescent="0.3">
      <c r="A203" s="93" t="s">
        <v>339</v>
      </c>
      <c r="B203" s="93"/>
      <c r="C203" s="93"/>
      <c r="D203" s="93"/>
      <c r="E203" s="93"/>
      <c r="F203" s="93"/>
      <c r="G203" s="93"/>
      <c r="H203" s="93"/>
      <c r="I203" s="35"/>
      <c r="L203" s="69"/>
      <c r="M203" s="69"/>
    </row>
    <row r="204" spans="1:20" s="36" customFormat="1" ht="15.75" customHeight="1" x14ac:dyDescent="0.3">
      <c r="A204" s="70">
        <v>1</v>
      </c>
      <c r="B204" s="71"/>
      <c r="C204" s="41" t="s">
        <v>334</v>
      </c>
      <c r="D204" s="41">
        <f>(131.987)*10.764</f>
        <v>1420.7080679999999</v>
      </c>
      <c r="E204" s="41">
        <f>(7.161+0.7*(4.4+3.76+3.33+2.99))*10.764</f>
        <v>186.18490799999995</v>
      </c>
      <c r="F204" s="41">
        <f>D204+E204</f>
        <v>1606.8929759999999</v>
      </c>
      <c r="G204" s="41">
        <v>0</v>
      </c>
      <c r="H204" s="41">
        <f>F204*(($H$184)+1)+(IF(G204&lt;101,G204,IF(G204&lt;201,G204/2,IF(G204&lt;=301,G204/3,G204/4))))</f>
        <v>2410.3394639999997</v>
      </c>
      <c r="I204" s="35"/>
      <c r="L204" s="69"/>
      <c r="M204" s="69"/>
      <c r="N204" s="35"/>
      <c r="T204" s="20"/>
    </row>
    <row r="205" spans="1:20" s="36" customFormat="1" ht="15.75" customHeight="1" x14ac:dyDescent="0.3">
      <c r="A205" s="70">
        <f>A204+1</f>
        <v>2</v>
      </c>
      <c r="B205" s="71"/>
      <c r="C205" s="41" t="s">
        <v>335</v>
      </c>
      <c r="D205" s="41">
        <f>(85.16)*10.764</f>
        <v>916.66223999999988</v>
      </c>
      <c r="E205" s="41">
        <f>(8.75+0.7*(2.35+3.74))*10.764</f>
        <v>140.071932</v>
      </c>
      <c r="F205" s="41">
        <f>D205+E205</f>
        <v>1056.7341719999999</v>
      </c>
      <c r="G205" s="41">
        <v>0</v>
      </c>
      <c r="H205" s="41">
        <f>F205*(($H$184)+1)+(IF(G205&lt;101,G205,IF(G205&lt;201,G205/2,IF(G205&lt;=301,G205/3,G205/4))))</f>
        <v>1585.1012579999999</v>
      </c>
      <c r="I205" s="35"/>
      <c r="L205" s="69"/>
      <c r="M205" s="69"/>
      <c r="N205" s="35"/>
    </row>
    <row r="206" spans="1:20" s="36" customFormat="1" ht="15.75" customHeight="1" x14ac:dyDescent="0.3">
      <c r="A206" s="70">
        <f>A205+1</f>
        <v>3</v>
      </c>
      <c r="B206" s="71"/>
      <c r="C206" s="41" t="s">
        <v>334</v>
      </c>
      <c r="D206" s="41">
        <f>(135.83)*10.764</f>
        <v>1462.07412</v>
      </c>
      <c r="E206" s="41">
        <f>(11.348+0.75*(4.4+3))*10.764</f>
        <v>181.89007200000003</v>
      </c>
      <c r="F206" s="41">
        <f>D206+E206</f>
        <v>1643.9641919999999</v>
      </c>
      <c r="G206" s="41">
        <f>(5.51)*10.764</f>
        <v>59.309639999999995</v>
      </c>
      <c r="H206" s="41">
        <f>F206*(($H$184)+1)+(IF(G206&lt;101,G206,IF(G206&lt;201,G206/2,IF(G206&lt;=301,G206/3,G206/4))))</f>
        <v>2525.255928</v>
      </c>
      <c r="I206" s="35"/>
      <c r="L206" s="69"/>
      <c r="M206" s="69"/>
      <c r="N206" s="35"/>
    </row>
    <row r="207" spans="1:20" s="36" customFormat="1" ht="15.75" customHeight="1" x14ac:dyDescent="0.3">
      <c r="A207" s="70">
        <f>A206+1</f>
        <v>4</v>
      </c>
      <c r="B207" s="71"/>
      <c r="C207" s="41" t="s">
        <v>336</v>
      </c>
      <c r="D207" s="41">
        <f>(63.724)*10.764</f>
        <v>685.92513599999995</v>
      </c>
      <c r="E207" s="41">
        <f>(3.715+0.7*(3+3.4))*10.764</f>
        <v>88.210979999999992</v>
      </c>
      <c r="F207" s="41">
        <f>D207+E207</f>
        <v>774.1361159999999</v>
      </c>
      <c r="G207" s="41">
        <v>0</v>
      </c>
      <c r="H207" s="41">
        <f>F207*(($H$184)+1)+(IF(G207&lt;101,G207,IF(G207&lt;201,G207/2,IF(G207&lt;=301,G207/3,G207/4))))</f>
        <v>1161.204174</v>
      </c>
      <c r="I207" s="35"/>
      <c r="L207" s="69"/>
      <c r="M207" s="69"/>
      <c r="N207" s="35"/>
    </row>
    <row r="208" spans="1:20" s="36" customFormat="1" x14ac:dyDescent="0.3">
      <c r="A208" s="87" t="s">
        <v>340</v>
      </c>
      <c r="B208" s="88"/>
      <c r="C208" s="88"/>
      <c r="D208" s="88"/>
      <c r="E208" s="88"/>
      <c r="F208" s="88"/>
      <c r="G208" s="88"/>
      <c r="H208" s="89"/>
      <c r="J208" s="35"/>
    </row>
    <row r="209" spans="1:20" s="36" customFormat="1" x14ac:dyDescent="0.3">
      <c r="A209" s="90" t="s">
        <v>341</v>
      </c>
      <c r="B209" s="91"/>
      <c r="C209" s="91"/>
      <c r="D209" s="91"/>
      <c r="E209" s="91"/>
      <c r="F209" s="91"/>
      <c r="G209" s="91"/>
      <c r="H209" s="92"/>
      <c r="J209" s="35"/>
    </row>
    <row r="210" spans="1:20" s="36" customFormat="1" x14ac:dyDescent="0.3">
      <c r="A210" s="90" t="s">
        <v>342</v>
      </c>
      <c r="B210" s="91"/>
      <c r="C210" s="91"/>
      <c r="D210" s="91"/>
      <c r="E210" s="91"/>
      <c r="F210" s="91"/>
      <c r="G210" s="91"/>
      <c r="H210" s="92"/>
      <c r="J210" s="35"/>
    </row>
    <row r="211" spans="1:20" s="36" customFormat="1" ht="15.75" customHeight="1" x14ac:dyDescent="0.3">
      <c r="A211" s="84" t="s">
        <v>345</v>
      </c>
      <c r="B211" s="85"/>
      <c r="C211" s="85"/>
      <c r="D211" s="85"/>
      <c r="E211" s="85"/>
      <c r="F211" s="85"/>
      <c r="G211" s="85"/>
      <c r="H211" s="86"/>
      <c r="I211" s="35"/>
      <c r="L211" s="69"/>
      <c r="M211" s="69"/>
    </row>
    <row r="212" spans="1:20" s="36" customFormat="1" ht="15.75" customHeight="1" x14ac:dyDescent="0.3">
      <c r="A212" s="70">
        <v>1</v>
      </c>
      <c r="B212" s="71"/>
      <c r="C212" s="41" t="s">
        <v>334</v>
      </c>
      <c r="D212" s="41">
        <f>(111.717)*10.764</f>
        <v>1202.521788</v>
      </c>
      <c r="E212" s="41">
        <f>(0.7*(3.15+3.05))*10.764</f>
        <v>46.715759999999989</v>
      </c>
      <c r="F212" s="41">
        <f>D212+E212</f>
        <v>1249.2375480000001</v>
      </c>
      <c r="G212" s="41">
        <v>0</v>
      </c>
      <c r="H212" s="41">
        <f>F212*(($H$184)+1)+(IF(G212&lt;101,G212,IF(G212&lt;201,G212/2,IF(G212&lt;=301,G212/3,G212/4))))</f>
        <v>1873.8563220000001</v>
      </c>
      <c r="I212" s="35">
        <f>4.1*5.62+2.2*3.1+2.6*2.92+3.25*3.27+3.15*3+2.1*1.65+3.05*4.6+3.13*3.61+2.3*1.5+1.35*2.1+2.1*1.35+1.4*3.6+1.4*1.6+2*1.6+0.9*1.2+0.6*1.8</f>
        <v>108.08579999999999</v>
      </c>
      <c r="L212" s="69"/>
      <c r="M212" s="69"/>
      <c r="N212" s="35"/>
      <c r="T212" s="20"/>
    </row>
    <row r="213" spans="1:20" s="36" customFormat="1" ht="15.75" customHeight="1" x14ac:dyDescent="0.3">
      <c r="A213" s="70" t="s">
        <v>343</v>
      </c>
      <c r="B213" s="71"/>
      <c r="C213" s="72" t="s">
        <v>344</v>
      </c>
      <c r="D213" s="73"/>
      <c r="E213" s="73"/>
      <c r="F213" s="73"/>
      <c r="G213" s="73"/>
      <c r="H213" s="74"/>
      <c r="I213" s="35"/>
      <c r="L213" s="69"/>
      <c r="M213" s="69"/>
      <c r="N213" s="35"/>
    </row>
    <row r="214" spans="1:20" s="36" customFormat="1" ht="15.75" customHeight="1" x14ac:dyDescent="0.3">
      <c r="A214" s="70" t="s">
        <v>343</v>
      </c>
      <c r="B214" s="71"/>
      <c r="C214" s="75"/>
      <c r="D214" s="76"/>
      <c r="E214" s="76"/>
      <c r="F214" s="76"/>
      <c r="G214" s="76"/>
      <c r="H214" s="77"/>
      <c r="I214" s="35"/>
      <c r="L214" s="69"/>
      <c r="M214" s="69"/>
      <c r="N214" s="35"/>
    </row>
    <row r="215" spans="1:20" s="36" customFormat="1" ht="15.75" customHeight="1" x14ac:dyDescent="0.3">
      <c r="A215" s="70">
        <v>2</v>
      </c>
      <c r="B215" s="71"/>
      <c r="C215" s="41" t="s">
        <v>335</v>
      </c>
      <c r="D215" s="41">
        <f>(91.828)*10.764</f>
        <v>988.43659200000002</v>
      </c>
      <c r="E215" s="41">
        <f>(8.593+0.7*(2.34+3+3))*10.764</f>
        <v>155.33528399999997</v>
      </c>
      <c r="F215" s="41">
        <f>D215+E215</f>
        <v>1143.771876</v>
      </c>
      <c r="G215" s="41">
        <v>0</v>
      </c>
      <c r="H215" s="41">
        <f>F215*(($H$184)+1)+(IF(G215&lt;101,G215,IF(G215&lt;201,G215/2,IF(G215&lt;=301,G215/3,G215/4))))</f>
        <v>1715.6578140000001</v>
      </c>
      <c r="I215" s="64">
        <f>2.98*1.05+3.2*1.9</f>
        <v>9.2089999999999996</v>
      </c>
      <c r="L215" s="69"/>
      <c r="M215" s="69"/>
      <c r="N215" s="35"/>
    </row>
    <row r="216" spans="1:20" s="36" customFormat="1" ht="15.75" customHeight="1" x14ac:dyDescent="0.3">
      <c r="A216" s="84" t="s">
        <v>346</v>
      </c>
      <c r="B216" s="85"/>
      <c r="C216" s="85"/>
      <c r="D216" s="85"/>
      <c r="E216" s="85"/>
      <c r="F216" s="85"/>
      <c r="G216" s="85"/>
      <c r="H216" s="86"/>
      <c r="I216" s="35"/>
      <c r="L216" s="69"/>
      <c r="M216" s="69"/>
    </row>
    <row r="217" spans="1:20" s="36" customFormat="1" ht="15.75" customHeight="1" x14ac:dyDescent="0.3">
      <c r="A217" s="70">
        <v>1</v>
      </c>
      <c r="B217" s="71"/>
      <c r="C217" s="41" t="s">
        <v>334</v>
      </c>
      <c r="D217" s="41">
        <f>(112.962)*10.764</f>
        <v>1215.9229679999999</v>
      </c>
      <c r="E217" s="41">
        <f>(8.016+0.7*(1.4+3.13+3.15+3.05))*10.764</f>
        <v>167.13262800000001</v>
      </c>
      <c r="F217" s="41">
        <f>D217+E217</f>
        <v>1383.0555959999999</v>
      </c>
      <c r="G217" s="41">
        <v>0</v>
      </c>
      <c r="H217" s="41">
        <f>F217*(($H$184)+1)+(IF(G217&lt;101,G217,IF(G217&lt;201,G217/2,IF(G217&lt;=301,G217/3,G217/4))))</f>
        <v>2074.5833939999998</v>
      </c>
      <c r="I217" s="63"/>
      <c r="L217" s="69"/>
      <c r="M217" s="69"/>
      <c r="N217" s="35"/>
      <c r="T217" s="20"/>
    </row>
    <row r="218" spans="1:20" s="36" customFormat="1" ht="15.75" customHeight="1" x14ac:dyDescent="0.3">
      <c r="A218" s="70">
        <f>A217+1</f>
        <v>2</v>
      </c>
      <c r="B218" s="71"/>
      <c r="C218" s="41" t="s">
        <v>335</v>
      </c>
      <c r="D218" s="41">
        <f>(96.211)*10.764</f>
        <v>1035.6152039999999</v>
      </c>
      <c r="E218" s="41">
        <f>0</f>
        <v>0</v>
      </c>
      <c r="F218" s="41">
        <f t="shared" ref="F218:F219" si="6">D218+E218</f>
        <v>1035.6152039999999</v>
      </c>
      <c r="G218" s="41">
        <f>(16.861)*10.764</f>
        <v>181.491804</v>
      </c>
      <c r="H218" s="41">
        <f t="shared" ref="H218:H219" si="7">F218*(($H$184)+1)+(IF(G218&lt;101,G218,IF(G218&lt;201,G218/2,IF(G218&lt;=301,G218/3,G218/4))))</f>
        <v>1644.1687080000002</v>
      </c>
      <c r="I218" s="35">
        <f>3.2*5.95+2.8*3.55+2.65*3.45+3*3.45+3.1*3.45+3.2*3.5+2.59*1.67+1.2*2.1+1.45*2.4+1*8+0.6*1.5</f>
        <v>89.592800000000011</v>
      </c>
      <c r="L218" s="69"/>
      <c r="M218" s="69"/>
      <c r="N218" s="35"/>
    </row>
    <row r="219" spans="1:20" s="36" customFormat="1" ht="15.75" customHeight="1" x14ac:dyDescent="0.3">
      <c r="A219" s="70">
        <f t="shared" ref="A219:A220" si="8">A218+1</f>
        <v>3</v>
      </c>
      <c r="B219" s="71"/>
      <c r="C219" s="41" t="s">
        <v>334</v>
      </c>
      <c r="D219" s="41">
        <f>(143.562)*10.764</f>
        <v>1545.3013680000001</v>
      </c>
      <c r="E219" s="41">
        <v>0</v>
      </c>
      <c r="F219" s="41">
        <f t="shared" si="6"/>
        <v>1545.3013680000001</v>
      </c>
      <c r="G219" s="41">
        <f>(21.735)*10.764</f>
        <v>233.95553999999998</v>
      </c>
      <c r="H219" s="41">
        <f t="shared" si="7"/>
        <v>2395.9372320000002</v>
      </c>
      <c r="I219" s="35">
        <f>3.84*2.65+6.07*4.85+3.59*3.7+3.38*3.15+4.5*2.73+2.9*1.45+3*3.5+3.34*3.5+2.15*1.5+1.35*2.13+1.35*2.1+2.15*1.5+1.5*2.7+1.5*0.9+0.4*1+1.2*4.9+2.9*1+2.9*1+1.1*1.5</f>
        <v>133.51599999999999</v>
      </c>
      <c r="L219" s="69"/>
      <c r="M219" s="69"/>
      <c r="N219" s="35"/>
    </row>
    <row r="220" spans="1:20" s="36" customFormat="1" ht="15.75" customHeight="1" x14ac:dyDescent="0.3">
      <c r="A220" s="70">
        <f t="shared" si="8"/>
        <v>4</v>
      </c>
      <c r="B220" s="71"/>
      <c r="C220" s="41" t="s">
        <v>335</v>
      </c>
      <c r="D220" s="41">
        <f>(91.828)*10.764</f>
        <v>988.43659200000002</v>
      </c>
      <c r="E220" s="41">
        <f>(8.593+0.7*(2.34+3+3))*10.764</f>
        <v>155.33528399999997</v>
      </c>
      <c r="F220" s="41">
        <f>D220+E220</f>
        <v>1143.771876</v>
      </c>
      <c r="G220" s="41">
        <v>0</v>
      </c>
      <c r="H220" s="41">
        <f>F220*(($H$184)+1)+(IF(G220&lt;101,G220,IF(G220&lt;201,G220/2,IF(G220&lt;=301,G220/3,G220/4))))</f>
        <v>1715.6578140000001</v>
      </c>
      <c r="I220" s="35"/>
      <c r="L220" s="69"/>
      <c r="M220" s="69"/>
      <c r="N220" s="35"/>
    </row>
    <row r="221" spans="1:20" s="36" customFormat="1" ht="15.75" customHeight="1" x14ac:dyDescent="0.3">
      <c r="A221" s="84" t="s">
        <v>347</v>
      </c>
      <c r="B221" s="85"/>
      <c r="C221" s="85"/>
      <c r="D221" s="85"/>
      <c r="E221" s="85"/>
      <c r="F221" s="85"/>
      <c r="G221" s="85"/>
      <c r="H221" s="86"/>
      <c r="I221" s="35"/>
      <c r="K221" s="36">
        <v>7800</v>
      </c>
      <c r="L221" s="69"/>
      <c r="M221" s="69"/>
    </row>
    <row r="222" spans="1:20" s="36" customFormat="1" ht="15.75" customHeight="1" x14ac:dyDescent="0.3">
      <c r="A222" s="70">
        <v>1</v>
      </c>
      <c r="B222" s="71"/>
      <c r="C222" s="41" t="s">
        <v>334</v>
      </c>
      <c r="D222" s="41">
        <f>(112.962)*10.764</f>
        <v>1215.9229679999999</v>
      </c>
      <c r="E222" s="41">
        <f>(8.016+0.7*(3.13+1.4+3.15+3.05))*10.764</f>
        <v>167.13262800000001</v>
      </c>
      <c r="F222" s="41">
        <f>D222+E222</f>
        <v>1383.0555959999999</v>
      </c>
      <c r="G222" s="41">
        <v>0</v>
      </c>
      <c r="H222" s="41">
        <f>F222*(($H$184)+1)+(IF(G222&lt;101,G222,IF(G222&lt;201,G222/2,IF(G222&lt;=301,G222/3,G222/4))))</f>
        <v>2074.5833939999998</v>
      </c>
      <c r="I222" s="35"/>
      <c r="K222" s="36">
        <f>K$221*H222</f>
        <v>16181750.473199999</v>
      </c>
      <c r="L222" s="69"/>
      <c r="M222" s="69"/>
      <c r="N222" s="35"/>
      <c r="T222" s="20"/>
    </row>
    <row r="223" spans="1:20" s="36" customFormat="1" ht="15.75" customHeight="1" x14ac:dyDescent="0.3">
      <c r="A223" s="70">
        <f>A222+1</f>
        <v>2</v>
      </c>
      <c r="B223" s="71"/>
      <c r="C223" s="41" t="s">
        <v>335</v>
      </c>
      <c r="D223" s="41">
        <f>(94.831)*10.764</f>
        <v>1020.7608839999999</v>
      </c>
      <c r="E223" s="41">
        <f>(8.793+0.7*(3.1+3+2.65))*10.764</f>
        <v>160.57735199999999</v>
      </c>
      <c r="F223" s="41">
        <f t="shared" ref="F223:F224" si="9">D223+E223</f>
        <v>1181.3382359999998</v>
      </c>
      <c r="G223" s="41">
        <v>0</v>
      </c>
      <c r="H223" s="41">
        <f t="shared" ref="H223:H224" si="10">F223*(($H$184)+1)+(IF(G223&lt;101,G223,IF(G223&lt;201,G223/2,IF(G223&lt;=301,G223/3,G223/4))))</f>
        <v>1772.0073539999999</v>
      </c>
      <c r="I223" s="35"/>
      <c r="K223" s="36">
        <f t="shared" ref="K223:K225" si="11">K$221*H223</f>
        <v>13821657.361199999</v>
      </c>
      <c r="L223" s="69"/>
      <c r="M223" s="69"/>
      <c r="N223" s="35"/>
    </row>
    <row r="224" spans="1:20" s="36" customFormat="1" ht="15.75" customHeight="1" x14ac:dyDescent="0.3">
      <c r="A224" s="70">
        <f t="shared" ref="A224:A225" si="12">A223+1</f>
        <v>3</v>
      </c>
      <c r="B224" s="71"/>
      <c r="C224" s="41" t="s">
        <v>334</v>
      </c>
      <c r="D224" s="41">
        <f>(141.486)*10.764</f>
        <v>1522.9553039999998</v>
      </c>
      <c r="E224" s="41">
        <f>(10.402+0.7*(3.59+3.38+3.34+3))*10.764</f>
        <v>212.25531599999997</v>
      </c>
      <c r="F224" s="41">
        <f t="shared" si="9"/>
        <v>1735.2106199999998</v>
      </c>
      <c r="G224" s="41">
        <v>0</v>
      </c>
      <c r="H224" s="41">
        <f t="shared" si="10"/>
        <v>2602.8159299999998</v>
      </c>
      <c r="I224" s="35">
        <f>3.8*1.9+2.85*1.35</f>
        <v>11.067500000000001</v>
      </c>
      <c r="K224" s="36">
        <f>K$221*H224</f>
        <v>20301964.253999997</v>
      </c>
      <c r="L224" s="69"/>
      <c r="M224" s="69"/>
      <c r="N224" s="35"/>
    </row>
    <row r="225" spans="1:20" s="36" customFormat="1" ht="15.75" customHeight="1" x14ac:dyDescent="0.3">
      <c r="A225" s="70">
        <f t="shared" si="12"/>
        <v>4</v>
      </c>
      <c r="B225" s="71"/>
      <c r="C225" s="41" t="s">
        <v>335</v>
      </c>
      <c r="D225" s="41">
        <f>(91.828)*10.764</f>
        <v>988.43659200000002</v>
      </c>
      <c r="E225" s="41">
        <f>(8.593+0.7*(2.34+3+3))*10.764</f>
        <v>155.33528399999997</v>
      </c>
      <c r="F225" s="41">
        <f>D225+E225</f>
        <v>1143.771876</v>
      </c>
      <c r="G225" s="41">
        <v>0</v>
      </c>
      <c r="H225" s="41">
        <f>F225*(($H$184)+1)+(IF(G225&lt;101,G225,IF(G225&lt;201,G225/2,IF(G225&lt;=301,G225/3,G225/4))))</f>
        <v>1715.6578140000001</v>
      </c>
      <c r="I225" s="35"/>
      <c r="K225" s="36">
        <f t="shared" si="11"/>
        <v>13382130.949200001</v>
      </c>
      <c r="L225" s="69"/>
      <c r="M225" s="69"/>
      <c r="N225" s="35"/>
    </row>
    <row r="226" spans="1:20" s="36" customFormat="1" ht="15.75" customHeight="1" x14ac:dyDescent="0.3">
      <c r="A226" s="84" t="s">
        <v>337</v>
      </c>
      <c r="B226" s="85"/>
      <c r="C226" s="85"/>
      <c r="D226" s="85"/>
      <c r="E226" s="85"/>
      <c r="F226" s="85"/>
      <c r="G226" s="85"/>
      <c r="H226" s="86"/>
      <c r="I226" s="35"/>
      <c r="L226" s="69"/>
      <c r="M226" s="69"/>
    </row>
    <row r="227" spans="1:20" s="36" customFormat="1" ht="15.75" customHeight="1" x14ac:dyDescent="0.3">
      <c r="A227" s="70">
        <v>1</v>
      </c>
      <c r="B227" s="71"/>
      <c r="C227" s="41" t="s">
        <v>334</v>
      </c>
      <c r="D227" s="41">
        <f>(112.962)*10.764</f>
        <v>1215.9229679999999</v>
      </c>
      <c r="E227" s="41">
        <f>(8.016+0.7*(3.13+1.4+3.15+3.05))*10.764</f>
        <v>167.13262800000001</v>
      </c>
      <c r="F227" s="41">
        <f>D227+E227</f>
        <v>1383.0555959999999</v>
      </c>
      <c r="G227" s="41">
        <v>0</v>
      </c>
      <c r="H227" s="41">
        <f>F227*(($H$184)+1)+(IF(G227&lt;101,G227,IF(G227&lt;201,G227/2,IF(G227&lt;=301,G227/3,G227/4))))</f>
        <v>2074.5833939999998</v>
      </c>
      <c r="I227" s="35"/>
      <c r="J227" s="36">
        <f>H227/F227</f>
        <v>1.5</v>
      </c>
      <c r="K227" s="36">
        <f>12500000/H227</f>
        <v>6025.3061102059519</v>
      </c>
      <c r="L227" s="69"/>
      <c r="M227" s="69"/>
      <c r="N227" s="35"/>
      <c r="T227" s="20"/>
    </row>
    <row r="228" spans="1:20" s="36" customFormat="1" ht="15.75" customHeight="1" x14ac:dyDescent="0.3">
      <c r="A228" s="70">
        <f>A227+1</f>
        <v>2</v>
      </c>
      <c r="B228" s="71"/>
      <c r="C228" s="41" t="s">
        <v>335</v>
      </c>
      <c r="D228" s="41">
        <f>(94.831)*10.764</f>
        <v>1020.7608839999999</v>
      </c>
      <c r="E228" s="41">
        <f>(8.793+0.7*(3.1+3+2.65))*10.764</f>
        <v>160.57735199999999</v>
      </c>
      <c r="F228" s="41">
        <f t="shared" ref="F228:F229" si="13">D228+E228</f>
        <v>1181.3382359999998</v>
      </c>
      <c r="G228" s="41">
        <v>0</v>
      </c>
      <c r="H228" s="41">
        <f t="shared" ref="H228:H229" si="14">F228*(($H$184)+1)+(IF(G228&lt;101,G228,IF(G228&lt;201,G228/2,IF(G228&lt;=301,G228/3,G228/4))))</f>
        <v>1772.0073539999999</v>
      </c>
      <c r="I228" s="35"/>
      <c r="J228" s="36">
        <f t="shared" ref="J228:J230" si="15">H228/F228</f>
        <v>1.5</v>
      </c>
      <c r="K228" s="36">
        <f>12500000/H228</f>
        <v>7054.1467967293784</v>
      </c>
      <c r="L228" s="69"/>
      <c r="M228" s="69"/>
      <c r="N228" s="35"/>
    </row>
    <row r="229" spans="1:20" s="36" customFormat="1" ht="15.75" customHeight="1" x14ac:dyDescent="0.3">
      <c r="A229" s="70">
        <f t="shared" ref="A229:A230" si="16">A228+1</f>
        <v>3</v>
      </c>
      <c r="B229" s="71"/>
      <c r="C229" s="41" t="s">
        <v>334</v>
      </c>
      <c r="D229" s="41">
        <f>(141.466)*10.764</f>
        <v>1522.7400239999999</v>
      </c>
      <c r="E229" s="41">
        <f>(10.402+0.7*(3.59+3.38+3.34+3))*10.764</f>
        <v>212.25531599999997</v>
      </c>
      <c r="F229" s="41">
        <f t="shared" si="13"/>
        <v>1734.9953399999999</v>
      </c>
      <c r="G229" s="41">
        <v>0</v>
      </c>
      <c r="H229" s="41">
        <f t="shared" si="14"/>
        <v>2602.4930100000001</v>
      </c>
      <c r="I229" s="35"/>
      <c r="J229" s="36">
        <f t="shared" si="15"/>
        <v>1.5000000000000002</v>
      </c>
      <c r="K229" s="36">
        <f>12500000/H229</f>
        <v>4803.0868678490706</v>
      </c>
      <c r="L229" s="69"/>
      <c r="M229" s="69"/>
      <c r="N229" s="35"/>
    </row>
    <row r="230" spans="1:20" s="36" customFormat="1" ht="15.75" customHeight="1" x14ac:dyDescent="0.3">
      <c r="A230" s="70">
        <f t="shared" si="16"/>
        <v>4</v>
      </c>
      <c r="B230" s="71"/>
      <c r="C230" s="41" t="s">
        <v>336</v>
      </c>
      <c r="D230" s="41">
        <f>(75.417)*10.764</f>
        <v>811.788588</v>
      </c>
      <c r="E230" s="41">
        <f>(5.76+0.7*(2.34+3+3))*10.764</f>
        <v>124.84087199999998</v>
      </c>
      <c r="F230" s="41">
        <f>D230+E230</f>
        <v>936.62945999999999</v>
      </c>
      <c r="G230" s="41">
        <v>0</v>
      </c>
      <c r="H230" s="41">
        <f>F230*(($H$184)+1)+(IF(G230&lt;101,G230,IF(G230&lt;201,G230/2,IF(G230&lt;=301,G230/3,G230/4))))</f>
        <v>1404.9441899999999</v>
      </c>
      <c r="I230" s="35">
        <f>7500000/H230</f>
        <v>5338.2903416255986</v>
      </c>
      <c r="J230" s="36">
        <f t="shared" si="15"/>
        <v>1.5</v>
      </c>
      <c r="K230" s="36">
        <f>12500000/H230</f>
        <v>8897.1505693759973</v>
      </c>
      <c r="L230" s="69"/>
      <c r="M230" s="69"/>
      <c r="N230" s="35"/>
    </row>
    <row r="231" spans="1:20" s="36" customFormat="1" x14ac:dyDescent="0.3">
      <c r="A231" s="87" t="s">
        <v>348</v>
      </c>
      <c r="B231" s="88"/>
      <c r="C231" s="88"/>
      <c r="D231" s="88"/>
      <c r="E231" s="88"/>
      <c r="F231" s="88"/>
      <c r="G231" s="88"/>
      <c r="H231" s="89"/>
      <c r="J231" s="35"/>
    </row>
    <row r="232" spans="1:20" s="36" customFormat="1" x14ac:dyDescent="0.3">
      <c r="A232" s="90" t="s">
        <v>341</v>
      </c>
      <c r="B232" s="91"/>
      <c r="C232" s="91"/>
      <c r="D232" s="91"/>
      <c r="E232" s="91"/>
      <c r="F232" s="91"/>
      <c r="G232" s="91"/>
      <c r="H232" s="92"/>
      <c r="J232" s="35"/>
    </row>
    <row r="233" spans="1:20" s="36" customFormat="1" x14ac:dyDescent="0.3">
      <c r="A233" s="90" t="s">
        <v>342</v>
      </c>
      <c r="B233" s="91"/>
      <c r="C233" s="91"/>
      <c r="D233" s="91"/>
      <c r="E233" s="91"/>
      <c r="F233" s="91"/>
      <c r="G233" s="91"/>
      <c r="H233" s="92"/>
      <c r="J233" s="35"/>
      <c r="K233" s="36">
        <f>706*1.5</f>
        <v>1059</v>
      </c>
      <c r="L233" s="36">
        <f>7500000/K233</f>
        <v>7082.152974504249</v>
      </c>
    </row>
    <row r="234" spans="1:20" s="36" customFormat="1" ht="15.75" customHeight="1" x14ac:dyDescent="0.3">
      <c r="A234" s="84" t="s">
        <v>331</v>
      </c>
      <c r="B234" s="85"/>
      <c r="C234" s="85"/>
      <c r="D234" s="85"/>
      <c r="E234" s="85"/>
      <c r="F234" s="85"/>
      <c r="G234" s="85"/>
      <c r="H234" s="86"/>
      <c r="I234" s="35"/>
      <c r="K234" s="36">
        <f>981*1.5</f>
        <v>1471.5</v>
      </c>
      <c r="L234" s="69">
        <f>8500000/K234</f>
        <v>5776.418620455318</v>
      </c>
      <c r="M234" s="69"/>
    </row>
    <row r="235" spans="1:20" s="36" customFormat="1" ht="15.75" customHeight="1" x14ac:dyDescent="0.3">
      <c r="A235" s="70">
        <v>1</v>
      </c>
      <c r="B235" s="71"/>
      <c r="C235" s="41" t="s">
        <v>334</v>
      </c>
      <c r="D235" s="41">
        <f>(111.761)*10.764</f>
        <v>1202.9954039999998</v>
      </c>
      <c r="E235" s="41">
        <f>(0.7*(3.05+3.15))*10.764</f>
        <v>46.715759999999989</v>
      </c>
      <c r="F235" s="41">
        <f>D235+E235</f>
        <v>1249.7111639999998</v>
      </c>
      <c r="G235" s="41">
        <v>0</v>
      </c>
      <c r="H235" s="41">
        <f>F235*(($H$184)+1)+(IF(G235&lt;101,G235,IF(G235&lt;201,G235/2,IF(G235&lt;=301,G235/3,G235/4))))</f>
        <v>1874.5667459999997</v>
      </c>
      <c r="I235" s="35"/>
      <c r="K235" s="36">
        <f>1263.952*1.5</f>
        <v>1895.9279999999999</v>
      </c>
      <c r="L235" s="69"/>
      <c r="M235" s="69"/>
      <c r="N235" s="35"/>
      <c r="T235" s="20"/>
    </row>
    <row r="236" spans="1:20" s="36" customFormat="1" ht="15.75" customHeight="1" x14ac:dyDescent="0.3">
      <c r="A236" s="70">
        <f>A235+1</f>
        <v>2</v>
      </c>
      <c r="B236" s="71"/>
      <c r="C236" s="41" t="s">
        <v>335</v>
      </c>
      <c r="D236" s="41">
        <f>(93.543)*10.764</f>
        <v>1006.896852</v>
      </c>
      <c r="E236" s="41">
        <v>0</v>
      </c>
      <c r="F236" s="41">
        <f t="shared" ref="F236:F237" si="17">D236+E236</f>
        <v>1006.896852</v>
      </c>
      <c r="G236" s="41">
        <v>0</v>
      </c>
      <c r="H236" s="41">
        <f t="shared" ref="H236:H237" si="18">F236*(($H$184)+1)+(IF(G236&lt;101,G236,IF(G236&lt;201,G236/2,IF(G236&lt;=301,G236/3,G236/4))))</f>
        <v>1510.345278</v>
      </c>
      <c r="I236" s="35"/>
      <c r="K236" s="36">
        <f>1522.439*1.5</f>
        <v>2283.6585</v>
      </c>
      <c r="L236" s="69"/>
      <c r="M236" s="69"/>
      <c r="N236" s="35"/>
    </row>
    <row r="237" spans="1:20" s="36" customFormat="1" ht="15.75" customHeight="1" x14ac:dyDescent="0.3">
      <c r="A237" s="70">
        <f t="shared" ref="A237:A238" si="19">A236+1</f>
        <v>3</v>
      </c>
      <c r="B237" s="71"/>
      <c r="C237" s="41" t="s">
        <v>334</v>
      </c>
      <c r="D237" s="41">
        <f>(145.897)*10.764</f>
        <v>1570.4353079999998</v>
      </c>
      <c r="E237" s="66">
        <f>(3.67+5.51+0.7*(3))*10.764</f>
        <v>121.41791999999998</v>
      </c>
      <c r="F237" s="41">
        <f t="shared" si="17"/>
        <v>1691.8532279999999</v>
      </c>
      <c r="G237" s="41">
        <v>0</v>
      </c>
      <c r="H237" s="41">
        <f t="shared" si="18"/>
        <v>2537.7798419999999</v>
      </c>
      <c r="I237" s="35">
        <f>3.34*1.2+2.9*2</f>
        <v>9.8079999999999998</v>
      </c>
      <c r="L237" s="69"/>
      <c r="M237" s="69"/>
      <c r="N237" s="35"/>
    </row>
    <row r="238" spans="1:20" s="36" customFormat="1" ht="15.75" customHeight="1" x14ac:dyDescent="0.3">
      <c r="A238" s="70">
        <f t="shared" si="19"/>
        <v>4</v>
      </c>
      <c r="B238" s="71"/>
      <c r="C238" s="41" t="s">
        <v>335</v>
      </c>
      <c r="D238" s="41">
        <f>(91.828)*10.764</f>
        <v>988.43659200000002</v>
      </c>
      <c r="E238" s="41">
        <f>(8.593+0.7*(2.34+3+3))*10.764</f>
        <v>155.33528399999997</v>
      </c>
      <c r="F238" s="41">
        <f>D238+E238</f>
        <v>1143.771876</v>
      </c>
      <c r="G238" s="41">
        <v>0</v>
      </c>
      <c r="H238" s="41">
        <f>F238*(($H$184)+1)+(IF(G238&lt;101,G238,IF(G238&lt;201,G238/2,IF(G238&lt;=301,G238/3,G238/4))))</f>
        <v>1715.6578140000001</v>
      </c>
      <c r="I238" s="35"/>
      <c r="L238" s="69"/>
      <c r="M238" s="69"/>
      <c r="N238" s="35"/>
    </row>
    <row r="239" spans="1:20" s="36" customFormat="1" ht="15.75" customHeight="1" x14ac:dyDescent="0.3">
      <c r="A239" s="84" t="s">
        <v>346</v>
      </c>
      <c r="B239" s="85"/>
      <c r="C239" s="85"/>
      <c r="D239" s="85"/>
      <c r="E239" s="85"/>
      <c r="F239" s="85"/>
      <c r="G239" s="85"/>
      <c r="H239" s="86"/>
      <c r="I239" s="35"/>
      <c r="L239" s="69"/>
      <c r="M239" s="69"/>
    </row>
    <row r="240" spans="1:20" s="36" customFormat="1" ht="15.75" customHeight="1" x14ac:dyDescent="0.3">
      <c r="A240" s="70">
        <v>1</v>
      </c>
      <c r="B240" s="71"/>
      <c r="C240" s="41" t="s">
        <v>335</v>
      </c>
      <c r="D240" s="41">
        <f>(113.005)*10.764</f>
        <v>1216.38582</v>
      </c>
      <c r="E240" s="41">
        <f>(8.016+0.7*(3.13+1.4+3.15+3.05))*10.764</f>
        <v>167.13262800000001</v>
      </c>
      <c r="F240" s="41">
        <f>D240+E240</f>
        <v>1383.518448</v>
      </c>
      <c r="G240" s="41">
        <v>0</v>
      </c>
      <c r="H240" s="41">
        <f>F240*(($H$184)+1)+(IF(G240&lt;101,G240,IF(G240&lt;201,G240/2,IF(G240&lt;=301,G240/3,G240/4))))</f>
        <v>2075.2776720000002</v>
      </c>
      <c r="I240" s="35"/>
      <c r="L240" s="69"/>
      <c r="M240" s="69"/>
      <c r="N240" s="35"/>
      <c r="T240" s="20"/>
    </row>
    <row r="241" spans="1:20" s="36" customFormat="1" ht="15.75" customHeight="1" x14ac:dyDescent="0.3">
      <c r="A241" s="70">
        <f>A240+1</f>
        <v>2</v>
      </c>
      <c r="B241" s="71"/>
      <c r="C241" s="41" t="s">
        <v>335</v>
      </c>
      <c r="D241" s="41">
        <f>(94.833)*10.764</f>
        <v>1020.7824119999999</v>
      </c>
      <c r="E241" s="41">
        <f>(8.793+0.7*(2.65+3+3.1))*10.764</f>
        <v>160.57735199999999</v>
      </c>
      <c r="F241" s="41">
        <f t="shared" ref="F241:F242" si="20">D241+E241</f>
        <v>1181.3597639999998</v>
      </c>
      <c r="G241" s="41">
        <v>0</v>
      </c>
      <c r="H241" s="41">
        <f t="shared" ref="H241:H242" si="21">F241*(($H$184)+1)+(IF(G241&lt;101,G241,IF(G241&lt;201,G241/2,IF(G241&lt;=301,G241/3,G241/4))))</f>
        <v>1772.0396459999997</v>
      </c>
      <c r="I241" s="35"/>
      <c r="L241" s="69"/>
      <c r="M241" s="69"/>
      <c r="N241" s="35"/>
    </row>
    <row r="242" spans="1:20" s="36" customFormat="1" ht="15.75" customHeight="1" x14ac:dyDescent="0.3">
      <c r="A242" s="70">
        <f t="shared" ref="A242:A243" si="22">A241+1</f>
        <v>3</v>
      </c>
      <c r="B242" s="71"/>
      <c r="C242" s="41" t="s">
        <v>334</v>
      </c>
      <c r="D242" s="41">
        <f>(147.229)*10.764</f>
        <v>1584.772956</v>
      </c>
      <c r="E242" s="66">
        <f>(11.042+5.51+0.7*(3.6+3))*10.764</f>
        <v>227.89540799999995</v>
      </c>
      <c r="F242" s="41">
        <f t="shared" si="20"/>
        <v>1812.6683639999999</v>
      </c>
      <c r="G242" s="41">
        <v>0</v>
      </c>
      <c r="H242" s="41">
        <f t="shared" si="21"/>
        <v>2719.0025459999997</v>
      </c>
      <c r="I242" s="35"/>
      <c r="L242" s="69"/>
      <c r="M242" s="69"/>
      <c r="N242" s="35"/>
    </row>
    <row r="243" spans="1:20" s="36" customFormat="1" ht="15.75" customHeight="1" x14ac:dyDescent="0.3">
      <c r="A243" s="70">
        <f t="shared" si="22"/>
        <v>4</v>
      </c>
      <c r="B243" s="71"/>
      <c r="C243" s="41" t="s">
        <v>335</v>
      </c>
      <c r="D243" s="41">
        <f>(91.828)*10.764</f>
        <v>988.43659200000002</v>
      </c>
      <c r="E243" s="41">
        <f>(8.593+0.7*(2.34+3+3))*10.764</f>
        <v>155.33528399999997</v>
      </c>
      <c r="F243" s="41">
        <f>D243+E243</f>
        <v>1143.771876</v>
      </c>
      <c r="G243" s="41">
        <v>0</v>
      </c>
      <c r="H243" s="41">
        <f>F243*(($H$184)+1)+(IF(G243&lt;101,G243,IF(G243&lt;201,G243/2,IF(G243&lt;=301,G243/3,G243/4))))</f>
        <v>1715.6578140000001</v>
      </c>
      <c r="I243" s="35"/>
      <c r="L243" s="69"/>
      <c r="M243" s="69"/>
      <c r="N243" s="35"/>
    </row>
    <row r="244" spans="1:20" s="36" customFormat="1" ht="15.75" customHeight="1" x14ac:dyDescent="0.3">
      <c r="A244" s="84" t="s">
        <v>349</v>
      </c>
      <c r="B244" s="85"/>
      <c r="C244" s="85"/>
      <c r="D244" s="85"/>
      <c r="E244" s="85"/>
      <c r="F244" s="85"/>
      <c r="G244" s="85"/>
      <c r="H244" s="86"/>
      <c r="I244" s="35"/>
      <c r="L244" s="69"/>
      <c r="M244" s="69"/>
    </row>
    <row r="245" spans="1:20" s="36" customFormat="1" ht="15.75" customHeight="1" x14ac:dyDescent="0.3">
      <c r="A245" s="70">
        <v>1</v>
      </c>
      <c r="B245" s="71"/>
      <c r="C245" s="41" t="s">
        <v>335</v>
      </c>
      <c r="D245" s="41">
        <f>(113.005)*10.764</f>
        <v>1216.38582</v>
      </c>
      <c r="E245" s="41">
        <f>(8.016+0.7*(3.13+1.4+3.15+3.05))*10.764</f>
        <v>167.13262800000001</v>
      </c>
      <c r="F245" s="41">
        <f>D245+E245</f>
        <v>1383.518448</v>
      </c>
      <c r="G245" s="41">
        <v>0</v>
      </c>
      <c r="H245" s="41">
        <f>F245*(($H$184)+1)+(IF(G245&lt;101,G245,IF(G245&lt;201,G245/2,IF(G245&lt;=301,G245/3,G245/4))))</f>
        <v>2075.2776720000002</v>
      </c>
      <c r="I245" s="35"/>
      <c r="L245" s="69"/>
      <c r="M245" s="69"/>
      <c r="N245" s="35"/>
      <c r="T245" s="20"/>
    </row>
    <row r="246" spans="1:20" s="36" customFormat="1" ht="15.75" customHeight="1" x14ac:dyDescent="0.3">
      <c r="A246" s="70">
        <f>A245+1</f>
        <v>2</v>
      </c>
      <c r="B246" s="71"/>
      <c r="C246" s="41" t="s">
        <v>335</v>
      </c>
      <c r="D246" s="41">
        <f>(94.833)*10.764</f>
        <v>1020.7824119999999</v>
      </c>
      <c r="E246" s="41">
        <f>(8.793+0.7*(2.65+3+3.1))*10.764</f>
        <v>160.57735199999999</v>
      </c>
      <c r="F246" s="41">
        <f t="shared" ref="F246" si="23">D246+E246</f>
        <v>1181.3597639999998</v>
      </c>
      <c r="G246" s="41">
        <v>0</v>
      </c>
      <c r="H246" s="41">
        <f>F246*(($H$184)+1)+(IF(G246&lt;101,G246,IF(G246&lt;201,G246/2,IF(G246&lt;=301,G246/3,G246/4))))</f>
        <v>1772.0396459999997</v>
      </c>
      <c r="I246" s="35"/>
      <c r="L246" s="69"/>
      <c r="M246" s="69"/>
      <c r="N246" s="35"/>
    </row>
    <row r="247" spans="1:20" s="36" customFormat="1" ht="15.75" customHeight="1" x14ac:dyDescent="0.3">
      <c r="A247" s="70">
        <f t="shared" ref="A247:A248" si="24">A246+1</f>
        <v>3</v>
      </c>
      <c r="B247" s="71"/>
      <c r="C247" s="72" t="s">
        <v>350</v>
      </c>
      <c r="D247" s="73"/>
      <c r="E247" s="73"/>
      <c r="F247" s="73"/>
      <c r="G247" s="73"/>
      <c r="H247" s="74"/>
      <c r="I247" s="35"/>
      <c r="L247" s="69"/>
      <c r="M247" s="69"/>
      <c r="N247" s="35"/>
    </row>
    <row r="248" spans="1:20" s="36" customFormat="1" ht="15.75" customHeight="1" x14ac:dyDescent="0.3">
      <c r="A248" s="70">
        <f t="shared" si="24"/>
        <v>4</v>
      </c>
      <c r="B248" s="71"/>
      <c r="C248" s="75"/>
      <c r="D248" s="76"/>
      <c r="E248" s="76"/>
      <c r="F248" s="76"/>
      <c r="G248" s="76"/>
      <c r="H248" s="77"/>
      <c r="I248" s="35"/>
      <c r="L248" s="69"/>
      <c r="M248" s="69"/>
      <c r="N248" s="35"/>
    </row>
    <row r="249" spans="1:20" s="34" customFormat="1" x14ac:dyDescent="0.3">
      <c r="A249" s="187" t="s">
        <v>65</v>
      </c>
      <c r="B249" s="187"/>
      <c r="C249" s="187"/>
      <c r="D249" s="187"/>
      <c r="E249" s="187"/>
      <c r="F249" s="187"/>
      <c r="G249" s="187"/>
      <c r="H249" s="187"/>
      <c r="T249" s="36"/>
    </row>
    <row r="250" spans="1:20" s="34" customFormat="1" ht="38.25" customHeight="1" x14ac:dyDescent="0.3">
      <c r="A250" s="45">
        <v>1</v>
      </c>
      <c r="B250" s="184" t="s">
        <v>377</v>
      </c>
      <c r="C250" s="185"/>
      <c r="D250" s="185"/>
      <c r="E250" s="185"/>
      <c r="F250" s="185"/>
      <c r="G250" s="185"/>
      <c r="H250" s="186"/>
      <c r="T250" s="36"/>
    </row>
    <row r="251" spans="1:20" s="34" customFormat="1" x14ac:dyDescent="0.3">
      <c r="A251" s="45">
        <f>A250+1</f>
        <v>2</v>
      </c>
      <c r="B251" s="184" t="str">
        <f>(IF(H183="Saleable area Loading :","We have considered Saleable area of Flats as per our Calculation.","We considered Saleable area of Flat as per Builder area Sheet."))</f>
        <v>We have considered Saleable area of Flats as per our Calculation.</v>
      </c>
      <c r="C251" s="185"/>
      <c r="D251" s="185"/>
      <c r="E251" s="185"/>
      <c r="F251" s="185"/>
      <c r="G251" s="185"/>
      <c r="H251" s="186"/>
      <c r="T251" s="36"/>
    </row>
    <row r="252" spans="1:20" s="34" customFormat="1" x14ac:dyDescent="0.3">
      <c r="A252" s="45">
        <f t="shared" ref="A252:A262" si="25">A251+1</f>
        <v>3</v>
      </c>
      <c r="B252" s="184" t="str">
        <f>(IF(H159="Saleable area Loading :","We have considered Saleable area of Commercial as per our Calculation.","We considered Saleable area of Commercial as per Builder area Sheet."))</f>
        <v>We have considered Saleable area of Commercial as per our Calculation.</v>
      </c>
      <c r="C252" s="185"/>
      <c r="D252" s="185"/>
      <c r="E252" s="185"/>
      <c r="F252" s="185"/>
      <c r="G252" s="185"/>
      <c r="H252" s="186"/>
    </row>
    <row r="253" spans="1:20" s="34" customFormat="1" x14ac:dyDescent="0.3">
      <c r="A253" s="45">
        <f t="shared" si="25"/>
        <v>4</v>
      </c>
      <c r="B253" s="174" t="s">
        <v>120</v>
      </c>
      <c r="C253" s="175"/>
      <c r="D253" s="175"/>
      <c r="E253" s="175"/>
      <c r="F253" s="175"/>
      <c r="G253" s="175"/>
      <c r="H253" s="176"/>
    </row>
    <row r="254" spans="1:20" s="34" customFormat="1" x14ac:dyDescent="0.3">
      <c r="A254" s="45">
        <f t="shared" si="25"/>
        <v>5</v>
      </c>
      <c r="B254" s="184" t="s">
        <v>359</v>
      </c>
      <c r="C254" s="185"/>
      <c r="D254" s="185"/>
      <c r="E254" s="185"/>
      <c r="F254" s="185"/>
      <c r="G254" s="185"/>
      <c r="H254" s="186"/>
    </row>
    <row r="255" spans="1:20" s="34" customFormat="1" x14ac:dyDescent="0.3">
      <c r="A255" s="45">
        <f t="shared" si="25"/>
        <v>6</v>
      </c>
      <c r="B255" s="174" t="s">
        <v>149</v>
      </c>
      <c r="C255" s="175"/>
      <c r="D255" s="175"/>
      <c r="E255" s="175"/>
      <c r="F255" s="175"/>
      <c r="G255" s="175"/>
      <c r="H255" s="176"/>
    </row>
    <row r="256" spans="1:20" s="34" customFormat="1" x14ac:dyDescent="0.3">
      <c r="A256" s="45">
        <f t="shared" si="25"/>
        <v>7</v>
      </c>
      <c r="B256" s="174" t="s">
        <v>121</v>
      </c>
      <c r="C256" s="175"/>
      <c r="D256" s="175"/>
      <c r="E256" s="175"/>
      <c r="F256" s="175"/>
      <c r="G256" s="175"/>
      <c r="H256" s="176"/>
    </row>
    <row r="257" spans="1:20" s="34" customFormat="1" ht="34.5" customHeight="1" x14ac:dyDescent="0.3">
      <c r="A257" s="45">
        <f t="shared" si="25"/>
        <v>8</v>
      </c>
      <c r="B257" s="174" t="s">
        <v>150</v>
      </c>
      <c r="C257" s="175"/>
      <c r="D257" s="175"/>
      <c r="E257" s="175"/>
      <c r="F257" s="175"/>
      <c r="G257" s="175"/>
      <c r="H257" s="176"/>
    </row>
    <row r="258" spans="1:20" s="34" customFormat="1" x14ac:dyDescent="0.3">
      <c r="A258" s="45">
        <f t="shared" si="25"/>
        <v>9</v>
      </c>
      <c r="B258" s="174" t="s">
        <v>122</v>
      </c>
      <c r="C258" s="175"/>
      <c r="D258" s="175"/>
      <c r="E258" s="175"/>
      <c r="F258" s="175"/>
      <c r="G258" s="175"/>
      <c r="H258" s="176"/>
    </row>
    <row r="259" spans="1:20" s="34" customFormat="1" x14ac:dyDescent="0.3">
      <c r="A259" s="45">
        <f t="shared" si="25"/>
        <v>10</v>
      </c>
      <c r="B259" s="174" t="s">
        <v>356</v>
      </c>
      <c r="C259" s="175"/>
      <c r="D259" s="175"/>
      <c r="E259" s="175"/>
      <c r="F259" s="175"/>
      <c r="G259" s="175"/>
      <c r="H259" s="176"/>
    </row>
    <row r="260" spans="1:20" s="34" customFormat="1" ht="32.25" customHeight="1" x14ac:dyDescent="0.3">
      <c r="A260" s="45">
        <f t="shared" si="25"/>
        <v>11</v>
      </c>
      <c r="B260" s="174" t="s">
        <v>355</v>
      </c>
      <c r="C260" s="175"/>
      <c r="D260" s="175"/>
      <c r="E260" s="175"/>
      <c r="F260" s="175"/>
      <c r="G260" s="175"/>
      <c r="H260" s="176"/>
    </row>
    <row r="261" spans="1:20" s="34" customFormat="1" x14ac:dyDescent="0.3">
      <c r="A261" s="67">
        <f t="shared" si="25"/>
        <v>12</v>
      </c>
      <c r="B261" s="188" t="s">
        <v>366</v>
      </c>
      <c r="C261" s="189"/>
      <c r="D261" s="189"/>
      <c r="E261" s="189"/>
      <c r="F261" s="189"/>
      <c r="G261" s="189"/>
      <c r="H261" s="190"/>
    </row>
    <row r="262" spans="1:20" s="34" customFormat="1" x14ac:dyDescent="0.3">
      <c r="A262" s="232">
        <f t="shared" si="25"/>
        <v>13</v>
      </c>
      <c r="B262" s="174" t="s">
        <v>367</v>
      </c>
      <c r="C262" s="175"/>
      <c r="D262" s="175"/>
      <c r="E262" s="175"/>
      <c r="F262" s="175"/>
      <c r="G262" s="175"/>
      <c r="H262" s="176"/>
    </row>
    <row r="263" spans="1:20" s="34" customFormat="1" x14ac:dyDescent="0.3">
      <c r="A263" s="233"/>
      <c r="B263" s="138" t="s">
        <v>368</v>
      </c>
      <c r="C263" s="138"/>
      <c r="D263" s="138" t="s">
        <v>363</v>
      </c>
      <c r="E263" s="138"/>
      <c r="F263" s="138"/>
      <c r="G263" s="138"/>
      <c r="H263" s="138"/>
    </row>
    <row r="264" spans="1:20" s="34" customFormat="1" x14ac:dyDescent="0.3">
      <c r="A264" s="233"/>
      <c r="B264" s="138" t="s">
        <v>369</v>
      </c>
      <c r="C264" s="138"/>
      <c r="D264" s="138" t="s">
        <v>372</v>
      </c>
      <c r="E264" s="138"/>
      <c r="F264" s="138"/>
      <c r="G264" s="138"/>
      <c r="H264" s="138"/>
    </row>
    <row r="265" spans="1:20" s="34" customFormat="1" x14ac:dyDescent="0.3">
      <c r="A265" s="234"/>
      <c r="B265" s="138" t="s">
        <v>370</v>
      </c>
      <c r="C265" s="138"/>
      <c r="D265" s="138" t="s">
        <v>373</v>
      </c>
      <c r="E265" s="138"/>
      <c r="F265" s="138"/>
      <c r="G265" s="138"/>
      <c r="H265" s="138"/>
    </row>
    <row r="266" spans="1:20" s="34" customFormat="1" x14ac:dyDescent="0.3">
      <c r="A266" s="68">
        <v>14</v>
      </c>
      <c r="B266" s="235" t="s">
        <v>376</v>
      </c>
      <c r="C266" s="236"/>
      <c r="D266" s="236"/>
      <c r="E266" s="236"/>
      <c r="F266" s="236"/>
      <c r="G266" s="236"/>
      <c r="H266" s="237"/>
    </row>
    <row r="267" spans="1:20" x14ac:dyDescent="0.3">
      <c r="A267" s="154" t="s">
        <v>58</v>
      </c>
      <c r="B267" s="154"/>
      <c r="C267" s="154"/>
      <c r="D267" s="154"/>
      <c r="E267" s="154"/>
      <c r="F267" s="154"/>
      <c r="G267" s="154"/>
      <c r="H267" s="154"/>
      <c r="T267" s="34"/>
    </row>
    <row r="268" spans="1:20" x14ac:dyDescent="0.3">
      <c r="A268" s="98" t="s">
        <v>59</v>
      </c>
      <c r="B268" s="98"/>
      <c r="C268" s="98"/>
      <c r="D268" s="98"/>
      <c r="E268" s="98"/>
      <c r="F268" s="98"/>
      <c r="G268" s="98"/>
      <c r="H268" s="98"/>
      <c r="T268" s="34"/>
    </row>
    <row r="269" spans="1:20" ht="15.75" customHeight="1" x14ac:dyDescent="0.3">
      <c r="A269" s="169" t="s">
        <v>60</v>
      </c>
      <c r="B269" s="169"/>
      <c r="C269" s="169"/>
      <c r="D269" s="169"/>
      <c r="E269" s="169"/>
      <c r="F269" s="169"/>
      <c r="G269" s="169"/>
      <c r="H269" s="169"/>
      <c r="T269" s="34"/>
    </row>
    <row r="270" spans="1:20" x14ac:dyDescent="0.3">
      <c r="A270" s="98" t="s">
        <v>61</v>
      </c>
      <c r="B270" s="98"/>
      <c r="C270" s="98"/>
      <c r="D270" s="98"/>
      <c r="E270" s="98"/>
      <c r="F270" s="98"/>
      <c r="G270" s="98"/>
      <c r="H270" s="98"/>
    </row>
    <row r="271" spans="1:20" x14ac:dyDescent="0.3">
      <c r="A271" s="98" t="s">
        <v>62</v>
      </c>
      <c r="B271" s="98"/>
      <c r="C271" s="98"/>
      <c r="D271" s="98"/>
      <c r="E271" s="98"/>
      <c r="F271" s="98"/>
      <c r="G271" s="98"/>
      <c r="H271" s="98"/>
    </row>
    <row r="272" spans="1:20" x14ac:dyDescent="0.3">
      <c r="A272" s="98" t="s">
        <v>123</v>
      </c>
      <c r="B272" s="98"/>
      <c r="C272" s="98"/>
      <c r="D272" s="98"/>
      <c r="E272" s="98"/>
      <c r="F272" s="98"/>
      <c r="G272" s="98"/>
      <c r="H272" s="98"/>
    </row>
    <row r="273" spans="1:8" ht="33.9" customHeight="1" x14ac:dyDescent="0.3">
      <c r="A273" s="144" t="s">
        <v>124</v>
      </c>
      <c r="B273" s="144"/>
      <c r="C273" s="144"/>
      <c r="D273" s="144"/>
      <c r="E273" s="144"/>
      <c r="F273" s="144"/>
      <c r="G273" s="144"/>
      <c r="H273" s="144"/>
    </row>
    <row r="274" spans="1:8" x14ac:dyDescent="0.3">
      <c r="A274" s="194" t="s">
        <v>74</v>
      </c>
      <c r="B274" s="194"/>
      <c r="C274" s="194" t="s">
        <v>353</v>
      </c>
      <c r="D274" s="194"/>
      <c r="E274" s="194" t="s">
        <v>104</v>
      </c>
      <c r="F274" s="194"/>
      <c r="G274" s="194" t="s">
        <v>378</v>
      </c>
      <c r="H274" s="194"/>
    </row>
    <row r="275" spans="1:8" x14ac:dyDescent="0.3">
      <c r="A275" s="193" t="s">
        <v>76</v>
      </c>
      <c r="B275" s="193"/>
      <c r="C275" s="193"/>
      <c r="D275" s="193"/>
      <c r="E275" s="193"/>
      <c r="F275" s="193"/>
      <c r="G275" s="193"/>
      <c r="H275" s="193"/>
    </row>
    <row r="276" spans="1:8" x14ac:dyDescent="0.3">
      <c r="A276" s="193"/>
      <c r="B276" s="193"/>
      <c r="C276" s="193"/>
      <c r="D276" s="193"/>
      <c r="E276" s="193"/>
      <c r="F276" s="193"/>
      <c r="G276" s="193"/>
      <c r="H276" s="193"/>
    </row>
    <row r="277" spans="1:8" x14ac:dyDescent="0.3">
      <c r="A277" s="193"/>
      <c r="B277" s="193"/>
      <c r="C277" s="193"/>
      <c r="D277" s="193"/>
      <c r="E277" s="193"/>
      <c r="F277" s="193"/>
      <c r="G277" s="193"/>
      <c r="H277" s="193"/>
    </row>
    <row r="278" spans="1:8" x14ac:dyDescent="0.3">
      <c r="A278" s="193"/>
      <c r="B278" s="193"/>
      <c r="C278" s="193"/>
      <c r="D278" s="193"/>
      <c r="E278" s="193"/>
      <c r="F278" s="193"/>
      <c r="G278" s="193"/>
      <c r="H278" s="193"/>
    </row>
    <row r="279" spans="1:8" x14ac:dyDescent="0.3">
      <c r="A279" s="37" t="s">
        <v>63</v>
      </c>
      <c r="B279" s="38"/>
      <c r="C279" s="38"/>
      <c r="D279" s="37" t="str">
        <f>E9</f>
        <v>Munot Vastu Exotica Phase I, II, III &amp; Commercial</v>
      </c>
      <c r="F279" s="38"/>
      <c r="G279" s="38"/>
      <c r="H279" s="38"/>
    </row>
    <row r="280" spans="1:8" x14ac:dyDescent="0.3">
      <c r="A280" s="38"/>
      <c r="B280" s="38"/>
      <c r="C280" s="38"/>
      <c r="D280" s="38"/>
      <c r="E280" s="38"/>
      <c r="F280" s="38"/>
      <c r="G280" s="38"/>
      <c r="H280" s="38"/>
    </row>
    <row r="281" spans="1:8" x14ac:dyDescent="0.3">
      <c r="A281" s="38"/>
      <c r="B281" s="38"/>
      <c r="C281" s="38"/>
      <c r="D281" s="38"/>
      <c r="E281" s="38"/>
      <c r="F281" s="38"/>
      <c r="G281" s="38"/>
      <c r="H281" s="38"/>
    </row>
    <row r="282" spans="1:8" ht="15" customHeight="1" x14ac:dyDescent="0.3"/>
    <row r="321" spans="1:1" x14ac:dyDescent="0.3">
      <c r="A321" s="40" t="s">
        <v>357</v>
      </c>
    </row>
    <row r="363" spans="1:1" x14ac:dyDescent="0.3">
      <c r="A363" s="40" t="s">
        <v>354</v>
      </c>
    </row>
    <row r="405" spans="1:1" x14ac:dyDescent="0.3">
      <c r="A405" s="40" t="s">
        <v>354</v>
      </c>
    </row>
    <row r="447" spans="1:1" x14ac:dyDescent="0.3">
      <c r="A447" s="40" t="s">
        <v>354</v>
      </c>
    </row>
    <row r="489" spans="1:1" x14ac:dyDescent="0.3">
      <c r="A489" s="40" t="s">
        <v>354</v>
      </c>
    </row>
    <row r="531" spans="1:1" x14ac:dyDescent="0.3">
      <c r="A531" s="40" t="s">
        <v>160</v>
      </c>
    </row>
    <row r="573" spans="1:1" x14ac:dyDescent="0.3">
      <c r="A573" s="40" t="s">
        <v>64</v>
      </c>
    </row>
  </sheetData>
  <mergeCells count="504">
    <mergeCell ref="F135:H135"/>
    <mergeCell ref="A262:A265"/>
    <mergeCell ref="B266:H266"/>
    <mergeCell ref="B263:C263"/>
    <mergeCell ref="B264:C264"/>
    <mergeCell ref="B265:C265"/>
    <mergeCell ref="D263:H263"/>
    <mergeCell ref="D264:H264"/>
    <mergeCell ref="D265:H265"/>
    <mergeCell ref="A155:B155"/>
    <mergeCell ref="E155:F155"/>
    <mergeCell ref="A142:E142"/>
    <mergeCell ref="G155:H155"/>
    <mergeCell ref="C148:D148"/>
    <mergeCell ref="E148:F148"/>
    <mergeCell ref="G148:H148"/>
    <mergeCell ref="A149:B149"/>
    <mergeCell ref="C149:D149"/>
    <mergeCell ref="E149:F149"/>
    <mergeCell ref="G149:H149"/>
    <mergeCell ref="A153:B153"/>
    <mergeCell ref="A109:B109"/>
    <mergeCell ref="A110:B110"/>
    <mergeCell ref="G94:H103"/>
    <mergeCell ref="A95:B95"/>
    <mergeCell ref="A96:B96"/>
    <mergeCell ref="A97:B97"/>
    <mergeCell ref="F134:H134"/>
    <mergeCell ref="A134:E134"/>
    <mergeCell ref="A106:B106"/>
    <mergeCell ref="A131:B131"/>
    <mergeCell ref="A103:B103"/>
    <mergeCell ref="A108:B108"/>
    <mergeCell ref="C106:H106"/>
    <mergeCell ref="A107:B107"/>
    <mergeCell ref="A136:E136"/>
    <mergeCell ref="A113:B113"/>
    <mergeCell ref="A115:B115"/>
    <mergeCell ref="A116:B116"/>
    <mergeCell ref="A135:E135"/>
    <mergeCell ref="A132:E132"/>
    <mergeCell ref="F136:H136"/>
    <mergeCell ref="G107:H107"/>
    <mergeCell ref="G159:G160"/>
    <mergeCell ref="C159:C160"/>
    <mergeCell ref="F132:H132"/>
    <mergeCell ref="F137:H137"/>
    <mergeCell ref="A122:B122"/>
    <mergeCell ref="E122:F131"/>
    <mergeCell ref="G122:H131"/>
    <mergeCell ref="A123:B123"/>
    <mergeCell ref="A124:B124"/>
    <mergeCell ref="A125:B125"/>
    <mergeCell ref="A126:B126"/>
    <mergeCell ref="A127:B127"/>
    <mergeCell ref="A128:B128"/>
    <mergeCell ref="A129:B129"/>
    <mergeCell ref="A130:B130"/>
    <mergeCell ref="C153:D153"/>
    <mergeCell ref="A40:B40"/>
    <mergeCell ref="C40:H40"/>
    <mergeCell ref="F159:F160"/>
    <mergeCell ref="C147:D147"/>
    <mergeCell ref="E147:F147"/>
    <mergeCell ref="B159:B160"/>
    <mergeCell ref="A159:A160"/>
    <mergeCell ref="C183:C184"/>
    <mergeCell ref="G183:G184"/>
    <mergeCell ref="G156:H156"/>
    <mergeCell ref="C55:H55"/>
    <mergeCell ref="A79:B79"/>
    <mergeCell ref="A49:B49"/>
    <mergeCell ref="C49:H49"/>
    <mergeCell ref="A82:B82"/>
    <mergeCell ref="A84:B84"/>
    <mergeCell ref="A71:C71"/>
    <mergeCell ref="D71:H71"/>
    <mergeCell ref="C78:H78"/>
    <mergeCell ref="A81:B81"/>
    <mergeCell ref="A83:B83"/>
    <mergeCell ref="E79:F79"/>
    <mergeCell ref="A72:C72"/>
    <mergeCell ref="D72:H72"/>
    <mergeCell ref="A39:B39"/>
    <mergeCell ref="C39:H39"/>
    <mergeCell ref="A46:D46"/>
    <mergeCell ref="L166:M166"/>
    <mergeCell ref="L165:M165"/>
    <mergeCell ref="L164:M164"/>
    <mergeCell ref="L163:M163"/>
    <mergeCell ref="A87:B87"/>
    <mergeCell ref="C152:D152"/>
    <mergeCell ref="E152:F152"/>
    <mergeCell ref="G152:H152"/>
    <mergeCell ref="A133:E133"/>
    <mergeCell ref="A104:B104"/>
    <mergeCell ref="C104:H104"/>
    <mergeCell ref="A162:H162"/>
    <mergeCell ref="E159:E160"/>
    <mergeCell ref="A94:B94"/>
    <mergeCell ref="A47:D47"/>
    <mergeCell ref="A48:H48"/>
    <mergeCell ref="D64:H64"/>
    <mergeCell ref="A64:C64"/>
    <mergeCell ref="A86:B86"/>
    <mergeCell ref="C92:H92"/>
    <mergeCell ref="A45:D45"/>
    <mergeCell ref="A38:H38"/>
    <mergeCell ref="A37:B37"/>
    <mergeCell ref="C37:E37"/>
    <mergeCell ref="G108:H117"/>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93:B93"/>
    <mergeCell ref="E47:H47"/>
    <mergeCell ref="C57:H57"/>
    <mergeCell ref="C59:H59"/>
    <mergeCell ref="A92:B92"/>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5:C75"/>
    <mergeCell ref="D75:H75"/>
    <mergeCell ref="A73:C73"/>
    <mergeCell ref="D74:H74"/>
    <mergeCell ref="A80:B80"/>
    <mergeCell ref="G79:H79"/>
    <mergeCell ref="A275:H278"/>
    <mergeCell ref="A274:B274"/>
    <mergeCell ref="E274:F274"/>
    <mergeCell ref="C274:D274"/>
    <mergeCell ref="G274:H274"/>
    <mergeCell ref="A145:H145"/>
    <mergeCell ref="A143:E143"/>
    <mergeCell ref="F143:H143"/>
    <mergeCell ref="A144:E144"/>
    <mergeCell ref="F144:H144"/>
    <mergeCell ref="A193:H193"/>
    <mergeCell ref="A152:B152"/>
    <mergeCell ref="A270:H270"/>
    <mergeCell ref="A150:H150"/>
    <mergeCell ref="A273:H273"/>
    <mergeCell ref="A271:H271"/>
    <mergeCell ref="A267:H267"/>
    <mergeCell ref="G151:H151"/>
    <mergeCell ref="A268:H268"/>
    <mergeCell ref="A195:B195"/>
    <mergeCell ref="A196:B196"/>
    <mergeCell ref="A190:B190"/>
    <mergeCell ref="B252:H252"/>
    <mergeCell ref="B250:H250"/>
    <mergeCell ref="B251:H251"/>
    <mergeCell ref="B253:H253"/>
    <mergeCell ref="B254:H254"/>
    <mergeCell ref="A249:H249"/>
    <mergeCell ref="A191:B191"/>
    <mergeCell ref="A192:B192"/>
    <mergeCell ref="A201:B201"/>
    <mergeCell ref="A206:B206"/>
    <mergeCell ref="A224:B224"/>
    <mergeCell ref="A229:B229"/>
    <mergeCell ref="A246:B246"/>
    <mergeCell ref="B259:H259"/>
    <mergeCell ref="B257:H257"/>
    <mergeCell ref="A197:B197"/>
    <mergeCell ref="B255:H255"/>
    <mergeCell ref="A237:B237"/>
    <mergeCell ref="B261:H261"/>
    <mergeCell ref="B262:H262"/>
    <mergeCell ref="A182:H182"/>
    <mergeCell ref="E151:F151"/>
    <mergeCell ref="A157:H157"/>
    <mergeCell ref="A161:H161"/>
    <mergeCell ref="A167:B167"/>
    <mergeCell ref="A173:B173"/>
    <mergeCell ref="A179:B179"/>
    <mergeCell ref="A137:E137"/>
    <mergeCell ref="A170:B170"/>
    <mergeCell ref="A176:B176"/>
    <mergeCell ref="D159:D160"/>
    <mergeCell ref="E153:F153"/>
    <mergeCell ref="G153:H153"/>
    <mergeCell ref="A272:H272"/>
    <mergeCell ref="A269:H269"/>
    <mergeCell ref="A194:B194"/>
    <mergeCell ref="A151:B151"/>
    <mergeCell ref="D183:D184"/>
    <mergeCell ref="E183:E184"/>
    <mergeCell ref="A98:B98"/>
    <mergeCell ref="A99:B99"/>
    <mergeCell ref="A100:B100"/>
    <mergeCell ref="A114:B114"/>
    <mergeCell ref="F133:H133"/>
    <mergeCell ref="G147:H147"/>
    <mergeCell ref="A117:B117"/>
    <mergeCell ref="F139:H139"/>
    <mergeCell ref="C146:D146"/>
    <mergeCell ref="C155:D155"/>
    <mergeCell ref="A188:H188"/>
    <mergeCell ref="A163:B163"/>
    <mergeCell ref="B260:H260"/>
    <mergeCell ref="A156:B156"/>
    <mergeCell ref="C156:D156"/>
    <mergeCell ref="E156:F156"/>
    <mergeCell ref="B258:H258"/>
    <mergeCell ref="B256:H256"/>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1:E51"/>
    <mergeCell ref="I15:P15"/>
    <mergeCell ref="F142:H142"/>
    <mergeCell ref="F140:H140"/>
    <mergeCell ref="A158:H158"/>
    <mergeCell ref="G146:H146"/>
    <mergeCell ref="A141:E141"/>
    <mergeCell ref="A164:B164"/>
    <mergeCell ref="A60:B60"/>
    <mergeCell ref="C60:E60"/>
    <mergeCell ref="D62:H62"/>
    <mergeCell ref="F141:H141"/>
    <mergeCell ref="E146:F146"/>
    <mergeCell ref="A146:B146"/>
    <mergeCell ref="C151:D151"/>
    <mergeCell ref="D73:H73"/>
    <mergeCell ref="A74:C74"/>
    <mergeCell ref="E43:H43"/>
    <mergeCell ref="A43:D43"/>
    <mergeCell ref="A90:B90"/>
    <mergeCell ref="C90:H90"/>
    <mergeCell ref="A85:B85"/>
    <mergeCell ref="A50:B50"/>
    <mergeCell ref="C50:E50"/>
    <mergeCell ref="G50:H50"/>
    <mergeCell ref="D68:H68"/>
    <mergeCell ref="A65:C68"/>
    <mergeCell ref="A118:B118"/>
    <mergeCell ref="C118:H118"/>
    <mergeCell ref="A120:B120"/>
    <mergeCell ref="C120:H120"/>
    <mergeCell ref="A121:B121"/>
    <mergeCell ref="E121:F121"/>
    <mergeCell ref="G121:H121"/>
    <mergeCell ref="D67:H67"/>
    <mergeCell ref="D65:H65"/>
    <mergeCell ref="D66:H66"/>
    <mergeCell ref="E93:F93"/>
    <mergeCell ref="G93:H93"/>
    <mergeCell ref="A111:B111"/>
    <mergeCell ref="A112:B112"/>
    <mergeCell ref="E94:F103"/>
    <mergeCell ref="A101:B101"/>
    <mergeCell ref="A102:B102"/>
    <mergeCell ref="E107:F107"/>
    <mergeCell ref="E108:F117"/>
    <mergeCell ref="A78:B78"/>
    <mergeCell ref="A76:B76"/>
    <mergeCell ref="C76:H76"/>
    <mergeCell ref="L167:M167"/>
    <mergeCell ref="A168:H168"/>
    <mergeCell ref="A169:B169"/>
    <mergeCell ref="L169:M169"/>
    <mergeCell ref="A166:B166"/>
    <mergeCell ref="A165:B165"/>
    <mergeCell ref="A138:E138"/>
    <mergeCell ref="F138:H138"/>
    <mergeCell ref="A140:E140"/>
    <mergeCell ref="A139:E139"/>
    <mergeCell ref="L170:M170"/>
    <mergeCell ref="A171:B171"/>
    <mergeCell ref="L171:M171"/>
    <mergeCell ref="A172:B172"/>
    <mergeCell ref="L172:M172"/>
    <mergeCell ref="L173:M173"/>
    <mergeCell ref="A174:B174"/>
    <mergeCell ref="L174:M174"/>
    <mergeCell ref="A175:H175"/>
    <mergeCell ref="L176:M176"/>
    <mergeCell ref="A177:B177"/>
    <mergeCell ref="L177:M177"/>
    <mergeCell ref="A178:B178"/>
    <mergeCell ref="L178:M178"/>
    <mergeCell ref="L179:M179"/>
    <mergeCell ref="A180:B180"/>
    <mergeCell ref="L180:M180"/>
    <mergeCell ref="A181:B181"/>
    <mergeCell ref="L181:M181"/>
    <mergeCell ref="A185:H185"/>
    <mergeCell ref="A187:H187"/>
    <mergeCell ref="A186:H186"/>
    <mergeCell ref="L194:M194"/>
    <mergeCell ref="B183:B184"/>
    <mergeCell ref="A189:B189"/>
    <mergeCell ref="A183:A184"/>
    <mergeCell ref="F183:F184"/>
    <mergeCell ref="L195:M195"/>
    <mergeCell ref="L196:M196"/>
    <mergeCell ref="L197:M197"/>
    <mergeCell ref="A198:H198"/>
    <mergeCell ref="L198:M198"/>
    <mergeCell ref="L193:M193"/>
    <mergeCell ref="A199:B199"/>
    <mergeCell ref="L199:M199"/>
    <mergeCell ref="A200:B200"/>
    <mergeCell ref="L200:M200"/>
    <mergeCell ref="L201:M201"/>
    <mergeCell ref="A202:B202"/>
    <mergeCell ref="L202:M202"/>
    <mergeCell ref="A203:H203"/>
    <mergeCell ref="L203:M203"/>
    <mergeCell ref="A204:B204"/>
    <mergeCell ref="L204:M204"/>
    <mergeCell ref="A205:B205"/>
    <mergeCell ref="L205:M205"/>
    <mergeCell ref="L206:M206"/>
    <mergeCell ref="A207:B207"/>
    <mergeCell ref="L207:M207"/>
    <mergeCell ref="A208:H208"/>
    <mergeCell ref="A219:B219"/>
    <mergeCell ref="L219:M219"/>
    <mergeCell ref="A209:H209"/>
    <mergeCell ref="A210:H210"/>
    <mergeCell ref="A211:H211"/>
    <mergeCell ref="L211:M211"/>
    <mergeCell ref="A212:B212"/>
    <mergeCell ref="L212:M212"/>
    <mergeCell ref="A213:B213"/>
    <mergeCell ref="L213:M213"/>
    <mergeCell ref="A214:B214"/>
    <mergeCell ref="L214:M214"/>
    <mergeCell ref="A215:B215"/>
    <mergeCell ref="L215:M215"/>
    <mergeCell ref="C213:H214"/>
    <mergeCell ref="A216:H216"/>
    <mergeCell ref="L216:M216"/>
    <mergeCell ref="A217:B217"/>
    <mergeCell ref="L217:M217"/>
    <mergeCell ref="A218:B218"/>
    <mergeCell ref="L218:M218"/>
    <mergeCell ref="A220:B220"/>
    <mergeCell ref="L220:M220"/>
    <mergeCell ref="A221:H221"/>
    <mergeCell ref="L221:M221"/>
    <mergeCell ref="A222:B222"/>
    <mergeCell ref="L222:M222"/>
    <mergeCell ref="A223:B223"/>
    <mergeCell ref="L223:M223"/>
    <mergeCell ref="L224:M224"/>
    <mergeCell ref="A225:B225"/>
    <mergeCell ref="L225:M225"/>
    <mergeCell ref="A226:H226"/>
    <mergeCell ref="L226:M226"/>
    <mergeCell ref="A227:B227"/>
    <mergeCell ref="L227:M227"/>
    <mergeCell ref="A228:B228"/>
    <mergeCell ref="L228:M228"/>
    <mergeCell ref="L237:M237"/>
    <mergeCell ref="A238:B238"/>
    <mergeCell ref="L238:M238"/>
    <mergeCell ref="A239:H239"/>
    <mergeCell ref="L239:M239"/>
    <mergeCell ref="A240:B240"/>
    <mergeCell ref="L240:M240"/>
    <mergeCell ref="A230:B230"/>
    <mergeCell ref="L230:M230"/>
    <mergeCell ref="A231:H231"/>
    <mergeCell ref="A232:H232"/>
    <mergeCell ref="A233:H233"/>
    <mergeCell ref="A234:H234"/>
    <mergeCell ref="L234:M234"/>
    <mergeCell ref="A235:B235"/>
    <mergeCell ref="L235:M235"/>
    <mergeCell ref="L246:M246"/>
    <mergeCell ref="A247:B247"/>
    <mergeCell ref="L247:M247"/>
    <mergeCell ref="A248:B248"/>
    <mergeCell ref="L248:M248"/>
    <mergeCell ref="C247:H248"/>
    <mergeCell ref="A147:A148"/>
    <mergeCell ref="A154:B154"/>
    <mergeCell ref="C154:D154"/>
    <mergeCell ref="E154:F154"/>
    <mergeCell ref="G154:H154"/>
    <mergeCell ref="A241:B241"/>
    <mergeCell ref="L241:M241"/>
    <mergeCell ref="A242:B242"/>
    <mergeCell ref="L242:M242"/>
    <mergeCell ref="A243:B243"/>
    <mergeCell ref="L243:M243"/>
    <mergeCell ref="A244:H244"/>
    <mergeCell ref="L244:M244"/>
    <mergeCell ref="A245:B245"/>
    <mergeCell ref="L245:M245"/>
    <mergeCell ref="A236:B236"/>
    <mergeCell ref="L236:M236"/>
    <mergeCell ref="L229:M229"/>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59:E160" xr:uid="{00000000-0002-0000-0000-000003000000}">
      <formula1>"Attached Loft area,Attached Otla area,Attached Mezzanine area"</formula1>
    </dataValidation>
    <dataValidation type="list" allowBlank="1" showInputMessage="1" showErrorMessage="1" sqref="G274:H274" xr:uid="{00000000-0002-0000-0000-000004000000}">
      <formula1>"Kunal Kadam,Pranita Mhatre,Shruti Fule,Pooja Kawale,Mansee Mohite,Anjali Kamble, Hitakshi Mhatre, Sachin Sawant"</formula1>
    </dataValidation>
    <dataValidation type="list" allowBlank="1" showInputMessage="1" showErrorMessage="1" sqref="F132:H132" xr:uid="{00000000-0002-0000-0000-000005000000}">
      <formula1>"On Saleable Area,On Builtup Area,On Carpet Area,On Plot Area"</formula1>
    </dataValidation>
    <dataValidation type="list" allowBlank="1" showInputMessage="1" showErrorMessage="1" sqref="F143:H143" xr:uid="{00000000-0002-0000-0000-000006000000}">
      <formula1>OFFSET($S$132,1,MATCH($G20,$S$132:$W$132,0)-1,15,1)</formula1>
    </dataValidation>
    <dataValidation type="list" allowBlank="1" showInputMessage="1" showErrorMessage="1" sqref="B159:B160" xr:uid="{00000000-0002-0000-0000-000007000000}">
      <formula1>"Shop No. (Sale Plan),Sale / Rehab,Sale / Mhada"</formula1>
    </dataValidation>
    <dataValidation type="list" allowBlank="1" showInputMessage="1" showErrorMessage="1" sqref="B183:B18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83:E184" xr:uid="{00000000-0002-0000-0000-00000B000000}">
      <formula1>"Fungible area,Balcony Area + WS Area,Chajja Area,Cornice Area,AP Area,WS Area"</formula1>
    </dataValidation>
    <dataValidation type="list" allowBlank="1" showInputMessage="1" showErrorMessage="1" sqref="H160 H18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9" manualBreakCount="9">
    <brk id="103" max="16383" man="1"/>
    <brk id="278" max="16383" man="1"/>
    <brk id="320" max="7" man="1"/>
    <brk id="362" max="7" man="1"/>
    <brk id="404" max="7" man="1"/>
    <brk id="446" max="7" man="1"/>
    <brk id="488" max="7" man="1"/>
    <brk id="530" max="16383" man="1"/>
    <brk id="57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41" t="s">
        <v>105</v>
      </c>
      <c r="C3" s="241"/>
      <c r="D3" s="241"/>
      <c r="E3" s="241"/>
      <c r="F3" s="241"/>
      <c r="G3" s="241"/>
      <c r="H3" s="241"/>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3"/>
      <c r="C4" s="53" t="s">
        <v>11</v>
      </c>
      <c r="D4" s="54" t="s">
        <v>175</v>
      </c>
      <c r="E4" s="54" t="s">
        <v>185</v>
      </c>
      <c r="F4" s="54" t="s">
        <v>169</v>
      </c>
      <c r="G4" s="54" t="s">
        <v>190</v>
      </c>
      <c r="H4" s="54" t="s">
        <v>208</v>
      </c>
      <c r="J4" t="s">
        <v>190</v>
      </c>
      <c r="K4" t="s">
        <v>206</v>
      </c>
    </row>
    <row r="5" spans="2:11" x14ac:dyDescent="0.3">
      <c r="B5" s="53"/>
      <c r="C5" s="53"/>
      <c r="D5" s="54" t="s">
        <v>176</v>
      </c>
      <c r="E5" s="54" t="s">
        <v>183</v>
      </c>
      <c r="F5" s="54" t="s">
        <v>205</v>
      </c>
      <c r="G5" s="54" t="s">
        <v>191</v>
      </c>
      <c r="H5" s="54" t="s">
        <v>209</v>
      </c>
    </row>
    <row r="6" spans="2:11" x14ac:dyDescent="0.3">
      <c r="B6" s="53"/>
      <c r="C6" s="53"/>
      <c r="D6" s="54" t="s">
        <v>177</v>
      </c>
      <c r="E6" s="54" t="s">
        <v>184</v>
      </c>
      <c r="F6" s="54" t="s">
        <v>206</v>
      </c>
      <c r="G6" s="54" t="s">
        <v>192</v>
      </c>
      <c r="H6" s="54" t="s">
        <v>222</v>
      </c>
    </row>
    <row r="7" spans="2:11" x14ac:dyDescent="0.3">
      <c r="B7" s="53"/>
      <c r="C7" s="53"/>
      <c r="D7" s="54" t="s">
        <v>178</v>
      </c>
      <c r="E7" s="54" t="s">
        <v>186</v>
      </c>
      <c r="F7" s="54" t="s">
        <v>207</v>
      </c>
      <c r="G7" s="54" t="s">
        <v>193</v>
      </c>
      <c r="H7" s="54" t="s">
        <v>210</v>
      </c>
    </row>
    <row r="8" spans="2:11" x14ac:dyDescent="0.3">
      <c r="B8" s="53"/>
      <c r="C8" s="53"/>
      <c r="D8" s="54" t="s">
        <v>179</v>
      </c>
      <c r="E8" s="54" t="s">
        <v>187</v>
      </c>
      <c r="F8" s="54"/>
      <c r="G8" s="54" t="s">
        <v>194</v>
      </c>
      <c r="H8" s="54" t="s">
        <v>211</v>
      </c>
    </row>
    <row r="9" spans="2:11" x14ac:dyDescent="0.3">
      <c r="B9" s="53"/>
      <c r="C9" s="53"/>
      <c r="D9" s="54" t="s">
        <v>180</v>
      </c>
      <c r="E9" s="54" t="s">
        <v>185</v>
      </c>
      <c r="F9" s="54"/>
      <c r="G9" s="54" t="s">
        <v>195</v>
      </c>
      <c r="H9" s="54" t="s">
        <v>212</v>
      </c>
    </row>
    <row r="10" spans="2:11" x14ac:dyDescent="0.3">
      <c r="B10" s="53"/>
      <c r="C10" s="53"/>
      <c r="D10" s="54" t="s">
        <v>181</v>
      </c>
      <c r="E10" s="54" t="s">
        <v>188</v>
      </c>
      <c r="F10" s="54"/>
      <c r="G10" s="54" t="s">
        <v>196</v>
      </c>
      <c r="H10" s="54" t="s">
        <v>213</v>
      </c>
    </row>
    <row r="11" spans="2:11" x14ac:dyDescent="0.3">
      <c r="B11" s="53"/>
      <c r="C11" s="53"/>
      <c r="D11" s="54" t="s">
        <v>182</v>
      </c>
      <c r="E11" s="54" t="s">
        <v>189</v>
      </c>
      <c r="F11" s="54"/>
      <c r="G11" s="54" t="s">
        <v>197</v>
      </c>
      <c r="H11" s="54" t="s">
        <v>214</v>
      </c>
    </row>
    <row r="12" spans="2:11" x14ac:dyDescent="0.3">
      <c r="B12" s="53"/>
      <c r="C12" s="53"/>
      <c r="D12" s="54"/>
      <c r="E12" s="54"/>
      <c r="F12" s="54"/>
      <c r="G12" s="54" t="s">
        <v>198</v>
      </c>
      <c r="H12" s="54" t="s">
        <v>215</v>
      </c>
    </row>
    <row r="13" spans="2:11" x14ac:dyDescent="0.3">
      <c r="B13" s="53"/>
      <c r="C13" s="53"/>
      <c r="D13" s="54"/>
      <c r="E13" s="54"/>
      <c r="F13" s="54"/>
      <c r="G13" s="54" t="s">
        <v>199</v>
      </c>
      <c r="H13" s="54" t="s">
        <v>216</v>
      </c>
    </row>
    <row r="14" spans="2:11" x14ac:dyDescent="0.3">
      <c r="B14" s="53"/>
      <c r="C14" s="53"/>
      <c r="D14" s="54"/>
      <c r="E14" s="54"/>
      <c r="F14" s="54"/>
      <c r="G14" s="54" t="s">
        <v>200</v>
      </c>
      <c r="H14" s="54" t="s">
        <v>217</v>
      </c>
    </row>
    <row r="15" spans="2:11" x14ac:dyDescent="0.3">
      <c r="B15" s="53"/>
      <c r="C15" s="53"/>
      <c r="D15" s="54"/>
      <c r="E15" s="54"/>
      <c r="F15" s="54"/>
      <c r="G15" s="54" t="s">
        <v>201</v>
      </c>
      <c r="H15" s="54" t="s">
        <v>218</v>
      </c>
    </row>
    <row r="16" spans="2:11" x14ac:dyDescent="0.3">
      <c r="B16" s="53"/>
      <c r="C16" s="53"/>
      <c r="D16" s="54"/>
      <c r="E16" s="54"/>
      <c r="F16" s="54"/>
      <c r="G16" s="54" t="s">
        <v>202</v>
      </c>
      <c r="H16" s="54" t="s">
        <v>219</v>
      </c>
    </row>
    <row r="17" spans="2:8" x14ac:dyDescent="0.3">
      <c r="B17" s="53"/>
      <c r="C17" s="53"/>
      <c r="D17" s="54"/>
      <c r="E17" s="54"/>
      <c r="F17" s="54"/>
      <c r="G17" s="54" t="s">
        <v>203</v>
      </c>
      <c r="H17" s="54" t="s">
        <v>220</v>
      </c>
    </row>
    <row r="18" spans="2:8" x14ac:dyDescent="0.3">
      <c r="B18" s="53"/>
      <c r="C18" s="53"/>
      <c r="D18" s="54"/>
      <c r="E18" s="54"/>
      <c r="F18" s="54"/>
      <c r="G18" s="54" t="s">
        <v>204</v>
      </c>
      <c r="H18" s="54"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56" t="s">
        <v>232</v>
      </c>
      <c r="D34" s="54" t="s">
        <v>230</v>
      </c>
      <c r="E34" s="54" t="s">
        <v>235</v>
      </c>
      <c r="F34" s="54" t="s">
        <v>233</v>
      </c>
      <c r="G34" s="54" t="s">
        <v>234</v>
      </c>
      <c r="H34" s="54" t="s">
        <v>236</v>
      </c>
      <c r="J34" t="s">
        <v>190</v>
      </c>
      <c r="K34" t="s">
        <v>206</v>
      </c>
    </row>
    <row r="35" spans="3:11" x14ac:dyDescent="0.3">
      <c r="C35" s="53" t="s">
        <v>231</v>
      </c>
      <c r="D35" s="54" t="s">
        <v>167</v>
      </c>
      <c r="E35" s="54" t="s">
        <v>240</v>
      </c>
      <c r="F35" s="54" t="s">
        <v>242</v>
      </c>
      <c r="G35" s="54" t="s">
        <v>244</v>
      </c>
      <c r="H35" s="54"/>
    </row>
    <row r="36" spans="3:11" x14ac:dyDescent="0.3">
      <c r="C36" s="53"/>
      <c r="D36" s="54" t="s">
        <v>237</v>
      </c>
      <c r="E36" s="54" t="s">
        <v>241</v>
      </c>
      <c r="F36" s="54" t="s">
        <v>243</v>
      </c>
      <c r="G36" s="54" t="s">
        <v>245</v>
      </c>
      <c r="H36" s="54"/>
    </row>
    <row r="37" spans="3:11" x14ac:dyDescent="0.3">
      <c r="C37" s="53"/>
      <c r="D37" s="54" t="s">
        <v>238</v>
      </c>
      <c r="E37" s="54"/>
      <c r="F37" s="54"/>
      <c r="G37" s="54" t="s">
        <v>246</v>
      </c>
      <c r="H37" s="54"/>
    </row>
    <row r="38" spans="3:11" x14ac:dyDescent="0.3">
      <c r="C38" s="53"/>
      <c r="D38" s="54" t="s">
        <v>239</v>
      </c>
      <c r="E38" s="54"/>
      <c r="F38" s="54"/>
      <c r="G38" s="54" t="s">
        <v>246</v>
      </c>
      <c r="H38" s="54"/>
    </row>
    <row r="39" spans="3:11" x14ac:dyDescent="0.3">
      <c r="C39" s="53"/>
      <c r="D39" s="54"/>
      <c r="E39" s="54"/>
      <c r="F39" s="54"/>
      <c r="G39" s="54" t="s">
        <v>247</v>
      </c>
      <c r="H39" s="54"/>
    </row>
    <row r="40" spans="3:11" x14ac:dyDescent="0.3">
      <c r="C40" s="53"/>
      <c r="D40" s="54"/>
      <c r="E40" s="54"/>
      <c r="F40" s="54"/>
      <c r="G40" s="54" t="s">
        <v>248</v>
      </c>
      <c r="H40" s="54"/>
    </row>
    <row r="41" spans="3:11" x14ac:dyDescent="0.3">
      <c r="C41" s="53"/>
      <c r="D41" s="54"/>
      <c r="E41" s="54"/>
      <c r="F41" s="54"/>
      <c r="G41" s="54"/>
      <c r="H41" s="54"/>
    </row>
    <row r="43" spans="3:11" x14ac:dyDescent="0.3">
      <c r="C43" t="s">
        <v>249</v>
      </c>
    </row>
    <row r="44" spans="3:11" x14ac:dyDescent="0.3">
      <c r="C44" t="s">
        <v>169</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2" sqref="C12"/>
    </sheetView>
  </sheetViews>
  <sheetFormatPr defaultRowHeight="14.4" x14ac:dyDescent="0.3"/>
  <cols>
    <col min="2" max="2" width="3" bestFit="1" customWidth="1"/>
    <col min="3" max="3" width="130" customWidth="1"/>
  </cols>
  <sheetData>
    <row r="2" spans="2:3" ht="15" customHeight="1" x14ac:dyDescent="0.3">
      <c r="B2" s="57">
        <v>1</v>
      </c>
      <c r="C2" s="59" t="s">
        <v>280</v>
      </c>
    </row>
    <row r="3" spans="2:3" x14ac:dyDescent="0.3">
      <c r="B3" s="57">
        <v>2</v>
      </c>
      <c r="C3" s="58" t="s">
        <v>281</v>
      </c>
    </row>
    <row r="4" spans="2:3" x14ac:dyDescent="0.3">
      <c r="B4" s="57">
        <v>3</v>
      </c>
      <c r="C4" s="57" t="s">
        <v>282</v>
      </c>
    </row>
    <row r="5" spans="2:3" x14ac:dyDescent="0.3">
      <c r="B5" s="57">
        <v>4</v>
      </c>
      <c r="C5" s="58" t="s">
        <v>283</v>
      </c>
    </row>
    <row r="6" spans="2:3" x14ac:dyDescent="0.3">
      <c r="B6" s="57">
        <v>5</v>
      </c>
      <c r="C6" s="57" t="s">
        <v>284</v>
      </c>
    </row>
    <row r="7" spans="2:3" ht="28.8" x14ac:dyDescent="0.3">
      <c r="B7" s="57">
        <v>6</v>
      </c>
      <c r="C7" s="58" t="s">
        <v>285</v>
      </c>
    </row>
    <row r="8" spans="2:3" ht="72" x14ac:dyDescent="0.3">
      <c r="B8" s="57">
        <v>7</v>
      </c>
      <c r="C8" s="58" t="s">
        <v>286</v>
      </c>
    </row>
    <row r="9" spans="2:3" x14ac:dyDescent="0.3">
      <c r="B9" s="57">
        <v>8</v>
      </c>
      <c r="C9" s="57" t="s">
        <v>287</v>
      </c>
    </row>
    <row r="10" spans="2:3" x14ac:dyDescent="0.3">
      <c r="B10" s="57">
        <v>9</v>
      </c>
      <c r="C10" s="57" t="s">
        <v>288</v>
      </c>
    </row>
    <row r="11" spans="2:3" x14ac:dyDescent="0.3">
      <c r="B11" s="57">
        <v>10</v>
      </c>
      <c r="C11" s="57" t="s">
        <v>289</v>
      </c>
    </row>
    <row r="12" spans="2:3" x14ac:dyDescent="0.3">
      <c r="B12" s="57">
        <v>11</v>
      </c>
      <c r="C12" s="57" t="s">
        <v>290</v>
      </c>
    </row>
    <row r="13" spans="2:3" x14ac:dyDescent="0.3">
      <c r="B13" s="57">
        <v>12</v>
      </c>
      <c r="C13" s="57" t="s">
        <v>291</v>
      </c>
    </row>
    <row r="14" spans="2:3" x14ac:dyDescent="0.3">
      <c r="B14" s="57">
        <v>13</v>
      </c>
      <c r="C14" s="57" t="s">
        <v>292</v>
      </c>
    </row>
    <row r="15" spans="2:3" x14ac:dyDescent="0.3">
      <c r="B15" s="57">
        <v>14</v>
      </c>
      <c r="C15" s="57" t="s">
        <v>294</v>
      </c>
    </row>
    <row r="16" spans="2:3" x14ac:dyDescent="0.3">
      <c r="B16" s="57">
        <v>15</v>
      </c>
      <c r="C16" s="57" t="s">
        <v>295</v>
      </c>
    </row>
    <row r="17" spans="2:3" x14ac:dyDescent="0.3">
      <c r="B17" s="57">
        <v>16</v>
      </c>
      <c r="C17" s="60" t="s">
        <v>296</v>
      </c>
    </row>
    <row r="18" spans="2:3" x14ac:dyDescent="0.3">
      <c r="B18" s="57">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2025-09-13T14:35:41Z</cp:lastPrinted>
  <dcterms:created xsi:type="dcterms:W3CDTF">2019-07-16T09:29:46Z</dcterms:created>
  <dcterms:modified xsi:type="dcterms:W3CDTF">2025-09-13T14:42:02Z</dcterms:modified>
</cp:coreProperties>
</file>