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84AB3192-A650-4E20-86DC-537E0F7FDC8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7" i="1" l="1"/>
  <c r="D266" i="1"/>
  <c r="F266" i="1" s="1"/>
  <c r="D265" i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4" i="1"/>
  <c r="F254" i="1" s="1"/>
  <c r="D253" i="1"/>
  <c r="F253" i="1" s="1"/>
  <c r="D252" i="1"/>
  <c r="F252" i="1" s="1"/>
  <c r="D251" i="1"/>
  <c r="F251" i="1" s="1"/>
  <c r="D250" i="1"/>
  <c r="D249" i="1"/>
  <c r="F249" i="1" s="1"/>
  <c r="D248" i="1"/>
  <c r="F248" i="1" s="1"/>
  <c r="D247" i="1"/>
  <c r="F247" i="1" s="1"/>
  <c r="D244" i="1"/>
  <c r="F244" i="1" s="1"/>
  <c r="D243" i="1"/>
  <c r="F243" i="1" s="1"/>
  <c r="D241" i="1"/>
  <c r="D240" i="1"/>
  <c r="D239" i="1"/>
  <c r="D238" i="1"/>
  <c r="D237" i="1"/>
  <c r="D236" i="1"/>
  <c r="D235" i="1"/>
  <c r="D234" i="1"/>
  <c r="D231" i="1"/>
  <c r="D230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2" i="1"/>
  <c r="D211" i="1"/>
  <c r="D210" i="1"/>
  <c r="D209" i="1"/>
  <c r="D208" i="1"/>
  <c r="D207" i="1"/>
  <c r="D206" i="1"/>
  <c r="D205" i="1"/>
  <c r="D204" i="1"/>
  <c r="F267" i="1"/>
  <c r="F265" i="1"/>
  <c r="A265" i="1"/>
  <c r="A266" i="1" s="1"/>
  <c r="A267" i="1" s="1"/>
  <c r="A264" i="1"/>
  <c r="A257" i="1"/>
  <c r="A258" i="1" s="1"/>
  <c r="A259" i="1" s="1"/>
  <c r="A260" i="1" s="1"/>
  <c r="A261" i="1" s="1"/>
  <c r="A262" i="1" s="1"/>
  <c r="G256" i="1"/>
  <c r="A251" i="1"/>
  <c r="A252" i="1" s="1"/>
  <c r="A253" i="1" s="1"/>
  <c r="A254" i="1" s="1"/>
  <c r="F250" i="1"/>
  <c r="A244" i="1"/>
  <c r="A245" i="1" s="1"/>
  <c r="A246" i="1" s="1"/>
  <c r="A247" i="1" s="1"/>
  <c r="A248" i="1" s="1"/>
  <c r="A249" i="1" s="1"/>
  <c r="G243" i="1"/>
  <c r="E132" i="1" l="1"/>
  <c r="C132" i="1"/>
  <c r="F241" i="1"/>
  <c r="F240" i="1"/>
  <c r="F239" i="1"/>
  <c r="F238" i="1"/>
  <c r="A238" i="1"/>
  <c r="A239" i="1" s="1"/>
  <c r="A240" i="1" s="1"/>
  <c r="A241" i="1" s="1"/>
  <c r="F237" i="1"/>
  <c r="F236" i="1"/>
  <c r="F235" i="1"/>
  <c r="F234" i="1"/>
  <c r="F231" i="1"/>
  <c r="A231" i="1"/>
  <c r="A232" i="1" s="1"/>
  <c r="A233" i="1" s="1"/>
  <c r="A234" i="1" s="1"/>
  <c r="A235" i="1" s="1"/>
  <c r="A236" i="1" s="1"/>
  <c r="G230" i="1"/>
  <c r="F230" i="1"/>
  <c r="I216" i="1"/>
  <c r="I214" i="1"/>
  <c r="I213" i="1"/>
  <c r="I212" i="1"/>
  <c r="I210" i="1"/>
  <c r="I209" i="1"/>
  <c r="I208" i="1"/>
  <c r="I207" i="1"/>
  <c r="I206" i="1"/>
  <c r="I205" i="1"/>
  <c r="I204" i="1"/>
  <c r="D199" i="1"/>
  <c r="F199" i="1" s="1"/>
  <c r="D198" i="1"/>
  <c r="F198" i="1" s="1"/>
  <c r="D197" i="1"/>
  <c r="F197" i="1" s="1"/>
  <c r="D195" i="1"/>
  <c r="F195" i="1" s="1"/>
  <c r="D194" i="1"/>
  <c r="F194" i="1" s="1"/>
  <c r="A194" i="1"/>
  <c r="A195" i="1" s="1"/>
  <c r="A196" i="1" s="1"/>
  <c r="A197" i="1" s="1"/>
  <c r="A198" i="1" s="1"/>
  <c r="A199" i="1" s="1"/>
  <c r="G193" i="1"/>
  <c r="D193" i="1"/>
  <c r="F193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A186" i="1"/>
  <c r="A187" i="1" s="1"/>
  <c r="A188" i="1" s="1"/>
  <c r="A189" i="1" s="1"/>
  <c r="A190" i="1" s="1"/>
  <c r="A191" i="1" s="1"/>
  <c r="G185" i="1"/>
  <c r="D185" i="1"/>
  <c r="F185" i="1" s="1"/>
  <c r="D179" i="1"/>
  <c r="F179" i="1" s="1"/>
  <c r="D178" i="1"/>
  <c r="F178" i="1" s="1"/>
  <c r="A178" i="1"/>
  <c r="A179" i="1" s="1"/>
  <c r="A180" i="1" s="1"/>
  <c r="A181" i="1" s="1"/>
  <c r="A182" i="1" s="1"/>
  <c r="A183" i="1" s="1"/>
  <c r="G177" i="1"/>
  <c r="D177" i="1"/>
  <c r="F228" i="1"/>
  <c r="F226" i="1"/>
  <c r="F225" i="1"/>
  <c r="F224" i="1"/>
  <c r="F212" i="1"/>
  <c r="F211" i="1"/>
  <c r="F210" i="1"/>
  <c r="F209" i="1"/>
  <c r="F208" i="1"/>
  <c r="F207" i="1"/>
  <c r="F227" i="1"/>
  <c r="G217" i="1"/>
  <c r="A225" i="1"/>
  <c r="A226" i="1" s="1"/>
  <c r="A227" i="1" s="1"/>
  <c r="A228" i="1" s="1"/>
  <c r="I177" i="1"/>
  <c r="K177" i="1" s="1"/>
  <c r="I176" i="1"/>
  <c r="F177" i="1" l="1"/>
  <c r="G131" i="1" s="1"/>
  <c r="C131" i="1"/>
  <c r="E131" i="1"/>
  <c r="F223" i="1"/>
  <c r="F222" i="1"/>
  <c r="F221" i="1"/>
  <c r="F220" i="1"/>
  <c r="F219" i="1"/>
  <c r="F218" i="1"/>
  <c r="F217" i="1"/>
  <c r="A218" i="1"/>
  <c r="A219" i="1" s="1"/>
  <c r="A220" i="1" s="1"/>
  <c r="A221" i="1" s="1"/>
  <c r="A222" i="1" s="1"/>
  <c r="A223" i="1" s="1"/>
  <c r="F206" i="1"/>
  <c r="F205" i="1"/>
  <c r="F204" i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4" i="1"/>
  <c r="F164" i="1" s="1"/>
  <c r="A165" i="1"/>
  <c r="A166" i="1" s="1"/>
  <c r="A167" i="1" s="1"/>
  <c r="A168" i="1" s="1"/>
  <c r="A169" i="1" s="1"/>
  <c r="A170" i="1" s="1"/>
  <c r="A171" i="1" s="1"/>
  <c r="A172" i="1" s="1"/>
  <c r="A17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A154" i="1"/>
  <c r="A155" i="1" s="1"/>
  <c r="A156" i="1" s="1"/>
  <c r="A157" i="1" s="1"/>
  <c r="A158" i="1" s="1"/>
  <c r="A159" i="1" s="1"/>
  <c r="A160" i="1" s="1"/>
  <c r="A161" i="1" s="1"/>
  <c r="A162" i="1" s="1"/>
  <c r="D146" i="1"/>
  <c r="F146" i="1" s="1"/>
  <c r="D145" i="1"/>
  <c r="F145" i="1" s="1"/>
  <c r="D144" i="1"/>
  <c r="F144" i="1" s="1"/>
  <c r="D143" i="1"/>
  <c r="F143" i="1" s="1"/>
  <c r="D142" i="1"/>
  <c r="F142" i="1" s="1"/>
  <c r="G132" i="1" l="1"/>
  <c r="C100" i="1"/>
  <c r="C52" i="1"/>
  <c r="C53" i="1" s="1"/>
  <c r="G52" i="1"/>
  <c r="G53" i="1" s="1"/>
  <c r="D59" i="1"/>
  <c r="M168" i="1" l="1"/>
  <c r="M141" i="1"/>
  <c r="L182" i="1" l="1"/>
  <c r="M127" i="1"/>
  <c r="L127" i="1"/>
  <c r="J162" i="1"/>
  <c r="J161" i="1"/>
  <c r="J160" i="1"/>
  <c r="J159" i="1"/>
  <c r="J157" i="1"/>
  <c r="J158" i="1"/>
  <c r="J156" i="1"/>
  <c r="J155" i="1"/>
  <c r="J153" i="1"/>
  <c r="J154" i="1"/>
  <c r="E130" i="1" l="1"/>
  <c r="E133" i="1" s="1"/>
  <c r="C17" i="1"/>
  <c r="J202" i="1" l="1"/>
  <c r="J199" i="1"/>
  <c r="J198" i="1"/>
  <c r="J197" i="1"/>
  <c r="J173" i="1"/>
  <c r="J172" i="1"/>
  <c r="J171" i="1"/>
  <c r="J170" i="1"/>
  <c r="J169" i="1"/>
  <c r="J168" i="1"/>
  <c r="J167" i="1"/>
  <c r="J166" i="1"/>
  <c r="J164" i="1"/>
  <c r="J195" i="1"/>
  <c r="J194" i="1"/>
  <c r="J193" i="1"/>
  <c r="J192" i="1"/>
  <c r="J191" i="1"/>
  <c r="J190" i="1"/>
  <c r="J189" i="1"/>
  <c r="J146" i="1"/>
  <c r="J145" i="1"/>
  <c r="J144" i="1"/>
  <c r="J143" i="1"/>
  <c r="J142" i="1"/>
  <c r="G164" i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G204" i="1"/>
  <c r="A143" i="1"/>
  <c r="A144" i="1" s="1"/>
  <c r="A145" i="1" s="1"/>
  <c r="A146" i="1" s="1"/>
  <c r="A147" i="1" s="1"/>
  <c r="A148" i="1" s="1"/>
  <c r="A149" i="1" s="1"/>
  <c r="A150" i="1" s="1"/>
  <c r="A151" i="1" s="1"/>
  <c r="G142" i="1"/>
  <c r="C130" i="1" l="1"/>
  <c r="C133" i="1" s="1"/>
  <c r="C72" i="1"/>
  <c r="E45" i="1" l="1"/>
  <c r="E46" i="1" s="1"/>
  <c r="E32" i="1" l="1"/>
  <c r="F127" i="1" l="1"/>
  <c r="B270" i="1" l="1"/>
  <c r="G130" i="1" l="1"/>
  <c r="G13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2" i="1"/>
  <c r="G153" i="1"/>
  <c r="C86" i="1"/>
  <c r="B87" i="1" s="1"/>
  <c r="B73" i="1"/>
  <c r="E29" i="1"/>
  <c r="E27" i="1"/>
  <c r="E7" i="1"/>
  <c r="E3" i="1"/>
  <c r="D66" i="1" l="1"/>
  <c r="H73" i="1"/>
  <c r="H87" i="1"/>
  <c r="J91" i="1" l="1"/>
  <c r="C90" i="1" s="1"/>
  <c r="D90" i="1" s="1"/>
  <c r="J89" i="1"/>
  <c r="J92" i="1"/>
  <c r="J93" i="1" s="1"/>
  <c r="J98" i="1" s="1"/>
  <c r="J86" i="1"/>
  <c r="J88" i="1" s="1"/>
  <c r="D94" i="1"/>
  <c r="D96" i="1"/>
  <c r="D99" i="1"/>
  <c r="D93" i="1"/>
  <c r="D97" i="1"/>
  <c r="D98" i="1"/>
  <c r="D95" i="1"/>
  <c r="J90" i="1"/>
  <c r="D85" i="1"/>
  <c r="D83" i="1"/>
  <c r="D82" i="1"/>
  <c r="D79" i="1"/>
  <c r="D81" i="1"/>
  <c r="J78" i="1"/>
  <c r="J79" i="1" s="1"/>
  <c r="J84" i="1" s="1"/>
  <c r="D84" i="1"/>
  <c r="J72" i="1"/>
  <c r="J74" i="1" s="1"/>
  <c r="D80" i="1"/>
  <c r="J76" i="1"/>
  <c r="J77" i="1"/>
  <c r="C76" i="1" s="1"/>
  <c r="D76" i="1" s="1"/>
  <c r="J75" i="1"/>
  <c r="J94" i="1"/>
  <c r="J95" i="1" s="1"/>
  <c r="J96" i="1" s="1"/>
  <c r="J97" i="1" s="1"/>
  <c r="J80" i="1"/>
  <c r="J81" i="1" s="1"/>
  <c r="J82" i="1" s="1"/>
  <c r="J83" i="1" s="1"/>
  <c r="D92" i="1"/>
  <c r="D78" i="1"/>
  <c r="J85" i="1" l="1"/>
  <c r="J99" i="1"/>
  <c r="C91" i="1" l="1"/>
  <c r="G90" i="1" s="1"/>
  <c r="C77" i="1"/>
  <c r="G76" i="1" s="1"/>
  <c r="D70" i="1" s="1"/>
  <c r="J73" i="1" l="1"/>
  <c r="E90" i="1"/>
  <c r="E76" i="1"/>
  <c r="D77" i="1"/>
  <c r="D91" i="1"/>
  <c r="I87" i="1" s="1"/>
  <c r="I88" i="1" s="1"/>
  <c r="J87" i="1"/>
  <c r="D71" i="1"/>
  <c r="F71" i="1"/>
  <c r="I73" i="1" l="1"/>
  <c r="I74" i="1" s="1"/>
  <c r="I86" i="1"/>
  <c r="C88" i="1" s="1"/>
  <c r="I72" i="1" l="1"/>
  <c r="C74" i="1" s="1"/>
  <c r="B101" i="1"/>
  <c r="H101" i="1"/>
  <c r="J105" i="1" l="1"/>
  <c r="C104" i="1" s="1"/>
  <c r="D104" i="1" s="1"/>
  <c r="J103" i="1"/>
  <c r="J100" i="1"/>
  <c r="J102" i="1" s="1"/>
  <c r="D110" i="1"/>
  <c r="J104" i="1"/>
  <c r="D113" i="1"/>
  <c r="D111" i="1"/>
  <c r="D109" i="1"/>
  <c r="D107" i="1"/>
  <c r="D112" i="1"/>
  <c r="D108" i="1"/>
  <c r="D106" i="1"/>
  <c r="J111" i="1"/>
  <c r="J109" i="1"/>
  <c r="J110" i="1"/>
  <c r="J108" i="1"/>
  <c r="J106" i="1"/>
  <c r="J107" i="1" s="1"/>
  <c r="J112" i="1" s="1"/>
  <c r="J113" i="1" s="1"/>
  <c r="C105" i="1" s="1"/>
  <c r="E104" i="1" l="1"/>
  <c r="D105" i="1"/>
  <c r="I101" i="1" s="1"/>
  <c r="I102" i="1" s="1"/>
  <c r="G104" i="1"/>
  <c r="J101" i="1"/>
  <c r="I100" i="1" l="1"/>
  <c r="C1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  <comment ref="F1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<sst xmlns="http://schemas.openxmlformats.org/spreadsheetml/2006/main" count="461" uniqueCount="258">
  <si>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</si>
  <si>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</si>
  <si>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</si>
  <si>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</si>
  <si>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</si>
  <si>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</si>
  <si>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</si>
  <si>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</si>
  <si>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</si>
  <si>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</si>
  <si>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</si>
  <si>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</si>
  <si>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</si>
  <si>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</si>
  <si>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</si>
  <si>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</si>
  <si>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</si>
  <si>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</si>
  <si>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</si>
  <si>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</si>
  <si>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</si>
  <si>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</si>
  <si>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</si>
  <si>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</si>
  <si>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</si>
  <si>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</si>
  <si>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</si>
  <si>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</si>
  <si>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</si>
  <si>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</si>
  <si>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</si>
  <si>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</si>
  <si>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</si>
  <si>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</si>
  <si>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</si>
  <si>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</si>
  <si>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</si>
  <si>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</si>
  <si>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</si>
  <si>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</si>
  <si>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</si>
  <si>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</si>
  <si>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</si>
  <si>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</si>
  <si>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</si>
  <si>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</si>
  <si>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</si>
  <si>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</si>
  <si>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</si>
  <si>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</si>
  <si>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</si>
  <si>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</si>
  <si>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</si>
  <si>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</si>
  <si>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</si>
  <si>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</si>
  <si>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</si>
  <si>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</si>
  <si>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</si>
  <si>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</si>
  <si>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</si>
  <si>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</si>
  <si>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</si>
  <si>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</si>
  <si>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</si>
  <si>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</si>
  <si>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</si>
  <si>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</si>
  <si>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</si>
  <si>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</si>
  <si>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</si>
  <si>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</si>
  <si>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</si>
  <si>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</si>
  <si>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</si>
  <si>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</si>
  <si>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</si>
  <si>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</si>
  <si>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</si>
  <si>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</si>
  <si>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</si>
  <si>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</si>
  <si>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</si>
  <si>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</si>
  <si>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</si>
  <si>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</si>
  <si>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</si>
  <si>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</si>
  <si>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</si>
  <si>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</si>
  <si>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</si>
  <si>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</si>
  <si>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</si>
  <si>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</si>
  <si>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</si>
  <si>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</si>
  <si>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</si>
  <si>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</si>
  <si>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</si>
  <si>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</si>
  <si>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</si>
  <si>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</si>
  <si>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</si>
  <si>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</si>
  <si>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</si>
  <si>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</si>
  <si>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</si>
  <si>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</si>
  <si>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</si>
  <si>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</si>
  <si>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</si>
  <si>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</si>
  <si>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</si>
  <si>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</si>
  <si>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</si>
  <si>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</si>
  <si>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</si>
  <si>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</si>
  <si>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</si>
  <si>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</si>
  <si>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</si>
  <si>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</si>
  <si>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</si>
  <si>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</si>
  <si>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</si>
  <si>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</si>
  <si>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</si>
  <si>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</si>
  <si>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</si>
  <si>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</si>
  <si>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</si>
  <si>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</si>
  <si>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</si>
  <si>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</si>
  <si>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</si>
  <si>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</si>
  <si>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</si>
  <si>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</si>
  <si>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</si>
  <si>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</si>
  <si>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</si>
  <si>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</si>
  <si>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</si>
  <si>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</si>
  <si>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</si>
  <si>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</si>
  <si>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</si>
  <si>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</si>
  <si>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</si>
  <si>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</si>
  <si>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</si>
  <si>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</si>
  <si>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</si>
  <si>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</si>
  <si>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</si>
  <si>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</si>
  <si>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</si>
  <si>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</si>
  <si>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</si>
  <si>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</si>
  <si>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</si>
  <si>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</si>
  <si>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</si>
  <si>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</si>
  <si>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</si>
  <si>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>Floor Rise Rate from    Floor</t>
  </si>
  <si>
    <t>Axis Thane</t>
  </si>
  <si>
    <t>Omkara Enterprises</t>
  </si>
  <si>
    <t>P52000047562</t>
  </si>
  <si>
    <t>43/1/1 &amp; 43/1/4</t>
  </si>
  <si>
    <t xml:space="preserve">Panvel Muncipal Corporation 
</t>
  </si>
  <si>
    <t xml:space="preserve">2BHK </t>
  </si>
  <si>
    <t>1BHK</t>
  </si>
  <si>
    <t>3BHK</t>
  </si>
  <si>
    <t xml:space="preserve">Details of Residential in Building   </t>
  </si>
  <si>
    <t>Raigad</t>
  </si>
  <si>
    <t>Koyanavele</t>
  </si>
  <si>
    <t>Open Plot</t>
  </si>
  <si>
    <t>Ghot Road</t>
  </si>
  <si>
    <t>Sunil Peravi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</si>
  <si>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</si>
  <si>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Mr. Ravi 9136165922</t>
  </si>
  <si>
    <t>Omkara Pride Phase 1</t>
  </si>
  <si>
    <t>Survey No</t>
  </si>
  <si>
    <t>https://goo.gl/maps/QKrMmp1priTxJkrt6</t>
  </si>
  <si>
    <t>Kamdhenu Lifespaces Gardenia</t>
  </si>
  <si>
    <t>Ghot</t>
  </si>
  <si>
    <t>Taloja East</t>
  </si>
  <si>
    <t xml:space="preserve">Commencement-CC No
Valid Up to: </t>
  </si>
  <si>
    <t>8th &amp; 13th Floor (Part Refuge Area )</t>
  </si>
  <si>
    <t xml:space="preserve">Refuge Area </t>
  </si>
  <si>
    <t>Panvel</t>
  </si>
  <si>
    <t>Grill Charges</t>
  </si>
  <si>
    <t>1.5BHK</t>
  </si>
  <si>
    <t>We considered Gross carpet area = Net carpet + Enclose balcony + Balcony Area + Chajja Area.</t>
  </si>
  <si>
    <t>Builder 5700</t>
  </si>
  <si>
    <t>Club House, Swimming pool with Sun Deck, Party Lawn, Jogging Track, Yoga &amp; Meditaion Area, Indoor games, Fitness Center, Senior Citizen Park, Community Hall, Community Hall, Electric vehicle charger, Landscaped garden</t>
  </si>
  <si>
    <t>Development Charges + Club Charges + Society Formation Charges</t>
  </si>
  <si>
    <t>Approved Plans, CC, Sale Plans, Cost Sheet , Builder Saleable Area</t>
  </si>
  <si>
    <t>2nd to 7th, 9th to 12th &amp; 14th Floor</t>
  </si>
  <si>
    <t>Sanket</t>
  </si>
  <si>
    <t>Igr</t>
  </si>
  <si>
    <t>4500 to 5400</t>
  </si>
  <si>
    <t>19.082453,73.107606</t>
  </si>
  <si>
    <t>Pooja Kawale</t>
  </si>
  <si>
    <t>Mr. Monika 8169616384</t>
  </si>
  <si>
    <t>Construction work is in process at the time of Visit.</t>
  </si>
  <si>
    <t>Mr. Arun 8356853750</t>
  </si>
  <si>
    <t>Omkara Pride Phase 1 &amp; 2</t>
  </si>
  <si>
    <t>Phase 1</t>
  </si>
  <si>
    <t>Building No.1 (Wing A &amp; B)</t>
  </si>
  <si>
    <t>Building No.2 (Wing C)</t>
  </si>
  <si>
    <t>Phase 2</t>
  </si>
  <si>
    <t>RERA Name &amp; No.</t>
  </si>
  <si>
    <t>PR1271012400021</t>
  </si>
  <si>
    <t>Omkara Pride 
(Building 2 Wing C)</t>
  </si>
  <si>
    <t>S No. 41(Pt) / S No. 41</t>
  </si>
  <si>
    <t>12.00 M Wide Approved Layout Road</t>
  </si>
  <si>
    <t>S No. 43/1/2 &amp; 3 &amp; S No.43/2</t>
  </si>
  <si>
    <t>S No. 43/1/5</t>
  </si>
  <si>
    <t>Riverside The Nest</t>
  </si>
  <si>
    <t>CARPC/RB/2024/APL/00095</t>
  </si>
  <si>
    <t>Building No.1 (Wing A &amp; B) = Gr + 1st to 14th Floor
Building No.2 (Wing C) = Gr + 1st to 14th Floor</t>
  </si>
  <si>
    <t>Building No.1 (Wing A) = Gr + 1st to 14th Floor</t>
  </si>
  <si>
    <t>Building No.1 (Wing B) = Gr + 1st to 14th Floor</t>
  </si>
  <si>
    <t>Building No.2 (Wing C) = Gr + 1st to 14th Floor</t>
  </si>
  <si>
    <t>Building No.1 (Wing A)</t>
  </si>
  <si>
    <t xml:space="preserve">Ground Floor For Entrance Lobby, Electric Room &amp;  Parking </t>
  </si>
  <si>
    <t>1st Floor For Residential &amp; Part Parking Area</t>
  </si>
  <si>
    <t>Parking</t>
  </si>
  <si>
    <t>2BHK</t>
  </si>
  <si>
    <t>Building No.1 (Wing B)</t>
  </si>
  <si>
    <t xml:space="preserve">Ground Floor For Entrance Lobby, Electric Room &amp; Parking </t>
  </si>
  <si>
    <t>1st Floor For Residential (Part Driver Room, Society Office &amp; Parking)</t>
  </si>
  <si>
    <t>Driver Room, Society Office &amp; Parking</t>
  </si>
  <si>
    <t>8th &amp; 13th Floor (Part Refuge Area)</t>
  </si>
  <si>
    <t>Saleable area Loading :</t>
  </si>
  <si>
    <t>As per RERA - Building No.1 (31/10/2027)
                         Building No.2 (31/12/2028)</t>
  </si>
  <si>
    <t>3.1 KM from Taloja Panchnand Railway Station</t>
  </si>
  <si>
    <t>Parking Area</t>
  </si>
  <si>
    <t>2nd to 7th, 9th to 12th Floor</t>
  </si>
  <si>
    <t>8th Floor For Part Refuge Area</t>
  </si>
  <si>
    <t>Refuge Area</t>
  </si>
  <si>
    <t>13th Floor For Part Refuge Area</t>
  </si>
  <si>
    <t>14th Floor</t>
  </si>
  <si>
    <t>Bldg No.1 (Wing A)</t>
  </si>
  <si>
    <t>Bldg No.1 (Wing B)</t>
  </si>
  <si>
    <t>Bldg No.2 (Wing C)</t>
  </si>
  <si>
    <t>Flats - 386</t>
  </si>
  <si>
    <t xml:space="preserve">Fire Noc No
Valid Up to: </t>
  </si>
  <si>
    <t>PMC/Fire/2121/Ref No.1333/2024/1151</t>
  </si>
  <si>
    <t xml:space="preserve">Building No.1 (Wing A &amp; B) = Stilt + 1st to 14th Floor (Height = 44.95Mtrs)
Building No.2 (Wing C) = Stilt + 1st to 14th Floor  (Height = 44.95Mtrs)
</t>
  </si>
  <si>
    <t>We have added Phase 2 on 21/12/2024</t>
  </si>
  <si>
    <t>03 Wings</t>
  </si>
  <si>
    <t>Building No.1 (Wing A &amp; B) = Stilt + 1st to 14th Floor 
Building No.2 (Wing C) = Gr + 1st to 14th Floor</t>
  </si>
  <si>
    <t>We have updated Revised approved plan for Phase 1 &amp; Fire Noc on 21/12/2024</t>
  </si>
  <si>
    <t>We have updated Revised approved CC on 21/12/2024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</si>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</sst>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202124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168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1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1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4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29" fillId="0" borderId="0" xfId="0" applyFont="1" applyAlignment="1">
      <alignment horizontal="center" vertical="center" wrapText="1"/>
    </xf>
    <xf numFmtId="0" fontId="13" fillId="0" borderId="17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21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1" fontId="10" fillId="0" borderId="35" xfId="0" applyNumberFormat="1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1" fontId="4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4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top" wrapText="1"/>
      <protection locked="0"/>
    </xf>
    <xf numFmtId="1" fontId="8" fillId="3" borderId="21" xfId="1" applyNumberFormat="1" applyFont="1" applyFill="1" applyBorder="1" applyAlignment="1" applyProtection="1">
      <alignment horizontal="center" vertical="top" wrapText="1"/>
      <protection locked="0"/>
    </xf>
    <xf numFmtId="1" fontId="8" fillId="3" borderId="2" xfId="1" applyNumberFormat="1" applyFont="1" applyFill="1" applyBorder="1" applyAlignment="1" applyProtection="1">
      <alignment horizontal="center" vertical="top" wrapText="1"/>
      <protection locked="0"/>
    </xf>
    <xf numFmtId="1" fontId="8" fillId="3" borderId="9" xfId="1" applyNumberFormat="1" applyFont="1" applyFill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351</xdr:row>
      <xdr:rowOff>90794</xdr:rowOff>
    </xdr:from>
    <xdr:to>
      <xdr:col>7</xdr:col>
      <xdr:colOff>493059</xdr:colOff>
      <xdr:row>370</xdr:row>
      <xdr:rowOff>156883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224118" y="73440914"/>
          <a:ext cx="6113481" cy="3830369"/>
          <a:chOff x="553959" y="47911969"/>
          <a:chExt cx="5751717" cy="4090947"/>
        </a:xfrm>
      </xdr:grpSpPr>
      <xdr:grpSp>
        <xdr:nvGrpSpPr>
          <xdr:cNvPr id="69" name="Group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GrpSpPr/>
        </xdr:nvGrpSpPr>
        <xdr:grpSpPr>
          <a:xfrm>
            <a:off x="553959" y="47911969"/>
            <a:ext cx="5751717" cy="4090947"/>
            <a:chOff x="648664" y="1059861"/>
            <a:chExt cx="5760000" cy="4318963"/>
          </a:xfrm>
        </xdr:grpSpPr>
        <xdr:pic>
          <xdr:nvPicPr>
            <xdr:cNvPr id="73" name="Picture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648664" y="1059861"/>
              <a:ext cx="5760000" cy="431896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4" name="Rectangle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/>
          </xdr:nvSpPr>
          <xdr:spPr>
            <a:xfrm>
              <a:off x="1295400" y="2340829"/>
              <a:ext cx="1619250" cy="850592"/>
            </a:xfrm>
            <a:prstGeom prst="rect">
              <a:avLst/>
            </a:prstGeom>
            <a:noFill/>
            <a:ln w="28575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>
                <a:solidFill>
                  <a:srgbClr val="C00000"/>
                </a:solidFill>
              </a:endParaRPr>
            </a:p>
          </xdr:txBody>
        </xdr:sp>
        <xdr:sp macro="" textlink="">
          <xdr:nvSpPr>
            <xdr:cNvPr id="75" name="Rectangle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>
            <a:xfrm>
              <a:off x="2931350" y="2340829"/>
              <a:ext cx="1241154" cy="850592"/>
            </a:xfrm>
            <a:prstGeom prst="rect">
              <a:avLst/>
            </a:prstGeom>
            <a:noFill/>
            <a:ln w="28575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6" name="Rectangle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/>
          </xdr:nvSpPr>
          <xdr:spPr>
            <a:xfrm>
              <a:off x="4440922" y="1614622"/>
              <a:ext cx="1340753" cy="1352757"/>
            </a:xfrm>
            <a:prstGeom prst="rect">
              <a:avLst/>
            </a:prstGeom>
            <a:noFill/>
            <a:ln w="28575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7" name="TextBox 37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 txBox="1"/>
          </xdr:nvSpPr>
          <xdr:spPr>
            <a:xfrm>
              <a:off x="1673222" y="2035818"/>
              <a:ext cx="875561" cy="3949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C00000"/>
                  </a:solidFill>
                </a:rPr>
                <a:t>Wing A</a:t>
              </a:r>
            </a:p>
          </xdr:txBody>
        </xdr:sp>
        <xdr:sp macro="" textlink="">
          <xdr:nvSpPr>
            <xdr:cNvPr id="78" name="TextBox 88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SpPr txBox="1"/>
          </xdr:nvSpPr>
          <xdr:spPr>
            <a:xfrm>
              <a:off x="3139045" y="2000326"/>
              <a:ext cx="865943" cy="3949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C00000"/>
                  </a:solidFill>
                </a:rPr>
                <a:t>Wing B</a:t>
              </a:r>
            </a:p>
          </xdr:txBody>
        </xdr:sp>
        <xdr:sp macro="" textlink="">
          <xdr:nvSpPr>
            <xdr:cNvPr id="79" name="TextBox 89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SpPr txBox="1"/>
          </xdr:nvSpPr>
          <xdr:spPr>
            <a:xfrm>
              <a:off x="4633078" y="2884566"/>
              <a:ext cx="1124156" cy="4144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0000FF"/>
                  </a:solidFill>
                </a:rPr>
                <a:t>Phase 2</a:t>
              </a:r>
            </a:p>
          </xdr:txBody>
        </xdr:sp>
        <xdr:sp macro="" textlink="">
          <xdr:nvSpPr>
            <xdr:cNvPr id="80" name="TextBox 90">
              <a:extLst>
                <a:ext uri="{FF2B5EF4-FFF2-40B4-BE49-F238E27FC236}">
                  <a16:creationId xmlns:a16="http://schemas.microsoft.com/office/drawing/2014/main" id="{00000000-0008-0000-0000-000050000000}"/>
                </a:ext>
              </a:extLst>
            </xdr:cNvPr>
            <xdr:cNvSpPr txBox="1"/>
          </xdr:nvSpPr>
          <xdr:spPr>
            <a:xfrm>
              <a:off x="2335058" y="3132782"/>
              <a:ext cx="1147892" cy="4144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C00000"/>
                  </a:solidFill>
                </a:rPr>
                <a:t>Phase 1</a:t>
              </a:r>
            </a:p>
          </xdr:txBody>
        </xdr:sp>
        <xdr:sp macro="" textlink="">
          <xdr:nvSpPr>
            <xdr:cNvPr id="81" name="TextBox 91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SpPr txBox="1"/>
          </xdr:nvSpPr>
          <xdr:spPr>
            <a:xfrm>
              <a:off x="4713502" y="1894661"/>
              <a:ext cx="857927" cy="394994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0000FF"/>
                  </a:solidFill>
                </a:rPr>
                <a:t>Wing C</a:t>
              </a:r>
            </a:p>
          </xdr:txBody>
        </xdr:sp>
      </xdr:grpSp>
      <xdr:grpSp>
        <xdr:nvGrpSpPr>
          <xdr:cNvPr id="70" name="Group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/>
        </xdr:nvGrpSpPr>
        <xdr:grpSpPr>
          <a:xfrm rot="5400000">
            <a:off x="5420326" y="50116245"/>
            <a:ext cx="474784" cy="653889"/>
            <a:chOff x="781208" y="1614179"/>
            <a:chExt cx="474784" cy="653889"/>
          </a:xfrm>
        </xdr:grpSpPr>
        <xdr:sp macro="" textlink="">
          <xdr:nvSpPr>
            <xdr:cNvPr id="71" name="Right Arrow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/>
          </xdr:nvSpPr>
          <xdr:spPr>
            <a:xfrm rot="16200000">
              <a:off x="835225" y="2048656"/>
              <a:ext cx="281005" cy="157819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 sz="1400"/>
            </a:p>
          </xdr:txBody>
        </xdr:sp>
        <xdr:sp macro="" textlink="">
          <xdr:nvSpPr>
            <xdr:cNvPr id="72" name="TextBox 7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 txBox="1"/>
          </xdr:nvSpPr>
          <xdr:spPr>
            <a:xfrm>
              <a:off x="781208" y="1614179"/>
              <a:ext cx="474784" cy="44769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4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24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1</xdr:col>
      <xdr:colOff>404925</xdr:colOff>
      <xdr:row>332</xdr:row>
      <xdr:rowOff>22411</xdr:rowOff>
    </xdr:from>
    <xdr:to>
      <xdr:col>6</xdr:col>
      <xdr:colOff>174423</xdr:colOff>
      <xdr:row>350</xdr:row>
      <xdr:rowOff>117588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1189785" y="69608251"/>
          <a:ext cx="4044318" cy="3661337"/>
          <a:chOff x="1333160" y="44860581"/>
          <a:chExt cx="3920157" cy="3841864"/>
        </a:xfrm>
      </xdr:grpSpPr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33160" y="44860581"/>
            <a:ext cx="3920157" cy="384186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84" name="Group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GrpSpPr/>
        </xdr:nvGrpSpPr>
        <xdr:grpSpPr>
          <a:xfrm>
            <a:off x="4481453" y="47679980"/>
            <a:ext cx="497545" cy="655384"/>
            <a:chOff x="141426" y="-157281"/>
            <a:chExt cx="474784" cy="1083380"/>
          </a:xfrm>
        </xdr:grpSpPr>
        <xdr:sp macro="" textlink="">
          <xdr:nvSpPr>
            <xdr:cNvPr id="85" name="Right Arrow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SpPr/>
          </xdr:nvSpPr>
          <xdr:spPr>
            <a:xfrm rot="16200000">
              <a:off x="215550" y="630633"/>
              <a:ext cx="386861" cy="204072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N" sz="1400"/>
            </a:p>
          </xdr:txBody>
        </xdr:sp>
        <xdr:sp macro="" textlink="">
          <xdr:nvSpPr>
            <xdr:cNvPr id="86" name="TextBox 7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SpPr txBox="1"/>
          </xdr:nvSpPr>
          <xdr:spPr>
            <a:xfrm>
              <a:off x="141426" y="-157281"/>
              <a:ext cx="474784" cy="7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24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24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1</xdr:col>
      <xdr:colOff>170344</xdr:colOff>
      <xdr:row>373</xdr:row>
      <xdr:rowOff>44161</xdr:rowOff>
    </xdr:from>
    <xdr:to>
      <xdr:col>6</xdr:col>
      <xdr:colOff>736662</xdr:colOff>
      <xdr:row>387</xdr:row>
      <xdr:rowOff>31367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344" y="68534514"/>
          <a:ext cx="4734906" cy="2811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495299</xdr:colOff>
      <xdr:row>387</xdr:row>
      <xdr:rowOff>121228</xdr:rowOff>
    </xdr:from>
    <xdr:to>
      <xdr:col>7</xdr:col>
      <xdr:colOff>363680</xdr:colOff>
      <xdr:row>406</xdr:row>
      <xdr:rowOff>138546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95299" y="80603668"/>
          <a:ext cx="5712921" cy="3781598"/>
          <a:chOff x="495299" y="71435463"/>
          <a:chExt cx="5560969" cy="3849730"/>
        </a:xfrm>
      </xdr:grpSpPr>
      <xdr:grpSp>
        <xdr:nvGrpSpPr>
          <xdr:cNvPr id="88" name="Group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GrpSpPr/>
        </xdr:nvGrpSpPr>
        <xdr:grpSpPr>
          <a:xfrm>
            <a:off x="495299" y="71435463"/>
            <a:ext cx="5560969" cy="3849730"/>
            <a:chOff x="656767" y="3138583"/>
            <a:chExt cx="5940000" cy="4137515"/>
          </a:xfrm>
        </xdr:grpSpPr>
        <xdr:pic>
          <xdr:nvPicPr>
            <xdr:cNvPr id="89" name="Picture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656767" y="3138583"/>
              <a:ext cx="5940000" cy="41375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90" name="Rectangle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SpPr/>
          </xdr:nvSpPr>
          <xdr:spPr>
            <a:xfrm rot="20936114">
              <a:off x="3548605" y="4448974"/>
              <a:ext cx="332436" cy="1043011"/>
            </a:xfrm>
            <a:prstGeom prst="rect">
              <a:avLst/>
            </a:pr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91" name="TextBox 109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 txBox="1"/>
          </xdr:nvSpPr>
          <xdr:spPr>
            <a:xfrm>
              <a:off x="691829" y="3159483"/>
              <a:ext cx="967998" cy="368411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600" b="1"/>
                <a:t>Phase 1</a:t>
              </a:r>
            </a:p>
          </xdr:txBody>
        </xdr:sp>
        <xdr:sp macro="" textlink="">
          <xdr:nvSpPr>
            <xdr:cNvPr id="92" name="TextBox 110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 txBox="1"/>
          </xdr:nvSpPr>
          <xdr:spPr>
            <a:xfrm>
              <a:off x="3491563" y="4547385"/>
              <a:ext cx="31451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</a:rPr>
                <a:t>B</a:t>
              </a:r>
            </a:p>
          </xdr:txBody>
        </xdr:sp>
        <xdr:sp macro="" textlink="">
          <xdr:nvSpPr>
            <xdr:cNvPr id="93" name="TextBox 111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/>
          </xdr:nvSpPr>
          <xdr:spPr>
            <a:xfrm>
              <a:off x="3598299" y="4960300"/>
              <a:ext cx="3241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</a:rPr>
                <a:t>A</a:t>
              </a:r>
            </a:p>
          </xdr:txBody>
        </xdr:sp>
        <xdr:sp macro="" textlink="">
          <xdr:nvSpPr>
            <xdr:cNvPr id="94" name="TextBox 112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/>
          </xdr:nvSpPr>
          <xdr:spPr>
            <a:xfrm rot="4837313">
              <a:off x="3437590" y="4877969"/>
              <a:ext cx="1190545" cy="3330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rgbClr val="FFFF00"/>
                  </a:solidFill>
                </a:rPr>
                <a:t>Bldg No.1</a:t>
              </a:r>
            </a:p>
          </xdr:txBody>
        </xdr:sp>
        <xdr:cxnSp macro="">
          <xdr:nvCxnSpPr>
            <xdr:cNvPr id="95" name="Straight Arrow Connector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CxnSpPr>
              <a:stCxn id="91" idx="2"/>
              <a:endCxn id="92" idx="1"/>
            </xdr:cNvCxnSpPr>
          </xdr:nvCxnSpPr>
          <xdr:spPr>
            <a:xfrm>
              <a:off x="1175828" y="3527894"/>
              <a:ext cx="2315735" cy="1204158"/>
            </a:xfrm>
            <a:prstGeom prst="straightConnector1">
              <a:avLst/>
            </a:prstGeom>
            <a:ln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6" name="TextBox 110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 txBox="1"/>
          </xdr:nvSpPr>
          <xdr:spPr>
            <a:xfrm>
              <a:off x="3199043" y="3906108"/>
              <a:ext cx="314510" cy="4079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</a:rPr>
                <a:t>C</a:t>
              </a:r>
            </a:p>
          </xdr:txBody>
        </xdr:sp>
        <xdr:sp macro="" textlink="">
          <xdr:nvSpPr>
            <xdr:cNvPr id="97" name="TextBox 112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 txBox="1"/>
          </xdr:nvSpPr>
          <xdr:spPr>
            <a:xfrm>
              <a:off x="3443466" y="3833125"/>
              <a:ext cx="1168419" cy="33940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rgbClr val="FFFF00"/>
                  </a:solidFill>
                </a:rPr>
                <a:t>Bldg No.2</a:t>
              </a:r>
            </a:p>
          </xdr:txBody>
        </xdr:sp>
        <xdr:cxnSp macro="">
          <xdr:nvCxnSpPr>
            <xdr:cNvPr id="98" name="Straight Arrow Connector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CxnSpPr>
              <a:endCxn id="6" idx="0"/>
            </xdr:cNvCxnSpPr>
          </xdr:nvCxnSpPr>
          <xdr:spPr>
            <a:xfrm flipH="1">
              <a:off x="3362131" y="3394765"/>
              <a:ext cx="585039" cy="532893"/>
            </a:xfrm>
            <a:prstGeom prst="straightConnector1">
              <a:avLst/>
            </a:prstGeom>
            <a:ln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9" name="TextBox 109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 txBox="1"/>
          </xdr:nvSpPr>
          <xdr:spPr>
            <a:xfrm>
              <a:off x="3756063" y="3159482"/>
              <a:ext cx="1063755" cy="368411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600" b="1"/>
                <a:t>Phase</a:t>
              </a:r>
              <a:r>
                <a:rPr lang="en-IN" sz="1600" b="1" baseline="0"/>
                <a:t> 2</a:t>
              </a:r>
              <a:endParaRPr lang="en-IN" sz="1600" b="1"/>
            </a:p>
          </xdr:txBody>
        </xdr: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831678" y="72170755"/>
            <a:ext cx="381000" cy="353717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314325</xdr:colOff>
      <xdr:row>125</xdr:row>
      <xdr:rowOff>123825</xdr:rowOff>
    </xdr:from>
    <xdr:to>
      <xdr:col>13</xdr:col>
      <xdr:colOff>152952</xdr:colOff>
      <xdr:row>134</xdr:row>
      <xdr:rowOff>19373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27308175"/>
          <a:ext cx="3953427" cy="2314898"/>
        </a:xfrm>
        <a:prstGeom prst="rect">
          <a:avLst/>
        </a:prstGeom>
      </xdr:spPr>
    </xdr:pic>
    <xdr:clientData/>
  </xdr:twoCellAnchor>
  <xdr:twoCellAnchor>
    <xdr:from>
      <xdr:col>9</xdr:col>
      <xdr:colOff>704201</xdr:colOff>
      <xdr:row>309</xdr:row>
      <xdr:rowOff>16665</xdr:rowOff>
    </xdr:from>
    <xdr:to>
      <xdr:col>11</xdr:col>
      <xdr:colOff>82339</xdr:colOff>
      <xdr:row>310</xdr:row>
      <xdr:rowOff>184067</xdr:rowOff>
    </xdr:to>
    <xdr:sp macro="" textlink="">
      <xdr:nvSpPr>
        <xdr:cNvPr id="112" name="TextBox 210">
          <a:extLst>
            <a:ext uri="{FF2B5EF4-FFF2-40B4-BE49-F238E27FC236}">
              <a16:creationId xmlns:a16="http://schemas.microsoft.com/office/drawing/2014/main" id="{503D6B04-72DB-4A01-8FA1-AE33CC7F9B2C}"/>
            </a:ext>
          </a:extLst>
        </xdr:cNvPr>
        <xdr:cNvSpPr txBox="1"/>
      </xdr:nvSpPr>
      <xdr:spPr>
        <a:xfrm>
          <a:off x="8468981" y="64840005"/>
          <a:ext cx="886898" cy="3655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906780</xdr:colOff>
      <xdr:row>293</xdr:row>
      <xdr:rowOff>137160</xdr:rowOff>
    </xdr:from>
    <xdr:to>
      <xdr:col>15</xdr:col>
      <xdr:colOff>708660</xdr:colOff>
      <xdr:row>331</xdr:row>
      <xdr:rowOff>144780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428EF6E-00A6-3E20-C5CA-CB9B844ADF2F}"/>
            </a:ext>
          </a:extLst>
        </xdr:cNvPr>
        <xdr:cNvGrpSpPr/>
      </xdr:nvGrpSpPr>
      <xdr:grpSpPr>
        <a:xfrm>
          <a:off x="7475220" y="61996320"/>
          <a:ext cx="5554980" cy="7536180"/>
          <a:chOff x="672830" y="3527990"/>
          <a:chExt cx="5126568" cy="7919972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AAB9088-616F-4195-4E4F-A3CF508C15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4336" y="9732226"/>
            <a:ext cx="1285463" cy="1715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E39DAA3-AD4C-5E1E-45B9-C05C6634F0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16875" y="3527990"/>
            <a:ext cx="16183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4E8AAB8-9278-8AD7-03E7-484854A674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2830" y="3527990"/>
            <a:ext cx="16183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198B3DE-2661-1AFB-AA48-4855482BA9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241" y="5829120"/>
            <a:ext cx="1432920" cy="1912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D45DD003-4D89-5CD2-DDA9-D0A554A364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81084" y="3569491"/>
            <a:ext cx="16183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AA53FF2-FDD7-C73C-EB30-49A377278A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63803" y="5829120"/>
            <a:ext cx="1432920" cy="1912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E3B01022-60DB-DA71-8893-9EA80C871E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9076" y="5829120"/>
            <a:ext cx="1432920" cy="1912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A08F8C1-6689-2D7F-6A5B-E25884C832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7801" y="7879080"/>
            <a:ext cx="1285463" cy="1715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7A0C5D8-FBEE-6EFA-F59E-8779696299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5189" y="7875360"/>
            <a:ext cx="1285463" cy="1715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EBF22FF4-9B20-05FE-B8A5-EC751938E3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57384" y="7875360"/>
            <a:ext cx="1285463" cy="1715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4BBAB26B-7E51-FBE2-1FDB-34B2CED304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2800" y="9728506"/>
            <a:ext cx="1285463" cy="1715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274320</xdr:colOff>
      <xdr:row>293</xdr:row>
      <xdr:rowOff>30480</xdr:rowOff>
    </xdr:from>
    <xdr:to>
      <xdr:col>7</xdr:col>
      <xdr:colOff>420255</xdr:colOff>
      <xdr:row>329</xdr:row>
      <xdr:rowOff>35501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5E5BA85-9B6D-D921-E88B-D0EEADC78DD3}"/>
            </a:ext>
          </a:extLst>
        </xdr:cNvPr>
        <xdr:cNvGrpSpPr/>
      </xdr:nvGrpSpPr>
      <xdr:grpSpPr>
        <a:xfrm>
          <a:off x="274320" y="61889640"/>
          <a:ext cx="5990475" cy="7137341"/>
          <a:chOff x="341824" y="235166"/>
          <a:chExt cx="5990475" cy="7137341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BDC04D99-35AF-E52B-D8AE-4EC571A367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7356" y="557250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B5563D3C-096A-E785-7841-9716D0952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141" y="557250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FE6805B4-2C5B-C5D1-2168-7B9DAC900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6387" y="5572507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B6E5D76B-636D-7630-7F70-DF788063EA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3046" y="290383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400832BF-7490-1DB8-63EC-84A4DAD57C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4268" y="290383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8F3E13C-E5B7-227E-89B7-8C1195076D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824" y="23516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3A797890-89A7-0E39-6D2E-7234DBA90B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3046" y="23516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DEF51333-5C79-DBC9-18F1-83D4977441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4268" y="23516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7B0CB6D6-AB53-EA1E-70A0-8ABDD53296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824" y="290383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TextBox 23">
            <a:extLst>
              <a:ext uri="{FF2B5EF4-FFF2-40B4-BE49-F238E27FC236}">
                <a16:creationId xmlns:a16="http://schemas.microsoft.com/office/drawing/2014/main" id="{101E5D6D-FAA0-2CC3-DA7B-803DF56338DC}"/>
              </a:ext>
            </a:extLst>
          </xdr:cNvPr>
          <xdr:cNvSpPr txBox="1"/>
        </xdr:nvSpPr>
        <xdr:spPr>
          <a:xfrm>
            <a:off x="5547360" y="2903837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Wing A</a:t>
            </a:r>
            <a:endParaRPr lang="en-IN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28" name="TextBox 24">
            <a:extLst>
              <a:ext uri="{FF2B5EF4-FFF2-40B4-BE49-F238E27FC236}">
                <a16:creationId xmlns:a16="http://schemas.microsoft.com/office/drawing/2014/main" id="{0F7C657C-7E07-3D78-7BB4-EC4393A396C8}"/>
              </a:ext>
            </a:extLst>
          </xdr:cNvPr>
          <xdr:cNvSpPr txBox="1"/>
        </xdr:nvSpPr>
        <xdr:spPr>
          <a:xfrm>
            <a:off x="2863389" y="3042336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29" name="TextBox 25">
            <a:extLst>
              <a:ext uri="{FF2B5EF4-FFF2-40B4-BE49-F238E27FC236}">
                <a16:creationId xmlns:a16="http://schemas.microsoft.com/office/drawing/2014/main" id="{C079C64D-A9B5-16A5-AA3C-A3D394B91654}"/>
              </a:ext>
            </a:extLst>
          </xdr:cNvPr>
          <xdr:cNvSpPr txBox="1"/>
        </xdr:nvSpPr>
        <xdr:spPr>
          <a:xfrm>
            <a:off x="573024" y="2903837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30" name="TextBox 26">
            <a:extLst>
              <a:ext uri="{FF2B5EF4-FFF2-40B4-BE49-F238E27FC236}">
                <a16:creationId xmlns:a16="http://schemas.microsoft.com/office/drawing/2014/main" id="{F1050CC3-2F85-8D03-2ECA-B06723F69C36}"/>
              </a:ext>
            </a:extLst>
          </xdr:cNvPr>
          <xdr:cNvSpPr txBox="1"/>
        </xdr:nvSpPr>
        <xdr:spPr>
          <a:xfrm>
            <a:off x="5376756" y="235166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C</a:t>
            </a:r>
            <a:endParaRPr lang="en-IN" sz="1200" b="1"/>
          </a:p>
        </xdr:txBody>
      </xdr:sp>
      <xdr:sp macro="" textlink="">
        <xdr:nvSpPr>
          <xdr:cNvPr id="31" name="TextBox 27">
            <a:extLst>
              <a:ext uri="{FF2B5EF4-FFF2-40B4-BE49-F238E27FC236}">
                <a16:creationId xmlns:a16="http://schemas.microsoft.com/office/drawing/2014/main" id="{DDAE9A14-94D6-8755-A50A-38AFE5CA7A70}"/>
              </a:ext>
            </a:extLst>
          </xdr:cNvPr>
          <xdr:cNvSpPr txBox="1"/>
        </xdr:nvSpPr>
        <xdr:spPr>
          <a:xfrm>
            <a:off x="3714739" y="235167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32" name="TextBox 28">
            <a:extLst>
              <a:ext uri="{FF2B5EF4-FFF2-40B4-BE49-F238E27FC236}">
                <a16:creationId xmlns:a16="http://schemas.microsoft.com/office/drawing/2014/main" id="{3FE60B19-50AB-D367-5A0B-ABE85DE7468F}"/>
              </a:ext>
            </a:extLst>
          </xdr:cNvPr>
          <xdr:cNvSpPr txBox="1"/>
        </xdr:nvSpPr>
        <xdr:spPr>
          <a:xfrm>
            <a:off x="452862" y="238739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280147</xdr:colOff>
      <xdr:row>14</xdr:row>
      <xdr:rowOff>89647</xdr:rowOff>
    </xdr:from>
    <xdr:to>
      <xdr:col>15</xdr:col>
      <xdr:colOff>380495</xdr:colOff>
      <xdr:row>52</xdr:row>
      <xdr:rowOff>164933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853" y="2767853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KrMmp1priTxJkrt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3"/>
  <sheetViews>
    <sheetView tabSelected="1" view="pageBreakPreview" topLeftCell="A88" zoomScaleNormal="100" zoomScaleSheetLayoutView="100" workbookViewId="0">
      <selection activeCell="P91" sqref="P91"/>
    </sheetView>
  </sheetViews>
  <sheetFormatPr defaultColWidth="9.3320312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33203125" style="39" customWidth="1"/>
    <col min="5" max="6" width="11.6640625" style="39" customWidth="1"/>
    <col min="7" max="7" width="11.44140625" style="39" customWidth="1"/>
    <col min="8" max="8" width="10.55468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6640625" style="20" customWidth="1"/>
    <col min="14" max="14" width="12.5546875" style="20" customWidth="1"/>
    <col min="15" max="15" width="9.6640625" style="20" customWidth="1"/>
    <col min="16" max="16" width="11.6640625" style="20" customWidth="1"/>
    <col min="17" max="247" width="9.33203125" style="20"/>
    <col min="248" max="248" width="8.6640625" style="20" customWidth="1"/>
    <col min="249" max="249" width="9.664062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6640625" style="20" customWidth="1"/>
    <col min="256" max="256" width="11.33203125" style="20" customWidth="1"/>
    <col min="257" max="257" width="2.6640625" style="20" customWidth="1"/>
    <col min="258" max="258" width="3.5546875" style="20" customWidth="1"/>
    <col min="259" max="503" width="9.33203125" style="20"/>
    <col min="504" max="504" width="8.6640625" style="20" customWidth="1"/>
    <col min="505" max="505" width="9.664062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6640625" style="20" customWidth="1"/>
    <col min="512" max="512" width="11.33203125" style="20" customWidth="1"/>
    <col min="513" max="513" width="2.6640625" style="20" customWidth="1"/>
    <col min="514" max="514" width="3.5546875" style="20" customWidth="1"/>
    <col min="515" max="759" width="9.33203125" style="20"/>
    <col min="760" max="760" width="8.6640625" style="20" customWidth="1"/>
    <col min="761" max="761" width="9.664062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6640625" style="20" customWidth="1"/>
    <col min="768" max="768" width="11.33203125" style="20" customWidth="1"/>
    <col min="769" max="769" width="2.6640625" style="20" customWidth="1"/>
    <col min="770" max="770" width="3.5546875" style="20" customWidth="1"/>
    <col min="771" max="1015" width="9.33203125" style="20"/>
    <col min="1016" max="1016" width="8.6640625" style="20" customWidth="1"/>
    <col min="1017" max="1017" width="9.664062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6640625" style="20" customWidth="1"/>
    <col min="1024" max="1024" width="11.33203125" style="20" customWidth="1"/>
    <col min="1025" max="1025" width="2.6640625" style="20" customWidth="1"/>
    <col min="1026" max="1026" width="3.5546875" style="20" customWidth="1"/>
    <col min="1027" max="1271" width="9.33203125" style="20"/>
    <col min="1272" max="1272" width="8.6640625" style="20" customWidth="1"/>
    <col min="1273" max="1273" width="9.664062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6640625" style="20" customWidth="1"/>
    <col min="1280" max="1280" width="11.33203125" style="20" customWidth="1"/>
    <col min="1281" max="1281" width="2.6640625" style="20" customWidth="1"/>
    <col min="1282" max="1282" width="3.5546875" style="20" customWidth="1"/>
    <col min="1283" max="1527" width="9.33203125" style="20"/>
    <col min="1528" max="1528" width="8.6640625" style="20" customWidth="1"/>
    <col min="1529" max="1529" width="9.664062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6640625" style="20" customWidth="1"/>
    <col min="1536" max="1536" width="11.33203125" style="20" customWidth="1"/>
    <col min="1537" max="1537" width="2.6640625" style="20" customWidth="1"/>
    <col min="1538" max="1538" width="3.5546875" style="20" customWidth="1"/>
    <col min="1539" max="1783" width="9.33203125" style="20"/>
    <col min="1784" max="1784" width="8.6640625" style="20" customWidth="1"/>
    <col min="1785" max="1785" width="9.664062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6640625" style="20" customWidth="1"/>
    <col min="1792" max="1792" width="11.33203125" style="20" customWidth="1"/>
    <col min="1793" max="1793" width="2.6640625" style="20" customWidth="1"/>
    <col min="1794" max="1794" width="3.5546875" style="20" customWidth="1"/>
    <col min="1795" max="2039" width="9.33203125" style="20"/>
    <col min="2040" max="2040" width="8.6640625" style="20" customWidth="1"/>
    <col min="2041" max="2041" width="9.664062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6640625" style="20" customWidth="1"/>
    <col min="2048" max="2048" width="11.33203125" style="20" customWidth="1"/>
    <col min="2049" max="2049" width="2.6640625" style="20" customWidth="1"/>
    <col min="2050" max="2050" width="3.5546875" style="20" customWidth="1"/>
    <col min="2051" max="2295" width="9.33203125" style="20"/>
    <col min="2296" max="2296" width="8.6640625" style="20" customWidth="1"/>
    <col min="2297" max="2297" width="9.664062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6640625" style="20" customWidth="1"/>
    <col min="2304" max="2304" width="11.33203125" style="20" customWidth="1"/>
    <col min="2305" max="2305" width="2.6640625" style="20" customWidth="1"/>
    <col min="2306" max="2306" width="3.5546875" style="20" customWidth="1"/>
    <col min="2307" max="2551" width="9.33203125" style="20"/>
    <col min="2552" max="2552" width="8.6640625" style="20" customWidth="1"/>
    <col min="2553" max="2553" width="9.664062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6640625" style="20" customWidth="1"/>
    <col min="2560" max="2560" width="11.33203125" style="20" customWidth="1"/>
    <col min="2561" max="2561" width="2.6640625" style="20" customWidth="1"/>
    <col min="2562" max="2562" width="3.5546875" style="20" customWidth="1"/>
    <col min="2563" max="2807" width="9.33203125" style="20"/>
    <col min="2808" max="2808" width="8.6640625" style="20" customWidth="1"/>
    <col min="2809" max="2809" width="9.664062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6640625" style="20" customWidth="1"/>
    <col min="2816" max="2816" width="11.33203125" style="20" customWidth="1"/>
    <col min="2817" max="2817" width="2.6640625" style="20" customWidth="1"/>
    <col min="2818" max="2818" width="3.5546875" style="20" customWidth="1"/>
    <col min="2819" max="3063" width="9.33203125" style="20"/>
    <col min="3064" max="3064" width="8.6640625" style="20" customWidth="1"/>
    <col min="3065" max="3065" width="9.664062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6640625" style="20" customWidth="1"/>
    <col min="3072" max="3072" width="11.33203125" style="20" customWidth="1"/>
    <col min="3073" max="3073" width="2.6640625" style="20" customWidth="1"/>
    <col min="3074" max="3074" width="3.5546875" style="20" customWidth="1"/>
    <col min="3075" max="3319" width="9.33203125" style="20"/>
    <col min="3320" max="3320" width="8.6640625" style="20" customWidth="1"/>
    <col min="3321" max="3321" width="9.664062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6640625" style="20" customWidth="1"/>
    <col min="3328" max="3328" width="11.33203125" style="20" customWidth="1"/>
    <col min="3329" max="3329" width="2.6640625" style="20" customWidth="1"/>
    <col min="3330" max="3330" width="3.5546875" style="20" customWidth="1"/>
    <col min="3331" max="3575" width="9.33203125" style="20"/>
    <col min="3576" max="3576" width="8.6640625" style="20" customWidth="1"/>
    <col min="3577" max="3577" width="9.664062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6640625" style="20" customWidth="1"/>
    <col min="3584" max="3584" width="11.33203125" style="20" customWidth="1"/>
    <col min="3585" max="3585" width="2.6640625" style="20" customWidth="1"/>
    <col min="3586" max="3586" width="3.5546875" style="20" customWidth="1"/>
    <col min="3587" max="3831" width="9.33203125" style="20"/>
    <col min="3832" max="3832" width="8.6640625" style="20" customWidth="1"/>
    <col min="3833" max="3833" width="9.664062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6640625" style="20" customWidth="1"/>
    <col min="3840" max="3840" width="11.33203125" style="20" customWidth="1"/>
    <col min="3841" max="3841" width="2.6640625" style="20" customWidth="1"/>
    <col min="3842" max="3842" width="3.5546875" style="20" customWidth="1"/>
    <col min="3843" max="4087" width="9.33203125" style="20"/>
    <col min="4088" max="4088" width="8.6640625" style="20" customWidth="1"/>
    <col min="4089" max="4089" width="9.664062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6640625" style="20" customWidth="1"/>
    <col min="4096" max="4096" width="11.33203125" style="20" customWidth="1"/>
    <col min="4097" max="4097" width="2.6640625" style="20" customWidth="1"/>
    <col min="4098" max="4098" width="3.5546875" style="20" customWidth="1"/>
    <col min="4099" max="4343" width="9.33203125" style="20"/>
    <col min="4344" max="4344" width="8.6640625" style="20" customWidth="1"/>
    <col min="4345" max="4345" width="9.664062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6640625" style="20" customWidth="1"/>
    <col min="4352" max="4352" width="11.33203125" style="20" customWidth="1"/>
    <col min="4353" max="4353" width="2.6640625" style="20" customWidth="1"/>
    <col min="4354" max="4354" width="3.5546875" style="20" customWidth="1"/>
    <col min="4355" max="4599" width="9.33203125" style="20"/>
    <col min="4600" max="4600" width="8.6640625" style="20" customWidth="1"/>
    <col min="4601" max="4601" width="9.664062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6640625" style="20" customWidth="1"/>
    <col min="4608" max="4608" width="11.33203125" style="20" customWidth="1"/>
    <col min="4609" max="4609" width="2.6640625" style="20" customWidth="1"/>
    <col min="4610" max="4610" width="3.5546875" style="20" customWidth="1"/>
    <col min="4611" max="4855" width="9.33203125" style="20"/>
    <col min="4856" max="4856" width="8.6640625" style="20" customWidth="1"/>
    <col min="4857" max="4857" width="9.664062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6640625" style="20" customWidth="1"/>
    <col min="4864" max="4864" width="11.33203125" style="20" customWidth="1"/>
    <col min="4865" max="4865" width="2.6640625" style="20" customWidth="1"/>
    <col min="4866" max="4866" width="3.5546875" style="20" customWidth="1"/>
    <col min="4867" max="5111" width="9.33203125" style="20"/>
    <col min="5112" max="5112" width="8.6640625" style="20" customWidth="1"/>
    <col min="5113" max="5113" width="9.664062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6640625" style="20" customWidth="1"/>
    <col min="5120" max="5120" width="11.33203125" style="20" customWidth="1"/>
    <col min="5121" max="5121" width="2.6640625" style="20" customWidth="1"/>
    <col min="5122" max="5122" width="3.5546875" style="20" customWidth="1"/>
    <col min="5123" max="5367" width="9.33203125" style="20"/>
    <col min="5368" max="5368" width="8.6640625" style="20" customWidth="1"/>
    <col min="5369" max="5369" width="9.664062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6640625" style="20" customWidth="1"/>
    <col min="5376" max="5376" width="11.33203125" style="20" customWidth="1"/>
    <col min="5377" max="5377" width="2.6640625" style="20" customWidth="1"/>
    <col min="5378" max="5378" width="3.5546875" style="20" customWidth="1"/>
    <col min="5379" max="5623" width="9.33203125" style="20"/>
    <col min="5624" max="5624" width="8.6640625" style="20" customWidth="1"/>
    <col min="5625" max="5625" width="9.664062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6640625" style="20" customWidth="1"/>
    <col min="5632" max="5632" width="11.33203125" style="20" customWidth="1"/>
    <col min="5633" max="5633" width="2.6640625" style="20" customWidth="1"/>
    <col min="5634" max="5634" width="3.5546875" style="20" customWidth="1"/>
    <col min="5635" max="5879" width="9.33203125" style="20"/>
    <col min="5880" max="5880" width="8.6640625" style="20" customWidth="1"/>
    <col min="5881" max="5881" width="9.664062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6640625" style="20" customWidth="1"/>
    <col min="5888" max="5888" width="11.33203125" style="20" customWidth="1"/>
    <col min="5889" max="5889" width="2.6640625" style="20" customWidth="1"/>
    <col min="5890" max="5890" width="3.5546875" style="20" customWidth="1"/>
    <col min="5891" max="6135" width="9.33203125" style="20"/>
    <col min="6136" max="6136" width="8.6640625" style="20" customWidth="1"/>
    <col min="6137" max="6137" width="9.664062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6640625" style="20" customWidth="1"/>
    <col min="6144" max="6144" width="11.33203125" style="20" customWidth="1"/>
    <col min="6145" max="6145" width="2.6640625" style="20" customWidth="1"/>
    <col min="6146" max="6146" width="3.5546875" style="20" customWidth="1"/>
    <col min="6147" max="6391" width="9.33203125" style="20"/>
    <col min="6392" max="6392" width="8.6640625" style="20" customWidth="1"/>
    <col min="6393" max="6393" width="9.664062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6640625" style="20" customWidth="1"/>
    <col min="6400" max="6400" width="11.33203125" style="20" customWidth="1"/>
    <col min="6401" max="6401" width="2.6640625" style="20" customWidth="1"/>
    <col min="6402" max="6402" width="3.5546875" style="20" customWidth="1"/>
    <col min="6403" max="6647" width="9.33203125" style="20"/>
    <col min="6648" max="6648" width="8.6640625" style="20" customWidth="1"/>
    <col min="6649" max="6649" width="9.664062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6640625" style="20" customWidth="1"/>
    <col min="6656" max="6656" width="11.33203125" style="20" customWidth="1"/>
    <col min="6657" max="6657" width="2.6640625" style="20" customWidth="1"/>
    <col min="6658" max="6658" width="3.5546875" style="20" customWidth="1"/>
    <col min="6659" max="6903" width="9.33203125" style="20"/>
    <col min="6904" max="6904" width="8.6640625" style="20" customWidth="1"/>
    <col min="6905" max="6905" width="9.664062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6640625" style="20" customWidth="1"/>
    <col min="6912" max="6912" width="11.33203125" style="20" customWidth="1"/>
    <col min="6913" max="6913" width="2.6640625" style="20" customWidth="1"/>
    <col min="6914" max="6914" width="3.5546875" style="20" customWidth="1"/>
    <col min="6915" max="7159" width="9.33203125" style="20"/>
    <col min="7160" max="7160" width="8.6640625" style="20" customWidth="1"/>
    <col min="7161" max="7161" width="9.664062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6640625" style="20" customWidth="1"/>
    <col min="7168" max="7168" width="11.33203125" style="20" customWidth="1"/>
    <col min="7169" max="7169" width="2.6640625" style="20" customWidth="1"/>
    <col min="7170" max="7170" width="3.5546875" style="20" customWidth="1"/>
    <col min="7171" max="7415" width="9.33203125" style="20"/>
    <col min="7416" max="7416" width="8.6640625" style="20" customWidth="1"/>
    <col min="7417" max="7417" width="9.664062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6640625" style="20" customWidth="1"/>
    <col min="7424" max="7424" width="11.33203125" style="20" customWidth="1"/>
    <col min="7425" max="7425" width="2.6640625" style="20" customWidth="1"/>
    <col min="7426" max="7426" width="3.5546875" style="20" customWidth="1"/>
    <col min="7427" max="7671" width="9.33203125" style="20"/>
    <col min="7672" max="7672" width="8.6640625" style="20" customWidth="1"/>
    <col min="7673" max="7673" width="9.664062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6640625" style="20" customWidth="1"/>
    <col min="7680" max="7680" width="11.33203125" style="20" customWidth="1"/>
    <col min="7681" max="7681" width="2.6640625" style="20" customWidth="1"/>
    <col min="7682" max="7682" width="3.5546875" style="20" customWidth="1"/>
    <col min="7683" max="7927" width="9.33203125" style="20"/>
    <col min="7928" max="7928" width="8.6640625" style="20" customWidth="1"/>
    <col min="7929" max="7929" width="9.664062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6640625" style="20" customWidth="1"/>
    <col min="7936" max="7936" width="11.33203125" style="20" customWidth="1"/>
    <col min="7937" max="7937" width="2.6640625" style="20" customWidth="1"/>
    <col min="7938" max="7938" width="3.5546875" style="20" customWidth="1"/>
    <col min="7939" max="8183" width="9.33203125" style="20"/>
    <col min="8184" max="8184" width="8.6640625" style="20" customWidth="1"/>
    <col min="8185" max="8185" width="9.664062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6640625" style="20" customWidth="1"/>
    <col min="8192" max="8192" width="11.33203125" style="20" customWidth="1"/>
    <col min="8193" max="8193" width="2.6640625" style="20" customWidth="1"/>
    <col min="8194" max="8194" width="3.5546875" style="20" customWidth="1"/>
    <col min="8195" max="8439" width="9.33203125" style="20"/>
    <col min="8440" max="8440" width="8.6640625" style="20" customWidth="1"/>
    <col min="8441" max="8441" width="9.664062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6640625" style="20" customWidth="1"/>
    <col min="8448" max="8448" width="11.33203125" style="20" customWidth="1"/>
    <col min="8449" max="8449" width="2.6640625" style="20" customWidth="1"/>
    <col min="8450" max="8450" width="3.5546875" style="20" customWidth="1"/>
    <col min="8451" max="8695" width="9.33203125" style="20"/>
    <col min="8696" max="8696" width="8.6640625" style="20" customWidth="1"/>
    <col min="8697" max="8697" width="9.664062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6640625" style="20" customWidth="1"/>
    <col min="8704" max="8704" width="11.33203125" style="20" customWidth="1"/>
    <col min="8705" max="8705" width="2.6640625" style="20" customWidth="1"/>
    <col min="8706" max="8706" width="3.5546875" style="20" customWidth="1"/>
    <col min="8707" max="8951" width="9.33203125" style="20"/>
    <col min="8952" max="8952" width="8.6640625" style="20" customWidth="1"/>
    <col min="8953" max="8953" width="9.664062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6640625" style="20" customWidth="1"/>
    <col min="8960" max="8960" width="11.33203125" style="20" customWidth="1"/>
    <col min="8961" max="8961" width="2.6640625" style="20" customWidth="1"/>
    <col min="8962" max="8962" width="3.5546875" style="20" customWidth="1"/>
    <col min="8963" max="9207" width="9.33203125" style="20"/>
    <col min="9208" max="9208" width="8.6640625" style="20" customWidth="1"/>
    <col min="9209" max="9209" width="9.664062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6640625" style="20" customWidth="1"/>
    <col min="9216" max="9216" width="11.33203125" style="20" customWidth="1"/>
    <col min="9217" max="9217" width="2.6640625" style="20" customWidth="1"/>
    <col min="9218" max="9218" width="3.5546875" style="20" customWidth="1"/>
    <col min="9219" max="9463" width="9.33203125" style="20"/>
    <col min="9464" max="9464" width="8.6640625" style="20" customWidth="1"/>
    <col min="9465" max="9465" width="9.664062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6640625" style="20" customWidth="1"/>
    <col min="9472" max="9472" width="11.33203125" style="20" customWidth="1"/>
    <col min="9473" max="9473" width="2.6640625" style="20" customWidth="1"/>
    <col min="9474" max="9474" width="3.5546875" style="20" customWidth="1"/>
    <col min="9475" max="9719" width="9.33203125" style="20"/>
    <col min="9720" max="9720" width="8.6640625" style="20" customWidth="1"/>
    <col min="9721" max="9721" width="9.664062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6640625" style="20" customWidth="1"/>
    <col min="9728" max="9728" width="11.33203125" style="20" customWidth="1"/>
    <col min="9729" max="9729" width="2.6640625" style="20" customWidth="1"/>
    <col min="9730" max="9730" width="3.5546875" style="20" customWidth="1"/>
    <col min="9731" max="9975" width="9.33203125" style="20"/>
    <col min="9976" max="9976" width="8.6640625" style="20" customWidth="1"/>
    <col min="9977" max="9977" width="9.664062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6640625" style="20" customWidth="1"/>
    <col min="9984" max="9984" width="11.33203125" style="20" customWidth="1"/>
    <col min="9985" max="9985" width="2.6640625" style="20" customWidth="1"/>
    <col min="9986" max="9986" width="3.5546875" style="20" customWidth="1"/>
    <col min="9987" max="10231" width="9.33203125" style="20"/>
    <col min="10232" max="10232" width="8.6640625" style="20" customWidth="1"/>
    <col min="10233" max="10233" width="9.664062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6640625" style="20" customWidth="1"/>
    <col min="10240" max="10240" width="11.33203125" style="20" customWidth="1"/>
    <col min="10241" max="10241" width="2.6640625" style="20" customWidth="1"/>
    <col min="10242" max="10242" width="3.5546875" style="20" customWidth="1"/>
    <col min="10243" max="10487" width="9.33203125" style="20"/>
    <col min="10488" max="10488" width="8.6640625" style="20" customWidth="1"/>
    <col min="10489" max="10489" width="9.664062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6640625" style="20" customWidth="1"/>
    <col min="10496" max="10496" width="11.33203125" style="20" customWidth="1"/>
    <col min="10497" max="10497" width="2.6640625" style="20" customWidth="1"/>
    <col min="10498" max="10498" width="3.5546875" style="20" customWidth="1"/>
    <col min="10499" max="10743" width="9.33203125" style="20"/>
    <col min="10744" max="10744" width="8.6640625" style="20" customWidth="1"/>
    <col min="10745" max="10745" width="9.664062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6640625" style="20" customWidth="1"/>
    <col min="10752" max="10752" width="11.33203125" style="20" customWidth="1"/>
    <col min="10753" max="10753" width="2.6640625" style="20" customWidth="1"/>
    <col min="10754" max="10754" width="3.5546875" style="20" customWidth="1"/>
    <col min="10755" max="10999" width="9.33203125" style="20"/>
    <col min="11000" max="11000" width="8.6640625" style="20" customWidth="1"/>
    <col min="11001" max="11001" width="9.664062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6640625" style="20" customWidth="1"/>
    <col min="11008" max="11008" width="11.33203125" style="20" customWidth="1"/>
    <col min="11009" max="11009" width="2.6640625" style="20" customWidth="1"/>
    <col min="11010" max="11010" width="3.5546875" style="20" customWidth="1"/>
    <col min="11011" max="11255" width="9.33203125" style="20"/>
    <col min="11256" max="11256" width="8.6640625" style="20" customWidth="1"/>
    <col min="11257" max="11257" width="9.664062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6640625" style="20" customWidth="1"/>
    <col min="11264" max="11264" width="11.33203125" style="20" customWidth="1"/>
    <col min="11265" max="11265" width="2.6640625" style="20" customWidth="1"/>
    <col min="11266" max="11266" width="3.5546875" style="20" customWidth="1"/>
    <col min="11267" max="11511" width="9.33203125" style="20"/>
    <col min="11512" max="11512" width="8.6640625" style="20" customWidth="1"/>
    <col min="11513" max="11513" width="9.664062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6640625" style="20" customWidth="1"/>
    <col min="11520" max="11520" width="11.33203125" style="20" customWidth="1"/>
    <col min="11521" max="11521" width="2.6640625" style="20" customWidth="1"/>
    <col min="11522" max="11522" width="3.5546875" style="20" customWidth="1"/>
    <col min="11523" max="11767" width="9.33203125" style="20"/>
    <col min="11768" max="11768" width="8.6640625" style="20" customWidth="1"/>
    <col min="11769" max="11769" width="9.664062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6640625" style="20" customWidth="1"/>
    <col min="11776" max="11776" width="11.33203125" style="20" customWidth="1"/>
    <col min="11777" max="11777" width="2.6640625" style="20" customWidth="1"/>
    <col min="11778" max="11778" width="3.5546875" style="20" customWidth="1"/>
    <col min="11779" max="12023" width="9.33203125" style="20"/>
    <col min="12024" max="12024" width="8.6640625" style="20" customWidth="1"/>
    <col min="12025" max="12025" width="9.664062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6640625" style="20" customWidth="1"/>
    <col min="12032" max="12032" width="11.33203125" style="20" customWidth="1"/>
    <col min="12033" max="12033" width="2.6640625" style="20" customWidth="1"/>
    <col min="12034" max="12034" width="3.5546875" style="20" customWidth="1"/>
    <col min="12035" max="12279" width="9.33203125" style="20"/>
    <col min="12280" max="12280" width="8.6640625" style="20" customWidth="1"/>
    <col min="12281" max="12281" width="9.664062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6640625" style="20" customWidth="1"/>
    <col min="12288" max="12288" width="11.33203125" style="20" customWidth="1"/>
    <col min="12289" max="12289" width="2.6640625" style="20" customWidth="1"/>
    <col min="12290" max="12290" width="3.5546875" style="20" customWidth="1"/>
    <col min="12291" max="12535" width="9.33203125" style="20"/>
    <col min="12536" max="12536" width="8.6640625" style="20" customWidth="1"/>
    <col min="12537" max="12537" width="9.664062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6640625" style="20" customWidth="1"/>
    <col min="12544" max="12544" width="11.33203125" style="20" customWidth="1"/>
    <col min="12545" max="12545" width="2.6640625" style="20" customWidth="1"/>
    <col min="12546" max="12546" width="3.5546875" style="20" customWidth="1"/>
    <col min="12547" max="12791" width="9.33203125" style="20"/>
    <col min="12792" max="12792" width="8.6640625" style="20" customWidth="1"/>
    <col min="12793" max="12793" width="9.664062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6640625" style="20" customWidth="1"/>
    <col min="12800" max="12800" width="11.33203125" style="20" customWidth="1"/>
    <col min="12801" max="12801" width="2.6640625" style="20" customWidth="1"/>
    <col min="12802" max="12802" width="3.5546875" style="20" customWidth="1"/>
    <col min="12803" max="13047" width="9.33203125" style="20"/>
    <col min="13048" max="13048" width="8.6640625" style="20" customWidth="1"/>
    <col min="13049" max="13049" width="9.664062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6640625" style="20" customWidth="1"/>
    <col min="13056" max="13056" width="11.33203125" style="20" customWidth="1"/>
    <col min="13057" max="13057" width="2.6640625" style="20" customWidth="1"/>
    <col min="13058" max="13058" width="3.5546875" style="20" customWidth="1"/>
    <col min="13059" max="13303" width="9.33203125" style="20"/>
    <col min="13304" max="13304" width="8.6640625" style="20" customWidth="1"/>
    <col min="13305" max="13305" width="9.664062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6640625" style="20" customWidth="1"/>
    <col min="13312" max="13312" width="11.33203125" style="20" customWidth="1"/>
    <col min="13313" max="13313" width="2.6640625" style="20" customWidth="1"/>
    <col min="13314" max="13314" width="3.5546875" style="20" customWidth="1"/>
    <col min="13315" max="13559" width="9.33203125" style="20"/>
    <col min="13560" max="13560" width="8.6640625" style="20" customWidth="1"/>
    <col min="13561" max="13561" width="9.664062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6640625" style="20" customWidth="1"/>
    <col min="13568" max="13568" width="11.33203125" style="20" customWidth="1"/>
    <col min="13569" max="13569" width="2.6640625" style="20" customWidth="1"/>
    <col min="13570" max="13570" width="3.5546875" style="20" customWidth="1"/>
    <col min="13571" max="13815" width="9.33203125" style="20"/>
    <col min="13816" max="13816" width="8.6640625" style="20" customWidth="1"/>
    <col min="13817" max="13817" width="9.664062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6640625" style="20" customWidth="1"/>
    <col min="13824" max="13824" width="11.33203125" style="20" customWidth="1"/>
    <col min="13825" max="13825" width="2.6640625" style="20" customWidth="1"/>
    <col min="13826" max="13826" width="3.5546875" style="20" customWidth="1"/>
    <col min="13827" max="14071" width="9.33203125" style="20"/>
    <col min="14072" max="14072" width="8.6640625" style="20" customWidth="1"/>
    <col min="14073" max="14073" width="9.664062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6640625" style="20" customWidth="1"/>
    <col min="14080" max="14080" width="11.33203125" style="20" customWidth="1"/>
    <col min="14081" max="14081" width="2.6640625" style="20" customWidth="1"/>
    <col min="14082" max="14082" width="3.5546875" style="20" customWidth="1"/>
    <col min="14083" max="14327" width="9.33203125" style="20"/>
    <col min="14328" max="14328" width="8.6640625" style="20" customWidth="1"/>
    <col min="14329" max="14329" width="9.664062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6640625" style="20" customWidth="1"/>
    <col min="14336" max="14336" width="11.33203125" style="20" customWidth="1"/>
    <col min="14337" max="14337" width="2.6640625" style="20" customWidth="1"/>
    <col min="14338" max="14338" width="3.5546875" style="20" customWidth="1"/>
    <col min="14339" max="14583" width="9.33203125" style="20"/>
    <col min="14584" max="14584" width="8.6640625" style="20" customWidth="1"/>
    <col min="14585" max="14585" width="9.664062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6640625" style="20" customWidth="1"/>
    <col min="14592" max="14592" width="11.33203125" style="20" customWidth="1"/>
    <col min="14593" max="14593" width="2.6640625" style="20" customWidth="1"/>
    <col min="14594" max="14594" width="3.5546875" style="20" customWidth="1"/>
    <col min="14595" max="14839" width="9.33203125" style="20"/>
    <col min="14840" max="14840" width="8.6640625" style="20" customWidth="1"/>
    <col min="14841" max="14841" width="9.664062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6640625" style="20" customWidth="1"/>
    <col min="14848" max="14848" width="11.33203125" style="20" customWidth="1"/>
    <col min="14849" max="14849" width="2.6640625" style="20" customWidth="1"/>
    <col min="14850" max="14850" width="3.5546875" style="20" customWidth="1"/>
    <col min="14851" max="15095" width="9.33203125" style="20"/>
    <col min="15096" max="15096" width="8.6640625" style="20" customWidth="1"/>
    <col min="15097" max="15097" width="9.664062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6640625" style="20" customWidth="1"/>
    <col min="15104" max="15104" width="11.33203125" style="20" customWidth="1"/>
    <col min="15105" max="15105" width="2.6640625" style="20" customWidth="1"/>
    <col min="15106" max="15106" width="3.5546875" style="20" customWidth="1"/>
    <col min="15107" max="15351" width="9.33203125" style="20"/>
    <col min="15352" max="15352" width="8.6640625" style="20" customWidth="1"/>
    <col min="15353" max="15353" width="9.664062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6640625" style="20" customWidth="1"/>
    <col min="15360" max="15360" width="11.33203125" style="20" customWidth="1"/>
    <col min="15361" max="15361" width="2.6640625" style="20" customWidth="1"/>
    <col min="15362" max="15362" width="3.5546875" style="20" customWidth="1"/>
    <col min="15363" max="15607" width="9.33203125" style="20"/>
    <col min="15608" max="15608" width="8.6640625" style="20" customWidth="1"/>
    <col min="15609" max="15609" width="9.664062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6640625" style="20" customWidth="1"/>
    <col min="15616" max="15616" width="11.33203125" style="20" customWidth="1"/>
    <col min="15617" max="15617" width="2.6640625" style="20" customWidth="1"/>
    <col min="15618" max="15618" width="3.5546875" style="20" customWidth="1"/>
    <col min="15619" max="15863" width="9.33203125" style="20"/>
    <col min="15864" max="15864" width="8.6640625" style="20" customWidth="1"/>
    <col min="15865" max="15865" width="9.664062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6640625" style="20" customWidth="1"/>
    <col min="15872" max="15872" width="11.33203125" style="20" customWidth="1"/>
    <col min="15873" max="15873" width="2.6640625" style="20" customWidth="1"/>
    <col min="15874" max="15874" width="3.5546875" style="20" customWidth="1"/>
    <col min="15875" max="16119" width="9.33203125" style="20"/>
    <col min="16120" max="16120" width="8.6640625" style="20" customWidth="1"/>
    <col min="16121" max="16121" width="9.664062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6640625" style="20" customWidth="1"/>
    <col min="16128" max="16128" width="11.33203125" style="20" customWidth="1"/>
    <col min="16129" max="16129" width="2.6640625" style="20" customWidth="1"/>
    <col min="16130" max="16130" width="3.5546875" style="20" customWidth="1"/>
    <col min="16131" max="16384" width="9.33203125" style="20"/>
  </cols>
  <sheetData>
    <row r="1" spans="1:12" ht="46.5" customHeight="1" x14ac:dyDescent="0.3">
      <c r="A1" s="205" t="s">
        <v>180</v>
      </c>
      <c r="B1" s="205"/>
      <c r="C1" s="205"/>
      <c r="D1" s="205"/>
      <c r="E1" s="205"/>
      <c r="F1" s="205"/>
      <c r="G1" s="205"/>
      <c r="H1" s="205"/>
    </row>
    <row r="2" spans="1:12" ht="16.5" customHeight="1" x14ac:dyDescent="0.3">
      <c r="A2" s="206" t="s">
        <v>0</v>
      </c>
      <c r="B2" s="206"/>
      <c r="C2" s="206"/>
      <c r="D2" s="206"/>
      <c r="E2" s="206"/>
      <c r="F2" s="206"/>
      <c r="G2" s="206"/>
      <c r="H2" s="206"/>
    </row>
    <row r="3" spans="1:12" x14ac:dyDescent="0.3">
      <c r="A3" s="176" t="s">
        <v>1</v>
      </c>
      <c r="B3" s="176"/>
      <c r="C3" s="176"/>
      <c r="D3" s="176"/>
      <c r="E3" s="176" t="str">
        <f ca="1">TEXT(TODAY(),"DD/MM/YYYY")</f>
        <v>15/09/2025</v>
      </c>
      <c r="F3" s="176"/>
      <c r="G3" s="176"/>
      <c r="H3" s="176"/>
    </row>
    <row r="4" spans="1:12" ht="15" customHeight="1" x14ac:dyDescent="0.3">
      <c r="A4" s="176" t="s">
        <v>2</v>
      </c>
      <c r="B4" s="176"/>
      <c r="C4" s="176"/>
      <c r="D4" s="176"/>
      <c r="E4" s="176" t="s">
        <v>166</v>
      </c>
      <c r="F4" s="176"/>
      <c r="G4" s="176"/>
      <c r="H4" s="176"/>
    </row>
    <row r="5" spans="1:12" x14ac:dyDescent="0.3">
      <c r="A5" s="176" t="s">
        <v>3</v>
      </c>
      <c r="B5" s="176"/>
      <c r="C5" s="176"/>
      <c r="D5" s="176"/>
      <c r="E5" s="207">
        <v>45908</v>
      </c>
      <c r="F5" s="176"/>
      <c r="G5" s="176"/>
      <c r="H5" s="176"/>
    </row>
    <row r="6" spans="1:12" ht="16.5" customHeight="1" x14ac:dyDescent="0.3">
      <c r="A6" s="176" t="s">
        <v>4</v>
      </c>
      <c r="B6" s="176"/>
      <c r="C6" s="176"/>
      <c r="D6" s="176"/>
      <c r="E6" s="176" t="s">
        <v>167</v>
      </c>
      <c r="F6" s="176"/>
      <c r="G6" s="176"/>
      <c r="H6" s="176"/>
    </row>
    <row r="7" spans="1:12" ht="15" customHeight="1" x14ac:dyDescent="0.3">
      <c r="A7" s="176" t="s">
        <v>5</v>
      </c>
      <c r="B7" s="176"/>
      <c r="C7" s="176"/>
      <c r="D7" s="176"/>
      <c r="E7" s="176" t="str">
        <f>E6</f>
        <v>Omkara Enterprises</v>
      </c>
      <c r="F7" s="176"/>
      <c r="G7" s="176"/>
      <c r="H7" s="176"/>
    </row>
    <row r="8" spans="1:12" x14ac:dyDescent="0.3">
      <c r="A8" s="176" t="s">
        <v>6</v>
      </c>
      <c r="B8" s="176"/>
      <c r="C8" s="176"/>
      <c r="D8" s="176"/>
      <c r="E8" s="148" t="s">
        <v>208</v>
      </c>
      <c r="F8" s="148"/>
      <c r="G8" s="148"/>
      <c r="H8" s="148"/>
    </row>
    <row r="9" spans="1:12" x14ac:dyDescent="0.3">
      <c r="A9" s="176" t="s">
        <v>161</v>
      </c>
      <c r="B9" s="176"/>
      <c r="C9" s="176"/>
      <c r="D9" s="176"/>
      <c r="E9" s="176" t="s">
        <v>181</v>
      </c>
      <c r="F9" s="176"/>
      <c r="G9" s="176"/>
      <c r="H9" s="176"/>
    </row>
    <row r="10" spans="1:12" x14ac:dyDescent="0.3">
      <c r="A10" s="176" t="s">
        <v>162</v>
      </c>
      <c r="B10" s="176"/>
      <c r="C10" s="176"/>
      <c r="D10" s="176"/>
      <c r="E10" s="88" t="s">
        <v>207</v>
      </c>
      <c r="F10" s="89"/>
      <c r="G10" s="89"/>
      <c r="H10" s="90"/>
      <c r="I10" s="88" t="s">
        <v>205</v>
      </c>
      <c r="J10" s="89"/>
      <c r="K10" s="89"/>
      <c r="L10" s="90"/>
    </row>
    <row r="11" spans="1:12" x14ac:dyDescent="0.3">
      <c r="A11" s="190" t="s">
        <v>7</v>
      </c>
      <c r="B11" s="191"/>
      <c r="C11" s="191"/>
      <c r="D11" s="192"/>
      <c r="E11" s="61" t="s">
        <v>209</v>
      </c>
      <c r="F11" s="88" t="s">
        <v>210</v>
      </c>
      <c r="G11" s="89"/>
      <c r="H11" s="90"/>
    </row>
    <row r="12" spans="1:12" x14ac:dyDescent="0.3">
      <c r="A12" s="193"/>
      <c r="B12" s="194"/>
      <c r="C12" s="194"/>
      <c r="D12" s="195"/>
      <c r="E12" s="61" t="s">
        <v>212</v>
      </c>
      <c r="F12" s="88" t="s">
        <v>211</v>
      </c>
      <c r="G12" s="89"/>
      <c r="H12" s="90"/>
    </row>
    <row r="13" spans="1:12" x14ac:dyDescent="0.3">
      <c r="A13" s="176" t="s">
        <v>163</v>
      </c>
      <c r="B13" s="176"/>
      <c r="C13" s="176"/>
      <c r="D13" s="176"/>
      <c r="E13" s="176" t="s">
        <v>28</v>
      </c>
      <c r="F13" s="176"/>
      <c r="G13" s="176"/>
      <c r="H13" s="176"/>
    </row>
    <row r="14" spans="1:12" ht="30.75" customHeight="1" x14ac:dyDescent="0.3">
      <c r="A14" s="83" t="s">
        <v>8</v>
      </c>
      <c r="B14" s="83"/>
      <c r="C14" s="83"/>
      <c r="D14" s="83"/>
      <c r="E14" s="132" t="s">
        <v>198</v>
      </c>
      <c r="F14" s="132"/>
      <c r="G14" s="132"/>
      <c r="H14" s="132"/>
      <c r="I14" s="62"/>
    </row>
    <row r="15" spans="1:12" x14ac:dyDescent="0.3">
      <c r="A15" s="196" t="s">
        <v>213</v>
      </c>
      <c r="B15" s="197"/>
      <c r="C15" s="197"/>
      <c r="D15" s="198"/>
      <c r="E15" s="188" t="s">
        <v>182</v>
      </c>
      <c r="F15" s="202"/>
      <c r="G15" s="188" t="s">
        <v>168</v>
      </c>
      <c r="H15" s="202"/>
    </row>
    <row r="16" spans="1:12" ht="32.25" customHeight="1" x14ac:dyDescent="0.3">
      <c r="A16" s="199"/>
      <c r="B16" s="200"/>
      <c r="C16" s="200"/>
      <c r="D16" s="201"/>
      <c r="E16" s="188" t="s">
        <v>215</v>
      </c>
      <c r="F16" s="202"/>
      <c r="G16" s="203" t="s">
        <v>214</v>
      </c>
      <c r="H16" s="204"/>
    </row>
    <row r="17" spans="1:8" ht="34.5" customHeight="1" x14ac:dyDescent="0.3">
      <c r="A17" s="154" t="s">
        <v>9</v>
      </c>
      <c r="B17" s="154"/>
      <c r="C17" s="154" t="str">
        <f>CONCATENATE((IF(OR(E8="",E8="NA"),"",E8)),", ",(IF(OR(A18="",A18="NA"),"",A18)),".",(IF(OR(C18="",C18="NA"),"",C18)),", near ",(IF(OR(C23="",C23="NA"),"",C23)),", ",(IF(OR(C20="",C20="NA"),"",C20)),", ",(IF(OR(C19="",C19="NA"),"",C19)),", ",(IF(OR(G20="",G20="NA"),"",G20)),", ",(IF(OR(C21="",C21="NA"),"",C21)),", ",(IF(OR(C22="",C22="NA"),"",C22)),", ",(IF(OR(G21="",G21="NA"),"",G21))," - ",(IF(OR(G22="",G22="NA"),"",G22)),".")</f>
        <v>Omkara Pride Phase 1 &amp; 2, Survey No.43/1/1 &amp; 43/1/4, near Kamdhenu Lifespaces Gardenia, Ghot Road, Ghot, Koyanavele, Taloja East, Panvel, Raigad - 410208.</v>
      </c>
      <c r="D17" s="154"/>
      <c r="E17" s="154"/>
      <c r="F17" s="154"/>
      <c r="G17" s="154"/>
      <c r="H17" s="154"/>
    </row>
    <row r="18" spans="1:8" x14ac:dyDescent="0.3">
      <c r="A18" s="132" t="s">
        <v>183</v>
      </c>
      <c r="B18" s="132"/>
      <c r="C18" s="132" t="s">
        <v>169</v>
      </c>
      <c r="D18" s="132"/>
      <c r="E18" s="132"/>
      <c r="F18" s="132"/>
      <c r="G18" s="132"/>
      <c r="H18" s="132"/>
    </row>
    <row r="19" spans="1:8" ht="15.75" customHeight="1" x14ac:dyDescent="0.3">
      <c r="A19" s="132" t="s">
        <v>157</v>
      </c>
      <c r="B19" s="132"/>
      <c r="C19" s="132" t="s">
        <v>186</v>
      </c>
      <c r="D19" s="132"/>
      <c r="E19" s="132"/>
      <c r="F19" s="132"/>
      <c r="G19" s="132"/>
      <c r="H19" s="132"/>
    </row>
    <row r="20" spans="1:8" ht="15.75" customHeight="1" x14ac:dyDescent="0.3">
      <c r="A20" s="154" t="s">
        <v>10</v>
      </c>
      <c r="B20" s="154"/>
      <c r="C20" s="176" t="s">
        <v>178</v>
      </c>
      <c r="D20" s="176"/>
      <c r="E20" s="154" t="s">
        <v>72</v>
      </c>
      <c r="F20" s="154"/>
      <c r="G20" s="132" t="s">
        <v>176</v>
      </c>
      <c r="H20" s="132"/>
    </row>
    <row r="21" spans="1:8" x14ac:dyDescent="0.3">
      <c r="A21" s="83" t="s">
        <v>12</v>
      </c>
      <c r="B21" s="83"/>
      <c r="C21" s="132" t="s">
        <v>187</v>
      </c>
      <c r="D21" s="132"/>
      <c r="E21" s="154" t="s">
        <v>11</v>
      </c>
      <c r="F21" s="154"/>
      <c r="G21" s="189" t="s">
        <v>175</v>
      </c>
      <c r="H21" s="189"/>
    </row>
    <row r="22" spans="1:8" x14ac:dyDescent="0.3">
      <c r="A22" s="83" t="s">
        <v>73</v>
      </c>
      <c r="B22" s="83"/>
      <c r="C22" s="132" t="s">
        <v>191</v>
      </c>
      <c r="D22" s="132"/>
      <c r="E22" s="154" t="s">
        <v>13</v>
      </c>
      <c r="F22" s="154"/>
      <c r="G22" s="132">
        <v>410208</v>
      </c>
      <c r="H22" s="132"/>
    </row>
    <row r="23" spans="1:8" ht="48.75" customHeight="1" x14ac:dyDescent="0.3">
      <c r="A23" s="83" t="s">
        <v>119</v>
      </c>
      <c r="B23" s="83"/>
      <c r="C23" s="132" t="s">
        <v>185</v>
      </c>
      <c r="D23" s="132"/>
      <c r="E23" s="154" t="s">
        <v>14</v>
      </c>
      <c r="F23" s="154"/>
      <c r="G23" s="132" t="s">
        <v>238</v>
      </c>
      <c r="H23" s="132"/>
    </row>
    <row r="24" spans="1:8" ht="15" customHeight="1" x14ac:dyDescent="0.3">
      <c r="A24" s="154" t="s">
        <v>75</v>
      </c>
      <c r="B24" s="154"/>
      <c r="C24" s="154"/>
      <c r="D24" s="154"/>
      <c r="E24" s="176" t="s">
        <v>15</v>
      </c>
      <c r="F24" s="176"/>
      <c r="G24" s="176"/>
      <c r="H24" s="176"/>
    </row>
    <row r="25" spans="1:8" ht="18.75" customHeight="1" x14ac:dyDescent="0.3">
      <c r="A25" s="154"/>
      <c r="B25" s="154"/>
      <c r="C25" s="154"/>
      <c r="D25" s="154"/>
      <c r="E25" s="176"/>
      <c r="F25" s="176"/>
      <c r="G25" s="176"/>
      <c r="H25" s="176"/>
    </row>
    <row r="26" spans="1:8" ht="15" customHeight="1" x14ac:dyDescent="0.3">
      <c r="A26" s="154" t="s">
        <v>16</v>
      </c>
      <c r="B26" s="154"/>
      <c r="C26" s="154"/>
      <c r="D26" s="154"/>
      <c r="E26" s="132" t="s">
        <v>17</v>
      </c>
      <c r="F26" s="132"/>
      <c r="G26" s="132"/>
      <c r="H26" s="132"/>
    </row>
    <row r="27" spans="1:8" ht="15" customHeight="1" x14ac:dyDescent="0.3">
      <c r="A27" s="83" t="s">
        <v>18</v>
      </c>
      <c r="B27" s="83"/>
      <c r="C27" s="83"/>
      <c r="D27" s="83"/>
      <c r="E27" s="132" t="str">
        <f>IF(AND(G21="Mumbai"),"Upper Class","Middle Class")</f>
        <v>Middle Class</v>
      </c>
      <c r="F27" s="132"/>
      <c r="G27" s="132"/>
      <c r="H27" s="132"/>
    </row>
    <row r="28" spans="1:8" x14ac:dyDescent="0.3">
      <c r="A28" s="83" t="s">
        <v>19</v>
      </c>
      <c r="B28" s="83"/>
      <c r="C28" s="83"/>
      <c r="D28" s="83"/>
      <c r="E28" s="132" t="s">
        <v>20</v>
      </c>
      <c r="F28" s="132"/>
      <c r="G28" s="132"/>
      <c r="H28" s="132"/>
    </row>
    <row r="29" spans="1:8" ht="15.75" customHeight="1" x14ac:dyDescent="0.3">
      <c r="A29" s="83" t="s">
        <v>21</v>
      </c>
      <c r="B29" s="83"/>
      <c r="C29" s="83"/>
      <c r="D29" s="83"/>
      <c r="E29" s="132" t="str">
        <f>IF(AND(G21="Mumbai"),"Developed","Developing")</f>
        <v>Developing</v>
      </c>
      <c r="F29" s="132"/>
      <c r="G29" s="132"/>
      <c r="H29" s="132"/>
    </row>
    <row r="30" spans="1:8" x14ac:dyDescent="0.3">
      <c r="A30" s="83" t="s">
        <v>22</v>
      </c>
      <c r="B30" s="83"/>
      <c r="C30" s="83"/>
      <c r="D30" s="83"/>
      <c r="E30" s="132" t="s">
        <v>23</v>
      </c>
      <c r="F30" s="132"/>
      <c r="G30" s="132"/>
      <c r="H30" s="132"/>
    </row>
    <row r="31" spans="1:8" ht="15.75" customHeight="1" x14ac:dyDescent="0.3">
      <c r="A31" s="83" t="s">
        <v>80</v>
      </c>
      <c r="B31" s="83"/>
      <c r="C31" s="83"/>
      <c r="D31" s="83"/>
      <c r="E31" s="132" t="s">
        <v>81</v>
      </c>
      <c r="F31" s="132"/>
      <c r="G31" s="132"/>
      <c r="H31" s="132"/>
    </row>
    <row r="32" spans="1:8" ht="15" customHeight="1" x14ac:dyDescent="0.3">
      <c r="A32" s="83" t="s">
        <v>31</v>
      </c>
      <c r="B32" s="83"/>
      <c r="C32" s="83"/>
      <c r="D32" s="83"/>
      <c r="E32" s="132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</v>
      </c>
      <c r="F32" s="132"/>
      <c r="G32" s="132"/>
      <c r="H32" s="132"/>
    </row>
    <row r="33" spans="1:12" ht="15.75" customHeight="1" x14ac:dyDescent="0.3">
      <c r="A33" s="83" t="s">
        <v>92</v>
      </c>
      <c r="B33" s="83"/>
      <c r="C33" s="83"/>
      <c r="D33" s="83"/>
      <c r="E33" s="132" t="s">
        <v>32</v>
      </c>
      <c r="F33" s="132"/>
      <c r="G33" s="132"/>
      <c r="H33" s="132"/>
    </row>
    <row r="34" spans="1:12" s="21" customFormat="1" x14ac:dyDescent="0.3">
      <c r="A34" s="187" t="s">
        <v>93</v>
      </c>
      <c r="B34" s="187"/>
      <c r="C34" s="184" t="s">
        <v>164</v>
      </c>
      <c r="D34" s="185"/>
      <c r="E34" s="186"/>
      <c r="F34" s="184" t="s">
        <v>29</v>
      </c>
      <c r="G34" s="185"/>
      <c r="H34" s="186"/>
    </row>
    <row r="35" spans="1:12" s="21" customFormat="1" x14ac:dyDescent="0.3">
      <c r="A35" s="167" t="s">
        <v>24</v>
      </c>
      <c r="B35" s="167" t="s">
        <v>28</v>
      </c>
      <c r="C35" s="188" t="s">
        <v>218</v>
      </c>
      <c r="D35" s="169"/>
      <c r="E35" s="170"/>
      <c r="F35" s="168" t="s">
        <v>185</v>
      </c>
      <c r="G35" s="169"/>
      <c r="H35" s="170"/>
    </row>
    <row r="36" spans="1:12" x14ac:dyDescent="0.3">
      <c r="A36" s="167" t="s">
        <v>25</v>
      </c>
      <c r="B36" s="167" t="s">
        <v>28</v>
      </c>
      <c r="C36" s="168" t="s">
        <v>219</v>
      </c>
      <c r="D36" s="169"/>
      <c r="E36" s="170"/>
      <c r="F36" s="168" t="s">
        <v>220</v>
      </c>
      <c r="G36" s="169"/>
      <c r="H36" s="170"/>
    </row>
    <row r="37" spans="1:12" s="21" customFormat="1" x14ac:dyDescent="0.3">
      <c r="A37" s="167" t="s">
        <v>27</v>
      </c>
      <c r="B37" s="167" t="s">
        <v>28</v>
      </c>
      <c r="C37" s="168" t="s">
        <v>216</v>
      </c>
      <c r="D37" s="169"/>
      <c r="E37" s="170"/>
      <c r="F37" s="168" t="s">
        <v>177</v>
      </c>
      <c r="G37" s="169"/>
      <c r="H37" s="170"/>
    </row>
    <row r="38" spans="1:12" x14ac:dyDescent="0.3">
      <c r="A38" s="167" t="s">
        <v>26</v>
      </c>
      <c r="B38" s="167" t="s">
        <v>28</v>
      </c>
      <c r="C38" s="168" t="s">
        <v>217</v>
      </c>
      <c r="D38" s="169"/>
      <c r="E38" s="170"/>
      <c r="F38" s="168" t="s">
        <v>178</v>
      </c>
      <c r="G38" s="169"/>
      <c r="H38" s="170"/>
    </row>
    <row r="39" spans="1:12" x14ac:dyDescent="0.3">
      <c r="A39" s="83" t="s">
        <v>30</v>
      </c>
      <c r="B39" s="83"/>
      <c r="C39" s="83"/>
      <c r="D39" s="83"/>
      <c r="E39" s="83"/>
      <c r="F39" s="83"/>
      <c r="G39" s="83"/>
      <c r="H39" s="83"/>
    </row>
    <row r="40" spans="1:12" ht="15.75" customHeight="1" x14ac:dyDescent="0.3">
      <c r="A40" s="83" t="s">
        <v>159</v>
      </c>
      <c r="B40" s="83"/>
      <c r="C40" s="148" t="s">
        <v>203</v>
      </c>
      <c r="D40" s="148"/>
      <c r="E40" s="148"/>
      <c r="F40" s="148"/>
      <c r="G40" s="148"/>
      <c r="H40" s="148"/>
      <c r="K40" s="92"/>
      <c r="L40" s="92"/>
    </row>
    <row r="41" spans="1:12" x14ac:dyDescent="0.3">
      <c r="A41" s="83" t="s">
        <v>156</v>
      </c>
      <c r="B41" s="83"/>
      <c r="C41" s="131" t="s">
        <v>184</v>
      </c>
      <c r="D41" s="132"/>
      <c r="E41" s="132"/>
      <c r="F41" s="132"/>
      <c r="G41" s="132"/>
      <c r="H41" s="132"/>
    </row>
    <row r="42" spans="1:12" x14ac:dyDescent="0.3">
      <c r="A42" s="130" t="s">
        <v>33</v>
      </c>
      <c r="B42" s="130"/>
      <c r="C42" s="130"/>
      <c r="D42" s="130"/>
      <c r="E42" s="130"/>
      <c r="F42" s="130"/>
      <c r="G42" s="130"/>
      <c r="H42" s="130"/>
    </row>
    <row r="43" spans="1:12" x14ac:dyDescent="0.3">
      <c r="A43" s="83" t="s">
        <v>34</v>
      </c>
      <c r="B43" s="83"/>
      <c r="C43" s="83"/>
      <c r="D43" s="83"/>
      <c r="E43" s="171">
        <v>11840</v>
      </c>
      <c r="F43" s="171"/>
      <c r="G43" s="171"/>
      <c r="H43" s="171"/>
    </row>
    <row r="44" spans="1:12" x14ac:dyDescent="0.3">
      <c r="A44" s="83" t="s">
        <v>35</v>
      </c>
      <c r="B44" s="83"/>
      <c r="C44" s="83"/>
      <c r="D44" s="83"/>
      <c r="E44" s="174">
        <v>1.1000000000000001</v>
      </c>
      <c r="F44" s="174"/>
      <c r="G44" s="174"/>
      <c r="H44" s="174"/>
    </row>
    <row r="45" spans="1:12" x14ac:dyDescent="0.3">
      <c r="A45" s="83" t="s">
        <v>36</v>
      </c>
      <c r="B45" s="83"/>
      <c r="C45" s="83"/>
      <c r="D45" s="83"/>
      <c r="E45" s="174">
        <f>E47/E43-E44</f>
        <v>1.7795924831081078</v>
      </c>
      <c r="F45" s="174"/>
      <c r="G45" s="174"/>
      <c r="H45" s="174"/>
    </row>
    <row r="46" spans="1:12" x14ac:dyDescent="0.3">
      <c r="A46" s="83" t="s">
        <v>37</v>
      </c>
      <c r="B46" s="83"/>
      <c r="C46" s="83"/>
      <c r="D46" s="83"/>
      <c r="E46" s="174">
        <f>E44+E45</f>
        <v>2.8795924831081079</v>
      </c>
      <c r="F46" s="174"/>
      <c r="G46" s="174"/>
      <c r="H46" s="174"/>
    </row>
    <row r="47" spans="1:12" x14ac:dyDescent="0.3">
      <c r="A47" s="83" t="s">
        <v>91</v>
      </c>
      <c r="B47" s="83"/>
      <c r="C47" s="83"/>
      <c r="D47" s="83"/>
      <c r="E47" s="175">
        <v>34094.375</v>
      </c>
      <c r="F47" s="175"/>
      <c r="G47" s="175"/>
      <c r="H47" s="175"/>
    </row>
    <row r="48" spans="1:12" x14ac:dyDescent="0.3">
      <c r="A48" s="176" t="s">
        <v>38</v>
      </c>
      <c r="B48" s="176"/>
      <c r="C48" s="176"/>
      <c r="D48" s="176"/>
      <c r="E48" s="176" t="s">
        <v>253</v>
      </c>
      <c r="F48" s="176"/>
      <c r="G48" s="176"/>
      <c r="H48" s="176"/>
    </row>
    <row r="49" spans="1:9" x14ac:dyDescent="0.3">
      <c r="A49" s="130" t="s">
        <v>39</v>
      </c>
      <c r="B49" s="130"/>
      <c r="C49" s="130"/>
      <c r="D49" s="130"/>
      <c r="E49" s="130"/>
      <c r="F49" s="130"/>
      <c r="G49" s="130"/>
      <c r="H49" s="130"/>
    </row>
    <row r="50" spans="1:9" ht="33.75" customHeight="1" x14ac:dyDescent="0.3">
      <c r="A50" s="68" t="s">
        <v>146</v>
      </c>
      <c r="B50" s="70"/>
      <c r="C50" s="133" t="s">
        <v>170</v>
      </c>
      <c r="D50" s="134"/>
      <c r="E50" s="134"/>
      <c r="F50" s="134"/>
      <c r="G50" s="134"/>
      <c r="H50" s="135"/>
    </row>
    <row r="51" spans="1:9" x14ac:dyDescent="0.3">
      <c r="A51" s="68" t="s">
        <v>40</v>
      </c>
      <c r="B51" s="70"/>
      <c r="C51" s="68" t="s">
        <v>221</v>
      </c>
      <c r="D51" s="69"/>
      <c r="E51" s="70"/>
      <c r="F51" s="17" t="s">
        <v>41</v>
      </c>
      <c r="G51" s="182">
        <v>45468</v>
      </c>
      <c r="H51" s="70"/>
    </row>
    <row r="52" spans="1:9" x14ac:dyDescent="0.3">
      <c r="A52" s="68" t="s">
        <v>42</v>
      </c>
      <c r="B52" s="70"/>
      <c r="C52" s="68" t="str">
        <f>C51</f>
        <v>CARPC/RB/2024/APL/00095</v>
      </c>
      <c r="D52" s="69"/>
      <c r="E52" s="70"/>
      <c r="F52" s="17" t="s">
        <v>41</v>
      </c>
      <c r="G52" s="182">
        <f>G51</f>
        <v>45468</v>
      </c>
      <c r="H52" s="183"/>
    </row>
    <row r="53" spans="1:9" s="22" customFormat="1" x14ac:dyDescent="0.3">
      <c r="A53" s="225" t="s">
        <v>188</v>
      </c>
      <c r="B53" s="226"/>
      <c r="C53" s="68" t="str">
        <f>C52</f>
        <v>CARPC/RB/2024/APL/00095</v>
      </c>
      <c r="D53" s="69"/>
      <c r="E53" s="70"/>
      <c r="F53" s="17" t="s">
        <v>41</v>
      </c>
      <c r="G53" s="182">
        <f>G52</f>
        <v>45468</v>
      </c>
      <c r="H53" s="183"/>
    </row>
    <row r="54" spans="1:9" s="22" customFormat="1" ht="30.75" customHeight="1" x14ac:dyDescent="0.3">
      <c r="A54" s="227"/>
      <c r="B54" s="228"/>
      <c r="C54" s="68" t="s">
        <v>254</v>
      </c>
      <c r="D54" s="69"/>
      <c r="E54" s="69"/>
      <c r="F54" s="69"/>
      <c r="G54" s="69"/>
      <c r="H54" s="70"/>
    </row>
    <row r="55" spans="1:9" s="22" customFormat="1" ht="15.75" customHeight="1" x14ac:dyDescent="0.3">
      <c r="A55" s="225" t="s">
        <v>249</v>
      </c>
      <c r="B55" s="226"/>
      <c r="C55" s="68" t="s">
        <v>250</v>
      </c>
      <c r="D55" s="69"/>
      <c r="E55" s="70"/>
      <c r="F55" s="17" t="s">
        <v>41</v>
      </c>
      <c r="G55" s="182">
        <v>45377</v>
      </c>
      <c r="H55" s="70"/>
    </row>
    <row r="56" spans="1:9" s="22" customFormat="1" ht="32.25" customHeight="1" x14ac:dyDescent="0.3">
      <c r="A56" s="227"/>
      <c r="B56" s="228"/>
      <c r="C56" s="68" t="s">
        <v>251</v>
      </c>
      <c r="D56" s="69"/>
      <c r="E56" s="69"/>
      <c r="F56" s="69"/>
      <c r="G56" s="69"/>
      <c r="H56" s="70"/>
    </row>
    <row r="57" spans="1:9" x14ac:dyDescent="0.3">
      <c r="A57" s="219" t="s">
        <v>43</v>
      </c>
      <c r="B57" s="220"/>
      <c r="C57" s="219" t="s">
        <v>103</v>
      </c>
      <c r="D57" s="221"/>
      <c r="E57" s="220"/>
      <c r="F57" s="44" t="s">
        <v>41</v>
      </c>
      <c r="G57" s="223" t="s">
        <v>28</v>
      </c>
      <c r="H57" s="224"/>
    </row>
    <row r="58" spans="1:9" x14ac:dyDescent="0.3">
      <c r="A58" s="222" t="s">
        <v>45</v>
      </c>
      <c r="B58" s="222"/>
      <c r="C58" s="222"/>
      <c r="D58" s="222"/>
      <c r="E58" s="222"/>
      <c r="F58" s="222"/>
      <c r="G58" s="222"/>
      <c r="H58" s="222"/>
    </row>
    <row r="59" spans="1:9" x14ac:dyDescent="0.3">
      <c r="A59" s="154" t="s">
        <v>90</v>
      </c>
      <c r="B59" s="154"/>
      <c r="C59" s="154"/>
      <c r="D59" s="218">
        <f>E47</f>
        <v>34094.375</v>
      </c>
      <c r="E59" s="83"/>
      <c r="F59" s="83"/>
      <c r="G59" s="83"/>
      <c r="H59" s="83"/>
    </row>
    <row r="60" spans="1:9" x14ac:dyDescent="0.3">
      <c r="A60" s="132" t="s">
        <v>46</v>
      </c>
      <c r="B60" s="176"/>
      <c r="C60" s="176"/>
      <c r="D60" s="176" t="s">
        <v>248</v>
      </c>
      <c r="E60" s="176"/>
      <c r="F60" s="176"/>
      <c r="G60" s="176"/>
      <c r="H60" s="176"/>
      <c r="I60" s="23"/>
    </row>
    <row r="61" spans="1:9" ht="33.75" customHeight="1" x14ac:dyDescent="0.3">
      <c r="A61" s="179" t="s">
        <v>47</v>
      </c>
      <c r="B61" s="180"/>
      <c r="C61" s="181"/>
      <c r="D61" s="177" t="s">
        <v>222</v>
      </c>
      <c r="E61" s="178"/>
      <c r="F61" s="178"/>
      <c r="G61" s="178"/>
      <c r="H61" s="178"/>
    </row>
    <row r="62" spans="1:9" ht="15.75" customHeight="1" x14ac:dyDescent="0.3">
      <c r="A62" s="179" t="s">
        <v>88</v>
      </c>
      <c r="B62" s="180"/>
      <c r="C62" s="181"/>
      <c r="D62" s="176" t="s">
        <v>223</v>
      </c>
      <c r="E62" s="176"/>
      <c r="F62" s="176"/>
      <c r="G62" s="176"/>
      <c r="H62" s="176"/>
    </row>
    <row r="63" spans="1:9" ht="15.75" customHeight="1" x14ac:dyDescent="0.3">
      <c r="A63" s="230"/>
      <c r="B63" s="231"/>
      <c r="C63" s="232"/>
      <c r="D63" s="176" t="s">
        <v>224</v>
      </c>
      <c r="E63" s="176"/>
      <c r="F63" s="176"/>
      <c r="G63" s="176"/>
      <c r="H63" s="176"/>
    </row>
    <row r="64" spans="1:9" ht="15.75" customHeight="1" x14ac:dyDescent="0.3">
      <c r="A64" s="233"/>
      <c r="B64" s="234"/>
      <c r="C64" s="235"/>
      <c r="D64" s="176" t="s">
        <v>225</v>
      </c>
      <c r="E64" s="176"/>
      <c r="F64" s="176"/>
      <c r="G64" s="176"/>
      <c r="H64" s="176"/>
    </row>
    <row r="65" spans="1:14" ht="33" customHeight="1" x14ac:dyDescent="0.3">
      <c r="A65" s="83" t="s">
        <v>44</v>
      </c>
      <c r="B65" s="83"/>
      <c r="C65" s="83"/>
      <c r="D65" s="172" t="s">
        <v>237</v>
      </c>
      <c r="E65" s="172"/>
      <c r="F65" s="172"/>
      <c r="G65" s="172"/>
      <c r="H65" s="172"/>
      <c r="J65" s="24"/>
      <c r="K65" s="23"/>
      <c r="N65" s="23"/>
    </row>
    <row r="66" spans="1:14" ht="15.75" customHeight="1" x14ac:dyDescent="0.3">
      <c r="A66" s="83" t="s">
        <v>86</v>
      </c>
      <c r="B66" s="83"/>
      <c r="C66" s="83"/>
      <c r="D66" s="173" t="str">
        <f>(IF(G57="NA","60 Years After Completion",IF(G57&lt;&gt;"NA",""&amp;60-ROUNDDOWN((E3-G57)/360,0)&amp;" Years"," ")))</f>
        <v>60 Years After Completion</v>
      </c>
      <c r="E66" s="173"/>
      <c r="F66" s="173"/>
      <c r="G66" s="173"/>
      <c r="H66" s="173"/>
      <c r="N66" s="23"/>
    </row>
    <row r="67" spans="1:14" ht="15.75" customHeight="1" x14ac:dyDescent="0.3">
      <c r="A67" s="83" t="s">
        <v>87</v>
      </c>
      <c r="B67" s="83"/>
      <c r="C67" s="83"/>
      <c r="D67" s="154" t="s">
        <v>23</v>
      </c>
      <c r="E67" s="154"/>
      <c r="F67" s="154"/>
      <c r="G67" s="154"/>
      <c r="H67" s="154"/>
      <c r="J67" s="25"/>
      <c r="K67" s="25"/>
    </row>
    <row r="68" spans="1:14" ht="65.25" customHeight="1" x14ac:dyDescent="0.3">
      <c r="A68" s="83" t="s">
        <v>74</v>
      </c>
      <c r="B68" s="83"/>
      <c r="C68" s="83"/>
      <c r="D68" s="132" t="s">
        <v>196</v>
      </c>
      <c r="E68" s="154"/>
      <c r="F68" s="154"/>
      <c r="G68" s="154"/>
      <c r="H68" s="154"/>
    </row>
    <row r="69" spans="1:14" x14ac:dyDescent="0.3">
      <c r="A69" s="154" t="s">
        <v>145</v>
      </c>
      <c r="B69" s="154"/>
      <c r="C69" s="154"/>
      <c r="D69" s="154" t="s">
        <v>28</v>
      </c>
      <c r="E69" s="154"/>
      <c r="F69" s="154"/>
      <c r="G69" s="154"/>
      <c r="H69" s="154"/>
      <c r="I69" s="26"/>
      <c r="J69" s="26"/>
      <c r="K69" s="26"/>
      <c r="L69" s="26"/>
      <c r="M69" s="26"/>
      <c r="N69" s="26"/>
    </row>
    <row r="70" spans="1:14" ht="15.75" customHeight="1" x14ac:dyDescent="0.3">
      <c r="A70" s="237" t="s">
        <v>85</v>
      </c>
      <c r="B70" s="237"/>
      <c r="C70" s="237"/>
      <c r="D70" s="177" t="str">
        <f ca="1">(IF(G76&gt;95%,"Nothing",IF(G76&gt;0%,"Cement, Aggregate, Steel, etc",IF(G76=0%,"Work not yet Started"))))</f>
        <v>Cement, Aggregate, Steel, etc</v>
      </c>
      <c r="E70" s="177"/>
      <c r="F70" s="177"/>
      <c r="G70" s="177"/>
      <c r="H70" s="177"/>
      <c r="J70" s="25"/>
    </row>
    <row r="71" spans="1:14" ht="33.75" customHeight="1" thickBot="1" x14ac:dyDescent="0.35">
      <c r="A71" s="236" t="s">
        <v>116</v>
      </c>
      <c r="B71" s="236"/>
      <c r="C71" s="236"/>
      <c r="D71" s="177" t="str">
        <f ca="1">(IF(D70="Nothing","Yes",IF(D70="Cement, Aggregate, Steel, etc","Under Construction",IF(D70="Work not yet Started","Work not yet Started"))))</f>
        <v>Under Construction</v>
      </c>
      <c r="E71" s="177"/>
      <c r="F71" s="177" t="str">
        <f ca="1">(IF(D70="Nothing","Yes",IF(D70="Cement, Aggregate, Steel, etc","Under Construction",IF(D70="Work not yet Started","Work not yet Started"))))</f>
        <v>Under Construction</v>
      </c>
      <c r="G71" s="177"/>
      <c r="H71" s="177"/>
    </row>
    <row r="72" spans="1:14" ht="15.75" customHeight="1" x14ac:dyDescent="0.3">
      <c r="A72" s="149" t="s">
        <v>137</v>
      </c>
      <c r="B72" s="150"/>
      <c r="C72" s="151" t="str">
        <f>D62</f>
        <v>Building No.1 (Wing A) = Gr + 1st to 14th Floor</v>
      </c>
      <c r="D72" s="152"/>
      <c r="E72" s="152"/>
      <c r="F72" s="152"/>
      <c r="G72" s="152"/>
      <c r="H72" s="153"/>
      <c r="I72" s="48" t="str">
        <f ca="1">IF(D85=100%,"All work Completed. Possession granted to the Building.",IF(D84=100%,"All work Completed, Waiting for OC",I73&amp;""&amp;I74&amp;""&amp;J73&amp;""&amp;J72&amp;" "&amp;J74))</f>
        <v>Excavation, Plinth, RCC Slab, Brickwork, Internal Plaster, External Plaster Completed, Flooring upto 13 Floor, Painting upto 12 Floor, Finishing upto 8 Floor Completed</v>
      </c>
      <c r="J72" s="49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Flooring upto 13 Floor, Painting upto 12 Floor, Finishing upto 8 Floor</v>
      </c>
    </row>
    <row r="73" spans="1:14" x14ac:dyDescent="0.3">
      <c r="A73" s="15" t="s">
        <v>139</v>
      </c>
      <c r="B73" s="46">
        <f>IF(AND(ISNUMBER(SEARCH("1B",C72))),1,IF(AND(ISNUMBER(SEARCH("2B",C72))),2,IF(AND(ISNUMBER(SEARCH("3B",C72))),3,IF(AND(ISNUMBER(SEARCH("4B",C72))),4,IF(ISNUMBER(SEARCH("5B",C72)),5,0)))))</f>
        <v>0</v>
      </c>
      <c r="C73" s="46" t="s">
        <v>71</v>
      </c>
      <c r="D73" s="46">
        <v>1</v>
      </c>
      <c r="E73" s="46" t="s">
        <v>70</v>
      </c>
      <c r="F73" s="46">
        <v>0</v>
      </c>
      <c r="G73" s="47" t="s">
        <v>79</v>
      </c>
      <c r="H73" s="16">
        <f ca="1">--TRIM(RIGHT(SUBSTITUTE(LEFT(C72,_xlfn.AGGREGATE(16,6,FIND({0,1,2,3,4,5,6,7,8,9},C72,ROW(INDIRECT("1:"&amp;LEN(C72)))),1))," ",REPT(" ",LEN(C72))),LEN(C72)))</f>
        <v>14</v>
      </c>
      <c r="I73" s="50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</v>
      </c>
      <c r="J73" s="51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47.4" customHeight="1" x14ac:dyDescent="0.3">
      <c r="A74" s="147" t="s">
        <v>89</v>
      </c>
      <c r="B74" s="148"/>
      <c r="C74" s="155" t="str">
        <f ca="1">I72</f>
        <v>Excavation, Plinth, RCC Slab, Brickwork, Internal Plaster, External Plaster Completed, Flooring upto 13 Floor, Painting upto 12 Floor, Finishing upto 8 Floor Completed</v>
      </c>
      <c r="D74" s="155"/>
      <c r="E74" s="155"/>
      <c r="F74" s="155"/>
      <c r="G74" s="155"/>
      <c r="H74" s="156"/>
      <c r="I74" s="50" t="str">
        <f ca="1">IF(I73&lt;&gt;""," Completed","")</f>
        <v xml:space="preserve"> Completed</v>
      </c>
      <c r="J74" s="51" t="str">
        <f ca="1">IF(J72&lt;&gt;"","Completed","")</f>
        <v>Completed</v>
      </c>
    </row>
    <row r="75" spans="1:14" ht="15.75" customHeight="1" x14ac:dyDescent="0.3">
      <c r="A75" s="142" t="s">
        <v>48</v>
      </c>
      <c r="B75" s="143"/>
      <c r="C75" s="42" t="s">
        <v>136</v>
      </c>
      <c r="D75" s="42" t="s">
        <v>82</v>
      </c>
      <c r="E75" s="143" t="s">
        <v>84</v>
      </c>
      <c r="F75" s="143"/>
      <c r="G75" s="143" t="s">
        <v>83</v>
      </c>
      <c r="H75" s="144"/>
      <c r="I75" s="13" t="s">
        <v>138</v>
      </c>
      <c r="J75" s="27">
        <f ca="1">H73*25%</f>
        <v>3.5</v>
      </c>
    </row>
    <row r="76" spans="1:14" x14ac:dyDescent="0.3">
      <c r="A76" s="142" t="s">
        <v>125</v>
      </c>
      <c r="B76" s="143"/>
      <c r="C76" s="54">
        <f ca="1">J77</f>
        <v>14</v>
      </c>
      <c r="D76" s="18">
        <f ca="1">((100/H73)*C76)/100</f>
        <v>1</v>
      </c>
      <c r="E76" s="136">
        <f ca="1">(((C77/H73*10)+(40/(D73+F73+H73)*C78)+(7.5/(H73)*C79)+(7.5/(H73)*C80)+(10/H73*C81)+(10/H73*C82)+(5/H73*C83)+(5/H73*C84)+(5/H73*C85))/100)</f>
        <v>0.91428571428571448</v>
      </c>
      <c r="F76" s="164"/>
      <c r="G76" s="136">
        <f ca="1">((((C76/H73)*20)+((C77/H73)*25)+(30/(H73+F73+D73)*C78)+(5/H73*C79)+(5/H73*C80)+(5/H73*C81)+(5/H73*C82)+(0/H73*C83)+(0/H73*C84)+(5/H73*C85))/100)</f>
        <v>0.9464285714285714</v>
      </c>
      <c r="H76" s="137"/>
      <c r="I76" s="13" t="s">
        <v>98</v>
      </c>
      <c r="J76" s="28">
        <f ca="1">H73*50%</f>
        <v>7</v>
      </c>
    </row>
    <row r="77" spans="1:14" x14ac:dyDescent="0.3">
      <c r="A77" s="142" t="s">
        <v>49</v>
      </c>
      <c r="B77" s="143"/>
      <c r="C77" s="55">
        <f ca="1">J85</f>
        <v>14</v>
      </c>
      <c r="D77" s="18">
        <f ca="1">((100/H73)*C77)/100</f>
        <v>1</v>
      </c>
      <c r="E77" s="138"/>
      <c r="F77" s="165"/>
      <c r="G77" s="138"/>
      <c r="H77" s="139"/>
      <c r="I77" s="13" t="s">
        <v>99</v>
      </c>
      <c r="J77" s="28">
        <f ca="1">H73</f>
        <v>14</v>
      </c>
    </row>
    <row r="78" spans="1:14" ht="15.75" customHeight="1" x14ac:dyDescent="0.3">
      <c r="A78" s="142" t="s">
        <v>126</v>
      </c>
      <c r="B78" s="143"/>
      <c r="C78" s="54">
        <v>15</v>
      </c>
      <c r="D78" s="18">
        <f ca="1">((100/(D73+F73+H73))*C78)/100</f>
        <v>1</v>
      </c>
      <c r="E78" s="138"/>
      <c r="F78" s="165"/>
      <c r="G78" s="138"/>
      <c r="H78" s="139"/>
      <c r="I78" s="13" t="s">
        <v>100</v>
      </c>
      <c r="J78" s="29">
        <f ca="1">(IF(B73&gt;1,(H73/(B73+2)),H73/4))</f>
        <v>3.5</v>
      </c>
    </row>
    <row r="79" spans="1:14" ht="15.75" customHeight="1" x14ac:dyDescent="0.3">
      <c r="A79" s="142" t="s">
        <v>133</v>
      </c>
      <c r="B79" s="143" t="s">
        <v>127</v>
      </c>
      <c r="C79" s="54">
        <v>14</v>
      </c>
      <c r="D79" s="18">
        <f ca="1">((100/H73)*C79)/100</f>
        <v>1</v>
      </c>
      <c r="E79" s="138"/>
      <c r="F79" s="165"/>
      <c r="G79" s="138"/>
      <c r="H79" s="139"/>
      <c r="I79" s="13" t="s">
        <v>101</v>
      </c>
      <c r="J79" s="29">
        <f ca="1">(IF(B73&gt;1,(H73/(B73+2)+J78),H73/4+J78))</f>
        <v>7</v>
      </c>
    </row>
    <row r="80" spans="1:14" ht="15.75" customHeight="1" x14ac:dyDescent="0.3">
      <c r="A80" s="142" t="s">
        <v>134</v>
      </c>
      <c r="B80" s="143" t="s">
        <v>127</v>
      </c>
      <c r="C80" s="54">
        <v>14</v>
      </c>
      <c r="D80" s="18">
        <f ca="1">((100/H73)*C80)/100</f>
        <v>1</v>
      </c>
      <c r="E80" s="138"/>
      <c r="F80" s="165"/>
      <c r="G80" s="138"/>
      <c r="H80" s="139"/>
      <c r="I80" s="13" t="s">
        <v>143</v>
      </c>
      <c r="J80" s="29">
        <f>(IF(B73&gt;1,(H73/(B73+2)+J79),0))</f>
        <v>0</v>
      </c>
    </row>
    <row r="81" spans="1:10" ht="15" customHeight="1" x14ac:dyDescent="0.3">
      <c r="A81" s="142" t="s">
        <v>132</v>
      </c>
      <c r="B81" s="143" t="s">
        <v>129</v>
      </c>
      <c r="C81" s="54">
        <v>14</v>
      </c>
      <c r="D81" s="18">
        <f ca="1">((100/(H73))*C81)/100</f>
        <v>1</v>
      </c>
      <c r="E81" s="138"/>
      <c r="F81" s="165"/>
      <c r="G81" s="138"/>
      <c r="H81" s="139"/>
      <c r="I81" s="13" t="s">
        <v>140</v>
      </c>
      <c r="J81" s="29">
        <f>(IF(B73&gt;2,(H73/(B73+2)+J80),0))</f>
        <v>0</v>
      </c>
    </row>
    <row r="82" spans="1:10" ht="15.75" customHeight="1" x14ac:dyDescent="0.3">
      <c r="A82" s="142" t="s">
        <v>128</v>
      </c>
      <c r="B82" s="143" t="s">
        <v>128</v>
      </c>
      <c r="C82" s="54">
        <v>13</v>
      </c>
      <c r="D82" s="18">
        <f ca="1">((100/H73)*C82)/100</f>
        <v>0.9285714285714286</v>
      </c>
      <c r="E82" s="138"/>
      <c r="F82" s="165"/>
      <c r="G82" s="138"/>
      <c r="H82" s="139"/>
      <c r="I82" s="13" t="s">
        <v>141</v>
      </c>
      <c r="J82" s="30">
        <f>(IF(B73&gt;3,(H73/(B73+2)+J81),0))</f>
        <v>0</v>
      </c>
    </row>
    <row r="83" spans="1:10" ht="15.75" customHeight="1" x14ac:dyDescent="0.3">
      <c r="A83" s="142" t="s">
        <v>135</v>
      </c>
      <c r="B83" s="143"/>
      <c r="C83" s="42">
        <v>12</v>
      </c>
      <c r="D83" s="18">
        <f ca="1">((100/H73)*C83)/100</f>
        <v>0.85714285714285721</v>
      </c>
      <c r="E83" s="138"/>
      <c r="F83" s="165"/>
      <c r="G83" s="138"/>
      <c r="H83" s="139"/>
      <c r="I83" s="13" t="s">
        <v>142</v>
      </c>
      <c r="J83" s="29">
        <f>(IF(B73&gt;4,(H73/(B73+2)+J82),0))</f>
        <v>0</v>
      </c>
    </row>
    <row r="84" spans="1:10" ht="15.75" customHeight="1" x14ac:dyDescent="0.3">
      <c r="A84" s="142" t="s">
        <v>130</v>
      </c>
      <c r="B84" s="143" t="s">
        <v>130</v>
      </c>
      <c r="C84" s="42">
        <v>8</v>
      </c>
      <c r="D84" s="18">
        <f ca="1">((100/(H73))*C84)/100</f>
        <v>0.57142857142857151</v>
      </c>
      <c r="E84" s="138"/>
      <c r="F84" s="165"/>
      <c r="G84" s="138"/>
      <c r="H84" s="139"/>
      <c r="I84" s="13" t="s">
        <v>144</v>
      </c>
      <c r="J84" s="29">
        <f ca="1">(IF(B73=1,(H73/(B73+3)+J79),IF(B73=0,(H73/4+J79),IF(B73&gt;1,0))))</f>
        <v>10.5</v>
      </c>
    </row>
    <row r="85" spans="1:10" ht="16.2" thickBot="1" x14ac:dyDescent="0.35">
      <c r="A85" s="145" t="s">
        <v>131</v>
      </c>
      <c r="B85" s="146"/>
      <c r="C85" s="43">
        <v>0</v>
      </c>
      <c r="D85" s="19">
        <f ca="1">((100/(H73))*C85)/100</f>
        <v>0</v>
      </c>
      <c r="E85" s="140"/>
      <c r="F85" s="166"/>
      <c r="G85" s="140"/>
      <c r="H85" s="141"/>
      <c r="I85" s="14" t="s">
        <v>102</v>
      </c>
      <c r="J85" s="31">
        <f ca="1">(IF(B73&gt;1.5,(H73/(B73+2)+J79+MAX(0,J80-J79)+MAX(0,J81-J80)+MAX(0,J82-J81)+MAX(0,J83-J82)+MAX(0,J84-J83)),IF(B73=1,(H73/(B73+3)+J84),IF(B73=0,H73/4+J84))))</f>
        <v>14</v>
      </c>
    </row>
    <row r="86" spans="1:10" ht="15.75" customHeight="1" x14ac:dyDescent="0.3">
      <c r="A86" s="149" t="s">
        <v>137</v>
      </c>
      <c r="B86" s="150"/>
      <c r="C86" s="151" t="str">
        <f>D63</f>
        <v>Building No.1 (Wing B) = Gr + 1st to 14th Floor</v>
      </c>
      <c r="D86" s="152"/>
      <c r="E86" s="152"/>
      <c r="F86" s="152"/>
      <c r="G86" s="152"/>
      <c r="H86" s="153"/>
      <c r="I86" s="48" t="str">
        <f ca="1">IF(D99=100%,"All work Completed. Possession granted to the Building.",IF(D98=100%,"All work Completed, Waiting for OC",I87&amp;""&amp;I88&amp;""&amp;J87&amp;""&amp;J86&amp;" "&amp;J88))</f>
        <v>Excavation, Plinth, RCC Slab, Brickwork, Internal Plaster Completed, External Plaster upto 13 Floor, Flooring upto 8 Floor, Painting upto 8 Floor Completed</v>
      </c>
      <c r="J86" s="49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External Plaster upto 13 Floor, Flooring upto 8 Floor, Painting upto 8 Floor</v>
      </c>
    </row>
    <row r="87" spans="1:10" x14ac:dyDescent="0.3">
      <c r="A87" s="15" t="s">
        <v>139</v>
      </c>
      <c r="B87" s="46">
        <f>IF(AND(ISNUMBER(SEARCH("1B",C86))),1,IF(AND(ISNUMBER(SEARCH("2B",C86))),2,IF(AND(ISNUMBER(SEARCH("3B",C86))),3,IF(AND(ISNUMBER(SEARCH("4B",C86))),4,IF(ISNUMBER(SEARCH("5B",C86)),5,0)))))</f>
        <v>0</v>
      </c>
      <c r="C87" s="46" t="s">
        <v>71</v>
      </c>
      <c r="D87" s="46">
        <v>1</v>
      </c>
      <c r="E87" s="46" t="s">
        <v>70</v>
      </c>
      <c r="F87" s="46">
        <v>0</v>
      </c>
      <c r="G87" s="47" t="s">
        <v>79</v>
      </c>
      <c r="H87" s="16">
        <f ca="1">--TRIM(RIGHT(SUBSTITUTE(LEFT(C86,_xlfn.AGGREGATE(16,6,FIND({0,1,2,3,4,5,6,7,8,9},C86,ROW(INDIRECT("1:"&amp;LEN(C86)))),1))," ",REPT(" ",LEN(C86))),LEN(C86)))</f>
        <v>14</v>
      </c>
      <c r="I87" s="50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</v>
      </c>
      <c r="J87" s="51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48" customHeight="1" x14ac:dyDescent="0.3">
      <c r="A88" s="147" t="s">
        <v>89</v>
      </c>
      <c r="B88" s="148"/>
      <c r="C88" s="155" t="str">
        <f ca="1">(IF($G$57="NA",I86,"All work Completed. OC Received."))</f>
        <v>Excavation, Plinth, RCC Slab, Brickwork, Internal Plaster Completed, External Plaster upto 13 Floor, Flooring upto 8 Floor, Painting upto 8 Floor Completed</v>
      </c>
      <c r="D88" s="155"/>
      <c r="E88" s="155"/>
      <c r="F88" s="155"/>
      <c r="G88" s="155"/>
      <c r="H88" s="156"/>
      <c r="I88" s="50" t="str">
        <f ca="1">IF(I87&lt;&gt;""," Completed","")</f>
        <v xml:space="preserve"> Completed</v>
      </c>
      <c r="J88" s="51" t="str">
        <f ca="1">IF(J86&lt;&gt;"","Completed","")</f>
        <v>Completed</v>
      </c>
    </row>
    <row r="89" spans="1:10" ht="15.75" customHeight="1" x14ac:dyDescent="0.3">
      <c r="A89" s="142" t="s">
        <v>48</v>
      </c>
      <c r="B89" s="143"/>
      <c r="C89" s="42" t="s">
        <v>136</v>
      </c>
      <c r="D89" s="42" t="s">
        <v>82</v>
      </c>
      <c r="E89" s="143" t="s">
        <v>84</v>
      </c>
      <c r="F89" s="143"/>
      <c r="G89" s="143" t="s">
        <v>83</v>
      </c>
      <c r="H89" s="144"/>
      <c r="I89" s="13" t="s">
        <v>138</v>
      </c>
      <c r="J89" s="27">
        <f ca="1">H87*25%</f>
        <v>3.5</v>
      </c>
    </row>
    <row r="90" spans="1:10" x14ac:dyDescent="0.3">
      <c r="A90" s="142" t="s">
        <v>125</v>
      </c>
      <c r="B90" s="143"/>
      <c r="C90" s="54">
        <f ca="1">J91</f>
        <v>14</v>
      </c>
      <c r="D90" s="18">
        <f ca="1">((100/H87)*C90)/100</f>
        <v>1</v>
      </c>
      <c r="E90" s="136">
        <f ca="1">(((C91/H87*10)+(40/(D87+F87+H87)*C92)+(7.5/(H87)*C93)+(7.5/(H87)*C94)+(10/H87*C95)+(10/H87*C96)+(5/H87*C97)+(5/H87*C98)+(5/H87*C99))/100)</f>
        <v>0.82857142857142863</v>
      </c>
      <c r="F90" s="164"/>
      <c r="G90" s="136">
        <f ca="1">((((C90/H87)*20)+((C91/H87)*25)+(30/(H87+F87+D87)*C92)+(5/H87*C93)+(5/H87*C94)+(5/H87*C95)+(5/H87*C96)+(0/H87*C97)+(0/H87*C98)+(5/H87*C99))/100)</f>
        <v>0.92500000000000004</v>
      </c>
      <c r="H90" s="137"/>
      <c r="I90" s="13" t="s">
        <v>98</v>
      </c>
      <c r="J90" s="28">
        <f ca="1">H87*50%</f>
        <v>7</v>
      </c>
    </row>
    <row r="91" spans="1:10" x14ac:dyDescent="0.3">
      <c r="A91" s="142" t="s">
        <v>49</v>
      </c>
      <c r="B91" s="143"/>
      <c r="C91" s="55">
        <f ca="1">J99</f>
        <v>14</v>
      </c>
      <c r="D91" s="18">
        <f ca="1">((100/H87)*C91)/100</f>
        <v>1</v>
      </c>
      <c r="E91" s="138"/>
      <c r="F91" s="165"/>
      <c r="G91" s="138"/>
      <c r="H91" s="139"/>
      <c r="I91" s="13" t="s">
        <v>99</v>
      </c>
      <c r="J91" s="28">
        <f ca="1">H87</f>
        <v>14</v>
      </c>
    </row>
    <row r="92" spans="1:10" ht="15.75" customHeight="1" x14ac:dyDescent="0.3">
      <c r="A92" s="142" t="s">
        <v>126</v>
      </c>
      <c r="B92" s="143"/>
      <c r="C92" s="54">
        <v>15</v>
      </c>
      <c r="D92" s="18">
        <f ca="1">((100/(D87+F87+H87))*C92)/100</f>
        <v>1</v>
      </c>
      <c r="E92" s="138"/>
      <c r="F92" s="165"/>
      <c r="G92" s="138"/>
      <c r="H92" s="139"/>
      <c r="I92" s="13" t="s">
        <v>100</v>
      </c>
      <c r="J92" s="29">
        <f ca="1">(IF(B87&gt;1,(H87/(B87+2)),H87/4))</f>
        <v>3.5</v>
      </c>
    </row>
    <row r="93" spans="1:10" ht="15.75" customHeight="1" x14ac:dyDescent="0.3">
      <c r="A93" s="142" t="s">
        <v>133</v>
      </c>
      <c r="B93" s="143" t="s">
        <v>127</v>
      </c>
      <c r="C93" s="54">
        <v>14</v>
      </c>
      <c r="D93" s="18">
        <f ca="1">((100/H87)*C93)/100</f>
        <v>1</v>
      </c>
      <c r="E93" s="138"/>
      <c r="F93" s="165"/>
      <c r="G93" s="138"/>
      <c r="H93" s="139"/>
      <c r="I93" s="13" t="s">
        <v>101</v>
      </c>
      <c r="J93" s="29">
        <f ca="1">(IF(B87&gt;1,(H87/(B87+2)+J92),H87/4+J92))</f>
        <v>7</v>
      </c>
    </row>
    <row r="94" spans="1:10" ht="15.75" customHeight="1" x14ac:dyDescent="0.3">
      <c r="A94" s="142" t="s">
        <v>134</v>
      </c>
      <c r="B94" s="143" t="s">
        <v>127</v>
      </c>
      <c r="C94" s="54">
        <v>14</v>
      </c>
      <c r="D94" s="18">
        <f ca="1">((100/H87)*C94)/100</f>
        <v>1</v>
      </c>
      <c r="E94" s="138"/>
      <c r="F94" s="165"/>
      <c r="G94" s="138"/>
      <c r="H94" s="139"/>
      <c r="I94" s="13" t="s">
        <v>143</v>
      </c>
      <c r="J94" s="29">
        <f>(IF(B87&gt;1,(H87/(B87+2)+J93),0))</f>
        <v>0</v>
      </c>
    </row>
    <row r="95" spans="1:10" ht="15" customHeight="1" x14ac:dyDescent="0.3">
      <c r="A95" s="142" t="s">
        <v>132</v>
      </c>
      <c r="B95" s="143" t="s">
        <v>129</v>
      </c>
      <c r="C95" s="54">
        <v>13</v>
      </c>
      <c r="D95" s="18">
        <f ca="1">((100/(H87))*C95)/100</f>
        <v>0.9285714285714286</v>
      </c>
      <c r="E95" s="138"/>
      <c r="F95" s="165"/>
      <c r="G95" s="138"/>
      <c r="H95" s="139"/>
      <c r="I95" s="13" t="s">
        <v>140</v>
      </c>
      <c r="J95" s="29">
        <f>(IF(B87&gt;2,(H87/(B87+2)+J94),0))</f>
        <v>0</v>
      </c>
    </row>
    <row r="96" spans="1:10" ht="15.75" customHeight="1" x14ac:dyDescent="0.3">
      <c r="A96" s="142" t="s">
        <v>128</v>
      </c>
      <c r="B96" s="143" t="s">
        <v>128</v>
      </c>
      <c r="C96" s="54">
        <v>8</v>
      </c>
      <c r="D96" s="18">
        <f ca="1">((100/H87)*C96)/100</f>
        <v>0.57142857142857151</v>
      </c>
      <c r="E96" s="138"/>
      <c r="F96" s="165"/>
      <c r="G96" s="138"/>
      <c r="H96" s="139"/>
      <c r="I96" s="13" t="s">
        <v>141</v>
      </c>
      <c r="J96" s="30">
        <f>(IF(B87&gt;3,(H87/(B87+2)+J95),0))</f>
        <v>0</v>
      </c>
    </row>
    <row r="97" spans="1:12" ht="15.75" customHeight="1" x14ac:dyDescent="0.3">
      <c r="A97" s="142" t="s">
        <v>135</v>
      </c>
      <c r="B97" s="143"/>
      <c r="C97" s="42">
        <v>8</v>
      </c>
      <c r="D97" s="18">
        <f ca="1">((100/H87)*C97)/100</f>
        <v>0.57142857142857151</v>
      </c>
      <c r="E97" s="138"/>
      <c r="F97" s="165"/>
      <c r="G97" s="138"/>
      <c r="H97" s="139"/>
      <c r="I97" s="13" t="s">
        <v>142</v>
      </c>
      <c r="J97" s="29">
        <f>(IF(B87&gt;4,(H87/(B87+2)+J96),0))</f>
        <v>0</v>
      </c>
    </row>
    <row r="98" spans="1:12" ht="15.75" customHeight="1" x14ac:dyDescent="0.3">
      <c r="A98" s="142" t="s">
        <v>130</v>
      </c>
      <c r="B98" s="143" t="s">
        <v>130</v>
      </c>
      <c r="C98" s="42">
        <v>0</v>
      </c>
      <c r="D98" s="18">
        <f ca="1">((100/(H87))*C98)/100</f>
        <v>0</v>
      </c>
      <c r="E98" s="138"/>
      <c r="F98" s="165"/>
      <c r="G98" s="138"/>
      <c r="H98" s="139"/>
      <c r="I98" s="13" t="s">
        <v>144</v>
      </c>
      <c r="J98" s="29">
        <f ca="1">(IF(B87=1,(H87/(B87+3)+J93),IF(B87=0,(H87/4+J93),IF(B87&gt;1,0))))</f>
        <v>10.5</v>
      </c>
    </row>
    <row r="99" spans="1:12" ht="16.2" thickBot="1" x14ac:dyDescent="0.35">
      <c r="A99" s="145" t="s">
        <v>131</v>
      </c>
      <c r="B99" s="146"/>
      <c r="C99" s="43">
        <v>0</v>
      </c>
      <c r="D99" s="19">
        <f ca="1">((100/(H87))*C99)/100</f>
        <v>0</v>
      </c>
      <c r="E99" s="140"/>
      <c r="F99" s="166"/>
      <c r="G99" s="140"/>
      <c r="H99" s="141"/>
      <c r="I99" s="14" t="s">
        <v>102</v>
      </c>
      <c r="J99" s="31">
        <f ca="1">(IF(B87&gt;1.5,(H87/(B87+2)+J93+MAX(0,J94-J93)+MAX(0,J95-J94)+MAX(0,J96-J95)+MAX(0,J97-J96)+MAX(0,J98-J97)),IF(B87=1,(H87/(B87+3)+J98),IF(B87=0,H87/4+J98))))</f>
        <v>14</v>
      </c>
    </row>
    <row r="100" spans="1:12" x14ac:dyDescent="0.3">
      <c r="A100" s="149" t="s">
        <v>137</v>
      </c>
      <c r="B100" s="150"/>
      <c r="C100" s="151" t="str">
        <f>D64</f>
        <v>Building No.2 (Wing C) = Gr + 1st to 14th Floor</v>
      </c>
      <c r="D100" s="152"/>
      <c r="E100" s="152"/>
      <c r="F100" s="152"/>
      <c r="G100" s="152"/>
      <c r="H100" s="153"/>
      <c r="I100" s="48" t="str">
        <f ca="1">IF(D113=100%,"All work Completed. Possession granted to the Building.",IF(D112=100%,"All work Completed, Waiting for OC",I101&amp;""&amp;I102&amp;""&amp;J101&amp;""&amp;J100&amp;" "&amp;J102))</f>
        <v>Excavation, Plinth Completed, RCC upto 14 Slab, Brickwork upto 8 Floor, Internal Plaster upto 4 Floor Completed</v>
      </c>
      <c r="J100" s="49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RCC upto 14 Slab, Brickwork upto 8 Floor, Internal Plaster upto 4 Floor</v>
      </c>
    </row>
    <row r="101" spans="1:12" x14ac:dyDescent="0.3">
      <c r="A101" s="15" t="s">
        <v>139</v>
      </c>
      <c r="B101" s="46">
        <f>IF(AND(ISNUMBER(SEARCH("1B",C100))),1,IF(AND(ISNUMBER(SEARCH("2B",C100))),2,IF(AND(ISNUMBER(SEARCH("3B",C100))),3,IF(AND(ISNUMBER(SEARCH("4B",C100))),4,IF(ISNUMBER(SEARCH("5B",C100)),5,0)))))</f>
        <v>0</v>
      </c>
      <c r="C101" s="46" t="s">
        <v>71</v>
      </c>
      <c r="D101" s="46">
        <v>1</v>
      </c>
      <c r="E101" s="46" t="s">
        <v>70</v>
      </c>
      <c r="F101" s="46">
        <v>0</v>
      </c>
      <c r="G101" s="47" t="s">
        <v>79</v>
      </c>
      <c r="H101" s="16">
        <f ca="1">--TRIM(RIGHT(SUBSTITUTE(LEFT(C100,_xlfn.AGGREGATE(16,6,FIND({0,1,2,3,4,5,6,7,8,9},C100,ROW(INDIRECT("1:"&amp;LEN(C100)))),1))," ",REPT(" ",LEN(C100))),LEN(C100)))</f>
        <v>14</v>
      </c>
      <c r="I101" s="50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</v>
      </c>
      <c r="J101" s="51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  <c r="L101" s="60">
        <v>45155</v>
      </c>
    </row>
    <row r="102" spans="1:12" ht="31.5" customHeight="1" x14ac:dyDescent="0.3">
      <c r="A102" s="147" t="s">
        <v>89</v>
      </c>
      <c r="B102" s="148"/>
      <c r="C102" s="155" t="str">
        <f ca="1">(IF($G$57="NA",I100,"All work Completed. OC Received."))</f>
        <v>Excavation, Plinth Completed, RCC upto 14 Slab, Brickwork upto 8 Floor, Internal Plaster upto 4 Floor Completed</v>
      </c>
      <c r="D102" s="155"/>
      <c r="E102" s="155"/>
      <c r="F102" s="155"/>
      <c r="G102" s="155"/>
      <c r="H102" s="156"/>
      <c r="I102" s="50" t="str">
        <f ca="1">IF(I101&lt;&gt;""," Completed","")</f>
        <v xml:space="preserve"> Completed</v>
      </c>
      <c r="J102" s="51" t="str">
        <f ca="1">IF(J100&lt;&gt;"","Completed","")</f>
        <v>Completed</v>
      </c>
    </row>
    <row r="103" spans="1:12" x14ac:dyDescent="0.3">
      <c r="A103" s="142" t="s">
        <v>48</v>
      </c>
      <c r="B103" s="143"/>
      <c r="C103" s="42" t="s">
        <v>136</v>
      </c>
      <c r="D103" s="42" t="s">
        <v>82</v>
      </c>
      <c r="E103" s="143" t="s">
        <v>84</v>
      </c>
      <c r="F103" s="143"/>
      <c r="G103" s="143" t="s">
        <v>83</v>
      </c>
      <c r="H103" s="144"/>
      <c r="I103" s="13" t="s">
        <v>138</v>
      </c>
      <c r="J103" s="27">
        <f ca="1">H101*25%</f>
        <v>3.5</v>
      </c>
    </row>
    <row r="104" spans="1:12" s="32" customFormat="1" x14ac:dyDescent="0.3">
      <c r="A104" s="142" t="s">
        <v>125</v>
      </c>
      <c r="B104" s="143"/>
      <c r="C104" s="54">
        <f ca="1">J105</f>
        <v>14</v>
      </c>
      <c r="D104" s="18">
        <f ca="1">((100/H101)*C104)/100</f>
        <v>1</v>
      </c>
      <c r="E104" s="136">
        <f ca="1">(((C105/H101*10)+(40/(D101+F101+H101)*C106)+(7.5/(H101)*C107)+(7.5/(H101)*C108)+(10/H101*C109)+(10/H101*C110)+(5/H101*C111)+(5/H101*C112)+(5/H101*C113))/100)</f>
        <v>0.53761904761904755</v>
      </c>
      <c r="F104" s="164"/>
      <c r="G104" s="136">
        <f ca="1">((((C104/H101)*20)+((C105/H101)*25)+(30/(H101+F101+D101)*C106)+(5/H101*C107)+(5/H101*C108)+(5/H101*C109)+(5/H101*C110)+(0/H101*C111)+(0/H101*C112)+(5/H101*C113))/100)</f>
        <v>0.77285714285714291</v>
      </c>
      <c r="H104" s="137"/>
      <c r="I104" s="13" t="s">
        <v>98</v>
      </c>
      <c r="J104" s="28">
        <f ca="1">H101*50%</f>
        <v>7</v>
      </c>
      <c r="K104" s="20"/>
    </row>
    <row r="105" spans="1:12" s="32" customFormat="1" x14ac:dyDescent="0.3">
      <c r="A105" s="142" t="s">
        <v>49</v>
      </c>
      <c r="B105" s="143"/>
      <c r="C105" s="55">
        <f ca="1">J113</f>
        <v>14</v>
      </c>
      <c r="D105" s="18">
        <f ca="1">((100/H101)*C105)/100</f>
        <v>1</v>
      </c>
      <c r="E105" s="138"/>
      <c r="F105" s="165"/>
      <c r="G105" s="138"/>
      <c r="H105" s="139"/>
      <c r="I105" s="13" t="s">
        <v>99</v>
      </c>
      <c r="J105" s="28">
        <f ca="1">H101</f>
        <v>14</v>
      </c>
      <c r="K105" s="20"/>
    </row>
    <row r="106" spans="1:12" s="32" customFormat="1" x14ac:dyDescent="0.3">
      <c r="A106" s="142" t="s">
        <v>126</v>
      </c>
      <c r="B106" s="143"/>
      <c r="C106" s="54">
        <v>14</v>
      </c>
      <c r="D106" s="18">
        <f ca="1">((100/(D101+F101+H101))*C106)/100</f>
        <v>0.93333333333333346</v>
      </c>
      <c r="E106" s="138"/>
      <c r="F106" s="165"/>
      <c r="G106" s="138"/>
      <c r="H106" s="139"/>
      <c r="I106" s="13" t="s">
        <v>100</v>
      </c>
      <c r="J106" s="29">
        <f ca="1">(IF(B101&gt;1,(H101/(B101+2)),H101/4))</f>
        <v>3.5</v>
      </c>
      <c r="K106" s="20"/>
    </row>
    <row r="107" spans="1:12" s="32" customFormat="1" x14ac:dyDescent="0.3">
      <c r="A107" s="142" t="s">
        <v>133</v>
      </c>
      <c r="B107" s="143" t="s">
        <v>127</v>
      </c>
      <c r="C107" s="54">
        <v>8</v>
      </c>
      <c r="D107" s="18">
        <f ca="1">((100/H101)*C107)/100</f>
        <v>0.57142857142857151</v>
      </c>
      <c r="E107" s="138"/>
      <c r="F107" s="165"/>
      <c r="G107" s="138"/>
      <c r="H107" s="139"/>
      <c r="I107" s="13" t="s">
        <v>101</v>
      </c>
      <c r="J107" s="29">
        <f ca="1">(IF(B101&gt;1,(H101/(B101+2)+J106),H101/4+J106))</f>
        <v>7</v>
      </c>
      <c r="K107" s="20"/>
    </row>
    <row r="108" spans="1:12" s="32" customFormat="1" x14ac:dyDescent="0.3">
      <c r="A108" s="142" t="s">
        <v>134</v>
      </c>
      <c r="B108" s="143" t="s">
        <v>127</v>
      </c>
      <c r="C108" s="54">
        <v>4</v>
      </c>
      <c r="D108" s="18">
        <f ca="1">((100/H101)*C108)/100</f>
        <v>0.28571428571428575</v>
      </c>
      <c r="E108" s="138"/>
      <c r="F108" s="165"/>
      <c r="G108" s="138"/>
      <c r="H108" s="139"/>
      <c r="I108" s="13" t="s">
        <v>143</v>
      </c>
      <c r="J108" s="29">
        <f>(IF(B101&gt;1,(H101/(B101+2)+J107),0))</f>
        <v>0</v>
      </c>
      <c r="K108" s="20"/>
    </row>
    <row r="109" spans="1:12" s="32" customFormat="1" x14ac:dyDescent="0.3">
      <c r="A109" s="142" t="s">
        <v>132</v>
      </c>
      <c r="B109" s="143" t="s">
        <v>129</v>
      </c>
      <c r="C109" s="54">
        <v>0</v>
      </c>
      <c r="D109" s="18">
        <f ca="1">((100/(H101))*C109)/100</f>
        <v>0</v>
      </c>
      <c r="E109" s="138"/>
      <c r="F109" s="165"/>
      <c r="G109" s="138"/>
      <c r="H109" s="139"/>
      <c r="I109" s="13" t="s">
        <v>140</v>
      </c>
      <c r="J109" s="29">
        <f>(IF(B101&gt;2,(H101/(B101+2)+J108),0))</f>
        <v>0</v>
      </c>
      <c r="K109" s="20"/>
    </row>
    <row r="110" spans="1:12" s="32" customFormat="1" x14ac:dyDescent="0.3">
      <c r="A110" s="142" t="s">
        <v>128</v>
      </c>
      <c r="B110" s="143" t="s">
        <v>128</v>
      </c>
      <c r="C110" s="54">
        <v>0</v>
      </c>
      <c r="D110" s="18">
        <f ca="1">((100/H101)*C110)/100</f>
        <v>0</v>
      </c>
      <c r="E110" s="138"/>
      <c r="F110" s="165"/>
      <c r="G110" s="138"/>
      <c r="H110" s="139"/>
      <c r="I110" s="13" t="s">
        <v>141</v>
      </c>
      <c r="J110" s="30">
        <f>(IF(B101&gt;3,(H101/(B101+2)+J109),0))</f>
        <v>0</v>
      </c>
      <c r="K110" s="20"/>
    </row>
    <row r="111" spans="1:12" s="32" customFormat="1" x14ac:dyDescent="0.3">
      <c r="A111" s="142" t="s">
        <v>135</v>
      </c>
      <c r="B111" s="143"/>
      <c r="C111" s="42">
        <v>0</v>
      </c>
      <c r="D111" s="18">
        <f ca="1">((100/H101)*C111)/100</f>
        <v>0</v>
      </c>
      <c r="E111" s="138"/>
      <c r="F111" s="165"/>
      <c r="G111" s="138"/>
      <c r="H111" s="139"/>
      <c r="I111" s="13" t="s">
        <v>142</v>
      </c>
      <c r="J111" s="29">
        <f>(IF(B101&gt;4,(H101/(B101+2)+J110),0))</f>
        <v>0</v>
      </c>
      <c r="K111" s="20"/>
    </row>
    <row r="112" spans="1:12" x14ac:dyDescent="0.3">
      <c r="A112" s="142" t="s">
        <v>130</v>
      </c>
      <c r="B112" s="143" t="s">
        <v>130</v>
      </c>
      <c r="C112" s="42">
        <v>0</v>
      </c>
      <c r="D112" s="18">
        <f ca="1">((100/(H101))*C112)/100</f>
        <v>0</v>
      </c>
      <c r="E112" s="138"/>
      <c r="F112" s="165"/>
      <c r="G112" s="138"/>
      <c r="H112" s="139"/>
      <c r="I112" s="13" t="s">
        <v>144</v>
      </c>
      <c r="J112" s="29">
        <f ca="1">(IF(B101=1,(H101/(B101+3)+J107),IF(B101=0,(H101/4+J107),IF(B101&gt;1,0))))</f>
        <v>10.5</v>
      </c>
    </row>
    <row r="113" spans="1:15" s="33" customFormat="1" ht="16.2" thickBot="1" x14ac:dyDescent="0.35">
      <c r="A113" s="145" t="s">
        <v>131</v>
      </c>
      <c r="B113" s="146"/>
      <c r="C113" s="43">
        <v>0</v>
      </c>
      <c r="D113" s="19">
        <f ca="1">((100/(H101))*C113)/100</f>
        <v>0</v>
      </c>
      <c r="E113" s="140"/>
      <c r="F113" s="166"/>
      <c r="G113" s="140"/>
      <c r="H113" s="141"/>
      <c r="I113" s="14" t="s">
        <v>102</v>
      </c>
      <c r="J113" s="31">
        <f ca="1">(IF(B101&gt;1.5,(H101/(B101+2)+J107+MAX(0,J108-J107)+MAX(0,J109-J108)+MAX(0,J110-J109)+MAX(0,J111-J110)+MAX(0,J112-J111)),IF(B101=1,(H101/(B101+3)+J112),IF(B101=0,H101/4+J112))))</f>
        <v>14</v>
      </c>
      <c r="K113" s="20"/>
    </row>
    <row r="114" spans="1:15" s="34" customFormat="1" x14ac:dyDescent="0.3">
      <c r="A114" s="229" t="s">
        <v>150</v>
      </c>
      <c r="B114" s="229"/>
      <c r="C114" s="229"/>
      <c r="D114" s="229"/>
      <c r="E114" s="229"/>
      <c r="F114" s="159" t="s">
        <v>154</v>
      </c>
      <c r="G114" s="159"/>
      <c r="H114" s="159"/>
      <c r="I114" s="20"/>
      <c r="J114" s="20"/>
      <c r="K114" s="20"/>
    </row>
    <row r="115" spans="1:15" s="34" customFormat="1" ht="15.75" customHeight="1" x14ac:dyDescent="0.3">
      <c r="A115" s="83" t="s">
        <v>152</v>
      </c>
      <c r="B115" s="83"/>
      <c r="C115" s="83"/>
      <c r="D115" s="83"/>
      <c r="E115" s="83"/>
      <c r="F115" s="84">
        <v>5400</v>
      </c>
      <c r="G115" s="84"/>
      <c r="H115" s="84"/>
      <c r="I115" s="59" t="s">
        <v>202</v>
      </c>
      <c r="J115" s="59" t="s">
        <v>200</v>
      </c>
      <c r="K115" s="59" t="s">
        <v>201</v>
      </c>
    </row>
    <row r="116" spans="1:15" s="34" customFormat="1" hidden="1" x14ac:dyDescent="0.3">
      <c r="A116" s="83" t="s">
        <v>151</v>
      </c>
      <c r="B116" s="83"/>
      <c r="C116" s="83"/>
      <c r="D116" s="83"/>
      <c r="E116" s="83"/>
      <c r="F116" s="84"/>
      <c r="G116" s="84"/>
      <c r="H116" s="84"/>
      <c r="I116" s="20"/>
      <c r="J116" s="20"/>
      <c r="K116" s="20"/>
    </row>
    <row r="117" spans="1:15" s="34" customFormat="1" hidden="1" x14ac:dyDescent="0.3">
      <c r="A117" s="83" t="s">
        <v>153</v>
      </c>
      <c r="B117" s="83"/>
      <c r="C117" s="83"/>
      <c r="D117" s="83"/>
      <c r="E117" s="83"/>
      <c r="F117" s="84"/>
      <c r="G117" s="84"/>
      <c r="H117" s="84"/>
      <c r="I117" s="20"/>
      <c r="J117" s="20"/>
      <c r="K117" s="20"/>
    </row>
    <row r="118" spans="1:15" s="34" customFormat="1" hidden="1" x14ac:dyDescent="0.25">
      <c r="A118" s="83" t="s">
        <v>165</v>
      </c>
      <c r="B118" s="83"/>
      <c r="C118" s="83"/>
      <c r="D118" s="83"/>
      <c r="E118" s="83"/>
      <c r="F118" s="84"/>
      <c r="G118" s="84"/>
      <c r="H118" s="84"/>
      <c r="I118" s="32"/>
      <c r="J118" s="32"/>
      <c r="K118" s="32"/>
    </row>
    <row r="119" spans="1:15" s="33" customFormat="1" x14ac:dyDescent="0.3">
      <c r="A119" s="83" t="s">
        <v>197</v>
      </c>
      <c r="B119" s="83"/>
      <c r="C119" s="83"/>
      <c r="D119" s="83"/>
      <c r="E119" s="83"/>
      <c r="F119" s="84">
        <v>300000</v>
      </c>
      <c r="G119" s="84"/>
      <c r="H119" s="84"/>
      <c r="I119" s="32"/>
      <c r="J119" s="32"/>
      <c r="K119" s="32"/>
    </row>
    <row r="120" spans="1:15" hidden="1" x14ac:dyDescent="0.3">
      <c r="A120" s="83" t="s">
        <v>94</v>
      </c>
      <c r="B120" s="83"/>
      <c r="C120" s="83"/>
      <c r="D120" s="83"/>
      <c r="E120" s="83"/>
      <c r="F120" s="84">
        <v>100000</v>
      </c>
      <c r="G120" s="84"/>
      <c r="H120" s="84"/>
      <c r="I120" s="32"/>
      <c r="J120" s="32"/>
      <c r="K120" s="32"/>
    </row>
    <row r="121" spans="1:15" ht="47.25" hidden="1" customHeight="1" x14ac:dyDescent="0.3">
      <c r="A121" s="83" t="s">
        <v>155</v>
      </c>
      <c r="B121" s="83"/>
      <c r="C121" s="83"/>
      <c r="D121" s="83"/>
      <c r="E121" s="83"/>
      <c r="F121" s="84"/>
      <c r="G121" s="84"/>
      <c r="H121" s="84"/>
      <c r="I121" s="32"/>
      <c r="J121" s="32"/>
      <c r="K121" s="32"/>
    </row>
    <row r="122" spans="1:15" s="36" customFormat="1" hidden="1" x14ac:dyDescent="0.25">
      <c r="A122" s="83" t="s">
        <v>95</v>
      </c>
      <c r="B122" s="83"/>
      <c r="C122" s="83"/>
      <c r="D122" s="83"/>
      <c r="E122" s="83"/>
      <c r="F122" s="84"/>
      <c r="G122" s="84"/>
      <c r="H122" s="84"/>
      <c r="I122" s="32"/>
      <c r="J122" s="32"/>
      <c r="K122" s="32"/>
    </row>
    <row r="123" spans="1:15" s="36" customFormat="1" hidden="1" x14ac:dyDescent="0.25">
      <c r="A123" s="83" t="s">
        <v>96</v>
      </c>
      <c r="B123" s="83"/>
      <c r="C123" s="83"/>
      <c r="D123" s="83"/>
      <c r="E123" s="83"/>
      <c r="F123" s="84"/>
      <c r="G123" s="84"/>
      <c r="H123" s="84"/>
      <c r="I123" s="32"/>
      <c r="J123" s="32"/>
      <c r="K123" s="32"/>
      <c r="L123" s="157"/>
      <c r="M123" s="157"/>
      <c r="N123" s="35"/>
    </row>
    <row r="124" spans="1:15" s="36" customFormat="1" hidden="1" x14ac:dyDescent="0.25">
      <c r="A124" s="83" t="s">
        <v>97</v>
      </c>
      <c r="B124" s="83"/>
      <c r="C124" s="83"/>
      <c r="D124" s="83"/>
      <c r="E124" s="83"/>
      <c r="F124" s="84">
        <v>50000</v>
      </c>
      <c r="G124" s="84"/>
      <c r="H124" s="84"/>
      <c r="I124" s="32"/>
      <c r="J124" s="32"/>
      <c r="K124" s="32"/>
      <c r="L124" s="157" t="s">
        <v>195</v>
      </c>
      <c r="M124" s="157"/>
      <c r="N124" s="35"/>
      <c r="O124" s="35"/>
    </row>
    <row r="125" spans="1:15" s="36" customFormat="1" x14ac:dyDescent="0.25">
      <c r="A125" s="83" t="s">
        <v>192</v>
      </c>
      <c r="B125" s="83"/>
      <c r="C125" s="83"/>
      <c r="D125" s="83"/>
      <c r="E125" s="83"/>
      <c r="F125" s="84">
        <v>50000</v>
      </c>
      <c r="G125" s="84"/>
      <c r="H125" s="84"/>
      <c r="I125" s="32"/>
      <c r="J125" s="32"/>
      <c r="K125" s="32"/>
      <c r="L125" s="158"/>
      <c r="M125" s="158"/>
      <c r="N125" s="35"/>
    </row>
    <row r="126" spans="1:15" s="36" customFormat="1" ht="15.75" customHeight="1" x14ac:dyDescent="0.3">
      <c r="A126" s="83" t="s">
        <v>50</v>
      </c>
      <c r="B126" s="83"/>
      <c r="C126" s="83"/>
      <c r="D126" s="83"/>
      <c r="E126" s="83"/>
      <c r="F126" s="84">
        <v>300000</v>
      </c>
      <c r="G126" s="84"/>
      <c r="H126" s="84"/>
      <c r="I126" s="20"/>
      <c r="J126" s="20"/>
      <c r="K126" s="20"/>
      <c r="L126" s="157"/>
      <c r="M126" s="157"/>
    </row>
    <row r="127" spans="1:15" s="36" customFormat="1" x14ac:dyDescent="0.3">
      <c r="A127" s="130" t="s">
        <v>51</v>
      </c>
      <c r="B127" s="130"/>
      <c r="C127" s="130"/>
      <c r="D127" s="130"/>
      <c r="E127" s="130"/>
      <c r="F127" s="84">
        <f>F115*0.8</f>
        <v>4320</v>
      </c>
      <c r="G127" s="84"/>
      <c r="H127" s="84"/>
      <c r="I127" s="33"/>
      <c r="J127" s="33"/>
      <c r="K127" s="33"/>
      <c r="L127" s="36">
        <f>3200000/F143</f>
        <v>4746.5334101144454</v>
      </c>
      <c r="M127" s="57">
        <f>5400000/F143</f>
        <v>8009.7751295681273</v>
      </c>
      <c r="N127" s="57"/>
    </row>
    <row r="128" spans="1:15" s="36" customFormat="1" x14ac:dyDescent="0.3">
      <c r="A128" s="208" t="s">
        <v>69</v>
      </c>
      <c r="B128" s="208"/>
      <c r="C128" s="208"/>
      <c r="D128" s="208"/>
      <c r="E128" s="208"/>
      <c r="F128" s="208"/>
      <c r="G128" s="208"/>
      <c r="H128" s="208"/>
      <c r="I128" s="34"/>
      <c r="J128" s="34"/>
      <c r="K128" s="34"/>
      <c r="N128" s="35"/>
    </row>
    <row r="129" spans="1:14" s="36" customFormat="1" x14ac:dyDescent="0.3">
      <c r="A129" s="162" t="s">
        <v>52</v>
      </c>
      <c r="B129" s="162"/>
      <c r="C129" s="215" t="s">
        <v>77</v>
      </c>
      <c r="D129" s="215"/>
      <c r="E129" s="216" t="s">
        <v>53</v>
      </c>
      <c r="F129" s="216"/>
      <c r="G129" s="162" t="s">
        <v>54</v>
      </c>
      <c r="H129" s="162"/>
      <c r="I129" s="34"/>
      <c r="J129" s="34"/>
      <c r="K129" s="34"/>
      <c r="N129" s="35"/>
    </row>
    <row r="130" spans="1:14" s="36" customFormat="1" ht="31.2" x14ac:dyDescent="0.3">
      <c r="A130" s="78" t="s">
        <v>209</v>
      </c>
      <c r="B130" s="45" t="s">
        <v>245</v>
      </c>
      <c r="C130" s="128">
        <f>COUNT(D142:D146)+COUNT(D153:D162)*11+COUNT(D164,D166:D173)*2</f>
        <v>133</v>
      </c>
      <c r="D130" s="128"/>
      <c r="E130" s="129">
        <f>SUM(D142:D146)+SUM(D153:D162)*11+SUM(D164,D166:D173)*2</f>
        <v>72346.727700000003</v>
      </c>
      <c r="F130" s="129"/>
      <c r="G130" s="129">
        <f>SUM(F142:F146)+SUM(F153:F162)*11+SUM(F164,F166:F173)*2</f>
        <v>108520.09154999998</v>
      </c>
      <c r="H130" s="129"/>
      <c r="I130" s="34"/>
      <c r="J130" s="34"/>
      <c r="K130" s="34"/>
      <c r="N130" s="35"/>
    </row>
    <row r="131" spans="1:14" s="36" customFormat="1" ht="31.2" x14ac:dyDescent="0.3">
      <c r="A131" s="79"/>
      <c r="B131" s="45" t="s">
        <v>246</v>
      </c>
      <c r="C131" s="161">
        <f>COUNT(D177:D179)+COUNT(D185:D191)*11+COUNT(D193:D195,D197:D199)*2</f>
        <v>92</v>
      </c>
      <c r="D131" s="161"/>
      <c r="E131" s="129">
        <f>SUM(D177:D179)+SUM(D185:D191)*11+SUM(D193:D195,D197:D199)*2</f>
        <v>55489.604039999998</v>
      </c>
      <c r="F131" s="129"/>
      <c r="G131" s="129">
        <f>SUM(F177:F179)+SUM(F185:F191)*11+SUM(F193:F195,F197:F199)*2</f>
        <v>83234.406059999994</v>
      </c>
      <c r="H131" s="129"/>
      <c r="I131" s="34"/>
      <c r="J131" s="34"/>
      <c r="K131" s="34"/>
      <c r="N131" s="35"/>
    </row>
    <row r="132" spans="1:14" s="36" customFormat="1" ht="31.8" thickBot="1" x14ac:dyDescent="0.35">
      <c r="A132" s="67" t="s">
        <v>212</v>
      </c>
      <c r="B132" s="45" t="s">
        <v>247</v>
      </c>
      <c r="C132" s="128">
        <f>COUNT(D204:D212)+COUNT(D217:D228)*10+COUNT(D230:D231,D234:D241)+COUNT(D243:D244,D247:D254)+COUNT(D256:D267)</f>
        <v>161</v>
      </c>
      <c r="D132" s="128"/>
      <c r="E132" s="129">
        <f>SUM(D204:D212)+SUM(D217:D228)*10+SUM(D230:D231,D234:D241)+SUM(D243:D244,D247:D254)+SUM(D256:D267)</f>
        <v>83787.218190000014</v>
      </c>
      <c r="F132" s="129"/>
      <c r="G132" s="129">
        <f>SUM(F204:F212)+SUM(F217:F228)*10+SUM(F230:F231,F234:F241)+SUM(F243:F244,F247:F254)+SUM(F256:F267)</f>
        <v>125680.82728500002</v>
      </c>
      <c r="H132" s="129"/>
      <c r="I132" s="34"/>
      <c r="J132" s="34"/>
      <c r="K132" s="34"/>
      <c r="N132" s="35"/>
    </row>
    <row r="133" spans="1:14" s="36" customFormat="1" ht="16.2" thickBot="1" x14ac:dyDescent="0.35">
      <c r="A133" s="238" t="s">
        <v>160</v>
      </c>
      <c r="B133" s="239"/>
      <c r="C133" s="240">
        <f t="shared" ref="C133:G133" si="0">SUM(C130:D132)</f>
        <v>386</v>
      </c>
      <c r="D133" s="160"/>
      <c r="E133" s="160">
        <f t="shared" si="0"/>
        <v>211623.54993000001</v>
      </c>
      <c r="F133" s="160"/>
      <c r="G133" s="160">
        <f t="shared" si="0"/>
        <v>317435.32489499997</v>
      </c>
      <c r="H133" s="160"/>
      <c r="I133" s="34"/>
      <c r="J133" s="34"/>
      <c r="K133" s="34"/>
      <c r="N133" s="35"/>
    </row>
    <row r="134" spans="1:14" s="36" customFormat="1" x14ac:dyDescent="0.3">
      <c r="A134" s="159" t="s">
        <v>55</v>
      </c>
      <c r="B134" s="159"/>
      <c r="C134" s="159"/>
      <c r="D134" s="159"/>
      <c r="E134" s="159"/>
      <c r="F134" s="159"/>
      <c r="G134" s="159"/>
      <c r="H134" s="159"/>
      <c r="I134" s="33"/>
      <c r="J134" s="33"/>
      <c r="K134" s="33"/>
      <c r="N134" s="35"/>
    </row>
    <row r="135" spans="1:14" s="36" customFormat="1" x14ac:dyDescent="0.3">
      <c r="A135" s="163" t="s">
        <v>174</v>
      </c>
      <c r="B135" s="163"/>
      <c r="C135" s="163"/>
      <c r="D135" s="163"/>
      <c r="E135" s="163"/>
      <c r="F135" s="163"/>
      <c r="G135" s="163"/>
      <c r="H135" s="163"/>
      <c r="I135" s="20"/>
      <c r="J135" s="20"/>
      <c r="K135" s="20"/>
      <c r="N135" s="35"/>
    </row>
    <row r="136" spans="1:14" s="36" customFormat="1" ht="46.8" x14ac:dyDescent="0.3">
      <c r="A136" s="127" t="s">
        <v>117</v>
      </c>
      <c r="B136" s="127" t="s">
        <v>118</v>
      </c>
      <c r="C136" s="127" t="s">
        <v>56</v>
      </c>
      <c r="D136" s="127" t="s">
        <v>57</v>
      </c>
      <c r="E136" s="244" t="s">
        <v>58</v>
      </c>
      <c r="F136" s="56" t="s">
        <v>236</v>
      </c>
      <c r="G136" s="245" t="s">
        <v>59</v>
      </c>
      <c r="H136" s="246"/>
      <c r="I136" s="35"/>
      <c r="J136" s="20"/>
      <c r="K136" s="20"/>
      <c r="N136" s="35"/>
    </row>
    <row r="137" spans="1:14" s="36" customFormat="1" x14ac:dyDescent="0.3">
      <c r="A137" s="127"/>
      <c r="B137" s="127"/>
      <c r="C137" s="127"/>
      <c r="D137" s="127"/>
      <c r="E137" s="244"/>
      <c r="F137" s="65">
        <v>0.5</v>
      </c>
      <c r="G137" s="247"/>
      <c r="H137" s="248"/>
      <c r="I137" s="35"/>
      <c r="J137" s="20"/>
      <c r="K137" s="20"/>
      <c r="N137" s="35"/>
    </row>
    <row r="138" spans="1:14" s="36" customFormat="1" ht="15.75" customHeight="1" x14ac:dyDescent="0.3">
      <c r="A138" s="249" t="s">
        <v>209</v>
      </c>
      <c r="B138" s="250"/>
      <c r="C138" s="250"/>
      <c r="D138" s="250"/>
      <c r="E138" s="250"/>
      <c r="F138" s="251"/>
      <c r="G138" s="250"/>
      <c r="H138" s="252"/>
      <c r="I138" s="66">
        <v>10.763999999999999</v>
      </c>
      <c r="J138" s="35"/>
    </row>
    <row r="139" spans="1:14" s="36" customFormat="1" ht="15.75" customHeight="1" x14ac:dyDescent="0.3">
      <c r="A139" s="85" t="s">
        <v>226</v>
      </c>
      <c r="B139" s="86"/>
      <c r="C139" s="86"/>
      <c r="D139" s="86"/>
      <c r="E139" s="86"/>
      <c r="F139" s="86"/>
      <c r="G139" s="86"/>
      <c r="H139" s="87"/>
      <c r="I139" s="35"/>
      <c r="M139" s="157"/>
      <c r="N139" s="157"/>
    </row>
    <row r="140" spans="1:14" s="36" customFormat="1" ht="15.75" customHeight="1" x14ac:dyDescent="0.3">
      <c r="A140" s="85" t="s">
        <v>227</v>
      </c>
      <c r="B140" s="86"/>
      <c r="C140" s="86"/>
      <c r="D140" s="86"/>
      <c r="E140" s="86"/>
      <c r="F140" s="86"/>
      <c r="G140" s="86"/>
      <c r="H140" s="87"/>
      <c r="I140" s="35"/>
      <c r="M140" s="157"/>
      <c r="N140" s="157"/>
    </row>
    <row r="141" spans="1:14" s="36" customFormat="1" ht="15.75" customHeight="1" x14ac:dyDescent="0.3">
      <c r="A141" s="85" t="s">
        <v>228</v>
      </c>
      <c r="B141" s="86"/>
      <c r="C141" s="86"/>
      <c r="D141" s="86"/>
      <c r="E141" s="86"/>
      <c r="F141" s="86"/>
      <c r="G141" s="86"/>
      <c r="H141" s="87"/>
      <c r="I141" s="35"/>
      <c r="K141" s="35"/>
      <c r="M141" s="157">
        <f>14*10-2-5</f>
        <v>133</v>
      </c>
      <c r="N141" s="157"/>
    </row>
    <row r="142" spans="1:14" s="36" customFormat="1" ht="15.75" customHeight="1" x14ac:dyDescent="0.3">
      <c r="A142" s="76">
        <v>1</v>
      </c>
      <c r="B142" s="77"/>
      <c r="C142" s="41" t="s">
        <v>171</v>
      </c>
      <c r="D142" s="63">
        <f>(45.07+(2.1+3.3+3.5)+3.175*1.2+0.75*(2.1+3.3+3.5))*10.764</f>
        <v>693.79361999999992</v>
      </c>
      <c r="E142" s="41">
        <v>0</v>
      </c>
      <c r="F142" s="41">
        <f>D142*(($F$137)+1)+(IF(E142&lt;101,E142,IF(E142&lt;201,E142/2,IF(E142&lt;=301,E142/3,E142/4))))</f>
        <v>1040.6904299999999</v>
      </c>
      <c r="G142" s="74" t="str">
        <f>A141</f>
        <v>1st Floor For Residential &amp; Part Parking Area</v>
      </c>
      <c r="H142" s="75"/>
      <c r="I142" s="35"/>
      <c r="J142" s="52">
        <f>(4.8*3+3.1*2.1+3*3.3+3.5*3+1.65*0.9+1.2*0.9+1.2*1.2+0.9*0.85+3.175*1.2+6.75*0.75+3.8*0.75+2.65*0.75)</f>
        <v>59.79</v>
      </c>
      <c r="M142" s="157"/>
      <c r="N142" s="157"/>
    </row>
    <row r="143" spans="1:14" s="36" customFormat="1" ht="15.75" customHeight="1" x14ac:dyDescent="0.3">
      <c r="A143" s="76">
        <f t="shared" ref="A143" si="1">A142+1</f>
        <v>2</v>
      </c>
      <c r="B143" s="77"/>
      <c r="C143" s="41" t="s">
        <v>172</v>
      </c>
      <c r="D143" s="63">
        <f>(27.33+(3*1.2+2.2+2.7)+0.75*(3+2.2+2.7))*10.764</f>
        <v>449.45081999999991</v>
      </c>
      <c r="E143" s="41">
        <v>0</v>
      </c>
      <c r="F143" s="41">
        <f t="shared" ref="F143:F146" si="2">D143*(($F$137)+1)+(IF(E143&lt;101,E143,IF(E143&lt;201,E143/2,IF(E143&lt;=301,E143/3,E143/4))))</f>
        <v>674.1762299999998</v>
      </c>
      <c r="G143" s="109"/>
      <c r="H143" s="111"/>
      <c r="I143" s="35"/>
      <c r="J143" s="35">
        <f>(3*4.2+2.2*2.45+2.7*3.75+1.2*1.8+0.9*1.2+3.025*0.75+2.4*0.75+2.65*0.75)</f>
        <v>37.411249999999995</v>
      </c>
      <c r="M143" s="157"/>
      <c r="N143" s="157"/>
    </row>
    <row r="144" spans="1:14" s="36" customFormat="1" ht="15.75" customHeight="1" x14ac:dyDescent="0.3">
      <c r="A144" s="76">
        <f>A143+1</f>
        <v>3</v>
      </c>
      <c r="B144" s="77"/>
      <c r="C144" s="41" t="s">
        <v>172</v>
      </c>
      <c r="D144" s="63">
        <f>(27.33+(3*1.2+2.2+2.7)+0.75*(3+2.2+2.7))*10.764</f>
        <v>449.45081999999991</v>
      </c>
      <c r="E144" s="41">
        <v>0</v>
      </c>
      <c r="F144" s="41">
        <f t="shared" si="2"/>
        <v>674.1762299999998</v>
      </c>
      <c r="G144" s="109"/>
      <c r="H144" s="111"/>
      <c r="I144" s="35"/>
      <c r="J144" s="35">
        <f>(3*4.2+2.2*2.45+2.7*3.75+1.2*1.8+0.9*1.2+2.95*0.75+2.4*0.75+2.8*0.75)</f>
        <v>37.467500000000001</v>
      </c>
      <c r="M144" s="157"/>
      <c r="N144" s="157"/>
    </row>
    <row r="145" spans="1:14" s="36" customFormat="1" ht="15.75" customHeight="1" x14ac:dyDescent="0.3">
      <c r="A145" s="76">
        <f t="shared" ref="A145:A151" si="3">A144+1</f>
        <v>4</v>
      </c>
      <c r="B145" s="77"/>
      <c r="C145" s="41" t="s">
        <v>172</v>
      </c>
      <c r="D145" s="63">
        <f>(27.33+(3*1.2+2.2+2.7)+0.75*(3+2.2+2.7))*10.764</f>
        <v>449.45081999999991</v>
      </c>
      <c r="E145" s="41">
        <v>0</v>
      </c>
      <c r="F145" s="41">
        <f t="shared" si="2"/>
        <v>674.1762299999998</v>
      </c>
      <c r="G145" s="109"/>
      <c r="H145" s="111"/>
      <c r="I145" s="35"/>
      <c r="J145" s="35">
        <f>(3*4.2+2.2*2.45+2.7*3.75+1.2*1.8+0.9*1.2+3.025*0.75+2.4*0.75+2.8*0.75)</f>
        <v>37.52375</v>
      </c>
      <c r="M145" s="157"/>
      <c r="N145" s="157"/>
    </row>
    <row r="146" spans="1:14" s="36" customFormat="1" ht="15.75" customHeight="1" x14ac:dyDescent="0.3">
      <c r="A146" s="76">
        <f t="shared" si="3"/>
        <v>5</v>
      </c>
      <c r="B146" s="77"/>
      <c r="C146" s="41" t="s">
        <v>171</v>
      </c>
      <c r="D146" s="63">
        <f>(42.5+(3*1.4+2.7+3)+0.75*(3+2.7+3))*10.764</f>
        <v>634.26869999999997</v>
      </c>
      <c r="E146" s="41">
        <v>0</v>
      </c>
      <c r="F146" s="41">
        <f t="shared" si="2"/>
        <v>951.40304999999989</v>
      </c>
      <c r="G146" s="109"/>
      <c r="H146" s="111"/>
      <c r="I146" s="35"/>
      <c r="J146" s="35">
        <f>(3*4.2+2.2*2.45+2.7*3.75+1.2*1.8+0.9*1.2+3.025*0.75+2.4*0.75+2.65*0.75)</f>
        <v>37.411249999999995</v>
      </c>
      <c r="M146" s="157"/>
      <c r="N146" s="157"/>
    </row>
    <row r="147" spans="1:14" s="36" customFormat="1" ht="15.75" customHeight="1" x14ac:dyDescent="0.3">
      <c r="A147" s="76">
        <f t="shared" si="3"/>
        <v>6</v>
      </c>
      <c r="B147" s="77"/>
      <c r="C147" s="74" t="s">
        <v>229</v>
      </c>
      <c r="D147" s="108"/>
      <c r="E147" s="108"/>
      <c r="F147" s="75"/>
      <c r="G147" s="109"/>
      <c r="H147" s="111"/>
      <c r="I147" s="35"/>
      <c r="M147" s="157"/>
      <c r="N147" s="157"/>
    </row>
    <row r="148" spans="1:14" s="36" customFormat="1" ht="15.75" customHeight="1" x14ac:dyDescent="0.3">
      <c r="A148" s="76">
        <f t="shared" si="3"/>
        <v>7</v>
      </c>
      <c r="B148" s="77"/>
      <c r="C148" s="109"/>
      <c r="D148" s="110"/>
      <c r="E148" s="110"/>
      <c r="F148" s="111"/>
      <c r="G148" s="109"/>
      <c r="H148" s="111"/>
      <c r="I148" s="35"/>
      <c r="M148" s="157"/>
      <c r="N148" s="157"/>
    </row>
    <row r="149" spans="1:14" s="34" customFormat="1" ht="15.75" customHeight="1" x14ac:dyDescent="0.3">
      <c r="A149" s="76">
        <f t="shared" si="3"/>
        <v>8</v>
      </c>
      <c r="B149" s="77"/>
      <c r="C149" s="109"/>
      <c r="D149" s="110"/>
      <c r="E149" s="110"/>
      <c r="F149" s="111"/>
      <c r="G149" s="109"/>
      <c r="H149" s="111"/>
      <c r="I149" s="35"/>
      <c r="J149" s="36"/>
      <c r="K149" s="36"/>
    </row>
    <row r="150" spans="1:14" s="34" customFormat="1" ht="15.75" customHeight="1" x14ac:dyDescent="0.3">
      <c r="A150" s="76">
        <f t="shared" si="3"/>
        <v>9</v>
      </c>
      <c r="B150" s="77"/>
      <c r="C150" s="109"/>
      <c r="D150" s="110"/>
      <c r="E150" s="110"/>
      <c r="F150" s="111"/>
      <c r="G150" s="109"/>
      <c r="H150" s="111"/>
      <c r="I150" s="35"/>
      <c r="J150" s="36"/>
      <c r="K150" s="36"/>
    </row>
    <row r="151" spans="1:14" s="34" customFormat="1" ht="15.75" customHeight="1" x14ac:dyDescent="0.3">
      <c r="A151" s="76">
        <f t="shared" si="3"/>
        <v>10</v>
      </c>
      <c r="B151" s="77"/>
      <c r="C151" s="112"/>
      <c r="D151" s="113"/>
      <c r="E151" s="113"/>
      <c r="F151" s="114"/>
      <c r="G151" s="112"/>
      <c r="H151" s="114"/>
      <c r="I151" s="35"/>
      <c r="J151" s="36"/>
      <c r="K151" s="36"/>
    </row>
    <row r="152" spans="1:14" s="34" customFormat="1" ht="15.75" customHeight="1" x14ac:dyDescent="0.3">
      <c r="A152" s="80" t="s">
        <v>199</v>
      </c>
      <c r="B152" s="81"/>
      <c r="C152" s="81"/>
      <c r="D152" s="81"/>
      <c r="E152" s="81"/>
      <c r="F152" s="81"/>
      <c r="G152" s="81"/>
      <c r="H152" s="82"/>
      <c r="I152" s="35"/>
      <c r="J152" s="36"/>
      <c r="K152" s="36"/>
    </row>
    <row r="153" spans="1:14" s="34" customFormat="1" ht="15.75" customHeight="1" x14ac:dyDescent="0.3">
      <c r="A153" s="76">
        <v>1</v>
      </c>
      <c r="B153" s="77"/>
      <c r="C153" s="64" t="s">
        <v>172</v>
      </c>
      <c r="D153" s="63">
        <f>(27.33+(3*1.2+2.2+2.7)+0.75*(3+2.2+2.7))*10.764</f>
        <v>449.45081999999991</v>
      </c>
      <c r="E153" s="41">
        <v>0</v>
      </c>
      <c r="F153" s="41">
        <f>D153*(($F$137)+1)+(IF(E153&lt;101,E153,IF(E153&lt;201,E153/2,IF(E153&lt;=301,E153/3,E153/4))))</f>
        <v>674.1762299999998</v>
      </c>
      <c r="G153" s="74" t="str">
        <f>A152</f>
        <v>2nd to 7th, 9th to 12th &amp; 14th Floor</v>
      </c>
      <c r="H153" s="75"/>
      <c r="I153" s="35"/>
      <c r="J153" s="58">
        <f>F153/D153</f>
        <v>1.4999999999999998</v>
      </c>
      <c r="K153" s="36"/>
    </row>
    <row r="154" spans="1:14" s="34" customFormat="1" ht="15.75" customHeight="1" x14ac:dyDescent="0.3">
      <c r="A154" s="76">
        <f t="shared" ref="A154" si="4">A153+1</f>
        <v>2</v>
      </c>
      <c r="B154" s="77"/>
      <c r="C154" s="64" t="s">
        <v>230</v>
      </c>
      <c r="D154" s="63">
        <f>(42.5+(3*1.4+2.7+3)+0.75*(3+2.7+3))*10.764</f>
        <v>634.26869999999997</v>
      </c>
      <c r="E154" s="41">
        <v>0</v>
      </c>
      <c r="F154" s="41">
        <f t="shared" ref="F154:F157" si="5">D154*(($F$137)+1)+(IF(E154&lt;101,E154,IF(E154&lt;201,E154/2,IF(E154&lt;=301,E154/3,E154/4))))</f>
        <v>951.40304999999989</v>
      </c>
      <c r="G154" s="109"/>
      <c r="H154" s="111"/>
      <c r="I154" s="35"/>
      <c r="J154" s="58">
        <f t="shared" ref="J154:J162" si="6">F154/D154</f>
        <v>1.5</v>
      </c>
      <c r="K154" s="35"/>
    </row>
    <row r="155" spans="1:14" s="34" customFormat="1" ht="15.75" customHeight="1" x14ac:dyDescent="0.3">
      <c r="A155" s="76">
        <f>A154+1</f>
        <v>3</v>
      </c>
      <c r="B155" s="77"/>
      <c r="C155" s="64" t="s">
        <v>230</v>
      </c>
      <c r="D155" s="63">
        <f>(46.69+(2.7+3)+3.3*1.2+0.75*(2.7+3))*10.764</f>
        <v>652.5675</v>
      </c>
      <c r="E155" s="41">
        <v>0</v>
      </c>
      <c r="F155" s="41">
        <f t="shared" si="5"/>
        <v>978.85124999999994</v>
      </c>
      <c r="G155" s="109"/>
      <c r="H155" s="111"/>
      <c r="I155" s="35"/>
      <c r="J155" s="58">
        <f t="shared" si="6"/>
        <v>1.5</v>
      </c>
      <c r="K155" s="36"/>
    </row>
    <row r="156" spans="1:14" s="34" customFormat="1" ht="15.75" customHeight="1" x14ac:dyDescent="0.3">
      <c r="A156" s="76">
        <f t="shared" ref="A156:A162" si="7">A155+1</f>
        <v>4</v>
      </c>
      <c r="B156" s="77"/>
      <c r="C156" s="64" t="s">
        <v>172</v>
      </c>
      <c r="D156" s="63">
        <f>(31.21+(2.2+2.7)+2.95*1.2+0.75*(2.7+2.2))*10.764</f>
        <v>466.35029999999995</v>
      </c>
      <c r="E156" s="41">
        <v>0</v>
      </c>
      <c r="F156" s="41">
        <f t="shared" si="5"/>
        <v>699.52544999999986</v>
      </c>
      <c r="G156" s="109"/>
      <c r="H156" s="111"/>
      <c r="I156" s="35"/>
      <c r="J156" s="58">
        <f t="shared" si="6"/>
        <v>1.4999999999999998</v>
      </c>
      <c r="K156" s="35"/>
    </row>
    <row r="157" spans="1:14" s="34" customFormat="1" ht="15.75" customHeight="1" x14ac:dyDescent="0.3">
      <c r="A157" s="76">
        <f t="shared" si="7"/>
        <v>5</v>
      </c>
      <c r="B157" s="77"/>
      <c r="C157" s="64" t="s">
        <v>172</v>
      </c>
      <c r="D157" s="63">
        <f>(31.21+(2.2+2.7)+2.95*1.2+0.75*(2.7+2.2))*10.764</f>
        <v>466.35029999999995</v>
      </c>
      <c r="E157" s="41">
        <v>0</v>
      </c>
      <c r="F157" s="41">
        <f t="shared" si="5"/>
        <v>699.52544999999986</v>
      </c>
      <c r="G157" s="109"/>
      <c r="H157" s="111"/>
      <c r="I157" s="35"/>
      <c r="J157" s="58">
        <f t="shared" si="6"/>
        <v>1.4999999999999998</v>
      </c>
      <c r="K157" s="36"/>
    </row>
    <row r="158" spans="1:14" s="34" customFormat="1" ht="15.75" customHeight="1" x14ac:dyDescent="0.3">
      <c r="A158" s="76">
        <f t="shared" si="7"/>
        <v>6</v>
      </c>
      <c r="B158" s="77"/>
      <c r="C158" s="64" t="s">
        <v>172</v>
      </c>
      <c r="D158" s="63">
        <f>(31.21+(2.2+2.7)+2.95*1.2+0.75*(2.7+2.2))*10.764</f>
        <v>466.35029999999995</v>
      </c>
      <c r="E158" s="41">
        <v>0</v>
      </c>
      <c r="F158" s="41">
        <f t="shared" ref="F158:F173" si="8">D158*(($F$137)+1)+(IF(E158&lt;101,E158,IF(E158&lt;201,E158/2,IF(E158&lt;=301,E158/3,E158/4))))</f>
        <v>699.52544999999986</v>
      </c>
      <c r="G158" s="109"/>
      <c r="H158" s="111"/>
      <c r="I158" s="35"/>
      <c r="J158" s="58">
        <f t="shared" si="6"/>
        <v>1.4999999999999998</v>
      </c>
      <c r="K158" s="35"/>
    </row>
    <row r="159" spans="1:14" s="34" customFormat="1" ht="15.75" customHeight="1" x14ac:dyDescent="0.3">
      <c r="A159" s="76">
        <f t="shared" si="7"/>
        <v>7</v>
      </c>
      <c r="B159" s="77"/>
      <c r="C159" s="64" t="s">
        <v>230</v>
      </c>
      <c r="D159" s="63">
        <f>(45.07+(2.1+3.3+3.5)+3.175*1.2+0.75*(2.1+3.3+3.5))*10.764</f>
        <v>693.79361999999992</v>
      </c>
      <c r="E159" s="41">
        <v>0</v>
      </c>
      <c r="F159" s="41">
        <f t="shared" si="8"/>
        <v>1040.6904299999999</v>
      </c>
      <c r="G159" s="109"/>
      <c r="H159" s="111"/>
      <c r="I159" s="35"/>
      <c r="J159" s="58">
        <f t="shared" si="6"/>
        <v>1.5</v>
      </c>
      <c r="K159" s="36"/>
    </row>
    <row r="160" spans="1:14" s="36" customFormat="1" ht="15.75" customHeight="1" x14ac:dyDescent="0.3">
      <c r="A160" s="76">
        <f t="shared" si="7"/>
        <v>8</v>
      </c>
      <c r="B160" s="77"/>
      <c r="C160" s="64" t="s">
        <v>230</v>
      </c>
      <c r="D160" s="63">
        <f>(45.07+(2.1+3.3+3.5)+3.175*1.2+0.75*(2.1+3.3+3.5))*10.764</f>
        <v>693.79361999999992</v>
      </c>
      <c r="E160" s="41">
        <v>0</v>
      </c>
      <c r="F160" s="41">
        <f t="shared" si="8"/>
        <v>1040.6904299999999</v>
      </c>
      <c r="G160" s="109"/>
      <c r="H160" s="111"/>
      <c r="I160" s="35"/>
      <c r="J160" s="58">
        <f t="shared" si="6"/>
        <v>1.5</v>
      </c>
      <c r="N160" s="35"/>
    </row>
    <row r="161" spans="1:14" s="36" customFormat="1" ht="15.75" customHeight="1" x14ac:dyDescent="0.3">
      <c r="A161" s="76">
        <f t="shared" si="7"/>
        <v>9</v>
      </c>
      <c r="B161" s="77"/>
      <c r="C161" s="64" t="s">
        <v>172</v>
      </c>
      <c r="D161" s="63">
        <f>(27.33+(3*1.2+2.2+2.7)+0.75*(3+2.2+2.7))*10.764</f>
        <v>449.45081999999991</v>
      </c>
      <c r="E161" s="41">
        <v>0</v>
      </c>
      <c r="F161" s="41">
        <f t="shared" si="8"/>
        <v>674.1762299999998</v>
      </c>
      <c r="G161" s="109"/>
      <c r="H161" s="111"/>
      <c r="I161" s="35"/>
      <c r="J161" s="58">
        <f t="shared" si="6"/>
        <v>1.4999999999999998</v>
      </c>
      <c r="K161" s="35"/>
      <c r="N161" s="35"/>
    </row>
    <row r="162" spans="1:14" s="36" customFormat="1" ht="15.75" customHeight="1" x14ac:dyDescent="0.3">
      <c r="A162" s="76">
        <f t="shared" si="7"/>
        <v>10</v>
      </c>
      <c r="B162" s="77"/>
      <c r="C162" s="64" t="s">
        <v>172</v>
      </c>
      <c r="D162" s="63">
        <f>(27.33+(3*1.2+2.2+2.7)+0.75*(3+2.2+2.7))*10.764</f>
        <v>449.45081999999991</v>
      </c>
      <c r="E162" s="41">
        <v>0</v>
      </c>
      <c r="F162" s="41">
        <f t="shared" si="8"/>
        <v>674.1762299999998</v>
      </c>
      <c r="G162" s="112"/>
      <c r="H162" s="114"/>
      <c r="I162" s="35"/>
      <c r="J162" s="58">
        <f t="shared" si="6"/>
        <v>1.4999999999999998</v>
      </c>
    </row>
    <row r="163" spans="1:14" s="36" customFormat="1" ht="15.75" customHeight="1" x14ac:dyDescent="0.3">
      <c r="A163" s="80" t="s">
        <v>189</v>
      </c>
      <c r="B163" s="81"/>
      <c r="C163" s="81"/>
      <c r="D163" s="81"/>
      <c r="E163" s="81"/>
      <c r="F163" s="81"/>
      <c r="G163" s="81"/>
      <c r="H163" s="82"/>
      <c r="I163" s="34"/>
      <c r="J163" s="52"/>
      <c r="K163" s="34"/>
    </row>
    <row r="164" spans="1:14" s="36" customFormat="1" ht="15.75" customHeight="1" x14ac:dyDescent="0.3">
      <c r="A164" s="76">
        <v>1</v>
      </c>
      <c r="B164" s="77"/>
      <c r="C164" s="41" t="s">
        <v>193</v>
      </c>
      <c r="D164" s="63">
        <f>(42.61+(3*1.2+3*1.2+2.2+2.7)+0.75*(3+3+2.2+2.7))*10.764</f>
        <v>676.89413999999988</v>
      </c>
      <c r="E164" s="41">
        <v>0</v>
      </c>
      <c r="F164" s="41">
        <f t="shared" si="8"/>
        <v>1015.3412099999998</v>
      </c>
      <c r="G164" s="74" t="str">
        <f>A163</f>
        <v>8th &amp; 13th Floor (Part Refuge Area )</v>
      </c>
      <c r="H164" s="75"/>
      <c r="I164" s="34"/>
      <c r="J164" s="35">
        <f>(3*4.2+1.2*0.6+2.2*2.45+2.75*3.75+1.2*1.8+0.9*1.2+2.2*0.9+0.9*0.6+2.95*0.75+2.2*0.75+2.8*0.75)</f>
        <v>40.744999999999997</v>
      </c>
      <c r="K164" s="34"/>
    </row>
    <row r="165" spans="1:14" s="36" customFormat="1" ht="15.75" customHeight="1" x14ac:dyDescent="0.3">
      <c r="A165" s="76">
        <f t="shared" ref="A165" si="9">A164+1</f>
        <v>2</v>
      </c>
      <c r="B165" s="77"/>
      <c r="C165" s="76" t="s">
        <v>190</v>
      </c>
      <c r="D165" s="217"/>
      <c r="E165" s="217"/>
      <c r="F165" s="77"/>
      <c r="G165" s="109"/>
      <c r="H165" s="111"/>
      <c r="I165" s="34"/>
      <c r="J165" s="52"/>
      <c r="K165" s="34"/>
    </row>
    <row r="166" spans="1:14" s="36" customFormat="1" ht="15.75" customHeight="1" x14ac:dyDescent="0.3">
      <c r="A166" s="76">
        <f>A165+1</f>
        <v>3</v>
      </c>
      <c r="B166" s="77"/>
      <c r="C166" s="41" t="s">
        <v>171</v>
      </c>
      <c r="D166" s="63">
        <f>(46.7+(2.7+3)+3.3*1.2+0.75*(2.7+3))*10.764</f>
        <v>652.67514000000006</v>
      </c>
      <c r="E166" s="41">
        <v>0</v>
      </c>
      <c r="F166" s="41">
        <f t="shared" si="8"/>
        <v>979.01271000000008</v>
      </c>
      <c r="G166" s="109"/>
      <c r="H166" s="111"/>
      <c r="I166" s="34"/>
      <c r="J166" s="35">
        <f>(3*4.8+1.2*1.2+2.4*3+1*0.9+2.7*3.3+3*3.35+2.8*0.9+0.75*0.2+1.95*1.2+1.95*1.2+3.1*0.75+2.8*0.75+3.3*1.2)</f>
        <v>58.635000000000005</v>
      </c>
      <c r="K166" s="34"/>
    </row>
    <row r="167" spans="1:14" s="36" customFormat="1" ht="15.75" customHeight="1" x14ac:dyDescent="0.3">
      <c r="A167" s="76">
        <f t="shared" ref="A167:A173" si="10">A166+1</f>
        <v>4</v>
      </c>
      <c r="B167" s="77"/>
      <c r="C167" s="41" t="s">
        <v>172</v>
      </c>
      <c r="D167" s="63">
        <f>(31.21+(2.2+2.7)+2.95*1.2+0.75*(2.7+2.2))*10.764</f>
        <v>466.35029999999995</v>
      </c>
      <c r="E167" s="41">
        <v>0</v>
      </c>
      <c r="F167" s="41">
        <f t="shared" si="8"/>
        <v>699.52544999999986</v>
      </c>
      <c r="G167" s="109"/>
      <c r="H167" s="111"/>
      <c r="I167" s="34"/>
      <c r="J167" s="35">
        <f>(3*4.2+1.2*0.6+2.2*2.45+2.75*3.75+1.2*1.8+0.9*1.2+2.2*0.9+0.9*0.6+2.95*1.1+2.2*0.75+2.8*0.75)</f>
        <v>41.777499999999996</v>
      </c>
      <c r="K167" s="34"/>
    </row>
    <row r="168" spans="1:14" s="36" customFormat="1" ht="15.75" customHeight="1" x14ac:dyDescent="0.3">
      <c r="A168" s="76">
        <f t="shared" si="10"/>
        <v>5</v>
      </c>
      <c r="B168" s="77"/>
      <c r="C168" s="41" t="s">
        <v>172</v>
      </c>
      <c r="D168" s="63">
        <f>(31.21+(2.2+2.7)+2.95*1.2+0.75*(2.7+2.2))*10.764</f>
        <v>466.35029999999995</v>
      </c>
      <c r="E168" s="41">
        <v>0</v>
      </c>
      <c r="F168" s="41">
        <f t="shared" si="8"/>
        <v>699.52544999999986</v>
      </c>
      <c r="G168" s="109"/>
      <c r="H168" s="111"/>
      <c r="I168" s="34"/>
      <c r="J168" s="35">
        <f>(3*4.2+1.2*0.6+2.2*2.45+2.75*3.75+1.2*1.8+0.9*1.2+2.2*0.9+0.9*0.6+2.95*1.1+2.2*0.75+2.8*0.75)</f>
        <v>41.777499999999996</v>
      </c>
      <c r="K168" s="34"/>
      <c r="M168" s="36">
        <f>14*7-4-2</f>
        <v>92</v>
      </c>
    </row>
    <row r="169" spans="1:14" s="36" customFormat="1" ht="15.75" customHeight="1" x14ac:dyDescent="0.3">
      <c r="A169" s="76">
        <f t="shared" si="10"/>
        <v>6</v>
      </c>
      <c r="B169" s="77"/>
      <c r="C169" s="41" t="s">
        <v>172</v>
      </c>
      <c r="D169" s="63">
        <f>(31.21+(2.2+2.7)+2.95*1.2+0.75*(2.7+2.2))*10.764</f>
        <v>466.35029999999995</v>
      </c>
      <c r="E169" s="41">
        <v>0</v>
      </c>
      <c r="F169" s="41">
        <f t="shared" si="8"/>
        <v>699.52544999999986</v>
      </c>
      <c r="G169" s="109"/>
      <c r="H169" s="111"/>
      <c r="I169" s="34"/>
      <c r="J169" s="35">
        <f>(3*4.2+1.2*0.6+2.2*2.45+2.75*3.75+1.2*1.8+0.9*1.2+2.2*0.9+0.9*0.6+2.95*1.1+2.2*0.75+2.8*0.75)</f>
        <v>41.777499999999996</v>
      </c>
      <c r="K169" s="34"/>
    </row>
    <row r="170" spans="1:14" s="36" customFormat="1" ht="15.75" customHeight="1" x14ac:dyDescent="0.3">
      <c r="A170" s="76">
        <f t="shared" si="10"/>
        <v>7</v>
      </c>
      <c r="B170" s="77"/>
      <c r="C170" s="41" t="s">
        <v>171</v>
      </c>
      <c r="D170" s="63">
        <f>(45.07+(2.1+3.3+3.5)+3.175*1.2+0.75*(2.1+3.3+3.5))*10.764</f>
        <v>693.79361999999992</v>
      </c>
      <c r="E170" s="41">
        <v>0</v>
      </c>
      <c r="F170" s="41">
        <f t="shared" si="8"/>
        <v>1040.6904299999999</v>
      </c>
      <c r="G170" s="109"/>
      <c r="H170" s="111"/>
      <c r="I170" s="34"/>
      <c r="J170" s="52">
        <f>(4.8*3+1.2*0.75+3.1*2.1+3*3.3+3.5*3+0.9*2.2+1.95*0.9+1.2*0.9+1.65*0.9+0.9*0.85+1.2*1.2+3.175*1.2+5.56*0.75)</f>
        <v>58.694999999999993</v>
      </c>
      <c r="K170" s="34"/>
    </row>
    <row r="171" spans="1:14" s="36" customFormat="1" ht="15.75" customHeight="1" x14ac:dyDescent="0.3">
      <c r="A171" s="76">
        <f t="shared" si="10"/>
        <v>8</v>
      </c>
      <c r="B171" s="77"/>
      <c r="C171" s="41" t="s">
        <v>171</v>
      </c>
      <c r="D171" s="63">
        <f>(45.07+(2.1+3.3+3.5)+3.175*1.2+0.75*(2.1+3.3+3.5))*10.764</f>
        <v>693.79361999999992</v>
      </c>
      <c r="E171" s="41">
        <v>0</v>
      </c>
      <c r="F171" s="41">
        <f t="shared" si="8"/>
        <v>1040.6904299999999</v>
      </c>
      <c r="G171" s="109"/>
      <c r="H171" s="111"/>
      <c r="I171" s="34"/>
      <c r="J171" s="52">
        <f>(4.8*3+1.2*0.75+3.1*2.1+3*3.3+3.5*3+0.9*2.2+1.95*0.9+1.2*0.9+1.65*0.9+0.9*0.85+1.2*1.2+3.175*1.2+5.56*0.75)</f>
        <v>58.694999999999993</v>
      </c>
      <c r="K171" s="34"/>
    </row>
    <row r="172" spans="1:14" s="34" customFormat="1" ht="15.75" customHeight="1" x14ac:dyDescent="0.3">
      <c r="A172" s="76">
        <f t="shared" si="10"/>
        <v>9</v>
      </c>
      <c r="B172" s="77"/>
      <c r="C172" s="41" t="s">
        <v>172</v>
      </c>
      <c r="D172" s="63">
        <f>(27.33+(3*1.2+2.2+2.7)+0.75*(3+2.2+2.7))*10.764</f>
        <v>449.45081999999991</v>
      </c>
      <c r="E172" s="41">
        <v>0</v>
      </c>
      <c r="F172" s="41">
        <f t="shared" si="8"/>
        <v>674.1762299999998</v>
      </c>
      <c r="G172" s="109"/>
      <c r="H172" s="111"/>
      <c r="J172" s="35">
        <f>(3*4.2+1.2*0.65+2.2*2.45+2.7*3.75+1.2*1.8+0.9*1.2+2.3*0.9+0.9*0.6+3.175*0.75+2.2*0.75+2.95*0.75)</f>
        <v>40.988750000000003</v>
      </c>
    </row>
    <row r="173" spans="1:14" s="34" customFormat="1" ht="15.75" customHeight="1" x14ac:dyDescent="0.3">
      <c r="A173" s="76">
        <f t="shared" si="10"/>
        <v>10</v>
      </c>
      <c r="B173" s="77"/>
      <c r="C173" s="41" t="s">
        <v>172</v>
      </c>
      <c r="D173" s="63">
        <f>(27.33+(3*1.2+2.2+2.7)+0.75*(3+2.2+2.7))*10.764</f>
        <v>449.45081999999991</v>
      </c>
      <c r="E173" s="41">
        <v>0</v>
      </c>
      <c r="F173" s="41">
        <f t="shared" si="8"/>
        <v>674.1762299999998</v>
      </c>
      <c r="G173" s="112"/>
      <c r="H173" s="114"/>
      <c r="J173" s="35">
        <f>(3*4.2+1.2*0.65+2.2*2.45+2.7*3.75+1.2*1.8+0.9*1.2+2.3*0.9+0.9*0.6+3.175*0.75+2.2*0.75+2.95*0.75)</f>
        <v>40.988750000000003</v>
      </c>
    </row>
    <row r="174" spans="1:14" s="34" customFormat="1" ht="15.75" customHeight="1" x14ac:dyDescent="0.3">
      <c r="A174" s="80" t="s">
        <v>231</v>
      </c>
      <c r="B174" s="81"/>
      <c r="C174" s="81"/>
      <c r="D174" s="81"/>
      <c r="E174" s="81"/>
      <c r="F174" s="81"/>
      <c r="G174" s="81"/>
      <c r="H174" s="82"/>
      <c r="I174" s="35"/>
      <c r="J174" s="36"/>
      <c r="K174" s="36"/>
    </row>
    <row r="175" spans="1:14" s="34" customFormat="1" ht="15.75" customHeight="1" x14ac:dyDescent="0.3">
      <c r="A175" s="80" t="s">
        <v>232</v>
      </c>
      <c r="B175" s="81"/>
      <c r="C175" s="81"/>
      <c r="D175" s="81"/>
      <c r="E175" s="81"/>
      <c r="F175" s="81"/>
      <c r="G175" s="81"/>
      <c r="H175" s="82"/>
      <c r="I175" s="35"/>
      <c r="J175" s="36"/>
      <c r="K175" s="36"/>
    </row>
    <row r="176" spans="1:14" s="34" customFormat="1" ht="15.75" customHeight="1" x14ac:dyDescent="0.3">
      <c r="A176" s="80" t="s">
        <v>233</v>
      </c>
      <c r="B176" s="81"/>
      <c r="C176" s="81"/>
      <c r="D176" s="81"/>
      <c r="E176" s="81"/>
      <c r="F176" s="81"/>
      <c r="G176" s="81"/>
      <c r="H176" s="82"/>
      <c r="I176" s="35">
        <f>5.15*2.75+2.8*1.8+3.05*2.61+1*1.7+1*1.8</f>
        <v>30.663</v>
      </c>
      <c r="J176" s="52"/>
      <c r="K176" s="36"/>
    </row>
    <row r="177" spans="1:12" s="34" customFormat="1" ht="15.75" customHeight="1" x14ac:dyDescent="0.3">
      <c r="A177" s="76">
        <v>1</v>
      </c>
      <c r="B177" s="77"/>
      <c r="C177" s="64" t="s">
        <v>172</v>
      </c>
      <c r="D177" s="63">
        <f>(27.33+(3*1.2+2.2+2.7)+0.75*(3+2.2+2.7))*10.764</f>
        <v>449.45081999999991</v>
      </c>
      <c r="E177" s="41">
        <v>0</v>
      </c>
      <c r="F177" s="41">
        <f t="shared" ref="F177:F179" si="11">D177*(($F$137)+1)+(IF(E177&lt;101,E177,IF(E177&lt;201,E177/2,IF(E177&lt;=301,E177/3,E177/4))))</f>
        <v>674.1762299999998</v>
      </c>
      <c r="G177" s="74" t="str">
        <f>A176</f>
        <v>1st Floor For Residential (Part Driver Room, Society Office &amp; Parking)</v>
      </c>
      <c r="H177" s="75"/>
      <c r="I177" s="35">
        <f>3*4.5+2.7*2.15+3.75*2.7+1.15*2.1+3*3+1.2*2+1.15*2.1+2.6</f>
        <v>48.26</v>
      </c>
      <c r="J177" s="35">
        <v>3</v>
      </c>
      <c r="K177" s="35">
        <f>I177-J177</f>
        <v>45.26</v>
      </c>
    </row>
    <row r="178" spans="1:12" s="34" customFormat="1" ht="15.75" customHeight="1" x14ac:dyDescent="0.3">
      <c r="A178" s="76">
        <f t="shared" ref="A178" si="12">A177+1</f>
        <v>2</v>
      </c>
      <c r="B178" s="77"/>
      <c r="C178" s="64" t="s">
        <v>172</v>
      </c>
      <c r="D178" s="63">
        <f>(27.33+(3*1.2+2.2+2.7)+0.75*(3+2.2+2.7))*10.764</f>
        <v>449.45081999999991</v>
      </c>
      <c r="E178" s="41">
        <v>0</v>
      </c>
      <c r="F178" s="41">
        <f t="shared" si="11"/>
        <v>674.1762299999998</v>
      </c>
      <c r="G178" s="109"/>
      <c r="H178" s="111"/>
      <c r="I178" s="35"/>
      <c r="J178" s="35"/>
      <c r="K178" s="36"/>
    </row>
    <row r="179" spans="1:12" s="34" customFormat="1" ht="15.75" customHeight="1" x14ac:dyDescent="0.3">
      <c r="A179" s="74">
        <f>A178+1</f>
        <v>3</v>
      </c>
      <c r="B179" s="75"/>
      <c r="C179" s="64" t="s">
        <v>230</v>
      </c>
      <c r="D179" s="63">
        <f>(42.5+(3*1.4+2.7+3)+0.75*(3+2.7+3))*10.764</f>
        <v>634.26869999999997</v>
      </c>
      <c r="E179" s="53">
        <v>0</v>
      </c>
      <c r="F179" s="41">
        <f t="shared" si="11"/>
        <v>951.40304999999989</v>
      </c>
      <c r="G179" s="109"/>
      <c r="H179" s="111"/>
      <c r="I179" s="35"/>
      <c r="J179" s="36"/>
      <c r="K179" s="36"/>
    </row>
    <row r="180" spans="1:12" s="34" customFormat="1" ht="15.75" customHeight="1" x14ac:dyDescent="0.3">
      <c r="A180" s="74">
        <f t="shared" ref="A180:A182" si="13">A179+1</f>
        <v>4</v>
      </c>
      <c r="B180" s="75"/>
      <c r="C180" s="74" t="s">
        <v>234</v>
      </c>
      <c r="D180" s="108"/>
      <c r="E180" s="108"/>
      <c r="F180" s="75"/>
      <c r="G180" s="109"/>
      <c r="H180" s="111"/>
      <c r="I180" s="35"/>
      <c r="J180" s="36"/>
      <c r="K180" s="36"/>
    </row>
    <row r="181" spans="1:12" s="34" customFormat="1" ht="15.75" customHeight="1" x14ac:dyDescent="0.3">
      <c r="A181" s="74">
        <f t="shared" si="13"/>
        <v>5</v>
      </c>
      <c r="B181" s="75"/>
      <c r="C181" s="109"/>
      <c r="D181" s="110"/>
      <c r="E181" s="110"/>
      <c r="F181" s="111"/>
      <c r="G181" s="109"/>
      <c r="H181" s="111"/>
      <c r="I181" s="35"/>
      <c r="J181" s="36"/>
      <c r="K181" s="36"/>
    </row>
    <row r="182" spans="1:12" s="34" customFormat="1" ht="15.75" customHeight="1" x14ac:dyDescent="0.3">
      <c r="A182" s="74">
        <f t="shared" si="13"/>
        <v>6</v>
      </c>
      <c r="B182" s="75"/>
      <c r="C182" s="109"/>
      <c r="D182" s="110"/>
      <c r="E182" s="110"/>
      <c r="F182" s="111"/>
      <c r="G182" s="109"/>
      <c r="H182" s="111"/>
      <c r="I182" s="35"/>
      <c r="J182" s="36"/>
      <c r="K182" s="36"/>
      <c r="L182" s="34" t="e">
        <f>3500000/#REF!</f>
        <v>#REF!</v>
      </c>
    </row>
    <row r="183" spans="1:12" s="34" customFormat="1" ht="15.75" customHeight="1" x14ac:dyDescent="0.3">
      <c r="A183" s="74">
        <f>A182+1</f>
        <v>7</v>
      </c>
      <c r="B183" s="75"/>
      <c r="C183" s="112"/>
      <c r="D183" s="113"/>
      <c r="E183" s="113"/>
      <c r="F183" s="114"/>
      <c r="G183" s="109"/>
      <c r="H183" s="111"/>
      <c r="I183" s="35"/>
      <c r="J183" s="36"/>
      <c r="K183" s="36"/>
    </row>
    <row r="184" spans="1:12" s="34" customFormat="1" ht="15.75" customHeight="1" x14ac:dyDescent="0.3">
      <c r="A184" s="80" t="s">
        <v>199</v>
      </c>
      <c r="B184" s="81"/>
      <c r="C184" s="81"/>
      <c r="D184" s="81"/>
      <c r="E184" s="81"/>
      <c r="F184" s="81"/>
      <c r="G184" s="81"/>
      <c r="H184" s="82"/>
      <c r="I184" s="35"/>
      <c r="J184" s="36"/>
      <c r="K184" s="36"/>
    </row>
    <row r="185" spans="1:12" s="34" customFormat="1" ht="15.75" customHeight="1" x14ac:dyDescent="0.3">
      <c r="A185" s="76">
        <v>1</v>
      </c>
      <c r="B185" s="77"/>
      <c r="C185" s="41" t="s">
        <v>172</v>
      </c>
      <c r="D185" s="63">
        <f>(31.21+(2.2+2.7)+2.95*1.2+0.75*(2.7+2.2))*10.764</f>
        <v>466.35029999999995</v>
      </c>
      <c r="E185" s="41">
        <v>0</v>
      </c>
      <c r="F185" s="41">
        <f t="shared" ref="F185:F191" si="14">D185*(($F$137)+1)+(IF(E185&lt;101,E185,IF(E185&lt;201,E185/2,IF(E185&lt;=301,E185/3,E185/4))))</f>
        <v>699.52544999999986</v>
      </c>
      <c r="G185" s="74" t="str">
        <f>A184</f>
        <v>2nd to 7th, 9th to 12th &amp; 14th Floor</v>
      </c>
      <c r="H185" s="75"/>
      <c r="I185" s="35"/>
      <c r="J185" s="36"/>
      <c r="K185" s="36"/>
    </row>
    <row r="186" spans="1:12" s="34" customFormat="1" ht="15.75" customHeight="1" x14ac:dyDescent="0.3">
      <c r="A186" s="76">
        <f t="shared" ref="A186" si="15">A185+1</f>
        <v>2</v>
      </c>
      <c r="B186" s="77"/>
      <c r="C186" s="41" t="s">
        <v>172</v>
      </c>
      <c r="D186" s="63">
        <f>(31.21+(2.2+2.7)+2.95*1.2+0.75*(2.7+2.2))*10.764</f>
        <v>466.35029999999995</v>
      </c>
      <c r="E186" s="41">
        <v>0</v>
      </c>
      <c r="F186" s="41">
        <f t="shared" si="14"/>
        <v>699.52544999999986</v>
      </c>
      <c r="G186" s="109"/>
      <c r="H186" s="111"/>
      <c r="I186" s="35"/>
      <c r="J186" s="36"/>
      <c r="K186" s="36"/>
    </row>
    <row r="187" spans="1:12" s="34" customFormat="1" ht="15.75" customHeight="1" x14ac:dyDescent="0.3">
      <c r="A187" s="74">
        <f>A186+1</f>
        <v>3</v>
      </c>
      <c r="B187" s="75"/>
      <c r="C187" s="41" t="s">
        <v>171</v>
      </c>
      <c r="D187" s="63">
        <f>(46.7+(2.7+3)+3.3*1.2+0.75*(2.7+3))*10.764</f>
        <v>652.67514000000006</v>
      </c>
      <c r="E187" s="41">
        <v>0</v>
      </c>
      <c r="F187" s="41">
        <f t="shared" si="14"/>
        <v>979.01271000000008</v>
      </c>
      <c r="G187" s="109"/>
      <c r="H187" s="111"/>
      <c r="I187" s="35"/>
      <c r="J187" s="36"/>
      <c r="K187" s="36"/>
    </row>
    <row r="188" spans="1:12" s="34" customFormat="1" ht="15.75" customHeight="1" x14ac:dyDescent="0.3">
      <c r="A188" s="74">
        <f t="shared" ref="A188:A190" si="16">A187+1</f>
        <v>4</v>
      </c>
      <c r="B188" s="75"/>
      <c r="C188" s="41" t="s">
        <v>171</v>
      </c>
      <c r="D188" s="63">
        <f>(42.5+(3*1.4+2.7+3)+0.75*(3+2.7+3))*10.764</f>
        <v>634.26869999999997</v>
      </c>
      <c r="E188" s="41">
        <v>0</v>
      </c>
      <c r="F188" s="41">
        <f t="shared" si="14"/>
        <v>951.40304999999989</v>
      </c>
      <c r="G188" s="109"/>
      <c r="H188" s="111"/>
      <c r="I188" s="35"/>
      <c r="J188" s="36"/>
      <c r="K188" s="36"/>
    </row>
    <row r="189" spans="1:12" s="34" customFormat="1" ht="15.75" customHeight="1" x14ac:dyDescent="0.3">
      <c r="A189" s="74">
        <f t="shared" si="16"/>
        <v>5</v>
      </c>
      <c r="B189" s="75"/>
      <c r="C189" s="41" t="s">
        <v>172</v>
      </c>
      <c r="D189" s="63">
        <f>(27.33+(3*1.2+2.2+2.7)+0.75*(3+2.2+2.7))*10.764</f>
        <v>449.45081999999991</v>
      </c>
      <c r="E189" s="41">
        <v>0</v>
      </c>
      <c r="F189" s="41">
        <f t="shared" si="14"/>
        <v>674.1762299999998</v>
      </c>
      <c r="G189" s="109"/>
      <c r="H189" s="111"/>
      <c r="I189" s="35"/>
      <c r="J189" s="52">
        <f>(3*4.2+1.8*0.6+2.2*2.45+2.7*3.75+1.2*1.8+0.9*1.2+2.3*0.9+0.9*0.6+2.95*1.2+2.35*0.75+2.95*0.75)</f>
        <v>42.56</v>
      </c>
      <c r="K189" s="36"/>
    </row>
    <row r="190" spans="1:12" s="34" customFormat="1" ht="15.75" customHeight="1" x14ac:dyDescent="0.3">
      <c r="A190" s="74">
        <f t="shared" si="16"/>
        <v>6</v>
      </c>
      <c r="B190" s="75"/>
      <c r="C190" s="41" t="s">
        <v>172</v>
      </c>
      <c r="D190" s="63">
        <f>(27.33+(3*1.2+2.2+2.7)+0.75*(3+2.2+2.7))*10.764</f>
        <v>449.45081999999991</v>
      </c>
      <c r="E190" s="41">
        <v>0</v>
      </c>
      <c r="F190" s="41">
        <f t="shared" si="14"/>
        <v>674.1762299999998</v>
      </c>
      <c r="G190" s="109"/>
      <c r="H190" s="111"/>
      <c r="J190" s="52">
        <f>(3*4.2+1.8*0.6+2.2*2.45+2.7*3.75+1.2*1.8+0.9*1.2+2.3*0.9+0.9*0.6+2.95*1.2+2.35*0.75+2.95*0.75)</f>
        <v>42.56</v>
      </c>
    </row>
    <row r="191" spans="1:12" s="34" customFormat="1" ht="15.75" customHeight="1" x14ac:dyDescent="0.3">
      <c r="A191" s="74">
        <f>A190+1</f>
        <v>7</v>
      </c>
      <c r="B191" s="75"/>
      <c r="C191" s="41" t="s">
        <v>173</v>
      </c>
      <c r="D191" s="63">
        <f>(86.475+(1.2*(3+2.4+3)+0.75*(3+3.84)))*10.764</f>
        <v>1094.5373399999999</v>
      </c>
      <c r="E191" s="41">
        <v>0</v>
      </c>
      <c r="F191" s="41">
        <f t="shared" si="14"/>
        <v>1641.8060099999998</v>
      </c>
      <c r="G191" s="112"/>
      <c r="H191" s="114"/>
      <c r="J191" s="52">
        <f>(3*4.8+1.8*1.2+2.4*3+1*0.9+2.7*3.3+3*3.3+1.95*1.2+1.95*1.2+2.8*0.9+0.2*1.1+3.3*1.2+2.8*0.75+3.1*0.75)</f>
        <v>59.274999999999999</v>
      </c>
    </row>
    <row r="192" spans="1:12" s="34" customFormat="1" ht="15.75" customHeight="1" x14ac:dyDescent="0.3">
      <c r="A192" s="80" t="s">
        <v>235</v>
      </c>
      <c r="B192" s="81"/>
      <c r="C192" s="81"/>
      <c r="D192" s="81"/>
      <c r="E192" s="81"/>
      <c r="F192" s="81"/>
      <c r="G192" s="81"/>
      <c r="H192" s="82"/>
      <c r="J192" s="52">
        <f>(3*4.8+1.8*1.2+2.4*3+1*0.9+2.7*3.3+3*3.3+1.95*1.2+1.95*1.2+2.8*0.9+0.2*1.1+3.3*0.75+2.8*0.75+3.1*0.75)</f>
        <v>57.79</v>
      </c>
    </row>
    <row r="193" spans="1:11" s="34" customFormat="1" ht="15.75" customHeight="1" x14ac:dyDescent="0.3">
      <c r="A193" s="76">
        <v>1</v>
      </c>
      <c r="B193" s="77"/>
      <c r="C193" s="41" t="s">
        <v>172</v>
      </c>
      <c r="D193" s="63">
        <f>(31.21+(2.2+2.7)+2.95*1.2+0.75*(2.7+2.2))*10.764</f>
        <v>466.35029999999995</v>
      </c>
      <c r="E193" s="41">
        <v>0</v>
      </c>
      <c r="F193" s="41">
        <f t="shared" ref="F193:F195" si="17">D193*(($F$137)+1)+(IF(E193&lt;101,E193,IF(E193&lt;201,E193/2,IF(E193&lt;=301,E193/3,E193/4))))</f>
        <v>699.52544999999986</v>
      </c>
      <c r="G193" s="74" t="str">
        <f>A192</f>
        <v>8th &amp; 13th Floor (Part Refuge Area)</v>
      </c>
      <c r="H193" s="75"/>
      <c r="J193" s="52">
        <f>(3*4.2+1.8*0.6+2.2*2.45+2.7*3.75+1.2*1.8+0.9*1.2+2.3*0.9+0.9*0.6+2.95*0.75+2.35*0.75+2.95*0.75)</f>
        <v>41.232500000000002</v>
      </c>
    </row>
    <row r="194" spans="1:11" s="34" customFormat="1" x14ac:dyDescent="0.3">
      <c r="A194" s="76">
        <f t="shared" ref="A194" si="18">A193+1</f>
        <v>2</v>
      </c>
      <c r="B194" s="77"/>
      <c r="C194" s="41" t="s">
        <v>172</v>
      </c>
      <c r="D194" s="63">
        <f>(31.21+(2.2+2.7)+2.95*1.2+0.75*(2.7+2.2))*10.764</f>
        <v>466.35029999999995</v>
      </c>
      <c r="E194" s="41">
        <v>0</v>
      </c>
      <c r="F194" s="41">
        <f t="shared" si="17"/>
        <v>699.52544999999986</v>
      </c>
      <c r="G194" s="109"/>
      <c r="H194" s="111"/>
      <c r="J194" s="52">
        <f>(3*4.2+1.8*0.6+2.2*2.45+2.7*3.75+1.2*1.8+0.9*1.2+2.3*0.9+0.9*0.6+2.95*0.75+2.35*0.75+2.95*0.75)</f>
        <v>41.232500000000002</v>
      </c>
    </row>
    <row r="195" spans="1:11" ht="15.75" customHeight="1" x14ac:dyDescent="0.3">
      <c r="A195" s="74">
        <f>A194+1</f>
        <v>3</v>
      </c>
      <c r="B195" s="75"/>
      <c r="C195" s="41" t="s">
        <v>171</v>
      </c>
      <c r="D195" s="63">
        <f>(46.7+(2.7+3)+3.3*1.2+0.75*(2.7+3))*10.764</f>
        <v>652.67514000000006</v>
      </c>
      <c r="E195" s="41">
        <v>0</v>
      </c>
      <c r="F195" s="41">
        <f t="shared" si="17"/>
        <v>979.01271000000008</v>
      </c>
      <c r="G195" s="109"/>
      <c r="H195" s="111"/>
      <c r="I195" s="34"/>
      <c r="J195" s="52">
        <f>(5.9*3+4.15*3.7+1.2*1.2+3.3*2.4+4.6*3.2+1.5*1.1+3.3*3+3*3.84+0.9*2+2*1+1.4*2.1+2.1*1.25+1.4*2.1+3*1.45+3*1.2+2.4*1.2+3.45*0.75+3.84*0.75)</f>
        <v>108.80749999999998</v>
      </c>
      <c r="K195" s="34"/>
    </row>
    <row r="196" spans="1:11" ht="15.75" customHeight="1" x14ac:dyDescent="0.3">
      <c r="A196" s="74">
        <f t="shared" ref="A196:A198" si="19">A195+1</f>
        <v>4</v>
      </c>
      <c r="B196" s="75"/>
      <c r="C196" s="76" t="s">
        <v>190</v>
      </c>
      <c r="D196" s="217"/>
      <c r="E196" s="217"/>
      <c r="F196" s="77"/>
      <c r="G196" s="109"/>
      <c r="H196" s="111"/>
      <c r="I196" s="34"/>
      <c r="J196" s="52"/>
      <c r="K196" s="34"/>
    </row>
    <row r="197" spans="1:11" ht="15.75" customHeight="1" x14ac:dyDescent="0.3">
      <c r="A197" s="74">
        <f t="shared" si="19"/>
        <v>5</v>
      </c>
      <c r="B197" s="75"/>
      <c r="C197" s="41" t="s">
        <v>193</v>
      </c>
      <c r="D197" s="63">
        <f>(42.61+(3*1.2+3*1.2+2.2+2.7)+(0.75*(3+3+2.2+2.7)))*10.764</f>
        <v>676.89413999999988</v>
      </c>
      <c r="E197" s="41">
        <v>0</v>
      </c>
      <c r="F197" s="41">
        <f t="shared" ref="F197:F199" si="20">D197*(($F$137)+1)+(IF(E197&lt;101,E197,IF(E197&lt;201,E197/2,IF(E197&lt;=301,E197/3,E197/4))))</f>
        <v>1015.3412099999998</v>
      </c>
      <c r="G197" s="109"/>
      <c r="H197" s="111"/>
      <c r="I197" s="34"/>
      <c r="J197" s="52">
        <f>(3*4.2+1.8*0.6+2.2*2.45+2.7*3.75+1.2*1.8+0.9*1.2+2.3*0.9+0.9*0.6+2.95*1.2+2.35*0.75+2.95*0.75)</f>
        <v>42.56</v>
      </c>
      <c r="K197" s="34"/>
    </row>
    <row r="198" spans="1:11" ht="15.75" customHeight="1" x14ac:dyDescent="0.3">
      <c r="A198" s="74">
        <f t="shared" si="19"/>
        <v>6</v>
      </c>
      <c r="B198" s="75"/>
      <c r="C198" s="41" t="s">
        <v>172</v>
      </c>
      <c r="D198" s="63">
        <f>(27.33+(3*1.2+2.2+2.7)+0.75*(3+2.2+2.7))*10.764</f>
        <v>449.45081999999991</v>
      </c>
      <c r="E198" s="41">
        <v>0</v>
      </c>
      <c r="F198" s="41">
        <f t="shared" si="20"/>
        <v>674.1762299999998</v>
      </c>
      <c r="G198" s="109"/>
      <c r="H198" s="111"/>
      <c r="I198" s="34"/>
      <c r="J198" s="52">
        <f>(3*4.2+1.8*0.6+2.2*2.45+2.7*3.75+1.2*1.8+0.9*1.2+2.3*0.9+0.9*0.6+2.95*1.2+2.35*0.75+2.95*0.75)</f>
        <v>42.56</v>
      </c>
      <c r="K198" s="34"/>
    </row>
    <row r="199" spans="1:11" ht="15.75" customHeight="1" x14ac:dyDescent="0.3">
      <c r="A199" s="74">
        <f>A198+1</f>
        <v>7</v>
      </c>
      <c r="B199" s="75"/>
      <c r="C199" s="41" t="s">
        <v>173</v>
      </c>
      <c r="D199" s="63">
        <f>(86.475+(1.2*(3+2.4+3)+0.75*(3+3.84)))*10.764</f>
        <v>1094.5373399999999</v>
      </c>
      <c r="E199" s="41">
        <v>0</v>
      </c>
      <c r="F199" s="41">
        <f t="shared" si="20"/>
        <v>1641.8060099999998</v>
      </c>
      <c r="G199" s="112"/>
      <c r="H199" s="114"/>
      <c r="I199" s="34"/>
      <c r="J199" s="52">
        <f>(3*4.8+1.8*1.2+2.4*3+1*0.9+2.7*3.3+3*3.3+1.95*1.2+1.95*1.2+2.8*0.9+0.2*1.1+3.3*1.2+2.8*0.75+3.1*0.75)</f>
        <v>59.274999999999999</v>
      </c>
      <c r="K199" s="34"/>
    </row>
    <row r="200" spans="1:11" ht="15.75" customHeight="1" x14ac:dyDescent="0.3">
      <c r="A200" s="253" t="s">
        <v>212</v>
      </c>
      <c r="B200" s="254"/>
      <c r="C200" s="254"/>
      <c r="D200" s="254"/>
      <c r="E200" s="254"/>
      <c r="F200" s="254"/>
      <c r="G200" s="254"/>
      <c r="H200" s="255"/>
      <c r="I200" s="34"/>
      <c r="J200" s="52"/>
      <c r="K200" s="34"/>
    </row>
    <row r="201" spans="1:11" ht="15.75" customHeight="1" x14ac:dyDescent="0.3">
      <c r="A201" s="80" t="s">
        <v>211</v>
      </c>
      <c r="B201" s="81"/>
      <c r="C201" s="81"/>
      <c r="D201" s="81"/>
      <c r="E201" s="81"/>
      <c r="F201" s="81"/>
      <c r="G201" s="81"/>
      <c r="H201" s="82"/>
      <c r="I201" s="34"/>
      <c r="J201" s="52"/>
      <c r="K201" s="34"/>
    </row>
    <row r="202" spans="1:11" ht="15.75" customHeight="1" x14ac:dyDescent="0.3">
      <c r="A202" s="80" t="s">
        <v>232</v>
      </c>
      <c r="B202" s="81"/>
      <c r="C202" s="81"/>
      <c r="D202" s="81"/>
      <c r="E202" s="81"/>
      <c r="F202" s="81"/>
      <c r="G202" s="81"/>
      <c r="H202" s="82"/>
      <c r="I202" s="34"/>
      <c r="J202" s="52">
        <f>(5.9*3+4.15*3.7+1.2*1.2+3.3*2.4+4.6*3.2+1.5*1.1+3.3*3+3*3.84+0.9*2+2*1+1.4*2.1+2.1*1.25+1.4*2.1+3*1.45+3*1.2+2.4*1.2+3.45*0.75+3.84*0.75)</f>
        <v>108.80749999999998</v>
      </c>
      <c r="K202" s="34"/>
    </row>
    <row r="203" spans="1:11" ht="15.75" customHeight="1" x14ac:dyDescent="0.3">
      <c r="A203" s="80" t="s">
        <v>228</v>
      </c>
      <c r="B203" s="81"/>
      <c r="C203" s="81"/>
      <c r="D203" s="81"/>
      <c r="E203" s="81"/>
      <c r="F203" s="81"/>
      <c r="G203" s="81"/>
      <c r="H203" s="82"/>
      <c r="I203" s="34"/>
      <c r="J203" s="52"/>
      <c r="K203" s="34"/>
    </row>
    <row r="204" spans="1:11" x14ac:dyDescent="0.3">
      <c r="A204" s="76">
        <v>1</v>
      </c>
      <c r="B204" s="77"/>
      <c r="C204" s="64" t="s">
        <v>172</v>
      </c>
      <c r="D204" s="66">
        <f>(32.76+0.75*(1.65+2.61))*10.764</f>
        <v>387.01961999999997</v>
      </c>
      <c r="E204" s="41">
        <v>0</v>
      </c>
      <c r="F204" s="41">
        <f t="shared" ref="F204:F211" si="21">D204*(($F$137)+1)+(IF(E204&lt;101,E204,IF(E204&lt;201,E204/2,IF(E204&lt;=301,E204/3,E204/4))))</f>
        <v>580.52942999999993</v>
      </c>
      <c r="G204" s="108" t="str">
        <f>A203</f>
        <v>1st Floor For Residential &amp; Part Parking Area</v>
      </c>
      <c r="H204" s="75"/>
      <c r="I204" s="52">
        <f>(3*4.2+1.8*0.6+2.2*2.45+2.7*3.75+1.2*1.8+0.9*1.2+2.3*0.9+0.9*0.6+2.95*1.2+2.35*0.75+2.95*0.75)</f>
        <v>42.56</v>
      </c>
      <c r="J204" s="34"/>
      <c r="K204" s="34"/>
    </row>
    <row r="205" spans="1:11" x14ac:dyDescent="0.3">
      <c r="A205" s="76">
        <f t="shared" ref="A205" si="22">A204+1</f>
        <v>2</v>
      </c>
      <c r="B205" s="77"/>
      <c r="C205" s="64" t="s">
        <v>230</v>
      </c>
      <c r="D205" s="66">
        <f>(45.57+2.99+0.75*(3+2.15+2.7))*10.764</f>
        <v>586.07289000000003</v>
      </c>
      <c r="E205" s="41">
        <v>0</v>
      </c>
      <c r="F205" s="41">
        <f t="shared" si="21"/>
        <v>879.1093350000001</v>
      </c>
      <c r="G205" s="110"/>
      <c r="H205" s="111"/>
      <c r="I205" s="52">
        <f>(3*4.2+1.8*0.6+2.2*2.45+2.7*3.75+1.2*1.8+0.9*1.2+2.3*0.9+0.9*0.6+2.95*1.2+2.35*0.75+2.95*0.75)</f>
        <v>42.56</v>
      </c>
      <c r="J205" s="34"/>
      <c r="K205" s="34"/>
    </row>
    <row r="206" spans="1:11" x14ac:dyDescent="0.3">
      <c r="A206" s="74">
        <f>A205+1</f>
        <v>3</v>
      </c>
      <c r="B206" s="75"/>
      <c r="C206" s="64" t="s">
        <v>230</v>
      </c>
      <c r="D206" s="66">
        <f>(46.51+0.75*(3+2.7+3+2.8))*10.764</f>
        <v>593.47313999999994</v>
      </c>
      <c r="E206" s="53">
        <v>0</v>
      </c>
      <c r="F206" s="41">
        <f t="shared" si="21"/>
        <v>890.20970999999986</v>
      </c>
      <c r="G206" s="110"/>
      <c r="H206" s="111"/>
      <c r="I206" s="52">
        <f>(3*4.8+1.8*1.2+2.4*3+1*0.9+2.7*3.3+3*3.3+1.95*1.2+1.95*1.2+2.8*0.9+0.2*1.1+3.3*1.2+2.8*0.75+3.1*0.75)</f>
        <v>59.274999999999999</v>
      </c>
      <c r="J206" s="34"/>
      <c r="K206" s="34"/>
    </row>
    <row r="207" spans="1:11" ht="15.6" customHeight="1" x14ac:dyDescent="0.3">
      <c r="A207" s="74">
        <f t="shared" ref="A207:A209" si="23">A206+1</f>
        <v>4</v>
      </c>
      <c r="B207" s="75"/>
      <c r="C207" s="64" t="s">
        <v>230</v>
      </c>
      <c r="D207" s="66">
        <f>(46.51+0.75*(3+2.7+3+2.8))*10.764</f>
        <v>593.47313999999994</v>
      </c>
      <c r="E207" s="41">
        <v>0</v>
      </c>
      <c r="F207" s="41">
        <f t="shared" si="21"/>
        <v>890.20970999999986</v>
      </c>
      <c r="G207" s="110"/>
      <c r="H207" s="111"/>
      <c r="I207" s="52">
        <f>(3*4.8+1.8*1.2+2.4*3+1*0.9+2.7*3.3+3*3.3+1.95*1.2+1.95*1.2+2.8*0.9+0.2*1.1+3.3*0.75+2.8*0.75+3.1*0.75)</f>
        <v>57.79</v>
      </c>
      <c r="J207" s="34"/>
      <c r="K207" s="34"/>
    </row>
    <row r="208" spans="1:11" x14ac:dyDescent="0.3">
      <c r="A208" s="74">
        <f t="shared" si="23"/>
        <v>5</v>
      </c>
      <c r="B208" s="75"/>
      <c r="C208" s="64" t="s">
        <v>230</v>
      </c>
      <c r="D208" s="66">
        <f>(45.57+2.99+0.75*(3+2.15+2.7))*10.764</f>
        <v>586.07289000000003</v>
      </c>
      <c r="E208" s="41">
        <v>0</v>
      </c>
      <c r="F208" s="41">
        <f t="shared" si="21"/>
        <v>879.1093350000001</v>
      </c>
      <c r="G208" s="110"/>
      <c r="H208" s="111"/>
      <c r="I208" s="52">
        <f>(3*4.2+1.8*0.6+2.2*2.45+2.7*3.75+1.2*1.8+0.9*1.2+2.3*0.9+0.9*0.6+2.95*0.75+2.35*0.75+2.95*0.75)</f>
        <v>41.232500000000002</v>
      </c>
      <c r="J208" s="34"/>
      <c r="K208" s="34"/>
    </row>
    <row r="209" spans="1:10" x14ac:dyDescent="0.3">
      <c r="A209" s="74">
        <f t="shared" si="23"/>
        <v>6</v>
      </c>
      <c r="B209" s="75"/>
      <c r="C209" s="64" t="s">
        <v>172</v>
      </c>
      <c r="D209" s="66">
        <f>(32.76+0.75*(2.61+1.65))*10.764</f>
        <v>387.01961999999997</v>
      </c>
      <c r="E209" s="41">
        <v>0</v>
      </c>
      <c r="F209" s="41">
        <f t="shared" si="21"/>
        <v>580.52942999999993</v>
      </c>
      <c r="G209" s="110"/>
      <c r="H209" s="111"/>
      <c r="I209" s="52">
        <f>(3*4.2+1.8*0.6+2.2*2.45+2.7*3.75+1.2*1.8+0.9*1.2+2.3*0.9+0.9*0.6+2.95*0.75+2.35*0.75+2.95*0.75)</f>
        <v>41.232500000000002</v>
      </c>
    </row>
    <row r="210" spans="1:10" x14ac:dyDescent="0.3">
      <c r="A210" s="74">
        <f t="shared" ref="A210:A215" si="24">A209+1</f>
        <v>7</v>
      </c>
      <c r="B210" s="75"/>
      <c r="C210" s="64" t="s">
        <v>172</v>
      </c>
      <c r="D210" s="66">
        <f>(32.76+0.75*(2.61+1.65))*10.764</f>
        <v>387.01961999999997</v>
      </c>
      <c r="E210" s="41">
        <v>0</v>
      </c>
      <c r="F210" s="41">
        <f t="shared" si="21"/>
        <v>580.52942999999993</v>
      </c>
      <c r="G210" s="110"/>
      <c r="H210" s="111"/>
      <c r="I210" s="52">
        <f>(5.9*3+4.15*3.7+1.2*1.2+3.3*2.4+4.6*3.2+1.5*1.1+3.3*3+3*3.84+0.9*2+2*1+1.4*2.1+2.1*1.25+1.4*2.1+3*1.45+3*1.2+2.4*1.2+3.45*0.75+3.84*0.75)</f>
        <v>108.80749999999998</v>
      </c>
    </row>
    <row r="211" spans="1:10" ht="15" customHeight="1" x14ac:dyDescent="0.3">
      <c r="A211" s="74">
        <f t="shared" si="24"/>
        <v>8</v>
      </c>
      <c r="B211" s="75"/>
      <c r="C211" s="64" t="s">
        <v>230</v>
      </c>
      <c r="D211" s="66">
        <f>(45.57+2.99+0.75*(3+2.15+2.7))*10.764</f>
        <v>586.07289000000003</v>
      </c>
      <c r="E211" s="41">
        <v>0</v>
      </c>
      <c r="F211" s="41">
        <f t="shared" si="21"/>
        <v>879.1093350000001</v>
      </c>
      <c r="G211" s="110"/>
      <c r="H211" s="111"/>
      <c r="I211" s="52"/>
    </row>
    <row r="212" spans="1:10" x14ac:dyDescent="0.3">
      <c r="A212" s="74">
        <f t="shared" si="24"/>
        <v>9</v>
      </c>
      <c r="B212" s="75"/>
      <c r="C212" s="64" t="s">
        <v>230</v>
      </c>
      <c r="D212" s="66">
        <f>(46.51+0.75*(3+2.7+3+2.8))*10.764</f>
        <v>593.47313999999994</v>
      </c>
      <c r="E212" s="41">
        <v>0</v>
      </c>
      <c r="F212" s="41">
        <f t="shared" ref="F212" si="25">D212*(($F$137)+1)+(IF(E212&lt;101,E212,IF(E212&lt;201,E212/2,IF(E212&lt;=301,E212/3,E212/4))))</f>
        <v>890.20970999999986</v>
      </c>
      <c r="G212" s="110"/>
      <c r="H212" s="111"/>
      <c r="I212" s="52">
        <f>(3*4.2+1.8*0.6+2.2*2.45+2.7*3.75+1.2*1.8+0.9*1.2+2.3*0.9+0.9*0.6+2.95*1.2+2.35*0.75+2.95*0.75)</f>
        <v>42.56</v>
      </c>
    </row>
    <row r="213" spans="1:10" x14ac:dyDescent="0.3">
      <c r="A213" s="74">
        <f t="shared" si="24"/>
        <v>10</v>
      </c>
      <c r="B213" s="75"/>
      <c r="C213" s="118" t="s">
        <v>239</v>
      </c>
      <c r="D213" s="119"/>
      <c r="E213" s="119"/>
      <c r="F213" s="120"/>
      <c r="G213" s="110"/>
      <c r="H213" s="111"/>
      <c r="I213" s="52">
        <f>(3*4.2+1.8*0.6+2.2*2.45+2.7*3.75+1.2*1.8+0.9*1.2+2.3*0.9+0.9*0.6+2.95*1.2+2.35*0.75+2.95*0.75)</f>
        <v>42.56</v>
      </c>
    </row>
    <row r="214" spans="1:10" x14ac:dyDescent="0.3">
      <c r="A214" s="74">
        <f t="shared" si="24"/>
        <v>11</v>
      </c>
      <c r="B214" s="75"/>
      <c r="C214" s="241"/>
      <c r="D214" s="242"/>
      <c r="E214" s="242"/>
      <c r="F214" s="243"/>
      <c r="G214" s="110"/>
      <c r="H214" s="111"/>
      <c r="I214" s="52">
        <f>(3*4.8+1.8*1.2+2.4*3+1*0.9+2.7*3.3+3*3.3+1.95*1.2+1.95*1.2+2.8*0.9+0.2*1.1+3.3*1.2+2.8*0.75+3.1*0.75)</f>
        <v>59.274999999999999</v>
      </c>
    </row>
    <row r="215" spans="1:10" x14ac:dyDescent="0.3">
      <c r="A215" s="74">
        <f t="shared" si="24"/>
        <v>12</v>
      </c>
      <c r="B215" s="75"/>
      <c r="C215" s="121"/>
      <c r="D215" s="122"/>
      <c r="E215" s="122"/>
      <c r="F215" s="123"/>
      <c r="G215" s="113"/>
      <c r="H215" s="114"/>
      <c r="I215" s="52"/>
    </row>
    <row r="216" spans="1:10" x14ac:dyDescent="0.3">
      <c r="A216" s="80" t="s">
        <v>240</v>
      </c>
      <c r="B216" s="81"/>
      <c r="C216" s="81"/>
      <c r="D216" s="81"/>
      <c r="E216" s="81"/>
      <c r="F216" s="81"/>
      <c r="G216" s="81"/>
      <c r="H216" s="82"/>
      <c r="I216" s="52">
        <f>(5.9*3+4.15*3.7+1.2*1.2+3.3*2.4+4.6*3.2+1.5*1.1+3.3*3+3*3.84+0.9*2+2*1+1.4*2.1+2.1*1.25+1.4*2.1+3*1.45+3*1.2+2.4*1.2+3.45*0.75+3.84*0.75)</f>
        <v>108.80749999999998</v>
      </c>
    </row>
    <row r="217" spans="1:10" x14ac:dyDescent="0.3">
      <c r="A217" s="76">
        <v>1</v>
      </c>
      <c r="B217" s="77"/>
      <c r="C217" s="64" t="s">
        <v>172</v>
      </c>
      <c r="D217" s="66">
        <f>(32.76+0.75*(1.65+2.61))*10.764</f>
        <v>387.01961999999997</v>
      </c>
      <c r="E217" s="41">
        <v>0</v>
      </c>
      <c r="F217" s="41">
        <f t="shared" ref="F217:F223" si="26">D217*(($F$137)+1)+(IF(E217&lt;101,E217,IF(E217&lt;201,E217/2,IF(E217&lt;=301,E217/3,E217/4))))</f>
        <v>580.52942999999993</v>
      </c>
      <c r="G217" s="74" t="str">
        <f>A216</f>
        <v>2nd to 7th, 9th to 12th Floor</v>
      </c>
      <c r="H217" s="75"/>
      <c r="I217" s="52"/>
    </row>
    <row r="218" spans="1:10" x14ac:dyDescent="0.3">
      <c r="A218" s="76">
        <f t="shared" ref="A218" si="27">A217+1</f>
        <v>2</v>
      </c>
      <c r="B218" s="77"/>
      <c r="C218" s="64" t="s">
        <v>230</v>
      </c>
      <c r="D218" s="66">
        <f>(45.57+2.99+0.75*(3+2.15+2.7))*10.764</f>
        <v>586.07289000000003</v>
      </c>
      <c r="E218" s="41">
        <v>0</v>
      </c>
      <c r="F218" s="41">
        <f t="shared" si="26"/>
        <v>879.1093350000001</v>
      </c>
      <c r="G218" s="109"/>
      <c r="H218" s="111"/>
    </row>
    <row r="219" spans="1:10" x14ac:dyDescent="0.3">
      <c r="A219" s="74">
        <f>A218+1</f>
        <v>3</v>
      </c>
      <c r="B219" s="75"/>
      <c r="C219" s="64" t="s">
        <v>230</v>
      </c>
      <c r="D219" s="66">
        <f>(46.51+0.75*(3+2.7+3+2.8))*10.764</f>
        <v>593.47313999999994</v>
      </c>
      <c r="E219" s="41">
        <v>0</v>
      </c>
      <c r="F219" s="41">
        <f t="shared" si="26"/>
        <v>890.20970999999986</v>
      </c>
      <c r="G219" s="109"/>
      <c r="H219" s="111"/>
    </row>
    <row r="220" spans="1:10" x14ac:dyDescent="0.3">
      <c r="A220" s="74">
        <f t="shared" ref="A220:A222" si="28">A219+1</f>
        <v>4</v>
      </c>
      <c r="B220" s="75"/>
      <c r="C220" s="64" t="s">
        <v>230</v>
      </c>
      <c r="D220" s="66">
        <f>(46.51+0.75*(3+2.7+3+2.8))*10.764</f>
        <v>593.47313999999994</v>
      </c>
      <c r="E220" s="41">
        <v>0</v>
      </c>
      <c r="F220" s="41">
        <f t="shared" si="26"/>
        <v>890.20970999999986</v>
      </c>
      <c r="G220" s="109"/>
      <c r="H220" s="111"/>
    </row>
    <row r="221" spans="1:10" x14ac:dyDescent="0.3">
      <c r="A221" s="74">
        <f t="shared" si="28"/>
        <v>5</v>
      </c>
      <c r="B221" s="75"/>
      <c r="C221" s="64" t="s">
        <v>230</v>
      </c>
      <c r="D221" s="66">
        <f>(45.57+2.99+0.75*(3+2.15+2.7))*10.764</f>
        <v>586.07289000000003</v>
      </c>
      <c r="E221" s="41">
        <v>0</v>
      </c>
      <c r="F221" s="41">
        <f t="shared" si="26"/>
        <v>879.1093350000001</v>
      </c>
      <c r="G221" s="109"/>
      <c r="H221" s="111"/>
    </row>
    <row r="222" spans="1:10" x14ac:dyDescent="0.3">
      <c r="A222" s="74">
        <f t="shared" si="28"/>
        <v>6</v>
      </c>
      <c r="B222" s="75"/>
      <c r="C222" s="64" t="s">
        <v>172</v>
      </c>
      <c r="D222" s="66">
        <f>(32.76+0.75*(2.61+1.65))*10.764</f>
        <v>387.01961999999997</v>
      </c>
      <c r="E222" s="41">
        <v>0</v>
      </c>
      <c r="F222" s="41">
        <f t="shared" si="26"/>
        <v>580.52942999999993</v>
      </c>
      <c r="G222" s="109"/>
      <c r="H222" s="111"/>
      <c r="I222" s="91" t="s">
        <v>204</v>
      </c>
      <c r="J222" s="91"/>
    </row>
    <row r="223" spans="1:10" x14ac:dyDescent="0.3">
      <c r="A223" s="74">
        <f>A222+1</f>
        <v>7</v>
      </c>
      <c r="B223" s="75"/>
      <c r="C223" s="64" t="s">
        <v>172</v>
      </c>
      <c r="D223" s="66">
        <f>(32.76+0.75*(2.61+1.65))*10.764</f>
        <v>387.01961999999997</v>
      </c>
      <c r="E223" s="41">
        <v>0</v>
      </c>
      <c r="F223" s="41">
        <f t="shared" si="26"/>
        <v>580.52942999999993</v>
      </c>
      <c r="G223" s="109"/>
      <c r="H223" s="111"/>
    </row>
    <row r="224" spans="1:10" x14ac:dyDescent="0.3">
      <c r="A224" s="76">
        <v>8</v>
      </c>
      <c r="B224" s="77"/>
      <c r="C224" s="64" t="s">
        <v>230</v>
      </c>
      <c r="D224" s="66">
        <f>(45.57+2.99+0.75*(3+2.15+2.7))*10.764</f>
        <v>586.07289000000003</v>
      </c>
      <c r="E224" s="41">
        <v>0</v>
      </c>
      <c r="F224" s="41">
        <f t="shared" ref="F224:F228" si="29">D224*(($F$137)+1)+(IF(E224&lt;101,E224,IF(E224&lt;201,E224/2,IF(E224&lt;=301,E224/3,E224/4))))</f>
        <v>879.1093350000001</v>
      </c>
      <c r="G224" s="109"/>
      <c r="H224" s="111"/>
    </row>
    <row r="225" spans="1:8" x14ac:dyDescent="0.3">
      <c r="A225" s="76">
        <f t="shared" ref="A225" si="30">A224+1</f>
        <v>9</v>
      </c>
      <c r="B225" s="77"/>
      <c r="C225" s="64" t="s">
        <v>230</v>
      </c>
      <c r="D225" s="66">
        <f>(46.51+0.75*(3+2.7+3+2.8))*10.764</f>
        <v>593.47313999999994</v>
      </c>
      <c r="E225" s="41">
        <v>0</v>
      </c>
      <c r="F225" s="41">
        <f t="shared" si="29"/>
        <v>890.20970999999986</v>
      </c>
      <c r="G225" s="109"/>
      <c r="H225" s="111"/>
    </row>
    <row r="226" spans="1:8" x14ac:dyDescent="0.3">
      <c r="A226" s="74">
        <f>A225+1</f>
        <v>10</v>
      </c>
      <c r="B226" s="75"/>
      <c r="C226" s="64" t="s">
        <v>230</v>
      </c>
      <c r="D226" s="66">
        <f>(46.51+0.75*(3+2.7+3+2.8))*10.764</f>
        <v>593.47313999999994</v>
      </c>
      <c r="E226" s="41">
        <v>0</v>
      </c>
      <c r="F226" s="41">
        <f t="shared" si="29"/>
        <v>890.20970999999986</v>
      </c>
      <c r="G226" s="109"/>
      <c r="H226" s="111"/>
    </row>
    <row r="227" spans="1:8" x14ac:dyDescent="0.3">
      <c r="A227" s="74">
        <f t="shared" ref="A227:A228" si="31">A226+1</f>
        <v>11</v>
      </c>
      <c r="B227" s="75"/>
      <c r="C227" s="64" t="s">
        <v>230</v>
      </c>
      <c r="D227" s="66">
        <f>(45.57+2.99+0.75*(3+2.15+2.7))*10.764</f>
        <v>586.07289000000003</v>
      </c>
      <c r="E227" s="41">
        <v>0</v>
      </c>
      <c r="F227" s="41">
        <f t="shared" si="29"/>
        <v>879.1093350000001</v>
      </c>
      <c r="G227" s="109"/>
      <c r="H227" s="111"/>
    </row>
    <row r="228" spans="1:8" x14ac:dyDescent="0.3">
      <c r="A228" s="74">
        <f t="shared" si="31"/>
        <v>12</v>
      </c>
      <c r="B228" s="75"/>
      <c r="C228" s="64" t="s">
        <v>172</v>
      </c>
      <c r="D228" s="66">
        <f>(32.76+0.75*(1.65+2.61))*10.764</f>
        <v>387.01961999999997</v>
      </c>
      <c r="E228" s="41">
        <v>0</v>
      </c>
      <c r="F228" s="41">
        <f t="shared" si="29"/>
        <v>580.52942999999993</v>
      </c>
      <c r="G228" s="112"/>
      <c r="H228" s="114"/>
    </row>
    <row r="229" spans="1:8" x14ac:dyDescent="0.3">
      <c r="A229" s="115" t="s">
        <v>241</v>
      </c>
      <c r="B229" s="116"/>
      <c r="C229" s="116"/>
      <c r="D229" s="116"/>
      <c r="E229" s="116"/>
      <c r="F229" s="116"/>
      <c r="G229" s="116"/>
      <c r="H229" s="117"/>
    </row>
    <row r="230" spans="1:8" x14ac:dyDescent="0.3">
      <c r="A230" s="76">
        <v>1</v>
      </c>
      <c r="B230" s="77"/>
      <c r="C230" s="64" t="s">
        <v>172</v>
      </c>
      <c r="D230" s="66">
        <f>(32.76+0.75*(1.65+2.61))*10.764</f>
        <v>387.01961999999997</v>
      </c>
      <c r="E230" s="41">
        <v>0</v>
      </c>
      <c r="F230" s="41">
        <f t="shared" ref="F230:F241" si="32">D230*(($F$137)+1)+(IF(E230&lt;101,E230,IF(E230&lt;201,E230/2,IF(E230&lt;=301,E230/3,E230/4))))</f>
        <v>580.52942999999993</v>
      </c>
      <c r="G230" s="74" t="str">
        <f>A229</f>
        <v>8th Floor For Part Refuge Area</v>
      </c>
      <c r="H230" s="75"/>
    </row>
    <row r="231" spans="1:8" x14ac:dyDescent="0.3">
      <c r="A231" s="76">
        <f t="shared" ref="A231" si="33">A230+1</f>
        <v>2</v>
      </c>
      <c r="B231" s="77"/>
      <c r="C231" s="64" t="s">
        <v>230</v>
      </c>
      <c r="D231" s="66">
        <f>(45.57+2.99+0.75*(3+2.15+2.7))*10.764</f>
        <v>586.07289000000003</v>
      </c>
      <c r="E231" s="41">
        <v>0</v>
      </c>
      <c r="F231" s="41">
        <f t="shared" si="32"/>
        <v>879.1093350000001</v>
      </c>
      <c r="G231" s="109"/>
      <c r="H231" s="111"/>
    </row>
    <row r="232" spans="1:8" x14ac:dyDescent="0.3">
      <c r="A232" s="74">
        <f>A231+1</f>
        <v>3</v>
      </c>
      <c r="B232" s="75"/>
      <c r="C232" s="118" t="s">
        <v>242</v>
      </c>
      <c r="D232" s="119"/>
      <c r="E232" s="119"/>
      <c r="F232" s="120"/>
      <c r="G232" s="109"/>
      <c r="H232" s="111"/>
    </row>
    <row r="233" spans="1:8" x14ac:dyDescent="0.3">
      <c r="A233" s="74">
        <f t="shared" ref="A233:A235" si="34">A232+1</f>
        <v>4</v>
      </c>
      <c r="B233" s="75"/>
      <c r="C233" s="121"/>
      <c r="D233" s="122"/>
      <c r="E233" s="122"/>
      <c r="F233" s="123"/>
      <c r="G233" s="109"/>
      <c r="H233" s="111"/>
    </row>
    <row r="234" spans="1:8" x14ac:dyDescent="0.3">
      <c r="A234" s="74">
        <f t="shared" si="34"/>
        <v>5</v>
      </c>
      <c r="B234" s="75"/>
      <c r="C234" s="64" t="s">
        <v>230</v>
      </c>
      <c r="D234" s="66">
        <f>(45.57+2.99+0.75*(3+2.15+2.7))*10.764</f>
        <v>586.07289000000003</v>
      </c>
      <c r="E234" s="41">
        <v>0</v>
      </c>
      <c r="F234" s="41">
        <f t="shared" si="32"/>
        <v>879.1093350000001</v>
      </c>
      <c r="G234" s="109"/>
      <c r="H234" s="111"/>
    </row>
    <row r="235" spans="1:8" x14ac:dyDescent="0.3">
      <c r="A235" s="74">
        <f t="shared" si="34"/>
        <v>6</v>
      </c>
      <c r="B235" s="75"/>
      <c r="C235" s="64" t="s">
        <v>172</v>
      </c>
      <c r="D235" s="66">
        <f>(32.76+0.75*(2.61+1.65))*10.764</f>
        <v>387.01961999999997</v>
      </c>
      <c r="E235" s="41">
        <v>0</v>
      </c>
      <c r="F235" s="41">
        <f t="shared" si="32"/>
        <v>580.52942999999993</v>
      </c>
      <c r="G235" s="109"/>
      <c r="H235" s="111"/>
    </row>
    <row r="236" spans="1:8" x14ac:dyDescent="0.3">
      <c r="A236" s="74">
        <f>A235+1</f>
        <v>7</v>
      </c>
      <c r="B236" s="75"/>
      <c r="C236" s="64" t="s">
        <v>172</v>
      </c>
      <c r="D236" s="66">
        <f>(32.76+0.75*(2.61+1.65))*10.764</f>
        <v>387.01961999999997</v>
      </c>
      <c r="E236" s="41">
        <v>0</v>
      </c>
      <c r="F236" s="41">
        <f t="shared" si="32"/>
        <v>580.52942999999993</v>
      </c>
      <c r="G236" s="109"/>
      <c r="H236" s="111"/>
    </row>
    <row r="237" spans="1:8" x14ac:dyDescent="0.3">
      <c r="A237" s="76">
        <v>8</v>
      </c>
      <c r="B237" s="77"/>
      <c r="C237" s="64" t="s">
        <v>230</v>
      </c>
      <c r="D237" s="66">
        <f>(45.57+2.99+0.75*(3+2.15+2.7))*10.764</f>
        <v>586.07289000000003</v>
      </c>
      <c r="E237" s="41">
        <v>0</v>
      </c>
      <c r="F237" s="41">
        <f t="shared" si="32"/>
        <v>879.1093350000001</v>
      </c>
      <c r="G237" s="109"/>
      <c r="H237" s="111"/>
    </row>
    <row r="238" spans="1:8" x14ac:dyDescent="0.3">
      <c r="A238" s="76">
        <f t="shared" ref="A238" si="35">A237+1</f>
        <v>9</v>
      </c>
      <c r="B238" s="77"/>
      <c r="C238" s="64" t="s">
        <v>230</v>
      </c>
      <c r="D238" s="66">
        <f>(46.51+0.75*(3+2.7+3+2.8))*10.764</f>
        <v>593.47313999999994</v>
      </c>
      <c r="E238" s="41">
        <v>0</v>
      </c>
      <c r="F238" s="41">
        <f t="shared" si="32"/>
        <v>890.20970999999986</v>
      </c>
      <c r="G238" s="109"/>
      <c r="H238" s="111"/>
    </row>
    <row r="239" spans="1:8" x14ac:dyDescent="0.3">
      <c r="A239" s="74">
        <f>A238+1</f>
        <v>10</v>
      </c>
      <c r="B239" s="75"/>
      <c r="C239" s="64" t="s">
        <v>230</v>
      </c>
      <c r="D239" s="66">
        <f>(46.51+0.75*(3+2.7+3+2.8))*10.764</f>
        <v>593.47313999999994</v>
      </c>
      <c r="E239" s="41">
        <v>0</v>
      </c>
      <c r="F239" s="41">
        <f t="shared" si="32"/>
        <v>890.20970999999986</v>
      </c>
      <c r="G239" s="109"/>
      <c r="H239" s="111"/>
    </row>
    <row r="240" spans="1:8" x14ac:dyDescent="0.3">
      <c r="A240" s="74">
        <f t="shared" ref="A240:A241" si="36">A239+1</f>
        <v>11</v>
      </c>
      <c r="B240" s="75"/>
      <c r="C240" s="64" t="s">
        <v>230</v>
      </c>
      <c r="D240" s="66">
        <f>(45.57+2.99+0.75*(3+2.15+2.7))*10.764</f>
        <v>586.07289000000003</v>
      </c>
      <c r="E240" s="41">
        <v>0</v>
      </c>
      <c r="F240" s="41">
        <f t="shared" si="32"/>
        <v>879.1093350000001</v>
      </c>
      <c r="G240" s="109"/>
      <c r="H240" s="111"/>
    </row>
    <row r="241" spans="1:8" x14ac:dyDescent="0.3">
      <c r="A241" s="74">
        <f t="shared" si="36"/>
        <v>12</v>
      </c>
      <c r="B241" s="75"/>
      <c r="C241" s="64" t="s">
        <v>172</v>
      </c>
      <c r="D241" s="66">
        <f>(32.76+0.75*(1.65+2.61))*10.764</f>
        <v>387.01961999999997</v>
      </c>
      <c r="E241" s="41">
        <v>0</v>
      </c>
      <c r="F241" s="41">
        <f t="shared" si="32"/>
        <v>580.52942999999993</v>
      </c>
      <c r="G241" s="112"/>
      <c r="H241" s="114"/>
    </row>
    <row r="242" spans="1:8" x14ac:dyDescent="0.3">
      <c r="A242" s="115" t="s">
        <v>243</v>
      </c>
      <c r="B242" s="116"/>
      <c r="C242" s="116"/>
      <c r="D242" s="116"/>
      <c r="E242" s="116"/>
      <c r="F242" s="116"/>
      <c r="G242" s="116"/>
      <c r="H242" s="117"/>
    </row>
    <row r="243" spans="1:8" x14ac:dyDescent="0.3">
      <c r="A243" s="76">
        <v>1</v>
      </c>
      <c r="B243" s="77"/>
      <c r="C243" s="64" t="s">
        <v>172</v>
      </c>
      <c r="D243" s="66">
        <f>(32.76+0.75*(1.65+2.61))*10.764</f>
        <v>387.01961999999997</v>
      </c>
      <c r="E243" s="41">
        <v>0</v>
      </c>
      <c r="F243" s="41">
        <f t="shared" ref="F243:F244" si="37">D243*(($F$137)+1)+(IF(E243&lt;101,E243,IF(E243&lt;201,E243/2,IF(E243&lt;=301,E243/3,E243/4))))</f>
        <v>580.52942999999993</v>
      </c>
      <c r="G243" s="74" t="str">
        <f>A242</f>
        <v>13th Floor For Part Refuge Area</v>
      </c>
      <c r="H243" s="75"/>
    </row>
    <row r="244" spans="1:8" x14ac:dyDescent="0.3">
      <c r="A244" s="76">
        <f t="shared" ref="A244" si="38">A243+1</f>
        <v>2</v>
      </c>
      <c r="B244" s="77"/>
      <c r="C244" s="64" t="s">
        <v>230</v>
      </c>
      <c r="D244" s="66">
        <f>(45.57+2.99+0.75*(3+2.15+2.7))*10.764</f>
        <v>586.07289000000003</v>
      </c>
      <c r="E244" s="41">
        <v>0</v>
      </c>
      <c r="F244" s="41">
        <f t="shared" si="37"/>
        <v>879.1093350000001</v>
      </c>
      <c r="G244" s="109"/>
      <c r="H244" s="111"/>
    </row>
    <row r="245" spans="1:8" x14ac:dyDescent="0.3">
      <c r="A245" s="74">
        <f>A244+1</f>
        <v>3</v>
      </c>
      <c r="B245" s="75"/>
      <c r="C245" s="118" t="s">
        <v>242</v>
      </c>
      <c r="D245" s="119"/>
      <c r="E245" s="119"/>
      <c r="F245" s="120"/>
      <c r="G245" s="109"/>
      <c r="H245" s="111"/>
    </row>
    <row r="246" spans="1:8" x14ac:dyDescent="0.3">
      <c r="A246" s="74">
        <f t="shared" ref="A246:A248" si="39">A245+1</f>
        <v>4</v>
      </c>
      <c r="B246" s="75"/>
      <c r="C246" s="121"/>
      <c r="D246" s="122"/>
      <c r="E246" s="122"/>
      <c r="F246" s="123"/>
      <c r="G246" s="109"/>
      <c r="H246" s="111"/>
    </row>
    <row r="247" spans="1:8" x14ac:dyDescent="0.3">
      <c r="A247" s="74">
        <f t="shared" si="39"/>
        <v>5</v>
      </c>
      <c r="B247" s="75"/>
      <c r="C247" s="64" t="s">
        <v>230</v>
      </c>
      <c r="D247" s="66">
        <f>(45.57+2.99+0.75*(3+2.15+2.7))*10.764</f>
        <v>586.07289000000003</v>
      </c>
      <c r="E247" s="41">
        <v>0</v>
      </c>
      <c r="F247" s="41">
        <f t="shared" ref="F247:F254" si="40">D247*(($F$137)+1)+(IF(E247&lt;101,E247,IF(E247&lt;201,E247/2,IF(E247&lt;=301,E247/3,E247/4))))</f>
        <v>879.1093350000001</v>
      </c>
      <c r="G247" s="109"/>
      <c r="H247" s="111"/>
    </row>
    <row r="248" spans="1:8" x14ac:dyDescent="0.3">
      <c r="A248" s="74">
        <f t="shared" si="39"/>
        <v>6</v>
      </c>
      <c r="B248" s="75"/>
      <c r="C248" s="64" t="s">
        <v>172</v>
      </c>
      <c r="D248" s="66">
        <f>(32.76+0.75*(2.61+1.65))*10.764</f>
        <v>387.01961999999997</v>
      </c>
      <c r="E248" s="41">
        <v>0</v>
      </c>
      <c r="F248" s="41">
        <f t="shared" si="40"/>
        <v>580.52942999999993</v>
      </c>
      <c r="G248" s="109"/>
      <c r="H248" s="111"/>
    </row>
    <row r="249" spans="1:8" x14ac:dyDescent="0.3">
      <c r="A249" s="74">
        <f>A248+1</f>
        <v>7</v>
      </c>
      <c r="B249" s="75"/>
      <c r="C249" s="64" t="s">
        <v>172</v>
      </c>
      <c r="D249" s="66">
        <f>(32.76+0.75*(2.61+1.65))*10.764</f>
        <v>387.01961999999997</v>
      </c>
      <c r="E249" s="41">
        <v>0</v>
      </c>
      <c r="F249" s="41">
        <f t="shared" si="40"/>
        <v>580.52942999999993</v>
      </c>
      <c r="G249" s="109"/>
      <c r="H249" s="111"/>
    </row>
    <row r="250" spans="1:8" x14ac:dyDescent="0.3">
      <c r="A250" s="76">
        <v>8</v>
      </c>
      <c r="B250" s="77"/>
      <c r="C250" s="64" t="s">
        <v>230</v>
      </c>
      <c r="D250" s="66">
        <f>(45.57+2.99+0.75*(3+2.15+2.7))*10.764</f>
        <v>586.07289000000003</v>
      </c>
      <c r="E250" s="41">
        <v>0</v>
      </c>
      <c r="F250" s="41">
        <f t="shared" si="40"/>
        <v>879.1093350000001</v>
      </c>
      <c r="G250" s="109"/>
      <c r="H250" s="111"/>
    </row>
    <row r="251" spans="1:8" x14ac:dyDescent="0.3">
      <c r="A251" s="76">
        <f t="shared" ref="A251" si="41">A250+1</f>
        <v>9</v>
      </c>
      <c r="B251" s="77"/>
      <c r="C251" s="64" t="s">
        <v>230</v>
      </c>
      <c r="D251" s="66">
        <f>(46.51+0.75*(3+2.7+3+2.8))*10.764</f>
        <v>593.47313999999994</v>
      </c>
      <c r="E251" s="41">
        <v>0</v>
      </c>
      <c r="F251" s="41">
        <f t="shared" si="40"/>
        <v>890.20970999999986</v>
      </c>
      <c r="G251" s="109"/>
      <c r="H251" s="111"/>
    </row>
    <row r="252" spans="1:8" x14ac:dyDescent="0.3">
      <c r="A252" s="74">
        <f>A251+1</f>
        <v>10</v>
      </c>
      <c r="B252" s="75"/>
      <c r="C252" s="64" t="s">
        <v>230</v>
      </c>
      <c r="D252" s="66">
        <f>(46.51+0.75*(3+2.7+3+2.8))*10.764</f>
        <v>593.47313999999994</v>
      </c>
      <c r="E252" s="41">
        <v>0</v>
      </c>
      <c r="F252" s="41">
        <f t="shared" si="40"/>
        <v>890.20970999999986</v>
      </c>
      <c r="G252" s="109"/>
      <c r="H252" s="111"/>
    </row>
    <row r="253" spans="1:8" x14ac:dyDescent="0.3">
      <c r="A253" s="74">
        <f t="shared" ref="A253:A254" si="42">A252+1</f>
        <v>11</v>
      </c>
      <c r="B253" s="75"/>
      <c r="C253" s="64" t="s">
        <v>230</v>
      </c>
      <c r="D253" s="66">
        <f>(45.57+2.99+0.75*(3+2.15+2.7))*10.764</f>
        <v>586.07289000000003</v>
      </c>
      <c r="E253" s="41">
        <v>0</v>
      </c>
      <c r="F253" s="41">
        <f t="shared" si="40"/>
        <v>879.1093350000001</v>
      </c>
      <c r="G253" s="109"/>
      <c r="H253" s="111"/>
    </row>
    <row r="254" spans="1:8" x14ac:dyDescent="0.3">
      <c r="A254" s="74">
        <f t="shared" si="42"/>
        <v>12</v>
      </c>
      <c r="B254" s="75"/>
      <c r="C254" s="64" t="s">
        <v>172</v>
      </c>
      <c r="D254" s="66">
        <f>(32.76+0.75*(1.65+2.61))*10.764</f>
        <v>387.01961999999997</v>
      </c>
      <c r="E254" s="41">
        <v>0</v>
      </c>
      <c r="F254" s="41">
        <f t="shared" si="40"/>
        <v>580.52942999999993</v>
      </c>
      <c r="G254" s="112"/>
      <c r="H254" s="114"/>
    </row>
    <row r="255" spans="1:8" x14ac:dyDescent="0.3">
      <c r="A255" s="115" t="s">
        <v>244</v>
      </c>
      <c r="B255" s="116"/>
      <c r="C255" s="116"/>
      <c r="D255" s="116"/>
      <c r="E255" s="116"/>
      <c r="F255" s="116"/>
      <c r="G255" s="116"/>
      <c r="H255" s="117"/>
    </row>
    <row r="256" spans="1:8" x14ac:dyDescent="0.3">
      <c r="A256" s="76">
        <v>1</v>
      </c>
      <c r="B256" s="77"/>
      <c r="C256" s="64" t="s">
        <v>172</v>
      </c>
      <c r="D256" s="66">
        <f>(32.76+0.75*(1.65+2.61))*10.764</f>
        <v>387.01961999999997</v>
      </c>
      <c r="E256" s="41">
        <v>0</v>
      </c>
      <c r="F256" s="41">
        <f t="shared" ref="F256:F267" si="43">D256*(($F$137)+1)+(IF(E256&lt;101,E256,IF(E256&lt;201,E256/2,IF(E256&lt;=301,E256/3,E256/4))))</f>
        <v>580.52942999999993</v>
      </c>
      <c r="G256" s="74" t="str">
        <f>A255</f>
        <v>14th Floor</v>
      </c>
      <c r="H256" s="75"/>
    </row>
    <row r="257" spans="1:8" x14ac:dyDescent="0.3">
      <c r="A257" s="76">
        <f t="shared" ref="A257" si="44">A256+1</f>
        <v>2</v>
      </c>
      <c r="B257" s="77"/>
      <c r="C257" s="64" t="s">
        <v>230</v>
      </c>
      <c r="D257" s="66">
        <f>(45.57+2.99+0.75*(3+2.15+2.7))*10.764</f>
        <v>586.07289000000003</v>
      </c>
      <c r="E257" s="41">
        <v>0</v>
      </c>
      <c r="F257" s="41">
        <f t="shared" si="43"/>
        <v>879.1093350000001</v>
      </c>
      <c r="G257" s="109"/>
      <c r="H257" s="111"/>
    </row>
    <row r="258" spans="1:8" x14ac:dyDescent="0.3">
      <c r="A258" s="74">
        <f>A257+1</f>
        <v>3</v>
      </c>
      <c r="B258" s="75"/>
      <c r="C258" s="64" t="s">
        <v>230</v>
      </c>
      <c r="D258" s="66">
        <f>(46.51+0.75*(3+2.7+3+2.8))*10.764</f>
        <v>593.47313999999994</v>
      </c>
      <c r="E258" s="41">
        <v>0</v>
      </c>
      <c r="F258" s="41">
        <f t="shared" si="43"/>
        <v>890.20970999999986</v>
      </c>
      <c r="G258" s="109"/>
      <c r="H258" s="111"/>
    </row>
    <row r="259" spans="1:8" x14ac:dyDescent="0.3">
      <c r="A259" s="74">
        <f t="shared" ref="A259:A261" si="45">A258+1</f>
        <v>4</v>
      </c>
      <c r="B259" s="75"/>
      <c r="C259" s="64" t="s">
        <v>230</v>
      </c>
      <c r="D259" s="66">
        <f>(46.51+0.75*(3+2.7+3+2.8))*10.764</f>
        <v>593.47313999999994</v>
      </c>
      <c r="E259" s="41">
        <v>0</v>
      </c>
      <c r="F259" s="41">
        <f t="shared" si="43"/>
        <v>890.20970999999986</v>
      </c>
      <c r="G259" s="109"/>
      <c r="H259" s="111"/>
    </row>
    <row r="260" spans="1:8" x14ac:dyDescent="0.3">
      <c r="A260" s="74">
        <f t="shared" si="45"/>
        <v>5</v>
      </c>
      <c r="B260" s="75"/>
      <c r="C260" s="64" t="s">
        <v>230</v>
      </c>
      <c r="D260" s="66">
        <f>(45.57+2.99+0.75*(3+2.15+2.7))*10.764</f>
        <v>586.07289000000003</v>
      </c>
      <c r="E260" s="41">
        <v>0</v>
      </c>
      <c r="F260" s="41">
        <f t="shared" si="43"/>
        <v>879.1093350000001</v>
      </c>
      <c r="G260" s="109"/>
      <c r="H260" s="111"/>
    </row>
    <row r="261" spans="1:8" x14ac:dyDescent="0.3">
      <c r="A261" s="74">
        <f t="shared" si="45"/>
        <v>6</v>
      </c>
      <c r="B261" s="75"/>
      <c r="C261" s="64" t="s">
        <v>172</v>
      </c>
      <c r="D261" s="66">
        <f>(32.76+0.75*(2.61+1.65))*10.764</f>
        <v>387.01961999999997</v>
      </c>
      <c r="E261" s="41">
        <v>0</v>
      </c>
      <c r="F261" s="41">
        <f t="shared" si="43"/>
        <v>580.52942999999993</v>
      </c>
      <c r="G261" s="109"/>
      <c r="H261" s="111"/>
    </row>
    <row r="262" spans="1:8" x14ac:dyDescent="0.3">
      <c r="A262" s="74">
        <f>A261+1</f>
        <v>7</v>
      </c>
      <c r="B262" s="75"/>
      <c r="C262" s="64" t="s">
        <v>172</v>
      </c>
      <c r="D262" s="66">
        <f>(32.76+0.75*(2.61+1.65))*10.764</f>
        <v>387.01961999999997</v>
      </c>
      <c r="E262" s="41">
        <v>0</v>
      </c>
      <c r="F262" s="41">
        <f t="shared" si="43"/>
        <v>580.52942999999993</v>
      </c>
      <c r="G262" s="109"/>
      <c r="H262" s="111"/>
    </row>
    <row r="263" spans="1:8" x14ac:dyDescent="0.3">
      <c r="A263" s="76">
        <v>8</v>
      </c>
      <c r="B263" s="77"/>
      <c r="C263" s="64" t="s">
        <v>230</v>
      </c>
      <c r="D263" s="66">
        <f>(45.57+2.99+0.75*(3+2.15+2.7))*10.764</f>
        <v>586.07289000000003</v>
      </c>
      <c r="E263" s="41">
        <v>0</v>
      </c>
      <c r="F263" s="41">
        <f t="shared" si="43"/>
        <v>879.1093350000001</v>
      </c>
      <c r="G263" s="109"/>
      <c r="H263" s="111"/>
    </row>
    <row r="264" spans="1:8" x14ac:dyDescent="0.3">
      <c r="A264" s="76">
        <f t="shared" ref="A264" si="46">A263+1</f>
        <v>9</v>
      </c>
      <c r="B264" s="77"/>
      <c r="C264" s="64" t="s">
        <v>230</v>
      </c>
      <c r="D264" s="66">
        <f>(46.51+0.75*(3+2.7+3+2.8))*10.764</f>
        <v>593.47313999999994</v>
      </c>
      <c r="E264" s="41">
        <v>0</v>
      </c>
      <c r="F264" s="41">
        <f t="shared" si="43"/>
        <v>890.20970999999986</v>
      </c>
      <c r="G264" s="109"/>
      <c r="H264" s="111"/>
    </row>
    <row r="265" spans="1:8" x14ac:dyDescent="0.3">
      <c r="A265" s="74">
        <f>A264+1</f>
        <v>10</v>
      </c>
      <c r="B265" s="75"/>
      <c r="C265" s="64" t="s">
        <v>230</v>
      </c>
      <c r="D265" s="66">
        <f>(46.51+0.75*(3+2.7+3+2.8))*10.764</f>
        <v>593.47313999999994</v>
      </c>
      <c r="E265" s="41">
        <v>0</v>
      </c>
      <c r="F265" s="41">
        <f t="shared" si="43"/>
        <v>890.20970999999986</v>
      </c>
      <c r="G265" s="109"/>
      <c r="H265" s="111"/>
    </row>
    <row r="266" spans="1:8" x14ac:dyDescent="0.3">
      <c r="A266" s="74">
        <f t="shared" ref="A266:A267" si="47">A265+1</f>
        <v>11</v>
      </c>
      <c r="B266" s="75"/>
      <c r="C266" s="64" t="s">
        <v>230</v>
      </c>
      <c r="D266" s="66">
        <f>(45.57+2.99+0.75*(3+2.15+2.7))*10.764</f>
        <v>586.07289000000003</v>
      </c>
      <c r="E266" s="41">
        <v>0</v>
      </c>
      <c r="F266" s="41">
        <f t="shared" si="43"/>
        <v>879.1093350000001</v>
      </c>
      <c r="G266" s="109"/>
      <c r="H266" s="111"/>
    </row>
    <row r="267" spans="1:8" x14ac:dyDescent="0.3">
      <c r="A267" s="74">
        <f t="shared" si="47"/>
        <v>12</v>
      </c>
      <c r="B267" s="75"/>
      <c r="C267" s="64" t="s">
        <v>172</v>
      </c>
      <c r="D267" s="66">
        <f>(32.76+0.75*(1.65+2.61))*10.764</f>
        <v>387.01961999999997</v>
      </c>
      <c r="E267" s="41">
        <v>0</v>
      </c>
      <c r="F267" s="41">
        <f t="shared" si="43"/>
        <v>580.52942999999993</v>
      </c>
      <c r="G267" s="112"/>
      <c r="H267" s="114"/>
    </row>
    <row r="268" spans="1:8" x14ac:dyDescent="0.3">
      <c r="A268" s="212" t="s">
        <v>67</v>
      </c>
      <c r="B268" s="213"/>
      <c r="C268" s="213"/>
      <c r="D268" s="213"/>
      <c r="E268" s="213"/>
      <c r="F268" s="213"/>
      <c r="G268" s="213"/>
      <c r="H268" s="214"/>
    </row>
    <row r="269" spans="1:8" x14ac:dyDescent="0.3">
      <c r="A269" s="45" t="s">
        <v>148</v>
      </c>
      <c r="B269" s="124" t="s">
        <v>206</v>
      </c>
      <c r="C269" s="125"/>
      <c r="D269" s="125"/>
      <c r="E269" s="125"/>
      <c r="F269" s="125"/>
      <c r="G269" s="125"/>
      <c r="H269" s="126"/>
    </row>
    <row r="270" spans="1:8" x14ac:dyDescent="0.3">
      <c r="A270" s="45" t="s">
        <v>148</v>
      </c>
      <c r="B270" s="124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270" s="125"/>
      <c r="D270" s="125"/>
      <c r="E270" s="125"/>
      <c r="F270" s="125"/>
      <c r="G270" s="125"/>
      <c r="H270" s="126"/>
    </row>
    <row r="271" spans="1:8" x14ac:dyDescent="0.3">
      <c r="A271" s="45" t="s">
        <v>148</v>
      </c>
      <c r="B271" s="71" t="s">
        <v>120</v>
      </c>
      <c r="C271" s="72"/>
      <c r="D271" s="72"/>
      <c r="E271" s="72"/>
      <c r="F271" s="72"/>
      <c r="G271" s="72"/>
      <c r="H271" s="73"/>
    </row>
    <row r="272" spans="1:8" x14ac:dyDescent="0.3">
      <c r="A272" s="45" t="s">
        <v>148</v>
      </c>
      <c r="B272" s="71" t="s">
        <v>194</v>
      </c>
      <c r="C272" s="72"/>
      <c r="D272" s="72"/>
      <c r="E272" s="72"/>
      <c r="F272" s="72"/>
      <c r="G272" s="72"/>
      <c r="H272" s="73"/>
    </row>
    <row r="273" spans="1:8" x14ac:dyDescent="0.3">
      <c r="A273" s="45" t="s">
        <v>148</v>
      </c>
      <c r="B273" s="71" t="s">
        <v>147</v>
      </c>
      <c r="C273" s="72"/>
      <c r="D273" s="72"/>
      <c r="E273" s="72"/>
      <c r="F273" s="72"/>
      <c r="G273" s="72"/>
      <c r="H273" s="73"/>
    </row>
    <row r="274" spans="1:8" x14ac:dyDescent="0.3">
      <c r="A274" s="45" t="s">
        <v>148</v>
      </c>
      <c r="B274" s="71" t="s">
        <v>121</v>
      </c>
      <c r="C274" s="72"/>
      <c r="D274" s="72"/>
      <c r="E274" s="72"/>
      <c r="F274" s="72"/>
      <c r="G274" s="72"/>
      <c r="H274" s="73"/>
    </row>
    <row r="275" spans="1:8" x14ac:dyDescent="0.3">
      <c r="A275" s="45" t="s">
        <v>148</v>
      </c>
      <c r="B275" s="71" t="s">
        <v>149</v>
      </c>
      <c r="C275" s="72"/>
      <c r="D275" s="72"/>
      <c r="E275" s="72"/>
      <c r="F275" s="72"/>
      <c r="G275" s="72"/>
      <c r="H275" s="73"/>
    </row>
    <row r="276" spans="1:8" x14ac:dyDescent="0.3">
      <c r="A276" s="45" t="s">
        <v>148</v>
      </c>
      <c r="B276" s="71" t="s">
        <v>122</v>
      </c>
      <c r="C276" s="72"/>
      <c r="D276" s="72"/>
      <c r="E276" s="72"/>
      <c r="F276" s="72"/>
      <c r="G276" s="72"/>
      <c r="H276" s="73"/>
    </row>
    <row r="277" spans="1:8" x14ac:dyDescent="0.3">
      <c r="A277" s="45" t="s">
        <v>148</v>
      </c>
      <c r="B277" s="71" t="s">
        <v>252</v>
      </c>
      <c r="C277" s="72"/>
      <c r="D277" s="72"/>
      <c r="E277" s="72"/>
      <c r="F277" s="72"/>
      <c r="G277" s="72"/>
      <c r="H277" s="73"/>
    </row>
    <row r="278" spans="1:8" x14ac:dyDescent="0.3">
      <c r="A278" s="45" t="s">
        <v>148</v>
      </c>
      <c r="B278" s="71" t="s">
        <v>255</v>
      </c>
      <c r="C278" s="72"/>
      <c r="D278" s="72"/>
      <c r="E278" s="72"/>
      <c r="F278" s="72"/>
      <c r="G278" s="72"/>
      <c r="H278" s="73"/>
    </row>
    <row r="279" spans="1:8" x14ac:dyDescent="0.3">
      <c r="A279" s="45" t="s">
        <v>148</v>
      </c>
      <c r="B279" s="124" t="s">
        <v>256</v>
      </c>
      <c r="C279" s="125"/>
      <c r="D279" s="125"/>
      <c r="E279" s="125"/>
      <c r="F279" s="125"/>
      <c r="G279" s="125"/>
      <c r="H279" s="126"/>
    </row>
    <row r="280" spans="1:8" x14ac:dyDescent="0.3">
      <c r="A280" s="209" t="s">
        <v>60</v>
      </c>
      <c r="B280" s="210"/>
      <c r="C280" s="210"/>
      <c r="D280" s="210"/>
      <c r="E280" s="210"/>
      <c r="F280" s="210"/>
      <c r="G280" s="210"/>
      <c r="H280" s="211"/>
    </row>
    <row r="281" spans="1:8" x14ac:dyDescent="0.3">
      <c r="A281" s="102" t="s">
        <v>61</v>
      </c>
      <c r="B281" s="103"/>
      <c r="C281" s="103"/>
      <c r="D281" s="103"/>
      <c r="E281" s="103"/>
      <c r="F281" s="103"/>
      <c r="G281" s="103"/>
      <c r="H281" s="104"/>
    </row>
    <row r="282" spans="1:8" x14ac:dyDescent="0.3">
      <c r="A282" s="105" t="s">
        <v>62</v>
      </c>
      <c r="B282" s="106"/>
      <c r="C282" s="106"/>
      <c r="D282" s="106"/>
      <c r="E282" s="106"/>
      <c r="F282" s="106"/>
      <c r="G282" s="106"/>
      <c r="H282" s="107"/>
    </row>
    <row r="283" spans="1:8" x14ac:dyDescent="0.3">
      <c r="A283" s="102" t="s">
        <v>63</v>
      </c>
      <c r="B283" s="103"/>
      <c r="C283" s="103"/>
      <c r="D283" s="103"/>
      <c r="E283" s="103"/>
      <c r="F283" s="103"/>
      <c r="G283" s="103"/>
      <c r="H283" s="104"/>
    </row>
    <row r="284" spans="1:8" x14ac:dyDescent="0.3">
      <c r="A284" s="102" t="s">
        <v>64</v>
      </c>
      <c r="B284" s="103"/>
      <c r="C284" s="103"/>
      <c r="D284" s="103"/>
      <c r="E284" s="103"/>
      <c r="F284" s="103"/>
      <c r="G284" s="103"/>
      <c r="H284" s="104"/>
    </row>
    <row r="285" spans="1:8" x14ac:dyDescent="0.3">
      <c r="A285" s="102" t="s">
        <v>123</v>
      </c>
      <c r="B285" s="103"/>
      <c r="C285" s="103"/>
      <c r="D285" s="103"/>
      <c r="E285" s="103"/>
      <c r="F285" s="103"/>
      <c r="G285" s="103"/>
      <c r="H285" s="104"/>
    </row>
    <row r="286" spans="1:8" x14ac:dyDescent="0.3">
      <c r="A286" s="68" t="s">
        <v>124</v>
      </c>
      <c r="B286" s="69"/>
      <c r="C286" s="69"/>
      <c r="D286" s="69"/>
      <c r="E286" s="69"/>
      <c r="F286" s="69"/>
      <c r="G286" s="69"/>
      <c r="H286" s="70"/>
    </row>
    <row r="287" spans="1:8" x14ac:dyDescent="0.3">
      <c r="A287" s="91" t="s">
        <v>76</v>
      </c>
      <c r="B287" s="91"/>
      <c r="C287" s="91" t="s">
        <v>179</v>
      </c>
      <c r="D287" s="91"/>
      <c r="E287" s="91" t="s">
        <v>104</v>
      </c>
      <c r="F287" s="91"/>
      <c r="G287" s="91" t="s">
        <v>257</v>
      </c>
      <c r="H287" s="91"/>
    </row>
    <row r="288" spans="1:8" x14ac:dyDescent="0.3">
      <c r="A288" s="93" t="s">
        <v>78</v>
      </c>
      <c r="B288" s="94"/>
      <c r="C288" s="94"/>
      <c r="D288" s="94"/>
      <c r="E288" s="94"/>
      <c r="F288" s="94"/>
      <c r="G288" s="94"/>
      <c r="H288" s="95"/>
    </row>
    <row r="289" spans="1:8" x14ac:dyDescent="0.3">
      <c r="A289" s="96"/>
      <c r="B289" s="97"/>
      <c r="C289" s="97"/>
      <c r="D289" s="97"/>
      <c r="E289" s="97"/>
      <c r="F289" s="97"/>
      <c r="G289" s="97"/>
      <c r="H289" s="98"/>
    </row>
    <row r="290" spans="1:8" x14ac:dyDescent="0.3">
      <c r="A290" s="96"/>
      <c r="B290" s="97"/>
      <c r="C290" s="97"/>
      <c r="D290" s="97"/>
      <c r="E290" s="97"/>
      <c r="F290" s="97"/>
      <c r="G290" s="97"/>
      <c r="H290" s="98"/>
    </row>
    <row r="291" spans="1:8" x14ac:dyDescent="0.3">
      <c r="A291" s="99"/>
      <c r="B291" s="100"/>
      <c r="C291" s="100"/>
      <c r="D291" s="100"/>
      <c r="E291" s="100"/>
      <c r="F291" s="100"/>
      <c r="G291" s="100"/>
      <c r="H291" s="101"/>
    </row>
    <row r="292" spans="1:8" x14ac:dyDescent="0.3">
      <c r="A292" s="37" t="s">
        <v>65</v>
      </c>
      <c r="B292" s="38"/>
      <c r="C292" s="38"/>
      <c r="D292" s="37" t="str">
        <f>E8</f>
        <v>Omkara Pride Phase 1 &amp; 2</v>
      </c>
      <c r="F292" s="38"/>
      <c r="G292" s="38"/>
      <c r="H292" s="38"/>
    </row>
    <row r="293" spans="1:8" x14ac:dyDescent="0.3">
      <c r="A293" s="38"/>
      <c r="B293" s="38"/>
      <c r="C293" s="38"/>
      <c r="D293" s="38"/>
      <c r="E293" s="38"/>
      <c r="F293" s="38"/>
      <c r="G293" s="38"/>
      <c r="H293" s="38"/>
    </row>
    <row r="294" spans="1:8" x14ac:dyDescent="0.3">
      <c r="A294" s="38"/>
      <c r="B294" s="38"/>
      <c r="C294" s="38"/>
      <c r="D294" s="38"/>
      <c r="E294" s="38"/>
      <c r="F294" s="38"/>
      <c r="G294" s="38"/>
      <c r="H294" s="38"/>
    </row>
    <row r="332" spans="1:1" x14ac:dyDescent="0.3">
      <c r="A332" s="40" t="s">
        <v>158</v>
      </c>
    </row>
    <row r="333" spans="1:1" x14ac:dyDescent="0.3">
      <c r="A333" s="20"/>
    </row>
    <row r="373" spans="1:1" x14ac:dyDescent="0.3">
      <c r="A373" s="40" t="s">
        <v>66</v>
      </c>
    </row>
  </sheetData>
  <mergeCells count="449">
    <mergeCell ref="A197:B197"/>
    <mergeCell ref="A198:B198"/>
    <mergeCell ref="A199:B199"/>
    <mergeCell ref="A200:H200"/>
    <mergeCell ref="A229:H229"/>
    <mergeCell ref="A230:B230"/>
    <mergeCell ref="G230:H241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C232:F233"/>
    <mergeCell ref="A226:B226"/>
    <mergeCell ref="A227:B227"/>
    <mergeCell ref="A228:B228"/>
    <mergeCell ref="G217:H228"/>
    <mergeCell ref="A211:B211"/>
    <mergeCell ref="G185:H191"/>
    <mergeCell ref="A186:B186"/>
    <mergeCell ref="A187:B187"/>
    <mergeCell ref="B136:B137"/>
    <mergeCell ref="C136:C137"/>
    <mergeCell ref="D136:D137"/>
    <mergeCell ref="E136:E137"/>
    <mergeCell ref="G136:H137"/>
    <mergeCell ref="A154:B154"/>
    <mergeCell ref="A155:B155"/>
    <mergeCell ref="A171:B171"/>
    <mergeCell ref="A174:H174"/>
    <mergeCell ref="A175:H175"/>
    <mergeCell ref="A176:H176"/>
    <mergeCell ref="A177:B177"/>
    <mergeCell ref="G177:H183"/>
    <mergeCell ref="A178:B178"/>
    <mergeCell ref="A179:B179"/>
    <mergeCell ref="A180:B180"/>
    <mergeCell ref="C180:F183"/>
    <mergeCell ref="A181:B181"/>
    <mergeCell ref="A182:B182"/>
    <mergeCell ref="A183:B183"/>
    <mergeCell ref="A138:H138"/>
    <mergeCell ref="F118:H118"/>
    <mergeCell ref="B276:H276"/>
    <mergeCell ref="B274:H274"/>
    <mergeCell ref="A219:B219"/>
    <mergeCell ref="A216:H216"/>
    <mergeCell ref="A217:B217"/>
    <mergeCell ref="A218:B218"/>
    <mergeCell ref="A212:B212"/>
    <mergeCell ref="A213:B213"/>
    <mergeCell ref="G204:H215"/>
    <mergeCell ref="A214:B214"/>
    <mergeCell ref="A215:B215"/>
    <mergeCell ref="C213:F215"/>
    <mergeCell ref="A188:B188"/>
    <mergeCell ref="A189:B189"/>
    <mergeCell ref="A190:B190"/>
    <mergeCell ref="A191:B191"/>
    <mergeCell ref="A192:H192"/>
    <mergeCell ref="A193:B193"/>
    <mergeCell ref="G193:H199"/>
    <mergeCell ref="A194:B194"/>
    <mergeCell ref="A195:B195"/>
    <mergeCell ref="A196:B196"/>
    <mergeCell ref="C196:F196"/>
    <mergeCell ref="F36:H36"/>
    <mergeCell ref="F35:H35"/>
    <mergeCell ref="E44:H44"/>
    <mergeCell ref="A44:D44"/>
    <mergeCell ref="A94:B94"/>
    <mergeCell ref="A95:B95"/>
    <mergeCell ref="A96:B96"/>
    <mergeCell ref="B277:H277"/>
    <mergeCell ref="A104:B104"/>
    <mergeCell ref="E104:F113"/>
    <mergeCell ref="G104:H113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33:B133"/>
    <mergeCell ref="C133:D133"/>
    <mergeCell ref="A129:B129"/>
    <mergeCell ref="A117:E117"/>
    <mergeCell ref="A62:C64"/>
    <mergeCell ref="D64:H64"/>
    <mergeCell ref="A100:B100"/>
    <mergeCell ref="C100:H100"/>
    <mergeCell ref="A102:B102"/>
    <mergeCell ref="C102:H102"/>
    <mergeCell ref="A103:B103"/>
    <mergeCell ref="E103:F103"/>
    <mergeCell ref="G103:H103"/>
    <mergeCell ref="A71:C71"/>
    <mergeCell ref="D71:H71"/>
    <mergeCell ref="A69:C69"/>
    <mergeCell ref="D69:H69"/>
    <mergeCell ref="A70:C70"/>
    <mergeCell ref="D70:H70"/>
    <mergeCell ref="A86:B86"/>
    <mergeCell ref="C86:H86"/>
    <mergeCell ref="A81:B81"/>
    <mergeCell ref="M148:N14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F115:H115"/>
    <mergeCell ref="C51:E51"/>
    <mergeCell ref="G51:H51"/>
    <mergeCell ref="G53:H53"/>
    <mergeCell ref="D59:H59"/>
    <mergeCell ref="D63:H63"/>
    <mergeCell ref="C52:E52"/>
    <mergeCell ref="A57:B57"/>
    <mergeCell ref="C57:E57"/>
    <mergeCell ref="A52:B52"/>
    <mergeCell ref="A58:H58"/>
    <mergeCell ref="A59:C59"/>
    <mergeCell ref="A60:C60"/>
    <mergeCell ref="D60:H60"/>
    <mergeCell ref="G57:H57"/>
    <mergeCell ref="C54:H54"/>
    <mergeCell ref="A53:B54"/>
    <mergeCell ref="C53:E53"/>
    <mergeCell ref="D62:H62"/>
    <mergeCell ref="A114:E114"/>
    <mergeCell ref="E75:F75"/>
    <mergeCell ref="A55:B56"/>
    <mergeCell ref="C55:E55"/>
    <mergeCell ref="G55:H55"/>
    <mergeCell ref="A202:H202"/>
    <mergeCell ref="A161:B161"/>
    <mergeCell ref="E133:F133"/>
    <mergeCell ref="A287:B287"/>
    <mergeCell ref="E287:F287"/>
    <mergeCell ref="C287:D287"/>
    <mergeCell ref="G287:H287"/>
    <mergeCell ref="A164:B164"/>
    <mergeCell ref="A162:B162"/>
    <mergeCell ref="A153:B153"/>
    <mergeCell ref="A158:B158"/>
    <mergeCell ref="A159:B159"/>
    <mergeCell ref="A160:B160"/>
    <mergeCell ref="A172:B172"/>
    <mergeCell ref="A173:B173"/>
    <mergeCell ref="C165:F165"/>
    <mergeCell ref="A168:B168"/>
    <mergeCell ref="A169:B169"/>
    <mergeCell ref="A170:B170"/>
    <mergeCell ref="A205:B205"/>
    <mergeCell ref="A206:B206"/>
    <mergeCell ref="A204:B204"/>
    <mergeCell ref="A184:H184"/>
    <mergeCell ref="A185:B185"/>
    <mergeCell ref="A201:H201"/>
    <mergeCell ref="A283:H283"/>
    <mergeCell ref="A128:H128"/>
    <mergeCell ref="A286:H286"/>
    <mergeCell ref="A284:H284"/>
    <mergeCell ref="A280:H280"/>
    <mergeCell ref="A281:H281"/>
    <mergeCell ref="B271:H271"/>
    <mergeCell ref="B272:H272"/>
    <mergeCell ref="A268:H268"/>
    <mergeCell ref="A156:B156"/>
    <mergeCell ref="A157:B157"/>
    <mergeCell ref="A152:H152"/>
    <mergeCell ref="A145:B145"/>
    <mergeCell ref="A142:B142"/>
    <mergeCell ref="C129:D129"/>
    <mergeCell ref="E129:F129"/>
    <mergeCell ref="A149:B149"/>
    <mergeCell ref="A163:H163"/>
    <mergeCell ref="A223:B223"/>
    <mergeCell ref="A220:B220"/>
    <mergeCell ref="B269:H269"/>
    <mergeCell ref="B270:H270"/>
    <mergeCell ref="A146:B14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4:H14"/>
    <mergeCell ref="A10:D10"/>
    <mergeCell ref="E10:H10"/>
    <mergeCell ref="A24:D25"/>
    <mergeCell ref="E24:H25"/>
    <mergeCell ref="A17:B17"/>
    <mergeCell ref="C17:H17"/>
    <mergeCell ref="C18:H18"/>
    <mergeCell ref="A19:B19"/>
    <mergeCell ref="C19:H19"/>
    <mergeCell ref="A13:D13"/>
    <mergeCell ref="E13:H13"/>
    <mergeCell ref="A18:B18"/>
    <mergeCell ref="A14:D14"/>
    <mergeCell ref="A11:D12"/>
    <mergeCell ref="F11:H11"/>
    <mergeCell ref="F12:H12"/>
    <mergeCell ref="A15:D16"/>
    <mergeCell ref="G15:H15"/>
    <mergeCell ref="E15:F15"/>
    <mergeCell ref="E16:F16"/>
    <mergeCell ref="G16:H16"/>
    <mergeCell ref="A26:D26"/>
    <mergeCell ref="E26:H26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E28:H28"/>
    <mergeCell ref="A30:D30"/>
    <mergeCell ref="E30:H30"/>
    <mergeCell ref="A27:D27"/>
    <mergeCell ref="E27:H27"/>
    <mergeCell ref="A31:D31"/>
    <mergeCell ref="E31:H31"/>
    <mergeCell ref="A28:D28"/>
    <mergeCell ref="A37:B37"/>
    <mergeCell ref="C37:E37"/>
    <mergeCell ref="A32:D32"/>
    <mergeCell ref="E32:H32"/>
    <mergeCell ref="A33:D33"/>
    <mergeCell ref="E33:H33"/>
    <mergeCell ref="A29:D29"/>
    <mergeCell ref="E29:H29"/>
    <mergeCell ref="C34:E34"/>
    <mergeCell ref="F37:H37"/>
    <mergeCell ref="F34:H34"/>
    <mergeCell ref="A35:B35"/>
    <mergeCell ref="A34:B34"/>
    <mergeCell ref="C35:E35"/>
    <mergeCell ref="A36:B36"/>
    <mergeCell ref="C36:E36"/>
    <mergeCell ref="A39:H39"/>
    <mergeCell ref="A38:B38"/>
    <mergeCell ref="C38:E38"/>
    <mergeCell ref="A43:D43"/>
    <mergeCell ref="E43:H43"/>
    <mergeCell ref="A42:H42"/>
    <mergeCell ref="A65:C65"/>
    <mergeCell ref="A66:C66"/>
    <mergeCell ref="D65:H65"/>
    <mergeCell ref="D66:H66"/>
    <mergeCell ref="A45:D45"/>
    <mergeCell ref="E45:H45"/>
    <mergeCell ref="E46:H46"/>
    <mergeCell ref="E47:H47"/>
    <mergeCell ref="E48:H48"/>
    <mergeCell ref="A46:D46"/>
    <mergeCell ref="F38:H38"/>
    <mergeCell ref="A48:D48"/>
    <mergeCell ref="A49:H49"/>
    <mergeCell ref="D61:H61"/>
    <mergeCell ref="A61:C61"/>
    <mergeCell ref="G52:H52"/>
    <mergeCell ref="A51:B51"/>
    <mergeCell ref="A41:B41"/>
    <mergeCell ref="A40:B40"/>
    <mergeCell ref="C40:H40"/>
    <mergeCell ref="A47:D47"/>
    <mergeCell ref="A83:B83"/>
    <mergeCell ref="C130:D130"/>
    <mergeCell ref="E130:F130"/>
    <mergeCell ref="G130:H130"/>
    <mergeCell ref="F121:H121"/>
    <mergeCell ref="A115:E115"/>
    <mergeCell ref="A90:B90"/>
    <mergeCell ref="E90:F99"/>
    <mergeCell ref="A97:B97"/>
    <mergeCell ref="A98:B98"/>
    <mergeCell ref="E76:F85"/>
    <mergeCell ref="G76:H85"/>
    <mergeCell ref="A84:B84"/>
    <mergeCell ref="A85:B85"/>
    <mergeCell ref="A88:B88"/>
    <mergeCell ref="C88:H88"/>
    <mergeCell ref="A82:B82"/>
    <mergeCell ref="A75:B75"/>
    <mergeCell ref="A78:B78"/>
    <mergeCell ref="A68:C68"/>
    <mergeCell ref="D68:H68"/>
    <mergeCell ref="L123:M123"/>
    <mergeCell ref="A143:B143"/>
    <mergeCell ref="L124:M124"/>
    <mergeCell ref="A144:B144"/>
    <mergeCell ref="L125:M125"/>
    <mergeCell ref="F114:H114"/>
    <mergeCell ref="F119:H119"/>
    <mergeCell ref="L126:M126"/>
    <mergeCell ref="A125:E125"/>
    <mergeCell ref="G133:H133"/>
    <mergeCell ref="G131:H131"/>
    <mergeCell ref="C131:D131"/>
    <mergeCell ref="E131:F131"/>
    <mergeCell ref="G129:H129"/>
    <mergeCell ref="A134:H134"/>
    <mergeCell ref="F125:H125"/>
    <mergeCell ref="F123:H123"/>
    <mergeCell ref="A135:H135"/>
    <mergeCell ref="A124:E124"/>
    <mergeCell ref="F124:H124"/>
    <mergeCell ref="F117:H117"/>
    <mergeCell ref="A118:E118"/>
    <mergeCell ref="A122:E122"/>
    <mergeCell ref="A126:E126"/>
    <mergeCell ref="C41:H41"/>
    <mergeCell ref="A50:B50"/>
    <mergeCell ref="C50:H50"/>
    <mergeCell ref="G90:H99"/>
    <mergeCell ref="A91:B91"/>
    <mergeCell ref="A92:B92"/>
    <mergeCell ref="A93:B93"/>
    <mergeCell ref="F116:H116"/>
    <mergeCell ref="A116:E116"/>
    <mergeCell ref="A89:B89"/>
    <mergeCell ref="E89:F89"/>
    <mergeCell ref="G89:H89"/>
    <mergeCell ref="A99:B99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A76:B76"/>
    <mergeCell ref="G75:H75"/>
    <mergeCell ref="A151:B151"/>
    <mergeCell ref="A120:E120"/>
    <mergeCell ref="F120:H120"/>
    <mergeCell ref="A121:E121"/>
    <mergeCell ref="A123:E123"/>
    <mergeCell ref="A148:B148"/>
    <mergeCell ref="A136:A137"/>
    <mergeCell ref="A147:B147"/>
    <mergeCell ref="C132:D132"/>
    <mergeCell ref="E132:F132"/>
    <mergeCell ref="G132:H132"/>
    <mergeCell ref="F126:H126"/>
    <mergeCell ref="A127:E127"/>
    <mergeCell ref="F127:H127"/>
    <mergeCell ref="B279:H279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H255"/>
    <mergeCell ref="A256:B256"/>
    <mergeCell ref="G256:H267"/>
    <mergeCell ref="A257:B257"/>
    <mergeCell ref="A258:B258"/>
    <mergeCell ref="A259:B259"/>
    <mergeCell ref="I10:L10"/>
    <mergeCell ref="I222:J222"/>
    <mergeCell ref="K40:L40"/>
    <mergeCell ref="A288:H291"/>
    <mergeCell ref="A285:H285"/>
    <mergeCell ref="A282:H282"/>
    <mergeCell ref="B275:H275"/>
    <mergeCell ref="B273:H273"/>
    <mergeCell ref="A150:B150"/>
    <mergeCell ref="C147:F151"/>
    <mergeCell ref="G142:H151"/>
    <mergeCell ref="A207:B207"/>
    <mergeCell ref="A208:B208"/>
    <mergeCell ref="A209:B209"/>
    <mergeCell ref="A210:B210"/>
    <mergeCell ref="G164:H173"/>
    <mergeCell ref="G153:H162"/>
    <mergeCell ref="A242:H242"/>
    <mergeCell ref="A243:B243"/>
    <mergeCell ref="G243:H254"/>
    <mergeCell ref="A244:B244"/>
    <mergeCell ref="A245:B245"/>
    <mergeCell ref="C245:F246"/>
    <mergeCell ref="A246:B246"/>
    <mergeCell ref="C56:H56"/>
    <mergeCell ref="B278:H278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130:A131"/>
    <mergeCell ref="A221:B221"/>
    <mergeCell ref="A222:B222"/>
    <mergeCell ref="A165:B165"/>
    <mergeCell ref="A166:B166"/>
    <mergeCell ref="A167:B167"/>
    <mergeCell ref="A203:H203"/>
    <mergeCell ref="A224:B224"/>
    <mergeCell ref="A225:B225"/>
    <mergeCell ref="A119:E119"/>
    <mergeCell ref="F122:H122"/>
    <mergeCell ref="A139:H139"/>
    <mergeCell ref="A140:H140"/>
    <mergeCell ref="A141:H141"/>
  </mergeCells>
  <dataValidations disablePrompts="1"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8:B18" xr:uid="{00000000-0002-0000-0000-000001000000}">
      <formula1>"CTS No,Survey No,Plot No,Gut No,FP No,"</formula1>
    </dataValidation>
    <dataValidation type="list" allowBlank="1" showInputMessage="1" showErrorMessage="1" sqref="G21:H21" xr:uid="{00000000-0002-0000-0000-000002000000}">
      <formula1>"Mumbai,Thane,Palghar,Raigad,Pune"</formula1>
    </dataValidation>
    <dataValidation type="list" allowBlank="1" showInputMessage="1" showErrorMessage="1" sqref="I222:J222" xr:uid="{00000000-0002-0000-0000-000003000000}">
      <formula1>"Kunal Kadam,Shruti Fule,Pooja Kawale,Mansee Mohite,Anjali Kamble, Hitakshi Mhatre, Sachin Sawant"</formula1>
    </dataValidation>
    <dataValidation type="list" allowBlank="1" showInputMessage="1" showErrorMessage="1" sqref="F114:H114" xr:uid="{00000000-0002-0000-0000-000004000000}">
      <formula1>"On Saleable Area,On Builtup Area,On Carpet Area,On Plot Area"</formula1>
    </dataValidation>
    <dataValidation type="list" allowBlank="1" showInputMessage="1" showErrorMessage="1" sqref="F126:H126" xr:uid="{00000000-0002-0000-0000-000005000000}">
      <formula1>"100000,150000,200000,250000,300000,350000,400000,500000,600000,700000,800000,900000,1000000,1200000,1400000,1500000"</formula1>
    </dataValidation>
    <dataValidation type="list" allowBlank="1" showInputMessage="1" showErrorMessage="1" sqref="F136" xr:uid="{00000000-0002-0000-0000-000006000000}">
      <formula1>"Saleable area Loading :,Builder Saleable Area"</formula1>
    </dataValidation>
    <dataValidation type="list" allowBlank="1" showInputMessage="1" showErrorMessage="1" sqref="F137" xr:uid="{00000000-0002-0000-0000-000007000000}">
      <formula1>".45,.50,.55,.60"</formula1>
    </dataValidation>
  </dataValidations>
  <hyperlinks>
    <hyperlink ref="C41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9" max="16383" man="1"/>
    <brk id="291" max="7" man="1"/>
    <brk id="331" max="7" man="1"/>
    <brk id="372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6" zoomScale="85" zoomScaleNormal="85" workbookViewId="0">
      <selection activeCell="A15" sqref="A15"/>
    </sheetView>
  </sheetViews>
  <sheetFormatPr defaultColWidth="8.6640625" defaultRowHeight="14.4" x14ac:dyDescent="0.3"/>
  <cols>
    <col min="1" max="1" width="8.6640625" style="1"/>
    <col min="2" max="2" width="22.3320312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56" t="s">
        <v>105</v>
      </c>
      <c r="C3" s="256"/>
      <c r="D3" s="256"/>
      <c r="E3" s="256"/>
      <c r="F3" s="256"/>
      <c r="G3" s="256"/>
      <c r="H3" s="256"/>
    </row>
    <row r="4" spans="1:9" x14ac:dyDescent="0.3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2025-09-15T06:53:06Z</cp:lastPrinted>
  <dcterms:created xsi:type="dcterms:W3CDTF">2019-07-16T09:29:46Z</dcterms:created>
  <dcterms:modified xsi:type="dcterms:W3CDTF">2025-09-15T06:54:14Z</dcterms:modified>
</cp:coreProperties>
</file>