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5BF2DF10-B406-4E66-85F0-E49A2396D72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2" i="1" l="1"/>
  <c r="E161" i="1"/>
  <c r="E160" i="1"/>
  <c r="E159" i="1"/>
  <c r="E158" i="1"/>
  <c r="D163" i="1"/>
  <c r="F163" i="1" s="1"/>
  <c r="H163" i="1" s="1"/>
  <c r="D162" i="1"/>
  <c r="D161" i="1"/>
  <c r="D160" i="1"/>
  <c r="D159" i="1"/>
  <c r="D158" i="1"/>
  <c r="J162" i="1"/>
  <c r="I162" i="1"/>
  <c r="J160" i="1"/>
  <c r="I160" i="1"/>
  <c r="E155" i="1"/>
  <c r="D156" i="1"/>
  <c r="D155" i="1"/>
  <c r="J155" i="1"/>
  <c r="I155" i="1"/>
  <c r="D150" i="1"/>
  <c r="F150" i="1" s="1"/>
  <c r="H150" i="1" s="1"/>
  <c r="D149" i="1"/>
  <c r="D148" i="1"/>
  <c r="D147" i="1"/>
  <c r="D146" i="1"/>
  <c r="I149" i="1"/>
  <c r="I146" i="1"/>
  <c r="C137" i="1" l="1"/>
  <c r="C132" i="1"/>
  <c r="I45" i="1"/>
  <c r="C140" i="1" l="1"/>
  <c r="B166" i="1"/>
  <c r="F147" i="1" l="1"/>
  <c r="H147" i="1" s="1"/>
  <c r="F148" i="1"/>
  <c r="H148" i="1" s="1"/>
  <c r="F149" i="1"/>
  <c r="H149" i="1" s="1"/>
  <c r="F146" i="1"/>
  <c r="H146" i="1" l="1"/>
  <c r="G132" i="1" s="1"/>
  <c r="E132" i="1"/>
  <c r="G58" i="1"/>
  <c r="C58" i="1"/>
  <c r="G56" i="1"/>
  <c r="C56" i="1"/>
  <c r="C54" i="1"/>
  <c r="S33" i="1" l="1"/>
  <c r="F11" i="5" l="1"/>
  <c r="G11" i="5" s="1"/>
  <c r="F10" i="5"/>
  <c r="G10" i="5" s="1"/>
  <c r="F9" i="5"/>
  <c r="G9" i="5" s="1"/>
  <c r="F8" i="5"/>
  <c r="G8" i="5" s="1"/>
  <c r="F7" i="5"/>
  <c r="G7" i="5" s="1"/>
  <c r="F6" i="5"/>
  <c r="G6" i="5" s="1"/>
  <c r="F5" i="5"/>
  <c r="G5" i="5" s="1"/>
  <c r="G12" i="5" s="1"/>
  <c r="D190" i="1"/>
  <c r="B167" i="1"/>
  <c r="F162" i="1"/>
  <c r="H162" i="1" s="1"/>
  <c r="F161" i="1"/>
  <c r="H161" i="1" s="1"/>
  <c r="F160" i="1"/>
  <c r="H160" i="1" s="1"/>
  <c r="F159" i="1"/>
  <c r="H159" i="1" s="1"/>
  <c r="F158" i="1"/>
  <c r="H158" i="1" s="1"/>
  <c r="F156" i="1"/>
  <c r="H156" i="1" s="1"/>
  <c r="A156" i="1"/>
  <c r="F155" i="1"/>
  <c r="A147" i="1"/>
  <c r="A148" i="1" s="1"/>
  <c r="A149" i="1" s="1"/>
  <c r="A150" i="1" s="1"/>
  <c r="F129" i="1"/>
  <c r="C103" i="1"/>
  <c r="C89" i="1"/>
  <c r="C75" i="1"/>
  <c r="D69" i="1"/>
  <c r="C51" i="1"/>
  <c r="C52" i="1" s="1"/>
  <c r="E44" i="1"/>
  <c r="E45" i="1" s="1"/>
  <c r="E31" i="1"/>
  <c r="E28" i="1"/>
  <c r="E26" i="1"/>
  <c r="C16" i="1"/>
  <c r="I15" i="1"/>
  <c r="Z13" i="1"/>
  <c r="E8" i="1"/>
  <c r="E3" i="1"/>
  <c r="H90" i="1"/>
  <c r="H104" i="1"/>
  <c r="H76" i="1"/>
  <c r="H155" i="1" l="1"/>
  <c r="E137" i="1"/>
  <c r="E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G137" i="1" l="1"/>
  <c r="G140" i="1" s="1"/>
  <c r="L155" i="1"/>
  <c r="C93" i="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G93" i="1" l="1"/>
  <c r="J76" i="1"/>
  <c r="J101" i="1"/>
  <c r="J102" i="1" s="1"/>
  <c r="J90" i="1" s="1"/>
  <c r="I89" i="1" s="1"/>
  <c r="C91" i="1" s="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<sst xmlns="http://schemas.openxmlformats.org/spreadsheetml/2006/main" count="601" uniqueCount="345">
  <si>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</si>
  <si>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</si>
  <si>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</si>
  <si>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</si>
  <si>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</si>
  <si>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</si>
  <si>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</si>
  <si>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</si>
  <si>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</si>
  <si>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</si>
  <si>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</si>
  <si>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</si>
  <si>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</si>
  <si>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</si>
  <si>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</si>
  <si>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</si>
  <si>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</si>
  <si>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</si>
  <si>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</si>
  <si>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</si>
  <si>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</si>
  <si>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</si>
  <si>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</si>
  <si>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</si>
  <si>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</si>
  <si>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</si>
  <si>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</si>
  <si>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</si>
  <si>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</si>
  <si>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</si>
  <si>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</si>
  <si>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</si>
  <si>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</si>
  <si>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</si>
  <si>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</si>
  <si>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</si>
  <si>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</si>
  <si>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</si>
  <si>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</si>
  <si>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</si>
  <si>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</si>
  <si>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</si>
  <si>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</si>
  <si>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</si>
  <si>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</si>
  <si>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</si>
  <si>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</si>
  <si>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</si>
  <si>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</si>
  <si>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</si>
  <si>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</si>
  <si>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</si>
  <si>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</si>
  <si>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</si>
  <si>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</si>
  <si>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</si>
  <si>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</si>
  <si>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</si>
  <si>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</si>
  <si>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</si>
  <si>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</si>
  <si>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</si>
  <si>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</si>
  <si>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</si>
  <si>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</si>
  <si>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</si>
  <si>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</si>
  <si>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</si>
  <si>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</si>
  <si>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</si>
  <si>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</si>
  <si>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</si>
  <si>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</si>
  <si>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</si>
  <si>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</si>
  <si>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</si>
  <si>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</si>
  <si>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</si>
  <si>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</si>
  <si>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</si>
  <si>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</si>
  <si>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</si>
  <si>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</si>
  <si>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</si>
  <si>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</si>
  <si>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</si>
  <si>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</si>
  <si>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</si>
  <si>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</si>
  <si>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</si>
  <si>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</si>
  <si>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</si>
  <si>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</si>
  <si>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</si>
  <si>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</si>
  <si>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</si>
  <si>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</si>
  <si>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</si>
  <si>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</si>
  <si>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</si>
  <si>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</si>
  <si>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</si>
  <si>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</si>
  <si>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</si>
  <si>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</si>
  <si>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</si>
  <si>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</si>
  <si>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</si>
  <si>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</si>
  <si>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</si>
  <si>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</si>
  <si>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</si>
  <si>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</si>
  <si>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</si>
  <si>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</si>
  <si>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</si>
  <si>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</si>
  <si>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</si>
  <si>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</si>
  <si>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</si>
  <si>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</si>
  <si>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</si>
  <si>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</si>
  <si>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</si>
  <si>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</si>
  <si>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</si>
  <si>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</si>
  <si>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</si>
  <si>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</si>
  <si>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</si>
  <si>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</si>
  <si>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</si>
  <si>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</si>
  <si>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</si>
  <si>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</si>
  <si>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</si>
  <si>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</si>
  <si>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</si>
  <si>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</si>
  <si>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</si>
  <si>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</si>
  <si>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</si>
  <si>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</si>
  <si>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</si>
  <si>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</si>
  <si>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</si>
  <si>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</si>
  <si>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</si>
  <si>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</si>
  <si>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</si>
  <si>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</si>
  <si>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</si>
  <si>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</si>
  <si>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</si>
  <si>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</si>
  <si>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</si>
  <si>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</si>
  <si>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</si>
  <si>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</si>
  <si>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</si>
  <si>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</si>
  <si>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</si>
  <si>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</si>
  <si>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</si>
  <si>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</si>
  <si>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</si>
  <si>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</si>
  <si>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</si>
  <si>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</si>
  <si>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</si>
  <si>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</si>
  <si>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</si>
  <si>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</si>
  <si>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</si>
  <si>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</si>
  <si>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</si>
  <si>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</si>
  <si>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</si>
  <si>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</si>
  <si>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</si>
  <si>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</si>
  <si>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</si>
  <si>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</si>
  <si>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</si>
  <si>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</si>
  <si>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</si>
  <si>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</si>
  <si>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</si>
  <si>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</si>
  <si>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</si>
  <si>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</si>
  <si>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</si>
  <si>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</si>
  <si>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</si>
  <si>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</si>
  <si>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</si>
  <si>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</si>
  <si>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</si>
  <si>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</si>
  <si>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</si>
  <si>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</si>
  <si>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</si>
  <si>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</si>
  <si>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</si>
  <si>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</si>
  <si>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</si>
  <si>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</si>
  <si>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</si>
  <si>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</si>
  <si>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</si>
  <si>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</si>
  <si>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</si>
  <si>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</si>
  <si>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</si>
  <si>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</si>
  <si>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</si>
  <si>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</si>
  <si>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</si>
  <si>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</si>
  <si>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</si>
  <si>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</si>
  <si>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</si>
  <si>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</si>
  <si>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</si>
  <si>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</si>
  <si>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</si>
  <si>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</si>
  <si>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</si>
  <si>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</si>
  <si>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</si>
  <si>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</si>
  <si>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</si>
  <si>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</si>
  <si>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</si>
  <si>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</si>
  <si>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</si>
  <si>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</si>
  <si>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</si>
  <si>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</si>
  <si>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</si>
  <si>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</si>
  <si>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</si>
  <si>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</si>
  <si>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</si>
  <si>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</si>
  <si>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</si>
  <si>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</si>
  <si>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</si>
  <si>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</si>
  <si>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</si>
  <si>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</si>
  <si>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</si>
  <si>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</si>
  <si>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</si>
  <si>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</si>
  <si>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</si>
  <si>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</si>
  <si>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</si>
  <si>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</si>
  <si>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</si>
  <si>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</si>
  <si>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</si>
  <si>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</si>
  <si>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</si>
  <si>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</si>
  <si>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</si>
  <si>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</si>
  <si>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</si>
  <si>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</si>
  <si>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</si>
  <si>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</si>
  <si>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</si>
  <si>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</si>
  <si>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</si>
  <si>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</si>
  <si>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</si>
  <si>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</si>
  <si>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</si>
  <si>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</si>
  <si>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</si>
  <si>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</si>
  <si>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</si>
  <si>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</si>
  <si>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</si>
  <si>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</si>
  <si>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</si>
  <si>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</si>
  <si>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</si>
  <si>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</si>
  <si>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</si>
  <si>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</si>
  <si>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</si>
  <si>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</si>
  <si>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</si>
  <si>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</si>
  <si>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</si>
  <si>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</si>
  <si>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Paarshvanath</t>
  </si>
  <si>
    <t>Eskcays Estatess</t>
  </si>
  <si>
    <t>9320503311 / 8999111115 / 8830344789</t>
  </si>
  <si>
    <t>P99000054176</t>
  </si>
  <si>
    <t>Internal Road</t>
  </si>
  <si>
    <t>Palghar East</t>
  </si>
  <si>
    <t>19.701953,72.780868</t>
  </si>
  <si>
    <t>https://maps.app.goo.gl/88YgScJ73ZnaQHEF6</t>
  </si>
  <si>
    <t>Shubha Apartment</t>
  </si>
  <si>
    <t>1.9KM from Palghar Railway Station</t>
  </si>
  <si>
    <t>Palghar Municipal Council</t>
  </si>
  <si>
    <t>CBPPE/B/2023/APL/01007</t>
  </si>
  <si>
    <t>Wing A = Gr. + 1st to 7th Floor
Wing B = Gr. + 1st to 7th Floor
Wing C = Gr. + 1st to 7th Floor</t>
  </si>
  <si>
    <t>13, 3, 11</t>
  </si>
  <si>
    <t>Wing A = Gr. + 1st to 7th Floor</t>
  </si>
  <si>
    <t>Wing B = Gr. + 1st to 7th Floor</t>
  </si>
  <si>
    <t>Wing C = Gr. + 1st to 7th Floor</t>
  </si>
  <si>
    <t>As per RERA - 30/12/2028</t>
  </si>
  <si>
    <t>Ground Floor For Residential, Commercial, Society Office &amp; Parking</t>
  </si>
  <si>
    <t>Shop</t>
  </si>
  <si>
    <t>1RK</t>
  </si>
  <si>
    <t>1st to 7th Floor For Residential</t>
  </si>
  <si>
    <t>1BHK</t>
  </si>
  <si>
    <t>Balcony Area+Encl Balcony</t>
  </si>
  <si>
    <t>Wing A</t>
  </si>
  <si>
    <t>Flats - 44, Shops - 05</t>
  </si>
  <si>
    <t xml:space="preserve">We have done APF valuation for Wing A as it was registered on RERA site.
</t>
  </si>
  <si>
    <t>Navali</t>
  </si>
  <si>
    <t>Vevur</t>
  </si>
  <si>
    <t>Vitrified tiles flooring, Granite Kitchen Platform, Decorative Entrance etc.</t>
  </si>
  <si>
    <t>01 Building</t>
  </si>
  <si>
    <t>Sidheshwari Apartment</t>
  </si>
  <si>
    <t>Houses</t>
  </si>
  <si>
    <t>Existing Road</t>
  </si>
  <si>
    <t>Other Plot</t>
  </si>
  <si>
    <t>Carpet area</t>
  </si>
  <si>
    <t>We considered Gross carpet area = Net carpet + Enclose balcony.</t>
  </si>
  <si>
    <t>Gaothan Pardi No</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</si>
  <si>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</si>
  <si>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</si>
  <si>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</si>
  <si>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Building No.1 (Wing A) Labh</t>
  </si>
  <si>
    <t>Village as per CC</t>
  </si>
  <si>
    <t xml:space="preserve">The address mentioned in approved layout is "Gaothan Pardi no. 3, 11, 13, Navali" &amp; In CC &amp; RERA address is mentioned as "Gaothan Pardi no.13, Pardi no.3, Pardi no.11, Mouje Vevur".
We have considered village as per the litle and CC Mouje Vevur.
</t>
  </si>
  <si>
    <t>Rita : 9054015454</t>
  </si>
  <si>
    <t>Construction work is in process at the time of Visit.</t>
  </si>
  <si>
    <t>Kunal Kadam</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</si>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</sst>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2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64" fontId="6" fillId="0" borderId="0" xfId="1" applyNumberFormat="1" applyFont="1"/>
    <xf numFmtId="0" fontId="11" fillId="0" borderId="1" xfId="1" applyFont="1" applyBorder="1" applyAlignment="1" applyProtection="1">
      <alignment vertical="top" wrapText="1"/>
      <protection locked="0"/>
    </xf>
    <xf numFmtId="9" fontId="11" fillId="0" borderId="1" xfId="8" applyFont="1" applyFill="1" applyBorder="1" applyAlignment="1" applyProtection="1">
      <alignment horizontal="center" vertical="top" wrapText="1"/>
      <protection locked="0"/>
    </xf>
    <xf numFmtId="0" fontId="11" fillId="0" borderId="0" xfId="2" applyFont="1"/>
    <xf numFmtId="0" fontId="11" fillId="0" borderId="0" xfId="0"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0" xfId="1" applyFont="1" applyAlignment="1">
      <alignment horizontal="center" vertical="center"/>
    </xf>
    <xf numFmtId="1" fontId="11" fillId="0" borderId="0" xfId="1" applyNumberFormat="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23" fillId="0" borderId="9" xfId="0" applyFont="1" applyBorder="1"/>
    <xf numFmtId="0" fontId="11"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11"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2" fillId="0" borderId="1" xfId="1" applyFont="1" applyBorder="1" applyAlignment="1" applyProtection="1">
      <alignment vertical="top"/>
      <protection locked="0"/>
    </xf>
    <xf numFmtId="0" fontId="7" fillId="0" borderId="16"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0" fontId="11" fillId="0" borderId="21"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34"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828675</xdr:colOff>
      <xdr:row>15</xdr:row>
      <xdr:rowOff>542925</xdr:rowOff>
    </xdr:from>
    <xdr:to>
      <xdr:col>14</xdr:col>
      <xdr:colOff>723265</xdr:colOff>
      <xdr:row>19</xdr:row>
      <xdr:rowOff>78915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3750" y="4133850"/>
          <a:ext cx="5076190" cy="685714"/>
        </a:xfrm>
        <a:prstGeom prst="rect">
          <a:avLst/>
        </a:prstGeom>
        <a:ln>
          <a:solidFill>
            <a:schemeClr val="tx1"/>
          </a:solidFill>
        </a:ln>
      </xdr:spPr>
    </xdr:pic>
    <xdr:clientData/>
  </xdr:twoCellAnchor>
  <xdr:twoCellAnchor editAs="oneCell">
    <xdr:from>
      <xdr:col>0</xdr:col>
      <xdr:colOff>390525</xdr:colOff>
      <xdr:row>233</xdr:row>
      <xdr:rowOff>38100</xdr:rowOff>
    </xdr:from>
    <xdr:to>
      <xdr:col>7</xdr:col>
      <xdr:colOff>164646</xdr:colOff>
      <xdr:row>244</xdr:row>
      <xdr:rowOff>58510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390525" y="43081575"/>
          <a:ext cx="5355771" cy="2220685"/>
        </a:xfrm>
        <a:prstGeom prst="rect">
          <a:avLst/>
        </a:prstGeom>
        <a:ln>
          <a:solidFill>
            <a:schemeClr val="tx1"/>
          </a:solidFill>
        </a:ln>
      </xdr:spPr>
    </xdr:pic>
    <xdr:clientData/>
  </xdr:twoCellAnchor>
  <xdr:twoCellAnchor>
    <xdr:from>
      <xdr:col>1</xdr:col>
      <xdr:colOff>535667</xdr:colOff>
      <xdr:row>246</xdr:row>
      <xdr:rowOff>36737</xdr:rowOff>
    </xdr:from>
    <xdr:to>
      <xdr:col>5</xdr:col>
      <xdr:colOff>733878</xdr:colOff>
      <xdr:row>259</xdr:row>
      <xdr:rowOff>48983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320527" y="42464897"/>
          <a:ext cx="3627211" cy="2587806"/>
          <a:chOff x="1378857" y="4963885"/>
          <a:chExt cx="3541486" cy="2612571"/>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78857" y="4963885"/>
            <a:ext cx="3541486" cy="2612571"/>
          </a:xfrm>
          <a:prstGeom prst="rect">
            <a:avLst/>
          </a:prstGeom>
          <a:ln>
            <a:solidFill>
              <a:schemeClr val="tx1"/>
            </a:solidFill>
          </a:ln>
        </xdr:spPr>
      </xdr:pic>
      <xdr:sp macro="" textlink="">
        <xdr:nvSpPr>
          <xdr:cNvPr id="6" name="Freeform 5">
            <a:extLst>
              <a:ext uri="{FF2B5EF4-FFF2-40B4-BE49-F238E27FC236}">
                <a16:creationId xmlns:a16="http://schemas.microsoft.com/office/drawing/2014/main" id="{00000000-0008-0000-0000-000006000000}"/>
              </a:ext>
            </a:extLst>
          </xdr:cNvPr>
          <xdr:cNvSpPr/>
        </xdr:nvSpPr>
        <xdr:spPr>
          <a:xfrm>
            <a:off x="2914650" y="5905500"/>
            <a:ext cx="785813" cy="723900"/>
          </a:xfrm>
          <a:custGeom>
            <a:avLst/>
            <a:gdLst>
              <a:gd name="connsiteX0" fmla="*/ 0 w 785813"/>
              <a:gd name="connsiteY0" fmla="*/ 185738 h 723900"/>
              <a:gd name="connsiteX1" fmla="*/ 104775 w 785813"/>
              <a:gd name="connsiteY1" fmla="*/ 90488 h 723900"/>
              <a:gd name="connsiteX2" fmla="*/ 66675 w 785813"/>
              <a:gd name="connsiteY2" fmla="*/ 23813 h 723900"/>
              <a:gd name="connsiteX3" fmla="*/ 171450 w 785813"/>
              <a:gd name="connsiteY3" fmla="*/ 0 h 723900"/>
              <a:gd name="connsiteX4" fmla="*/ 366713 w 785813"/>
              <a:gd name="connsiteY4" fmla="*/ 323850 h 723900"/>
              <a:gd name="connsiteX5" fmla="*/ 785813 w 785813"/>
              <a:gd name="connsiteY5" fmla="*/ 638175 h 723900"/>
              <a:gd name="connsiteX6" fmla="*/ 647700 w 785813"/>
              <a:gd name="connsiteY6" fmla="*/ 723900 h 723900"/>
              <a:gd name="connsiteX7" fmla="*/ 581025 w 785813"/>
              <a:gd name="connsiteY7" fmla="*/ 681038 h 723900"/>
              <a:gd name="connsiteX8" fmla="*/ 557213 w 785813"/>
              <a:gd name="connsiteY8" fmla="*/ 600075 h 723900"/>
              <a:gd name="connsiteX9" fmla="*/ 533400 w 785813"/>
              <a:gd name="connsiteY9" fmla="*/ 600075 h 723900"/>
              <a:gd name="connsiteX10" fmla="*/ 400050 w 785813"/>
              <a:gd name="connsiteY10" fmla="*/ 490538 h 723900"/>
              <a:gd name="connsiteX11" fmla="*/ 328613 w 785813"/>
              <a:gd name="connsiteY11" fmla="*/ 523875 h 723900"/>
              <a:gd name="connsiteX12" fmla="*/ 257175 w 785813"/>
              <a:gd name="connsiteY12" fmla="*/ 409575 h 723900"/>
              <a:gd name="connsiteX13" fmla="*/ 257175 w 785813"/>
              <a:gd name="connsiteY13" fmla="*/ 381000 h 723900"/>
              <a:gd name="connsiteX14" fmla="*/ 233363 w 785813"/>
              <a:gd name="connsiteY14" fmla="*/ 381000 h 723900"/>
              <a:gd name="connsiteX15" fmla="*/ 166688 w 785813"/>
              <a:gd name="connsiteY15" fmla="*/ 271463 h 723900"/>
              <a:gd name="connsiteX16" fmla="*/ 0 w 785813"/>
              <a:gd name="connsiteY16" fmla="*/ 185738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85813" h="723900">
                <a:moveTo>
                  <a:pt x="0" y="185738"/>
                </a:moveTo>
                <a:lnTo>
                  <a:pt x="104775" y="90488"/>
                </a:lnTo>
                <a:lnTo>
                  <a:pt x="66675" y="23813"/>
                </a:lnTo>
                <a:lnTo>
                  <a:pt x="171450" y="0"/>
                </a:lnTo>
                <a:lnTo>
                  <a:pt x="366713" y="323850"/>
                </a:lnTo>
                <a:lnTo>
                  <a:pt x="785813" y="638175"/>
                </a:lnTo>
                <a:lnTo>
                  <a:pt x="647700" y="723900"/>
                </a:lnTo>
                <a:lnTo>
                  <a:pt x="581025" y="681038"/>
                </a:lnTo>
                <a:lnTo>
                  <a:pt x="557213" y="600075"/>
                </a:lnTo>
                <a:lnTo>
                  <a:pt x="533400" y="600075"/>
                </a:lnTo>
                <a:lnTo>
                  <a:pt x="400050" y="490538"/>
                </a:lnTo>
                <a:lnTo>
                  <a:pt x="328613" y="523875"/>
                </a:lnTo>
                <a:lnTo>
                  <a:pt x="257175" y="409575"/>
                </a:lnTo>
                <a:lnTo>
                  <a:pt x="257175" y="381000"/>
                </a:lnTo>
                <a:lnTo>
                  <a:pt x="233363" y="381000"/>
                </a:lnTo>
                <a:lnTo>
                  <a:pt x="166688" y="271463"/>
                </a:lnTo>
                <a:lnTo>
                  <a:pt x="0" y="185738"/>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115983</xdr:colOff>
      <xdr:row>278</xdr:row>
      <xdr:rowOff>2241</xdr:rowOff>
    </xdr:from>
    <xdr:to>
      <xdr:col>5</xdr:col>
      <xdr:colOff>341781</xdr:colOff>
      <xdr:row>292</xdr:row>
      <xdr:rowOff>58359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877983" y="51381212"/>
          <a:ext cx="3576357" cy="2880000"/>
        </a:xfrm>
        <a:prstGeom prst="rect">
          <a:avLst/>
        </a:prstGeom>
        <a:ln>
          <a:solidFill>
            <a:schemeClr val="tx1"/>
          </a:solidFill>
        </a:ln>
      </xdr:spPr>
    </xdr:pic>
    <xdr:clientData/>
  </xdr:twoCellAnchor>
  <xdr:twoCellAnchor>
    <xdr:from>
      <xdr:col>1</xdr:col>
      <xdr:colOff>100853</xdr:colOff>
      <xdr:row>293</xdr:row>
      <xdr:rowOff>190499</xdr:rowOff>
    </xdr:from>
    <xdr:to>
      <xdr:col>5</xdr:col>
      <xdr:colOff>350294</xdr:colOff>
      <xdr:row>310</xdr:row>
      <xdr:rowOff>1499</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885713" y="51930299"/>
          <a:ext cx="3678441" cy="3179040"/>
          <a:chOff x="1552755" y="2536165"/>
          <a:chExt cx="3071003" cy="2518913"/>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552755" y="2536165"/>
            <a:ext cx="3071003" cy="2518913"/>
          </a:xfrm>
          <a:prstGeom prst="rect">
            <a:avLst/>
          </a:prstGeom>
          <a:ln>
            <a:solidFill>
              <a:schemeClr val="tx1"/>
            </a:solidFill>
          </a:ln>
        </xdr:spPr>
      </xdr:pic>
      <xdr:sp macro="" textlink="">
        <xdr:nvSpPr>
          <xdr:cNvPr id="18" name="Freeform 17">
            <a:extLst>
              <a:ext uri="{FF2B5EF4-FFF2-40B4-BE49-F238E27FC236}">
                <a16:creationId xmlns:a16="http://schemas.microsoft.com/office/drawing/2014/main" id="{00000000-0008-0000-0000-000012000000}"/>
              </a:ext>
            </a:extLst>
          </xdr:cNvPr>
          <xdr:cNvSpPr/>
        </xdr:nvSpPr>
        <xdr:spPr>
          <a:xfrm>
            <a:off x="3028950" y="3267075"/>
            <a:ext cx="962025" cy="1257300"/>
          </a:xfrm>
          <a:custGeom>
            <a:avLst/>
            <a:gdLst>
              <a:gd name="connsiteX0" fmla="*/ 0 w 962025"/>
              <a:gd name="connsiteY0" fmla="*/ 209550 h 1257300"/>
              <a:gd name="connsiteX1" fmla="*/ 390525 w 962025"/>
              <a:gd name="connsiteY1" fmla="*/ 0 h 1257300"/>
              <a:gd name="connsiteX2" fmla="*/ 962025 w 962025"/>
              <a:gd name="connsiteY2" fmla="*/ 1114425 h 1257300"/>
              <a:gd name="connsiteX3" fmla="*/ 476250 w 962025"/>
              <a:gd name="connsiteY3" fmla="*/ 1257300 h 1257300"/>
              <a:gd name="connsiteX4" fmla="*/ 0 w 962025"/>
              <a:gd name="connsiteY4" fmla="*/ 209550 h 1257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2025" h="1257300">
                <a:moveTo>
                  <a:pt x="0" y="209550"/>
                </a:moveTo>
                <a:lnTo>
                  <a:pt x="390525" y="0"/>
                </a:lnTo>
                <a:lnTo>
                  <a:pt x="962025" y="1114425"/>
                </a:lnTo>
                <a:lnTo>
                  <a:pt x="476250" y="1257300"/>
                </a:lnTo>
                <a:lnTo>
                  <a:pt x="0" y="20955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896471</xdr:colOff>
      <xdr:row>47</xdr:row>
      <xdr:rowOff>168088</xdr:rowOff>
    </xdr:from>
    <xdr:to>
      <xdr:col>12</xdr:col>
      <xdr:colOff>268016</xdr:colOff>
      <xdr:row>61</xdr:row>
      <xdr:rowOff>141176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7205383" y="10858500"/>
          <a:ext cx="2923809" cy="1628571"/>
        </a:xfrm>
        <a:prstGeom prst="rect">
          <a:avLst/>
        </a:prstGeom>
        <a:ln>
          <a:solidFill>
            <a:schemeClr val="tx1"/>
          </a:solidFill>
        </a:ln>
      </xdr:spPr>
    </xdr:pic>
    <xdr:clientData/>
  </xdr:twoCellAnchor>
  <xdr:twoCellAnchor editAs="oneCell">
    <xdr:from>
      <xdr:col>14</xdr:col>
      <xdr:colOff>622300</xdr:colOff>
      <xdr:row>146</xdr:row>
      <xdr:rowOff>172569</xdr:rowOff>
    </xdr:from>
    <xdr:to>
      <xdr:col>21</xdr:col>
      <xdr:colOff>156842</xdr:colOff>
      <xdr:row>157</xdr:row>
      <xdr:rowOff>73380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12153900" y="23578669"/>
          <a:ext cx="4398642" cy="2529711"/>
        </a:xfrm>
        <a:prstGeom prst="rect">
          <a:avLst/>
        </a:prstGeom>
        <a:ln>
          <a:solidFill>
            <a:schemeClr val="tx1"/>
          </a:solidFill>
        </a:ln>
      </xdr:spPr>
    </xdr:pic>
    <xdr:clientData/>
  </xdr:twoCellAnchor>
  <xdr:twoCellAnchor editAs="oneCell">
    <xdr:from>
      <xdr:col>11</xdr:col>
      <xdr:colOff>863599</xdr:colOff>
      <xdr:row>124</xdr:row>
      <xdr:rowOff>162858</xdr:rowOff>
    </xdr:from>
    <xdr:to>
      <xdr:col>15</xdr:col>
      <xdr:colOff>535208</xdr:colOff>
      <xdr:row>142</xdr:row>
      <xdr:rowOff>264630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842499" y="19492258"/>
          <a:ext cx="3037109" cy="2525230"/>
        </a:xfrm>
        <a:prstGeom prst="rect">
          <a:avLst/>
        </a:prstGeom>
        <a:ln>
          <a:solidFill>
            <a:schemeClr val="tx1"/>
          </a:solidFill>
        </a:ln>
      </xdr:spPr>
    </xdr:pic>
    <xdr:clientData/>
  </xdr:twoCellAnchor>
  <xdr:twoCellAnchor>
    <xdr:from>
      <xdr:col>8</xdr:col>
      <xdr:colOff>655320</xdr:colOff>
      <xdr:row>185</xdr:row>
      <xdr:rowOff>171451</xdr:rowOff>
    </xdr:from>
    <xdr:to>
      <xdr:col>15</xdr:col>
      <xdr:colOff>289015</xdr:colOff>
      <xdr:row>225</xdr:row>
      <xdr:rowOff>14151</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a:off x="7139940" y="30521911"/>
          <a:ext cx="5798275" cy="7759880"/>
          <a:chOff x="847518" y="500924"/>
          <a:chExt cx="4963961" cy="7916888"/>
        </a:xfrm>
      </xdr:grpSpPr>
      <xdr:pic>
        <xdr:nvPicPr>
          <xdr:cNvPr id="22" name="Picture 21" descr="https://vsjcllp.vsjadon.com/upload/insp-236800-843.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367709" y="4191721"/>
            <a:ext cx="1784862" cy="24789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800-845.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55510" y="4191721"/>
            <a:ext cx="1784862" cy="24789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6800-849.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47518" y="500924"/>
            <a:ext cx="2418312" cy="35775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6800-880.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30099" y="6783975"/>
            <a:ext cx="2367913" cy="16338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6800-874.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93167" y="500924"/>
            <a:ext cx="2418312" cy="35775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6800-1525.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93167" y="6783974"/>
            <a:ext cx="2302096" cy="16338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251460</xdr:colOff>
      <xdr:row>191</xdr:row>
      <xdr:rowOff>15240</xdr:rowOff>
    </xdr:from>
    <xdr:to>
      <xdr:col>7</xdr:col>
      <xdr:colOff>467338</xdr:colOff>
      <xdr:row>227</xdr:row>
      <xdr:rowOff>2390</xdr:rowOff>
    </xdr:to>
    <xdr:grpSp>
      <xdr:nvGrpSpPr>
        <xdr:cNvPr id="7" name="Group 6">
          <a:extLst>
            <a:ext uri="{FF2B5EF4-FFF2-40B4-BE49-F238E27FC236}">
              <a16:creationId xmlns:a16="http://schemas.microsoft.com/office/drawing/2014/main" id="{47D47996-307A-2DE0-048E-04832B6BA9F9}"/>
            </a:ext>
          </a:extLst>
        </xdr:cNvPr>
        <xdr:cNvGrpSpPr/>
      </xdr:nvGrpSpPr>
      <xdr:grpSpPr>
        <a:xfrm>
          <a:off x="251460" y="31554420"/>
          <a:ext cx="5946118" cy="7111850"/>
          <a:chOff x="-80837" y="186130"/>
          <a:chExt cx="5946118" cy="7111850"/>
        </a:xfrm>
      </xdr:grpSpPr>
      <xdr:grpSp>
        <xdr:nvGrpSpPr>
          <xdr:cNvPr id="8" name="Group 7">
            <a:extLst>
              <a:ext uri="{FF2B5EF4-FFF2-40B4-BE49-F238E27FC236}">
                <a16:creationId xmlns:a16="http://schemas.microsoft.com/office/drawing/2014/main" id="{C793CFB7-0EE1-B4DA-121B-B20FB3EB6233}"/>
              </a:ext>
            </a:extLst>
          </xdr:cNvPr>
          <xdr:cNvGrpSpPr/>
        </xdr:nvGrpSpPr>
        <xdr:grpSpPr>
          <a:xfrm>
            <a:off x="948385" y="5497980"/>
            <a:ext cx="3887674" cy="1800000"/>
            <a:chOff x="-335857" y="5497980"/>
            <a:chExt cx="3887674" cy="1800000"/>
          </a:xfrm>
        </xdr:grpSpPr>
        <xdr:pic>
          <xdr:nvPicPr>
            <xdr:cNvPr id="30" name="Picture 29">
              <a:extLst>
                <a:ext uri="{FF2B5EF4-FFF2-40B4-BE49-F238E27FC236}">
                  <a16:creationId xmlns:a16="http://schemas.microsoft.com/office/drawing/2014/main" id="{E93083EB-9B77-BE80-1AFF-12B5ECCFE172}"/>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203226" y="5497980"/>
              <a:ext cx="1348591" cy="1800000"/>
            </a:xfrm>
            <a:prstGeom prst="rect">
              <a:avLst/>
            </a:prstGeom>
            <a:ln>
              <a:solidFill>
                <a:schemeClr val="tx1"/>
              </a:solidFill>
            </a:ln>
          </xdr:spPr>
        </xdr:pic>
        <xdr:pic>
          <xdr:nvPicPr>
            <xdr:cNvPr id="31" name="Picture 30">
              <a:extLst>
                <a:ext uri="{FF2B5EF4-FFF2-40B4-BE49-F238E27FC236}">
                  <a16:creationId xmlns:a16="http://schemas.microsoft.com/office/drawing/2014/main" id="{4897E830-A587-437A-EBF8-D3BD9BCA4B03}"/>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35857" y="5497980"/>
              <a:ext cx="2398071" cy="180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4E3EBAB6-6097-C84E-5009-2FED8026B7C4}"/>
              </a:ext>
            </a:extLst>
          </xdr:cNvPr>
          <xdr:cNvGrpSpPr/>
        </xdr:nvGrpSpPr>
        <xdr:grpSpPr>
          <a:xfrm>
            <a:off x="933685" y="2842055"/>
            <a:ext cx="3917074" cy="2520000"/>
            <a:chOff x="174183" y="2842055"/>
            <a:chExt cx="3917074" cy="2520000"/>
          </a:xfrm>
        </xdr:grpSpPr>
        <xdr:pic>
          <xdr:nvPicPr>
            <xdr:cNvPr id="28" name="Picture 27">
              <a:extLst>
                <a:ext uri="{FF2B5EF4-FFF2-40B4-BE49-F238E27FC236}">
                  <a16:creationId xmlns:a16="http://schemas.microsoft.com/office/drawing/2014/main" id="{C01B66AC-A496-7435-EAC0-C77DD560CC0E}"/>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203226" y="2842055"/>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7774EC98-4F16-B83F-05A5-C27DC38DEF6F}"/>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74183" y="2842055"/>
              <a:ext cx="1888031" cy="25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986899C1-F117-2310-D543-9CFDC509288E}"/>
              </a:ext>
            </a:extLst>
          </xdr:cNvPr>
          <xdr:cNvGrpSpPr/>
        </xdr:nvGrpSpPr>
        <xdr:grpSpPr>
          <a:xfrm>
            <a:off x="-80837" y="186130"/>
            <a:ext cx="5946118" cy="2520000"/>
            <a:chOff x="174184" y="186130"/>
            <a:chExt cx="5946118" cy="2520000"/>
          </a:xfrm>
        </xdr:grpSpPr>
        <xdr:pic>
          <xdr:nvPicPr>
            <xdr:cNvPr id="11" name="Picture 10">
              <a:extLst>
                <a:ext uri="{FF2B5EF4-FFF2-40B4-BE49-F238E27FC236}">
                  <a16:creationId xmlns:a16="http://schemas.microsoft.com/office/drawing/2014/main" id="{2E5A7907-2FFF-3149-B113-EE1A74F56711}"/>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4232271" y="186130"/>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3DAEDE82-96E6-B47E-5894-58A700845F47}"/>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203227" y="186130"/>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E81D5F71-B05F-C02A-5074-24254F5E69BC}"/>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174184" y="18613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88YgScJ73ZnaQHE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4"/>
  <sheetViews>
    <sheetView tabSelected="1" view="pageBreakPreview" zoomScaleNormal="100" zoomScaleSheetLayoutView="100" zoomScalePageLayoutView="85" workbookViewId="0">
      <selection activeCell="I8" sqref="I8"/>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1" width="9.109375" style="21"/>
    <col min="22" max="22" width="35.33203125" style="21" customWidth="1"/>
    <col min="23"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64" t="s">
        <v>159</v>
      </c>
      <c r="B1" s="164"/>
      <c r="C1" s="164"/>
      <c r="D1" s="164"/>
      <c r="E1" s="164"/>
      <c r="F1" s="164"/>
      <c r="G1" s="164"/>
      <c r="H1" s="164"/>
    </row>
    <row r="2" spans="1:26" ht="16.5" customHeight="1" x14ac:dyDescent="0.3">
      <c r="A2" s="165" t="s">
        <v>0</v>
      </c>
      <c r="B2" s="165"/>
      <c r="C2" s="165"/>
      <c r="D2" s="165"/>
      <c r="E2" s="165"/>
      <c r="F2" s="165"/>
      <c r="G2" s="165"/>
      <c r="H2" s="165"/>
    </row>
    <row r="3" spans="1:26" x14ac:dyDescent="0.3">
      <c r="A3" s="124" t="s">
        <v>1</v>
      </c>
      <c r="B3" s="124"/>
      <c r="C3" s="124"/>
      <c r="D3" s="124"/>
      <c r="E3" s="124" t="str">
        <f ca="1">TEXT(TODAY(),"DD/MM/YYYY")</f>
        <v>17/09/2025</v>
      </c>
      <c r="F3" s="124"/>
      <c r="G3" s="124"/>
      <c r="H3" s="124"/>
      <c r="K3" s="54" t="s">
        <v>231</v>
      </c>
      <c r="L3" s="53" t="s">
        <v>229</v>
      </c>
      <c r="M3" s="53" t="s">
        <v>234</v>
      </c>
      <c r="N3" s="53" t="s">
        <v>232</v>
      </c>
      <c r="O3" s="53" t="s">
        <v>233</v>
      </c>
      <c r="P3" s="53" t="s">
        <v>235</v>
      </c>
    </row>
    <row r="4" spans="1:26" ht="15" customHeight="1" x14ac:dyDescent="0.3">
      <c r="A4" s="124" t="s">
        <v>228</v>
      </c>
      <c r="B4" s="124"/>
      <c r="C4" s="124"/>
      <c r="D4" s="124"/>
      <c r="E4" s="124" t="s">
        <v>229</v>
      </c>
      <c r="F4" s="124"/>
      <c r="G4" s="124"/>
      <c r="H4" s="124"/>
      <c r="K4" s="52" t="s">
        <v>230</v>
      </c>
      <c r="L4" s="53" t="s">
        <v>165</v>
      </c>
      <c r="M4" s="53" t="s">
        <v>239</v>
      </c>
      <c r="N4" s="53" t="s">
        <v>241</v>
      </c>
      <c r="O4" s="53" t="s">
        <v>243</v>
      </c>
      <c r="P4" s="53"/>
    </row>
    <row r="5" spans="1:26" ht="15" customHeight="1" x14ac:dyDescent="0.3">
      <c r="A5" s="124" t="s">
        <v>2</v>
      </c>
      <c r="B5" s="124"/>
      <c r="C5" s="124"/>
      <c r="D5" s="124"/>
      <c r="E5" s="124" t="s">
        <v>165</v>
      </c>
      <c r="F5" s="124"/>
      <c r="G5" s="124"/>
      <c r="H5" s="124"/>
      <c r="K5" s="52"/>
      <c r="L5" s="53" t="s">
        <v>236</v>
      </c>
      <c r="M5" s="53" t="s">
        <v>240</v>
      </c>
      <c r="N5" s="53" t="s">
        <v>242</v>
      </c>
      <c r="O5" s="53" t="s">
        <v>244</v>
      </c>
      <c r="P5" s="53"/>
    </row>
    <row r="6" spans="1:26" x14ac:dyDescent="0.3">
      <c r="A6" s="124" t="s">
        <v>3</v>
      </c>
      <c r="B6" s="124"/>
      <c r="C6" s="124"/>
      <c r="D6" s="124"/>
      <c r="E6" s="166">
        <v>45908</v>
      </c>
      <c r="F6" s="124"/>
      <c r="G6" s="124"/>
      <c r="H6" s="124"/>
      <c r="K6" s="52"/>
      <c r="L6" s="53" t="s">
        <v>237</v>
      </c>
      <c r="M6" s="53"/>
      <c r="N6" s="53"/>
      <c r="O6" s="53" t="s">
        <v>245</v>
      </c>
      <c r="P6" s="53"/>
    </row>
    <row r="7" spans="1:26" ht="16.5" customHeight="1" x14ac:dyDescent="0.3">
      <c r="A7" s="124" t="s">
        <v>4</v>
      </c>
      <c r="B7" s="124"/>
      <c r="C7" s="124"/>
      <c r="D7" s="124"/>
      <c r="E7" s="124" t="s">
        <v>298</v>
      </c>
      <c r="F7" s="124"/>
      <c r="G7" s="124"/>
      <c r="H7" s="124"/>
      <c r="K7" s="52"/>
      <c r="L7" s="53" t="s">
        <v>238</v>
      </c>
      <c r="M7" s="53"/>
      <c r="N7" s="53"/>
      <c r="O7" s="53" t="s">
        <v>245</v>
      </c>
      <c r="P7" s="53"/>
    </row>
    <row r="8" spans="1:26" ht="15" customHeight="1" x14ac:dyDescent="0.3">
      <c r="A8" s="124" t="s">
        <v>5</v>
      </c>
      <c r="B8" s="124"/>
      <c r="C8" s="124"/>
      <c r="D8" s="124"/>
      <c r="E8" s="124" t="str">
        <f>E7</f>
        <v>Eskcays Estatess</v>
      </c>
      <c r="F8" s="124"/>
      <c r="G8" s="124"/>
      <c r="H8" s="124"/>
      <c r="K8" s="52"/>
      <c r="L8" s="53"/>
      <c r="M8" s="53"/>
      <c r="N8" s="53"/>
      <c r="O8" s="53" t="s">
        <v>246</v>
      </c>
      <c r="P8" s="53"/>
    </row>
    <row r="9" spans="1:26" x14ac:dyDescent="0.3">
      <c r="A9" s="124" t="s">
        <v>6</v>
      </c>
      <c r="B9" s="124"/>
      <c r="C9" s="124"/>
      <c r="D9" s="124"/>
      <c r="E9" s="117" t="s">
        <v>297</v>
      </c>
      <c r="F9" s="117"/>
      <c r="G9" s="117"/>
      <c r="H9" s="117"/>
      <c r="K9" s="52"/>
      <c r="L9" s="53"/>
      <c r="M9" s="53"/>
      <c r="N9" s="53"/>
      <c r="O9" s="53" t="s">
        <v>247</v>
      </c>
      <c r="P9" s="53"/>
    </row>
    <row r="10" spans="1:26" x14ac:dyDescent="0.3">
      <c r="A10" s="124" t="s">
        <v>162</v>
      </c>
      <c r="B10" s="124"/>
      <c r="C10" s="124"/>
      <c r="D10" s="124"/>
      <c r="E10" s="124" t="s">
        <v>299</v>
      </c>
      <c r="F10" s="124"/>
      <c r="G10" s="124"/>
      <c r="H10" s="124"/>
      <c r="K10" s="52"/>
      <c r="L10" s="53"/>
      <c r="M10" s="53"/>
      <c r="N10" s="53"/>
      <c r="O10" s="53"/>
      <c r="P10" s="53"/>
    </row>
    <row r="11" spans="1:26" x14ac:dyDescent="0.3">
      <c r="A11" s="124" t="s">
        <v>163</v>
      </c>
      <c r="B11" s="124"/>
      <c r="C11" s="124"/>
      <c r="D11" s="124"/>
      <c r="E11" s="124" t="s">
        <v>341</v>
      </c>
      <c r="F11" s="124"/>
      <c r="G11" s="124"/>
      <c r="H11" s="124"/>
    </row>
    <row r="12" spans="1:26" x14ac:dyDescent="0.3">
      <c r="A12" s="124" t="s">
        <v>7</v>
      </c>
      <c r="B12" s="124"/>
      <c r="C12" s="124"/>
      <c r="D12" s="124"/>
      <c r="E12" s="124" t="s">
        <v>338</v>
      </c>
      <c r="F12" s="124"/>
      <c r="G12" s="124"/>
      <c r="H12" s="124"/>
    </row>
    <row r="13" spans="1:26" x14ac:dyDescent="0.3">
      <c r="A13" s="124" t="s">
        <v>166</v>
      </c>
      <c r="B13" s="124"/>
      <c r="C13" s="124"/>
      <c r="D13" s="124"/>
      <c r="E13" s="124" t="s">
        <v>28</v>
      </c>
      <c r="F13" s="124"/>
      <c r="G13" s="124"/>
      <c r="H13" s="124"/>
      <c r="S13" s="53" t="s">
        <v>174</v>
      </c>
      <c r="T13" s="53" t="s">
        <v>184</v>
      </c>
      <c r="U13" s="53" t="s">
        <v>167</v>
      </c>
      <c r="V13" s="53" t="s">
        <v>189</v>
      </c>
      <c r="W13" s="53" t="s">
        <v>207</v>
      </c>
      <c r="X13"/>
      <c r="Y13" t="s">
        <v>189</v>
      </c>
      <c r="Z13" t="e">
        <f ca="1">OFFSET($S$13,1,MATCH($G20,$S$13:$W$13,0)-1,15,1)</f>
        <v>#VALUE!</v>
      </c>
    </row>
    <row r="14" spans="1:26" ht="16.5" customHeight="1" x14ac:dyDescent="0.3">
      <c r="A14" s="82" t="s">
        <v>274</v>
      </c>
      <c r="B14" s="82"/>
      <c r="C14" s="82"/>
      <c r="D14" s="82"/>
      <c r="E14" s="120" t="s">
        <v>222</v>
      </c>
      <c r="F14" s="120"/>
      <c r="G14" s="120"/>
      <c r="H14" s="120"/>
      <c r="S14" s="53" t="s">
        <v>175</v>
      </c>
      <c r="T14" s="53" t="s">
        <v>182</v>
      </c>
      <c r="U14" s="53" t="s">
        <v>204</v>
      </c>
      <c r="V14" s="53" t="s">
        <v>190</v>
      </c>
      <c r="W14" s="53" t="s">
        <v>208</v>
      </c>
      <c r="X14"/>
      <c r="Y14"/>
      <c r="Z14"/>
    </row>
    <row r="15" spans="1:26" x14ac:dyDescent="0.3">
      <c r="A15" s="82" t="s">
        <v>8</v>
      </c>
      <c r="B15" s="82"/>
      <c r="C15" s="82"/>
      <c r="D15" s="82"/>
      <c r="E15" s="120" t="s">
        <v>300</v>
      </c>
      <c r="F15" s="124"/>
      <c r="G15" s="124"/>
      <c r="H15" s="124"/>
      <c r="I15" s="216" t="e">
        <f ca="1">OFFSET($D$5,1,MATCH($J13,$D$5:$H$5,0)-1,15,1)</f>
        <v>#N/A</v>
      </c>
      <c r="J15" s="217"/>
      <c r="K15" s="217"/>
      <c r="L15" s="217"/>
      <c r="M15" s="217"/>
      <c r="N15" s="217"/>
      <c r="O15" s="217"/>
      <c r="P15" s="217"/>
      <c r="S15" s="53" t="s">
        <v>176</v>
      </c>
      <c r="T15" s="53" t="s">
        <v>183</v>
      </c>
      <c r="U15" s="53" t="s">
        <v>205</v>
      </c>
      <c r="V15" s="53" t="s">
        <v>191</v>
      </c>
      <c r="W15" s="53" t="s">
        <v>221</v>
      </c>
      <c r="X15"/>
      <c r="Y15"/>
      <c r="Z15"/>
    </row>
    <row r="16" spans="1:26" ht="36.75" customHeight="1" x14ac:dyDescent="0.3">
      <c r="A16" s="162" t="s">
        <v>9</v>
      </c>
      <c r="B16" s="162"/>
      <c r="C16" s="162" t="str">
        <f>CONCATENATE((IF(OR(E9="",E9="NA"),"",E9)),", ",(IF(OR(A17="",A17="NA"),"",A17)),".",(IF(OR(C17="",C17="NA"),"",C17)),", near ",(IF(OR(C22="",C22="NA"),"",C22)),", ",(IF(OR(C19="",C19="NA"),"",C19)),", ",(IF(OR(C18="",C18="NA"),"",C18)),", ",(IF(OR(G19="",G19="NA"),"",G19)),", ",(IF(OR(C20="",C20="NA"),"",C20)),", ",(IF(OR(C21="",C21="NA"),"",C21)),", ",(IF(OR(G20="",G20="NA"),"",G20))," - ",(IF(OR(G21="",G21="NA"),"",G21)),".")</f>
        <v>Paarshvanath, Gaothan Pardi No.13, 3, 11, near Shubha Apartment, Internal Road, Navali, Vevur, Palghar East, Palghar, Palghar - 401404.</v>
      </c>
      <c r="D16" s="162"/>
      <c r="E16" s="162"/>
      <c r="F16" s="162"/>
      <c r="G16" s="162"/>
      <c r="H16" s="162"/>
      <c r="S16" s="53" t="s">
        <v>177</v>
      </c>
      <c r="T16" s="53" t="s">
        <v>185</v>
      </c>
      <c r="U16" s="53" t="s">
        <v>206</v>
      </c>
      <c r="V16" s="53" t="s">
        <v>192</v>
      </c>
      <c r="W16" s="53" t="s">
        <v>209</v>
      </c>
      <c r="X16"/>
      <c r="Y16"/>
      <c r="Z16"/>
    </row>
    <row r="17" spans="1:26" x14ac:dyDescent="0.3">
      <c r="A17" s="120" t="s">
        <v>334</v>
      </c>
      <c r="B17" s="120"/>
      <c r="C17" s="120" t="s">
        <v>310</v>
      </c>
      <c r="D17" s="120"/>
      <c r="E17" s="120"/>
      <c r="F17" s="120"/>
      <c r="G17" s="120"/>
      <c r="H17" s="120"/>
      <c r="S17" s="53" t="s">
        <v>178</v>
      </c>
      <c r="T17" s="53" t="s">
        <v>186</v>
      </c>
      <c r="U17" s="53" t="s">
        <v>167</v>
      </c>
      <c r="V17" s="53" t="s">
        <v>193</v>
      </c>
      <c r="W17" s="53" t="s">
        <v>210</v>
      </c>
      <c r="X17"/>
      <c r="Y17"/>
      <c r="Z17"/>
    </row>
    <row r="18" spans="1:26" ht="15.75" customHeight="1" x14ac:dyDescent="0.3">
      <c r="A18" s="120" t="s">
        <v>157</v>
      </c>
      <c r="B18" s="120"/>
      <c r="C18" s="120" t="s">
        <v>324</v>
      </c>
      <c r="D18" s="120"/>
      <c r="E18" s="120"/>
      <c r="F18" s="120"/>
      <c r="G18" s="120"/>
      <c r="H18" s="120"/>
      <c r="S18" s="53" t="s">
        <v>179</v>
      </c>
      <c r="T18" s="53" t="s">
        <v>184</v>
      </c>
      <c r="U18" s="53"/>
      <c r="V18" s="53" t="s">
        <v>194</v>
      </c>
      <c r="W18" s="53" t="s">
        <v>211</v>
      </c>
      <c r="X18"/>
      <c r="Y18"/>
      <c r="Z18"/>
    </row>
    <row r="19" spans="1:26" ht="15.75" customHeight="1" x14ac:dyDescent="0.3">
      <c r="A19" s="120" t="s">
        <v>10</v>
      </c>
      <c r="B19" s="120"/>
      <c r="C19" s="124" t="s">
        <v>301</v>
      </c>
      <c r="D19" s="124"/>
      <c r="E19" s="120" t="s">
        <v>339</v>
      </c>
      <c r="F19" s="120"/>
      <c r="G19" s="120" t="s">
        <v>325</v>
      </c>
      <c r="H19" s="120"/>
      <c r="S19" s="53" t="s">
        <v>180</v>
      </c>
      <c r="T19" s="53" t="s">
        <v>187</v>
      </c>
      <c r="U19" s="53"/>
      <c r="V19" s="53" t="s">
        <v>195</v>
      </c>
      <c r="W19" s="53" t="s">
        <v>212</v>
      </c>
      <c r="X19"/>
      <c r="Y19"/>
      <c r="Z19"/>
    </row>
    <row r="20" spans="1:26" x14ac:dyDescent="0.3">
      <c r="A20" s="124" t="s">
        <v>12</v>
      </c>
      <c r="B20" s="124"/>
      <c r="C20" s="120" t="s">
        <v>302</v>
      </c>
      <c r="D20" s="120"/>
      <c r="E20" s="120" t="s">
        <v>11</v>
      </c>
      <c r="F20" s="120"/>
      <c r="G20" s="163" t="s">
        <v>184</v>
      </c>
      <c r="H20" s="163"/>
      <c r="S20" s="53" t="s">
        <v>181</v>
      </c>
      <c r="T20" s="53" t="s">
        <v>188</v>
      </c>
      <c r="U20" s="53"/>
      <c r="V20" s="53" t="s">
        <v>196</v>
      </c>
      <c r="W20" s="53" t="s">
        <v>213</v>
      </c>
      <c r="X20"/>
      <c r="Y20"/>
      <c r="Z20"/>
    </row>
    <row r="21" spans="1:26" x14ac:dyDescent="0.3">
      <c r="A21" s="124" t="s">
        <v>70</v>
      </c>
      <c r="B21" s="124"/>
      <c r="C21" s="120" t="s">
        <v>184</v>
      </c>
      <c r="D21" s="120"/>
      <c r="E21" s="120" t="s">
        <v>13</v>
      </c>
      <c r="F21" s="120"/>
      <c r="G21" s="120">
        <v>401404</v>
      </c>
      <c r="H21" s="120"/>
      <c r="S21" s="53"/>
      <c r="T21" s="53"/>
      <c r="U21" s="53"/>
      <c r="V21" s="53" t="s">
        <v>197</v>
      </c>
      <c r="W21" s="53" t="s">
        <v>214</v>
      </c>
      <c r="X21"/>
      <c r="Y21"/>
      <c r="Z21"/>
    </row>
    <row r="22" spans="1:26" ht="32.25" customHeight="1" x14ac:dyDescent="0.3">
      <c r="A22" s="124" t="s">
        <v>116</v>
      </c>
      <c r="B22" s="124"/>
      <c r="C22" s="120" t="s">
        <v>305</v>
      </c>
      <c r="D22" s="120"/>
      <c r="E22" s="120" t="s">
        <v>14</v>
      </c>
      <c r="F22" s="120"/>
      <c r="G22" s="120" t="s">
        <v>306</v>
      </c>
      <c r="H22" s="120"/>
      <c r="S22" s="53"/>
      <c r="T22" s="53"/>
      <c r="U22" s="53"/>
      <c r="V22" s="53" t="s">
        <v>198</v>
      </c>
      <c r="W22" s="53" t="s">
        <v>215</v>
      </c>
      <c r="X22"/>
      <c r="Y22"/>
      <c r="Z22"/>
    </row>
    <row r="23" spans="1:26" ht="15" customHeight="1" x14ac:dyDescent="0.3">
      <c r="A23" s="162" t="s">
        <v>72</v>
      </c>
      <c r="B23" s="162"/>
      <c r="C23" s="162"/>
      <c r="D23" s="162"/>
      <c r="E23" s="124" t="s">
        <v>15</v>
      </c>
      <c r="F23" s="124"/>
      <c r="G23" s="124"/>
      <c r="H23" s="124"/>
      <c r="S23" s="53"/>
      <c r="T23" s="53"/>
      <c r="U23" s="53"/>
      <c r="V23" s="53" t="s">
        <v>199</v>
      </c>
      <c r="W23" s="53" t="s">
        <v>216</v>
      </c>
      <c r="X23"/>
      <c r="Y23"/>
      <c r="Z23"/>
    </row>
    <row r="24" spans="1:26" ht="18.75" customHeight="1" x14ac:dyDescent="0.3">
      <c r="A24" s="162"/>
      <c r="B24" s="162"/>
      <c r="C24" s="162"/>
      <c r="D24" s="162"/>
      <c r="E24" s="124"/>
      <c r="F24" s="124"/>
      <c r="G24" s="124"/>
      <c r="H24" s="124"/>
      <c r="S24" s="53"/>
      <c r="T24" s="53"/>
      <c r="U24" s="53"/>
      <c r="V24" s="53" t="s">
        <v>200</v>
      </c>
      <c r="W24" s="53" t="s">
        <v>217</v>
      </c>
      <c r="X24"/>
      <c r="Y24"/>
      <c r="Z24"/>
    </row>
    <row r="25" spans="1:26" ht="15" customHeight="1" x14ac:dyDescent="0.3">
      <c r="A25" s="162" t="s">
        <v>16</v>
      </c>
      <c r="B25" s="162"/>
      <c r="C25" s="162"/>
      <c r="D25" s="162"/>
      <c r="E25" s="120" t="s">
        <v>17</v>
      </c>
      <c r="F25" s="120"/>
      <c r="G25" s="120"/>
      <c r="H25" s="120"/>
      <c r="S25" s="53"/>
      <c r="T25" s="53"/>
      <c r="U25" s="53"/>
      <c r="V25" s="53" t="s">
        <v>201</v>
      </c>
      <c r="W25" s="53" t="s">
        <v>218</v>
      </c>
      <c r="X25"/>
      <c r="Y25"/>
      <c r="Z25"/>
    </row>
    <row r="26" spans="1:26" ht="15" customHeight="1" x14ac:dyDescent="0.3">
      <c r="A26" s="82" t="s">
        <v>18</v>
      </c>
      <c r="B26" s="82"/>
      <c r="C26" s="82"/>
      <c r="D26" s="82"/>
      <c r="E26" s="120" t="str">
        <f>IF(AND(G20="Mumbai"),"Upper Class","Middle Class")</f>
        <v>Middle Class</v>
      </c>
      <c r="F26" s="120"/>
      <c r="G26" s="120"/>
      <c r="H26" s="120"/>
      <c r="S26" s="53"/>
      <c r="T26" s="53"/>
      <c r="U26" s="53"/>
      <c r="V26" s="53" t="s">
        <v>202</v>
      </c>
      <c r="W26" s="53" t="s">
        <v>219</v>
      </c>
      <c r="X26"/>
      <c r="Y26"/>
      <c r="Z26"/>
    </row>
    <row r="27" spans="1:26" x14ac:dyDescent="0.3">
      <c r="A27" s="82" t="s">
        <v>19</v>
      </c>
      <c r="B27" s="82"/>
      <c r="C27" s="82"/>
      <c r="D27" s="82"/>
      <c r="E27" s="120" t="s">
        <v>20</v>
      </c>
      <c r="F27" s="120"/>
      <c r="G27" s="120"/>
      <c r="H27" s="120"/>
      <c r="S27" s="53"/>
      <c r="T27" s="53"/>
      <c r="U27" s="53"/>
      <c r="V27" s="53" t="s">
        <v>203</v>
      </c>
      <c r="W27" s="53" t="s">
        <v>220</v>
      </c>
      <c r="X27"/>
      <c r="Y27"/>
      <c r="Z27"/>
    </row>
    <row r="28" spans="1:26" ht="15.75" customHeight="1" x14ac:dyDescent="0.3">
      <c r="A28" s="82" t="s">
        <v>21</v>
      </c>
      <c r="B28" s="82"/>
      <c r="C28" s="82"/>
      <c r="D28" s="82"/>
      <c r="E28" s="120" t="str">
        <f>IF(AND(G20="Mumbai"),"Developed","Developing")</f>
        <v>Developing</v>
      </c>
      <c r="F28" s="120"/>
      <c r="G28" s="120"/>
      <c r="H28" s="120"/>
    </row>
    <row r="29" spans="1:26" x14ac:dyDescent="0.3">
      <c r="A29" s="82" t="s">
        <v>22</v>
      </c>
      <c r="B29" s="82"/>
      <c r="C29" s="82"/>
      <c r="D29" s="82"/>
      <c r="E29" s="120" t="s">
        <v>23</v>
      </c>
      <c r="F29" s="120"/>
      <c r="G29" s="120"/>
      <c r="H29" s="120"/>
    </row>
    <row r="30" spans="1:26" ht="15.75" customHeight="1" x14ac:dyDescent="0.3">
      <c r="A30" s="82" t="s">
        <v>77</v>
      </c>
      <c r="B30" s="82"/>
      <c r="C30" s="82"/>
      <c r="D30" s="82"/>
      <c r="E30" s="120" t="s">
        <v>78</v>
      </c>
      <c r="F30" s="120"/>
      <c r="G30" s="120"/>
      <c r="H30" s="120"/>
    </row>
    <row r="31" spans="1:26" ht="15" customHeight="1" x14ac:dyDescent="0.3">
      <c r="A31" s="82" t="s">
        <v>30</v>
      </c>
      <c r="B31" s="82"/>
      <c r="C31" s="82"/>
      <c r="D31" s="82"/>
      <c r="E31" s="12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0"/>
      <c r="G31" s="120"/>
      <c r="H31" s="120"/>
    </row>
    <row r="32" spans="1:26" ht="15.75" customHeight="1" x14ac:dyDescent="0.3">
      <c r="A32" s="82" t="s">
        <v>89</v>
      </c>
      <c r="B32" s="82"/>
      <c r="C32" s="82"/>
      <c r="D32" s="82"/>
      <c r="E32" s="120" t="s">
        <v>31</v>
      </c>
      <c r="F32" s="120"/>
      <c r="G32" s="120"/>
      <c r="H32" s="120"/>
    </row>
    <row r="33" spans="1:19" s="22" customFormat="1" x14ac:dyDescent="0.3">
      <c r="A33" s="161" t="s">
        <v>90</v>
      </c>
      <c r="B33" s="161"/>
      <c r="C33" s="160" t="s">
        <v>168</v>
      </c>
      <c r="D33" s="160"/>
      <c r="E33" s="160"/>
      <c r="F33" s="160" t="s">
        <v>29</v>
      </c>
      <c r="G33" s="160"/>
      <c r="H33" s="160"/>
      <c r="S33" s="22" t="e">
        <f ca="1">OFFSET($S$13,1,MATCH($G20,$S$13:$W$13,0)-1,15,1)</f>
        <v>#VALUE!</v>
      </c>
    </row>
    <row r="34" spans="1:19" s="22" customFormat="1" x14ac:dyDescent="0.3">
      <c r="A34" s="149" t="s">
        <v>24</v>
      </c>
      <c r="B34" s="149" t="s">
        <v>28</v>
      </c>
      <c r="C34" s="150" t="s">
        <v>331</v>
      </c>
      <c r="D34" s="150"/>
      <c r="E34" s="150"/>
      <c r="F34" s="150" t="s">
        <v>328</v>
      </c>
      <c r="G34" s="150"/>
      <c r="H34" s="150"/>
    </row>
    <row r="35" spans="1:19" x14ac:dyDescent="0.3">
      <c r="A35" s="149" t="s">
        <v>25</v>
      </c>
      <c r="B35" s="149" t="s">
        <v>28</v>
      </c>
      <c r="C35" s="150" t="s">
        <v>330</v>
      </c>
      <c r="D35" s="150"/>
      <c r="E35" s="150"/>
      <c r="F35" s="150" t="s">
        <v>301</v>
      </c>
      <c r="G35" s="150"/>
      <c r="H35" s="150"/>
    </row>
    <row r="36" spans="1:19" s="22" customFormat="1" x14ac:dyDescent="0.3">
      <c r="A36" s="149" t="s">
        <v>27</v>
      </c>
      <c r="B36" s="149" t="s">
        <v>28</v>
      </c>
      <c r="C36" s="150" t="s">
        <v>331</v>
      </c>
      <c r="D36" s="150"/>
      <c r="E36" s="150"/>
      <c r="F36" s="150" t="s">
        <v>305</v>
      </c>
      <c r="G36" s="150"/>
      <c r="H36" s="150"/>
    </row>
    <row r="37" spans="1:19" x14ac:dyDescent="0.3">
      <c r="A37" s="149" t="s">
        <v>26</v>
      </c>
      <c r="B37" s="149" t="s">
        <v>28</v>
      </c>
      <c r="C37" s="150" t="s">
        <v>331</v>
      </c>
      <c r="D37" s="150"/>
      <c r="E37" s="150"/>
      <c r="F37" s="150" t="s">
        <v>329</v>
      </c>
      <c r="G37" s="150"/>
      <c r="H37" s="150"/>
    </row>
    <row r="38" spans="1:19" x14ac:dyDescent="0.3">
      <c r="A38" s="82" t="s">
        <v>275</v>
      </c>
      <c r="B38" s="82"/>
      <c r="C38" s="82"/>
      <c r="D38" s="82"/>
      <c r="E38" s="82"/>
      <c r="F38" s="82"/>
      <c r="G38" s="82"/>
      <c r="H38" s="82"/>
    </row>
    <row r="39" spans="1:19" ht="15.75" customHeight="1" x14ac:dyDescent="0.3">
      <c r="A39" s="82" t="s">
        <v>160</v>
      </c>
      <c r="B39" s="82"/>
      <c r="C39" s="140" t="s">
        <v>303</v>
      </c>
      <c r="D39" s="140"/>
      <c r="E39" s="140"/>
      <c r="F39" s="140"/>
      <c r="G39" s="140"/>
      <c r="H39" s="140"/>
    </row>
    <row r="40" spans="1:19" x14ac:dyDescent="0.3">
      <c r="A40" s="82" t="s">
        <v>156</v>
      </c>
      <c r="B40" s="82"/>
      <c r="C40" s="119" t="s">
        <v>304</v>
      </c>
      <c r="D40" s="120"/>
      <c r="E40" s="120"/>
      <c r="F40" s="120"/>
      <c r="G40" s="120"/>
      <c r="H40" s="120"/>
    </row>
    <row r="41" spans="1:19" x14ac:dyDescent="0.3">
      <c r="A41" s="140" t="s">
        <v>32</v>
      </c>
      <c r="B41" s="140"/>
      <c r="C41" s="140"/>
      <c r="D41" s="140"/>
      <c r="E41" s="140"/>
      <c r="F41" s="140"/>
      <c r="G41" s="140"/>
      <c r="H41" s="140"/>
    </row>
    <row r="42" spans="1:19" x14ac:dyDescent="0.3">
      <c r="A42" s="82" t="s">
        <v>33</v>
      </c>
      <c r="B42" s="82"/>
      <c r="C42" s="82"/>
      <c r="D42" s="82"/>
      <c r="E42" s="151">
        <v>3606.67</v>
      </c>
      <c r="F42" s="151"/>
      <c r="G42" s="151"/>
      <c r="H42" s="151"/>
    </row>
    <row r="43" spans="1:19" x14ac:dyDescent="0.3">
      <c r="A43" s="82" t="s">
        <v>34</v>
      </c>
      <c r="B43" s="82"/>
      <c r="C43" s="82"/>
      <c r="D43" s="82"/>
      <c r="E43" s="154">
        <v>1.1000000000000001</v>
      </c>
      <c r="F43" s="154"/>
      <c r="G43" s="154"/>
      <c r="H43" s="154"/>
    </row>
    <row r="44" spans="1:19" x14ac:dyDescent="0.3">
      <c r="A44" s="82" t="s">
        <v>35</v>
      </c>
      <c r="B44" s="82"/>
      <c r="C44" s="82"/>
      <c r="D44" s="82"/>
      <c r="E44" s="154">
        <f>E46/E42-E43</f>
        <v>0.24343036651537298</v>
      </c>
      <c r="F44" s="154"/>
      <c r="G44" s="154"/>
      <c r="H44" s="154"/>
    </row>
    <row r="45" spans="1:19" x14ac:dyDescent="0.3">
      <c r="A45" s="124" t="s">
        <v>36</v>
      </c>
      <c r="B45" s="124"/>
      <c r="C45" s="124"/>
      <c r="D45" s="124"/>
      <c r="E45" s="155">
        <f>E43+E44</f>
        <v>1.3434303665153731</v>
      </c>
      <c r="F45" s="155"/>
      <c r="G45" s="155"/>
      <c r="H45" s="155"/>
      <c r="I45" s="63">
        <f>E46/E42</f>
        <v>1.3434303665153731</v>
      </c>
    </row>
    <row r="46" spans="1:19" x14ac:dyDescent="0.3">
      <c r="A46" s="124" t="s">
        <v>88</v>
      </c>
      <c r="B46" s="124"/>
      <c r="C46" s="124"/>
      <c r="D46" s="124"/>
      <c r="E46" s="156">
        <v>4845.3100000000004</v>
      </c>
      <c r="F46" s="156"/>
      <c r="G46" s="156"/>
      <c r="H46" s="156"/>
    </row>
    <row r="47" spans="1:19" x14ac:dyDescent="0.3">
      <c r="A47" s="124" t="s">
        <v>37</v>
      </c>
      <c r="B47" s="124"/>
      <c r="C47" s="124"/>
      <c r="D47" s="124"/>
      <c r="E47" s="124" t="s">
        <v>327</v>
      </c>
      <c r="F47" s="124"/>
      <c r="G47" s="124"/>
      <c r="H47" s="124"/>
    </row>
    <row r="48" spans="1:19" x14ac:dyDescent="0.3">
      <c r="A48" s="117" t="s">
        <v>38</v>
      </c>
      <c r="B48" s="117"/>
      <c r="C48" s="117"/>
      <c r="D48" s="117"/>
      <c r="E48" s="117"/>
      <c r="F48" s="117"/>
      <c r="G48" s="117"/>
      <c r="H48" s="117"/>
    </row>
    <row r="49" spans="1:24" ht="33.75" customHeight="1" x14ac:dyDescent="0.3">
      <c r="A49" s="100" t="s">
        <v>145</v>
      </c>
      <c r="B49" s="101"/>
      <c r="C49" s="102" t="s">
        <v>307</v>
      </c>
      <c r="D49" s="103"/>
      <c r="E49" s="103"/>
      <c r="F49" s="103"/>
      <c r="G49" s="103"/>
      <c r="H49" s="104"/>
      <c r="R49" t="s">
        <v>248</v>
      </c>
      <c r="S49" t="s">
        <v>167</v>
      </c>
      <c r="T49" t="s">
        <v>174</v>
      </c>
      <c r="U49" t="s">
        <v>189</v>
      </c>
      <c r="V49" t="s">
        <v>184</v>
      </c>
    </row>
    <row r="50" spans="1:24" ht="15.75" customHeight="1" x14ac:dyDescent="0.3">
      <c r="A50" s="100" t="s">
        <v>39</v>
      </c>
      <c r="B50" s="101"/>
      <c r="C50" s="100" t="s">
        <v>308</v>
      </c>
      <c r="D50" s="199"/>
      <c r="E50" s="101"/>
      <c r="F50" s="64" t="s">
        <v>40</v>
      </c>
      <c r="G50" s="200">
        <v>45161</v>
      </c>
      <c r="H50" s="101"/>
      <c r="R50"/>
      <c r="S50" t="s">
        <v>249</v>
      </c>
      <c r="T50" t="s">
        <v>254</v>
      </c>
      <c r="U50" t="s">
        <v>265</v>
      </c>
      <c r="V50" t="s">
        <v>270</v>
      </c>
    </row>
    <row r="51" spans="1:24" x14ac:dyDescent="0.3">
      <c r="A51" s="157" t="s">
        <v>41</v>
      </c>
      <c r="B51" s="159"/>
      <c r="C51" s="157" t="str">
        <f>C50</f>
        <v>CBPPE/B/2023/APL/01007</v>
      </c>
      <c r="D51" s="158"/>
      <c r="E51" s="159"/>
      <c r="F51" s="18" t="s">
        <v>40</v>
      </c>
      <c r="G51" s="201">
        <v>45161</v>
      </c>
      <c r="H51" s="159"/>
      <c r="R51"/>
      <c r="S51" t="s">
        <v>250</v>
      </c>
      <c r="T51" t="s">
        <v>255</v>
      </c>
      <c r="U51" t="s">
        <v>263</v>
      </c>
      <c r="V51" t="s">
        <v>271</v>
      </c>
    </row>
    <row r="52" spans="1:24" s="23" customFormat="1" ht="15.75" customHeight="1" x14ac:dyDescent="0.3">
      <c r="A52" s="209" t="s">
        <v>149</v>
      </c>
      <c r="B52" s="210"/>
      <c r="C52" s="157" t="str">
        <f>C51</f>
        <v>CBPPE/B/2023/APL/01007</v>
      </c>
      <c r="D52" s="158"/>
      <c r="E52" s="159"/>
      <c r="F52" s="18" t="s">
        <v>40</v>
      </c>
      <c r="G52" s="201">
        <v>45161</v>
      </c>
      <c r="H52" s="159"/>
      <c r="R52"/>
      <c r="S52" t="s">
        <v>251</v>
      </c>
      <c r="T52" t="s">
        <v>256</v>
      </c>
      <c r="U52" t="s">
        <v>253</v>
      </c>
      <c r="V52" t="s">
        <v>272</v>
      </c>
    </row>
    <row r="53" spans="1:24" s="23" customFormat="1" ht="17.399999999999999" customHeight="1" x14ac:dyDescent="0.3">
      <c r="A53" s="211"/>
      <c r="B53" s="212"/>
      <c r="C53" s="157" t="s">
        <v>309</v>
      </c>
      <c r="D53" s="158"/>
      <c r="E53" s="158"/>
      <c r="F53" s="158"/>
      <c r="G53" s="158"/>
      <c r="H53" s="159"/>
      <c r="R53"/>
      <c r="S53" t="s">
        <v>252</v>
      </c>
      <c r="T53" t="s">
        <v>259</v>
      </c>
      <c r="U53" t="s">
        <v>266</v>
      </c>
      <c r="V53" s="23" t="s">
        <v>307</v>
      </c>
    </row>
    <row r="54" spans="1:24" s="23" customFormat="1" hidden="1" x14ac:dyDescent="0.3">
      <c r="A54" s="205" t="s">
        <v>276</v>
      </c>
      <c r="B54" s="206"/>
      <c r="C54" s="157" t="str">
        <f>C53</f>
        <v>Wing A = Gr. + 1st to 7th Floor
Wing B = Gr. + 1st to 7th Floor
Wing C = Gr. + 1st to 7th Floor</v>
      </c>
      <c r="D54" s="158"/>
      <c r="E54" s="159"/>
      <c r="F54" s="18" t="s">
        <v>40</v>
      </c>
      <c r="G54" s="157"/>
      <c r="H54" s="159"/>
      <c r="R54"/>
      <c r="S54" t="s">
        <v>251</v>
      </c>
      <c r="T54" t="s">
        <v>256</v>
      </c>
      <c r="U54" t="s">
        <v>253</v>
      </c>
      <c r="V54" t="s">
        <v>272</v>
      </c>
    </row>
    <row r="55" spans="1:24" s="23" customFormat="1" ht="32.25" hidden="1" customHeight="1" x14ac:dyDescent="0.3">
      <c r="A55" s="207"/>
      <c r="B55" s="208"/>
      <c r="C55" s="137"/>
      <c r="D55" s="138"/>
      <c r="E55" s="138"/>
      <c r="F55" s="138"/>
      <c r="G55" s="138"/>
      <c r="H55" s="139"/>
      <c r="R55"/>
      <c r="S55" t="s">
        <v>253</v>
      </c>
      <c r="T55" t="s">
        <v>257</v>
      </c>
      <c r="U55" t="s">
        <v>267</v>
      </c>
      <c r="V55" s="21"/>
      <c r="W55" s="21"/>
      <c r="X55" s="21"/>
    </row>
    <row r="56" spans="1:24" s="23" customFormat="1" ht="34.5" hidden="1" customHeight="1" x14ac:dyDescent="0.3">
      <c r="A56" s="205" t="s">
        <v>277</v>
      </c>
      <c r="B56" s="206"/>
      <c r="C56" s="157">
        <f>C55</f>
        <v>0</v>
      </c>
      <c r="D56" s="158"/>
      <c r="E56" s="159"/>
      <c r="F56" s="18" t="s">
        <v>40</v>
      </c>
      <c r="G56" s="157">
        <f>G55</f>
        <v>0</v>
      </c>
      <c r="H56" s="159"/>
      <c r="R56"/>
      <c r="S56" s="21"/>
      <c r="T56" t="s">
        <v>258</v>
      </c>
      <c r="U56" t="s">
        <v>268</v>
      </c>
      <c r="V56" s="21"/>
      <c r="W56" s="21"/>
      <c r="X56" s="21"/>
    </row>
    <row r="57" spans="1:24" s="23" customFormat="1" ht="41.25" hidden="1" customHeight="1" x14ac:dyDescent="0.3">
      <c r="A57" s="207"/>
      <c r="B57" s="208"/>
      <c r="C57" s="157"/>
      <c r="D57" s="158"/>
      <c r="E57" s="158"/>
      <c r="F57" s="158"/>
      <c r="G57" s="158"/>
      <c r="H57" s="159"/>
      <c r="R57"/>
      <c r="S57" s="21"/>
      <c r="T57" t="s">
        <v>260</v>
      </c>
      <c r="U57" t="s">
        <v>269</v>
      </c>
      <c r="V57" s="21"/>
      <c r="W57" s="21"/>
      <c r="X57" s="21"/>
    </row>
    <row r="58" spans="1:24" s="23" customFormat="1" ht="15.75" hidden="1" customHeight="1" x14ac:dyDescent="0.3">
      <c r="A58" s="205" t="s">
        <v>278</v>
      </c>
      <c r="B58" s="206"/>
      <c r="C58" s="157">
        <f>C57</f>
        <v>0</v>
      </c>
      <c r="D58" s="158"/>
      <c r="E58" s="159"/>
      <c r="F58" s="18" t="s">
        <v>40</v>
      </c>
      <c r="G58" s="157">
        <f>G57</f>
        <v>0</v>
      </c>
      <c r="H58" s="159"/>
      <c r="R58"/>
      <c r="S58" s="21"/>
      <c r="T58" t="s">
        <v>261</v>
      </c>
      <c r="U58" s="21" t="s">
        <v>292</v>
      </c>
      <c r="V58" s="21"/>
      <c r="W58" s="21"/>
      <c r="X58" s="21"/>
    </row>
    <row r="59" spans="1:24" s="23" customFormat="1" ht="33.75" hidden="1" customHeight="1" x14ac:dyDescent="0.3">
      <c r="A59" s="207"/>
      <c r="B59" s="208"/>
      <c r="C59" s="157"/>
      <c r="D59" s="158"/>
      <c r="E59" s="158"/>
      <c r="F59" s="158"/>
      <c r="G59" s="158"/>
      <c r="H59" s="159"/>
      <c r="R59"/>
      <c r="S59" s="21"/>
      <c r="T59" t="s">
        <v>262</v>
      </c>
      <c r="U59" s="21"/>
      <c r="V59" s="21"/>
      <c r="W59" s="21"/>
      <c r="X59" s="21"/>
    </row>
    <row r="60" spans="1:24" hidden="1" x14ac:dyDescent="0.3">
      <c r="A60" s="218" t="s">
        <v>42</v>
      </c>
      <c r="B60" s="219"/>
      <c r="C60" s="218" t="s">
        <v>102</v>
      </c>
      <c r="D60" s="220"/>
      <c r="E60" s="219"/>
      <c r="F60" s="45" t="s">
        <v>40</v>
      </c>
      <c r="G60" s="203" t="s">
        <v>28</v>
      </c>
      <c r="H60" s="204"/>
      <c r="R60"/>
      <c r="T60" t="s">
        <v>264</v>
      </c>
    </row>
    <row r="61" spans="1:24" x14ac:dyDescent="0.3">
      <c r="A61" s="202" t="s">
        <v>44</v>
      </c>
      <c r="B61" s="202"/>
      <c r="C61" s="202"/>
      <c r="D61" s="202"/>
      <c r="E61" s="202"/>
      <c r="F61" s="202"/>
      <c r="G61" s="202"/>
      <c r="H61" s="202"/>
      <c r="T61" t="s">
        <v>273</v>
      </c>
    </row>
    <row r="62" spans="1:24" x14ac:dyDescent="0.3">
      <c r="A62" s="162" t="s">
        <v>87</v>
      </c>
      <c r="B62" s="162"/>
      <c r="C62" s="162"/>
      <c r="D62" s="82">
        <v>1865.62</v>
      </c>
      <c r="E62" s="82"/>
      <c r="F62" s="82"/>
      <c r="G62" s="82"/>
      <c r="H62" s="82"/>
      <c r="R62"/>
    </row>
    <row r="63" spans="1:24" x14ac:dyDescent="0.3">
      <c r="A63" s="120" t="s">
        <v>45</v>
      </c>
      <c r="B63" s="124"/>
      <c r="C63" s="124"/>
      <c r="D63" s="124" t="s">
        <v>322</v>
      </c>
      <c r="E63" s="124"/>
      <c r="F63" s="124"/>
      <c r="G63" s="124"/>
      <c r="H63" s="124"/>
      <c r="I63" s="24"/>
      <c r="R63"/>
    </row>
    <row r="64" spans="1:24" ht="16.5" customHeight="1" x14ac:dyDescent="0.3">
      <c r="A64" s="127" t="s">
        <v>46</v>
      </c>
      <c r="B64" s="128"/>
      <c r="C64" s="129"/>
      <c r="D64" s="125" t="s">
        <v>309</v>
      </c>
      <c r="E64" s="126"/>
      <c r="F64" s="126"/>
      <c r="G64" s="126"/>
      <c r="H64" s="126"/>
      <c r="R64"/>
    </row>
    <row r="65" spans="1:19" ht="15.75" customHeight="1" x14ac:dyDescent="0.3">
      <c r="A65" s="127" t="s">
        <v>85</v>
      </c>
      <c r="B65" s="128"/>
      <c r="C65" s="128"/>
      <c r="D65" s="191" t="s">
        <v>311</v>
      </c>
      <c r="E65" s="192"/>
      <c r="F65" s="192"/>
      <c r="G65" s="192"/>
      <c r="H65" s="193"/>
      <c r="R65"/>
    </row>
    <row r="66" spans="1:19" ht="15.75" hidden="1" customHeight="1" x14ac:dyDescent="0.3">
      <c r="A66" s="187"/>
      <c r="B66" s="188"/>
      <c r="C66" s="188"/>
      <c r="D66" s="194" t="s">
        <v>312</v>
      </c>
      <c r="E66" s="195"/>
      <c r="F66" s="195"/>
      <c r="G66" s="195"/>
      <c r="H66" s="196"/>
      <c r="R66"/>
    </row>
    <row r="67" spans="1:19" ht="15.75" hidden="1" customHeight="1" x14ac:dyDescent="0.3">
      <c r="A67" s="189"/>
      <c r="B67" s="190"/>
      <c r="C67" s="190"/>
      <c r="D67" s="213" t="s">
        <v>313</v>
      </c>
      <c r="E67" s="214"/>
      <c r="F67" s="214"/>
      <c r="G67" s="214"/>
      <c r="H67" s="215"/>
      <c r="S67"/>
    </row>
    <row r="68" spans="1:19" ht="15.75" customHeight="1" x14ac:dyDescent="0.3">
      <c r="A68" s="124" t="s">
        <v>43</v>
      </c>
      <c r="B68" s="124"/>
      <c r="C68" s="124"/>
      <c r="D68" s="120" t="s">
        <v>314</v>
      </c>
      <c r="E68" s="120"/>
      <c r="F68" s="120"/>
      <c r="G68" s="120"/>
      <c r="H68" s="120"/>
      <c r="J68" s="25"/>
      <c r="K68" s="24"/>
      <c r="N68" s="24"/>
      <c r="S68"/>
    </row>
    <row r="69" spans="1:19" ht="15.75" customHeight="1" x14ac:dyDescent="0.3">
      <c r="A69" s="124" t="s">
        <v>83</v>
      </c>
      <c r="B69" s="124"/>
      <c r="C69" s="124"/>
      <c r="D69" s="153" t="str">
        <f>(IF(G60="NA","60 Years After Completion",IF(G60&lt;&gt;"NA",""&amp;60-ROUNDDOWN((E3-G60)/360,0)&amp;" Years"," ")))</f>
        <v>60 Years After Completion</v>
      </c>
      <c r="E69" s="153"/>
      <c r="F69" s="153"/>
      <c r="G69" s="153"/>
      <c r="H69" s="153"/>
      <c r="N69" s="24"/>
      <c r="S69"/>
    </row>
    <row r="70" spans="1:19" ht="15.75" customHeight="1" x14ac:dyDescent="0.3">
      <c r="A70" s="82" t="s">
        <v>84</v>
      </c>
      <c r="B70" s="82"/>
      <c r="C70" s="82"/>
      <c r="D70" s="162" t="s">
        <v>23</v>
      </c>
      <c r="E70" s="162"/>
      <c r="F70" s="162"/>
      <c r="G70" s="162"/>
      <c r="H70" s="162"/>
      <c r="J70" s="26"/>
      <c r="K70" s="26"/>
      <c r="S70"/>
    </row>
    <row r="71" spans="1:19" ht="38.4" customHeight="1" x14ac:dyDescent="0.3">
      <c r="A71" s="124" t="s">
        <v>335</v>
      </c>
      <c r="B71" s="124"/>
      <c r="C71" s="124"/>
      <c r="D71" s="120" t="s">
        <v>326</v>
      </c>
      <c r="E71" s="162"/>
      <c r="F71" s="162"/>
      <c r="G71" s="162"/>
      <c r="H71" s="162"/>
      <c r="S71"/>
    </row>
    <row r="72" spans="1:19" x14ac:dyDescent="0.3">
      <c r="A72" s="162" t="s">
        <v>142</v>
      </c>
      <c r="B72" s="162"/>
      <c r="C72" s="162"/>
      <c r="D72" s="162" t="s">
        <v>28</v>
      </c>
      <c r="E72" s="162"/>
      <c r="F72" s="162"/>
      <c r="G72" s="162"/>
      <c r="H72" s="162"/>
      <c r="I72" s="27"/>
      <c r="J72" s="27"/>
      <c r="K72" s="27"/>
      <c r="L72" s="27"/>
      <c r="M72" s="27"/>
      <c r="N72" s="27"/>
    </row>
    <row r="73" spans="1:19" ht="15.75" customHeight="1" x14ac:dyDescent="0.3">
      <c r="A73" s="221" t="s">
        <v>82</v>
      </c>
      <c r="B73" s="221"/>
      <c r="C73" s="221"/>
      <c r="D73" s="125" t="str">
        <f ca="1">(IF(G79&gt;95%,"Nothing",IF(G79&gt;0%,"Cement, Aggregate, Steel, etc",IF(G79=0%,"Work not yet Started"))))</f>
        <v>Cement, Aggregate, Steel, etc</v>
      </c>
      <c r="E73" s="125"/>
      <c r="F73" s="125"/>
      <c r="G73" s="125"/>
      <c r="H73" s="125"/>
      <c r="J73" s="26"/>
      <c r="S73"/>
    </row>
    <row r="74" spans="1:19" ht="33.75" customHeight="1" thickBot="1" x14ac:dyDescent="0.35">
      <c r="A74" s="125" t="s">
        <v>115</v>
      </c>
      <c r="B74" s="125"/>
      <c r="C74" s="125"/>
      <c r="D74" s="125" t="str">
        <f ca="1">(IF(D73="Nothing","Yes",IF(D73="Cement, Aggregate, Steel, etc","Under Construction",IF(D73="Work not yet Started","Work not yet Started"))))</f>
        <v>Under Construction</v>
      </c>
      <c r="E74" s="125"/>
      <c r="F74" s="125" t="str">
        <f ca="1">(IF(D73="Nothing","Yes",IF(D73="Cement, Aggregate, Steel, etc","Under Construction",IF(D73="Work not yet Started","Work not yet Started"))))</f>
        <v>Under Construction</v>
      </c>
      <c r="G74" s="125"/>
      <c r="H74" s="125"/>
      <c r="S74"/>
    </row>
    <row r="75" spans="1:19" ht="15.75" customHeight="1" x14ac:dyDescent="0.3">
      <c r="A75" s="130" t="s">
        <v>134</v>
      </c>
      <c r="B75" s="131"/>
      <c r="C75" s="167" t="str">
        <f>D65</f>
        <v>Wing A = Gr. + 1st to 7th Floor</v>
      </c>
      <c r="D75" s="168"/>
      <c r="E75" s="168"/>
      <c r="F75" s="168"/>
      <c r="G75" s="168"/>
      <c r="H75" s="169"/>
      <c r="I75" s="48" t="str">
        <f ca="1">IF(D88=100%,"All work Completed. Possession granted to the Building.",IF(D87=100%,"All work Completed, Waiting for OC",I76&amp;""&amp;I77&amp;""&amp;J76&amp;""&amp;J75&amp;" "&amp;J77))</f>
        <v>Excavation, Plinth, RCC Slab, Brickwork Completed, Internal Plaster upto 2 Floor, External Plaster upto 5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2 Floor, External Plaster upto 5 Floor</v>
      </c>
      <c r="S75"/>
    </row>
    <row r="76" spans="1:19" x14ac:dyDescent="0.3">
      <c r="A76" s="16" t="s">
        <v>136</v>
      </c>
      <c r="B76" s="46">
        <f>IF(AND(ISNUMBER(SEARCH("1B",C75))),1,IF(AND(ISNUMBER(SEARCH("2B",C75))),2,IF(AND(ISNUMBER(SEARCH("3B",C75))),3,IF(AND(ISNUMBER(SEARCH("4B",C75))),4,IF(ISNUMBER(SEARCH("5B",C75)),5,0)))))</f>
        <v>0</v>
      </c>
      <c r="C76" s="46" t="s">
        <v>69</v>
      </c>
      <c r="D76" s="46">
        <v>1</v>
      </c>
      <c r="E76" s="46" t="s">
        <v>68</v>
      </c>
      <c r="F76" s="46">
        <v>0</v>
      </c>
      <c r="G76" s="46" t="s">
        <v>76</v>
      </c>
      <c r="H76" s="17">
        <f ca="1">--TRIM(RIGHT(SUBSTITUTE(LEFT(C75,_xlfn.AGGREGATE(16,6,FIND({0,1,2,3,4,5,6,7,8,9},C75,ROW(INDIRECT("1:"&amp;LEN(C75)))),1))," ",REPT(" ",LEN(C75))),LEN(C75)))</f>
        <v>7</v>
      </c>
      <c r="I76" s="50" t="str">
        <f ca="1">IF(D79=100%,"Excavation","")&amp;IF(D80=100%,", Plinth","")&amp;IF(D81=100%,", RCC Slab","")&amp;IF(D82=100%,", Brickwork","")&amp;IF(D83=100%,", Internal Plaster","")&amp;IF(D84=100%,", External Plaster","")&amp;IF(D85=100%,", Flooring","")&amp;IF(D86=100%,", Painting","")&amp;IF(D87=100%,", Building common Amenities","")</f>
        <v>Excavation, Plinth, RCC Slab, Brickwork</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3">
      <c r="A77" s="117" t="s">
        <v>86</v>
      </c>
      <c r="B77" s="117"/>
      <c r="C77" s="89" t="str">
        <f ca="1">I75</f>
        <v>Excavation, Plinth, RCC Slab, Brickwork Completed, Internal Plaster upto 2 Floor, External Plaster upto 5 Floor Completed</v>
      </c>
      <c r="D77" s="89"/>
      <c r="E77" s="89"/>
      <c r="F77" s="89"/>
      <c r="G77" s="89"/>
      <c r="H77" s="89"/>
      <c r="I77" s="75" t="str">
        <f ca="1">IF(I76&lt;&gt;""," Completed","")</f>
        <v xml:space="preserve"> Completed</v>
      </c>
      <c r="J77" s="51" t="str">
        <f ca="1">IF(J75&lt;&gt;"","Completed","")</f>
        <v>Completed</v>
      </c>
      <c r="S77"/>
    </row>
    <row r="78" spans="1:19" ht="15.75" customHeight="1" x14ac:dyDescent="0.3">
      <c r="A78" s="118" t="s">
        <v>47</v>
      </c>
      <c r="B78" s="118"/>
      <c r="C78" s="74" t="s">
        <v>133</v>
      </c>
      <c r="D78" s="74" t="s">
        <v>79</v>
      </c>
      <c r="E78" s="118" t="s">
        <v>81</v>
      </c>
      <c r="F78" s="118"/>
      <c r="G78" s="118" t="s">
        <v>80</v>
      </c>
      <c r="H78" s="118"/>
      <c r="I78" s="13" t="s">
        <v>135</v>
      </c>
      <c r="J78" s="28">
        <f ca="1">H76*25%</f>
        <v>1.75</v>
      </c>
      <c r="S78"/>
    </row>
    <row r="79" spans="1:19" x14ac:dyDescent="0.3">
      <c r="A79" s="118" t="s">
        <v>122</v>
      </c>
      <c r="B79" s="118"/>
      <c r="C79" s="74">
        <f ca="1">J80</f>
        <v>7</v>
      </c>
      <c r="D79" s="65">
        <f ca="1">((100/H76)*C79)/100</f>
        <v>1</v>
      </c>
      <c r="E79" s="152">
        <f ca="1">(((C80/H76*10)+(40/(D76+F76+H76)*C81)+(7.5/(H76)*C82)+(7.5/(H76)*C83)+(10/H76*C84)+(10/H76*C85)+(5/H76*C86)+(5/H76*C87)+(5/H76*C88))/100)</f>
        <v>0.66785714285714293</v>
      </c>
      <c r="F79" s="152"/>
      <c r="G79" s="152">
        <f ca="1">((((C79/H76)*20)+((C80/H76)*25)+(30/(H76+F76+D76)*C81)+(5/H76*C82)+(5/H76*C83)+(5/H76*C84)+(5/H76*C85)+(0/H76*C86)+(0/H76*C87)+(5/H76*C88))/100)</f>
        <v>0.85</v>
      </c>
      <c r="H79" s="152"/>
      <c r="I79" s="13" t="s">
        <v>97</v>
      </c>
      <c r="J79" s="29">
        <f ca="1">H76*50%</f>
        <v>3.5</v>
      </c>
    </row>
    <row r="80" spans="1:19" x14ac:dyDescent="0.3">
      <c r="A80" s="118" t="s">
        <v>48</v>
      </c>
      <c r="B80" s="118"/>
      <c r="C80" s="74">
        <f ca="1">J88</f>
        <v>7</v>
      </c>
      <c r="D80" s="65">
        <f ca="1">((100/H76)*C80)/100</f>
        <v>1</v>
      </c>
      <c r="E80" s="152"/>
      <c r="F80" s="152"/>
      <c r="G80" s="152"/>
      <c r="H80" s="152"/>
      <c r="I80" s="13" t="s">
        <v>98</v>
      </c>
      <c r="J80" s="29">
        <f ca="1">H76</f>
        <v>7</v>
      </c>
      <c r="S80"/>
    </row>
    <row r="81" spans="1:19" ht="15.75" customHeight="1" x14ac:dyDescent="0.3">
      <c r="A81" s="118" t="s">
        <v>123</v>
      </c>
      <c r="B81" s="118"/>
      <c r="C81" s="74">
        <v>8</v>
      </c>
      <c r="D81" s="65">
        <f ca="1">((100/(D76+F76+H76))*C81)/100</f>
        <v>1</v>
      </c>
      <c r="E81" s="152"/>
      <c r="F81" s="152"/>
      <c r="G81" s="152"/>
      <c r="H81" s="152"/>
      <c r="I81" s="13" t="s">
        <v>99</v>
      </c>
      <c r="J81" s="30">
        <f ca="1">(IF(B76&gt;1,(H76/(B76+2)),H76/4))</f>
        <v>1.75</v>
      </c>
      <c r="S81"/>
    </row>
    <row r="82" spans="1:19" ht="15.75" customHeight="1" x14ac:dyDescent="0.3">
      <c r="A82" s="118" t="s">
        <v>130</v>
      </c>
      <c r="B82" s="118" t="s">
        <v>124</v>
      </c>
      <c r="C82" s="74">
        <v>7</v>
      </c>
      <c r="D82" s="65">
        <f ca="1">((100/H76)*C82)/100</f>
        <v>1</v>
      </c>
      <c r="E82" s="152"/>
      <c r="F82" s="152"/>
      <c r="G82" s="152"/>
      <c r="H82" s="152"/>
      <c r="I82" s="13" t="s">
        <v>100</v>
      </c>
      <c r="J82" s="30">
        <f ca="1">(IF(B76&gt;1,(H76/(B76+2)+J81),H76/4+J81))</f>
        <v>3.5</v>
      </c>
    </row>
    <row r="83" spans="1:19" ht="15.75" customHeight="1" x14ac:dyDescent="0.3">
      <c r="A83" s="118" t="s">
        <v>131</v>
      </c>
      <c r="B83" s="118" t="s">
        <v>124</v>
      </c>
      <c r="C83" s="74">
        <v>2</v>
      </c>
      <c r="D83" s="65">
        <f ca="1">((100/H76)*C83)/100</f>
        <v>0.28571428571428575</v>
      </c>
      <c r="E83" s="152"/>
      <c r="F83" s="152"/>
      <c r="G83" s="152"/>
      <c r="H83" s="152"/>
      <c r="I83" s="13" t="s">
        <v>140</v>
      </c>
      <c r="J83" s="30">
        <f>(IF(B76&gt;1,(H76/(B76+2)+J82),0))</f>
        <v>0</v>
      </c>
    </row>
    <row r="84" spans="1:19" ht="15" customHeight="1" x14ac:dyDescent="0.3">
      <c r="A84" s="118" t="s">
        <v>129</v>
      </c>
      <c r="B84" s="118" t="s">
        <v>126</v>
      </c>
      <c r="C84" s="74">
        <v>5</v>
      </c>
      <c r="D84" s="65">
        <f ca="1">((100/(H76))*C84)/100</f>
        <v>0.7142857142857143</v>
      </c>
      <c r="E84" s="152"/>
      <c r="F84" s="152"/>
      <c r="G84" s="152"/>
      <c r="H84" s="152"/>
      <c r="I84" s="13" t="s">
        <v>137</v>
      </c>
      <c r="J84" s="30">
        <f>(IF(B76&gt;2,(H76/(B76+2)+J83),0))</f>
        <v>0</v>
      </c>
    </row>
    <row r="85" spans="1:19" ht="15.75" customHeight="1" x14ac:dyDescent="0.3">
      <c r="A85" s="118" t="s">
        <v>125</v>
      </c>
      <c r="B85" s="118" t="s">
        <v>125</v>
      </c>
      <c r="C85" s="74">
        <v>0</v>
      </c>
      <c r="D85" s="65">
        <f ca="1">((100/H76)*C85)/100</f>
        <v>0</v>
      </c>
      <c r="E85" s="152"/>
      <c r="F85" s="152"/>
      <c r="G85" s="152"/>
      <c r="H85" s="152"/>
      <c r="I85" s="13" t="s">
        <v>138</v>
      </c>
      <c r="J85" s="31">
        <f>(IF(B76&gt;3,(H76/(B76+2)+J84),0))</f>
        <v>0</v>
      </c>
    </row>
    <row r="86" spans="1:19" ht="15.75" customHeight="1" x14ac:dyDescent="0.3">
      <c r="A86" s="118" t="s">
        <v>132</v>
      </c>
      <c r="B86" s="118"/>
      <c r="C86" s="74">
        <v>0</v>
      </c>
      <c r="D86" s="65">
        <f ca="1">((100/H76)*C86)/100</f>
        <v>0</v>
      </c>
      <c r="E86" s="152"/>
      <c r="F86" s="152"/>
      <c r="G86" s="152"/>
      <c r="H86" s="152"/>
      <c r="I86" s="13" t="s">
        <v>139</v>
      </c>
      <c r="J86" s="30">
        <f>(IF(B76&gt;4,(H76/(B76+2)+J85),0))</f>
        <v>0</v>
      </c>
    </row>
    <row r="87" spans="1:19" ht="15.75" customHeight="1" x14ac:dyDescent="0.3">
      <c r="A87" s="118" t="s">
        <v>127</v>
      </c>
      <c r="B87" s="118" t="s">
        <v>127</v>
      </c>
      <c r="C87" s="74">
        <v>0</v>
      </c>
      <c r="D87" s="65">
        <f ca="1">((100/(H76))*C87)/100</f>
        <v>0</v>
      </c>
      <c r="E87" s="152"/>
      <c r="F87" s="152"/>
      <c r="G87" s="152"/>
      <c r="H87" s="152"/>
      <c r="I87" s="13" t="s">
        <v>141</v>
      </c>
      <c r="J87" s="30">
        <f ca="1">(IF(B76=1,(H76/(B76+3)+J82),IF(B76=0,(H76/4+J82),IF(B76&gt;1,0))))</f>
        <v>5.25</v>
      </c>
    </row>
    <row r="88" spans="1:19" ht="16.2" thickBot="1" x14ac:dyDescent="0.35">
      <c r="A88" s="118" t="s">
        <v>128</v>
      </c>
      <c r="B88" s="118"/>
      <c r="C88" s="74">
        <v>0</v>
      </c>
      <c r="D88" s="65">
        <f ca="1">((100/(H76))*C88)/100</f>
        <v>0</v>
      </c>
      <c r="E88" s="152"/>
      <c r="F88" s="152"/>
      <c r="G88" s="152"/>
      <c r="H88" s="152"/>
      <c r="I88" s="15" t="s">
        <v>101</v>
      </c>
      <c r="J88" s="32">
        <f ca="1">(IF(B76&gt;1.5,(H76/(B76+2)+J82+MAX(0,J83-J82)+MAX(0,J84-J83)+MAX(0,J85-J84)+MAX(0,J86-J85)+MAX(0,J87-J86)),IF(B76=1,(H76/(B76+3)+J87),IF(B76=0,H76/4+J87))))</f>
        <v>7</v>
      </c>
    </row>
    <row r="89" spans="1:19" ht="15.75" hidden="1" customHeight="1" x14ac:dyDescent="0.3">
      <c r="A89" s="222" t="s">
        <v>134</v>
      </c>
      <c r="B89" s="223"/>
      <c r="C89" s="224" t="str">
        <f>D66</f>
        <v>Wing B = Gr. + 1st to 7th Floor</v>
      </c>
      <c r="D89" s="225"/>
      <c r="E89" s="225"/>
      <c r="F89" s="225"/>
      <c r="G89" s="225"/>
      <c r="H89" s="226"/>
      <c r="I89" s="48" t="str">
        <f ca="1">IF(D102=100%,"All work Completed. Possession granted to the Building.",IF(D101=100%,"All work Completed, Waiting for OC",I90&amp;""&amp;I91&amp;""&amp;J90&amp;""&amp;J89&amp;" "&amp;J91))</f>
        <v xml:space="preserve">Excavation Completed0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
      <c r="A90" s="16" t="s">
        <v>136</v>
      </c>
      <c r="B90" s="46">
        <f>IF(AND(ISNUMBER(SEARCH("1B",C89))),1,IF(AND(ISNUMBER(SEARCH("2B",C89))),2,IF(AND(ISNUMBER(SEARCH("3B",C89))),3,IF(AND(ISNUMBER(SEARCH("4B",C89))),4,IF(ISNUMBER(SEARCH("5B",C89)),5,0)))))</f>
        <v>0</v>
      </c>
      <c r="C90" s="46" t="s">
        <v>69</v>
      </c>
      <c r="D90" s="46">
        <v>1</v>
      </c>
      <c r="E90" s="46" t="s">
        <v>68</v>
      </c>
      <c r="F90" s="14">
        <v>0</v>
      </c>
      <c r="G90" s="47" t="s">
        <v>76</v>
      </c>
      <c r="H90" s="17">
        <f ca="1">--TRIM(RIGHT(SUBSTITUTE(LEFT(C89,_xlfn.AGGREGATE(16,6,FIND({0,1,2,3,4,5,6,7,8,9},C89,ROW(INDIRECT("1:"&amp;LEN(C89)))),1))," ",REPT(" ",LEN(C89))),LEN(C89)))</f>
        <v>7</v>
      </c>
      <c r="I90" s="50" t="str">
        <f ca="1">IF(D93=100%,"Excavation","")&amp;IF(D94=100%,", Plinth","")&amp;IF(D95=100%,", RCC Slab","")&amp;IF(D96=100%,", Brickwork","")&amp;IF(D97=100%,", Internal Plaster","")&amp;IF(D98=100%,", External Plaster","")&amp;IF(D99=100%,", Flooring","")&amp;IF(D100=100%,", Painting","")&amp;IF(D101=100%,", Building common Amenities","")</f>
        <v>Excavation</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0</v>
      </c>
    </row>
    <row r="91" spans="1:19" hidden="1" x14ac:dyDescent="0.3">
      <c r="A91" s="116" t="s">
        <v>86</v>
      </c>
      <c r="B91" s="117"/>
      <c r="C91" s="89" t="str">
        <f ca="1">(IF($G$60="NA",I89,"All work Completed. OC Received."))</f>
        <v xml:space="preserve">Excavation Completed0 </v>
      </c>
      <c r="D91" s="89"/>
      <c r="E91" s="89"/>
      <c r="F91" s="89"/>
      <c r="G91" s="89"/>
      <c r="H91" s="90"/>
      <c r="I91" s="50" t="str">
        <f ca="1">IF(I90&lt;&gt;""," Completed","")</f>
        <v xml:space="preserve"> Completed</v>
      </c>
      <c r="J91" s="51" t="str">
        <f ca="1">IF(J89&lt;&gt;"","Completed","")</f>
        <v/>
      </c>
    </row>
    <row r="92" spans="1:19" ht="15.75" hidden="1" customHeight="1" x14ac:dyDescent="0.3">
      <c r="A92" s="85" t="s">
        <v>47</v>
      </c>
      <c r="B92" s="86"/>
      <c r="C92" s="43" t="s">
        <v>133</v>
      </c>
      <c r="D92" s="43" t="s">
        <v>79</v>
      </c>
      <c r="E92" s="86" t="s">
        <v>81</v>
      </c>
      <c r="F92" s="86"/>
      <c r="G92" s="86" t="s">
        <v>80</v>
      </c>
      <c r="H92" s="115"/>
      <c r="I92" s="13" t="s">
        <v>135</v>
      </c>
      <c r="J92" s="28">
        <f ca="1">H90*25%</f>
        <v>1.75</v>
      </c>
    </row>
    <row r="93" spans="1:19" hidden="1" x14ac:dyDescent="0.3">
      <c r="A93" s="85" t="s">
        <v>122</v>
      </c>
      <c r="B93" s="86"/>
      <c r="C93" s="58">
        <f ca="1">J94</f>
        <v>7</v>
      </c>
      <c r="D93" s="19">
        <f ca="1">((100/H90)*C93)/100</f>
        <v>1</v>
      </c>
      <c r="E93" s="105">
        <f ca="1">(((C94/H90*10)+(40/(D90+F90+H90)*C95)+(7.5/(H90)*C96)+(7.5/(H90)*C97)+(10/H90*C98)+(10/H90*C99)+(5/H90*C100)+(5/H90*C101)+(5/H90*C102))/100)</f>
        <v>0.27142857142857146</v>
      </c>
      <c r="F93" s="176"/>
      <c r="G93" s="105">
        <f ca="1">((((C93/H90)*20)+((C94/H90)*25)+(30/(H90+F90+D90)*C95)+(5/H90*C96)+(5/H90*C97)+(5/H90*C98)+(5/H90*C99)+(0/H90*C100)+(0/H90*C101)+(5/H90*C102))/100)</f>
        <v>0.87857142857142856</v>
      </c>
      <c r="H93" s="106"/>
      <c r="I93" s="13" t="s">
        <v>97</v>
      </c>
      <c r="J93" s="29">
        <f ca="1">H90*50%</f>
        <v>3.5</v>
      </c>
    </row>
    <row r="94" spans="1:19" hidden="1" x14ac:dyDescent="0.3">
      <c r="A94" s="85" t="s">
        <v>48</v>
      </c>
      <c r="B94" s="86"/>
      <c r="C94" s="59">
        <v>19</v>
      </c>
      <c r="D94" s="19">
        <f ca="1">((100/H90)*C94)/100</f>
        <v>2.7142857142857144</v>
      </c>
      <c r="E94" s="107"/>
      <c r="F94" s="177"/>
      <c r="G94" s="107"/>
      <c r="H94" s="108"/>
      <c r="I94" s="13" t="s">
        <v>98</v>
      </c>
      <c r="J94" s="29">
        <f ca="1">H90</f>
        <v>7</v>
      </c>
    </row>
    <row r="95" spans="1:19" ht="15.75" hidden="1" customHeight="1" x14ac:dyDescent="0.3">
      <c r="A95" s="85" t="s">
        <v>123</v>
      </c>
      <c r="B95" s="86"/>
      <c r="C95" s="43">
        <v>0</v>
      </c>
      <c r="D95" s="19">
        <f ca="1">((100/(D90+F90+H90))*C95)/100</f>
        <v>0</v>
      </c>
      <c r="E95" s="107"/>
      <c r="F95" s="177"/>
      <c r="G95" s="107"/>
      <c r="H95" s="108"/>
      <c r="I95" s="13" t="s">
        <v>99</v>
      </c>
      <c r="J95" s="30">
        <f ca="1">(IF(B90&gt;1,(H90/(B90+2)),H90/4))</f>
        <v>1.75</v>
      </c>
    </row>
    <row r="96" spans="1:19" ht="15.75" hidden="1" customHeight="1" x14ac:dyDescent="0.3">
      <c r="A96" s="85" t="s">
        <v>130</v>
      </c>
      <c r="B96" s="86" t="s">
        <v>124</v>
      </c>
      <c r="C96" s="43">
        <v>0</v>
      </c>
      <c r="D96" s="19">
        <f ca="1">((100/H90)*C96)/100</f>
        <v>0</v>
      </c>
      <c r="E96" s="107"/>
      <c r="F96" s="177"/>
      <c r="G96" s="107"/>
      <c r="H96" s="108"/>
      <c r="I96" s="13" t="s">
        <v>100</v>
      </c>
      <c r="J96" s="30">
        <f ca="1">(IF(B90&gt;1,(H90/(B90+2)+J95),H90/4+J95))</f>
        <v>3.5</v>
      </c>
    </row>
    <row r="97" spans="1:10" ht="15.75" hidden="1" customHeight="1" x14ac:dyDescent="0.3">
      <c r="A97" s="85" t="s">
        <v>131</v>
      </c>
      <c r="B97" s="86" t="s">
        <v>124</v>
      </c>
      <c r="C97" s="43">
        <v>0</v>
      </c>
      <c r="D97" s="19">
        <f ca="1">((100/H90)*C97)/100</f>
        <v>0</v>
      </c>
      <c r="E97" s="107"/>
      <c r="F97" s="177"/>
      <c r="G97" s="107"/>
      <c r="H97" s="108"/>
      <c r="I97" s="13" t="s">
        <v>140</v>
      </c>
      <c r="J97" s="30">
        <f>(IF(B90&gt;1,(H90/(B90+2)+J96),0))</f>
        <v>0</v>
      </c>
    </row>
    <row r="98" spans="1:10" ht="15" hidden="1" customHeight="1" x14ac:dyDescent="0.3">
      <c r="A98" s="85" t="s">
        <v>129</v>
      </c>
      <c r="B98" s="86" t="s">
        <v>126</v>
      </c>
      <c r="C98" s="43">
        <v>0</v>
      </c>
      <c r="D98" s="19">
        <f ca="1">((100/(H90))*C98)/100</f>
        <v>0</v>
      </c>
      <c r="E98" s="107"/>
      <c r="F98" s="177"/>
      <c r="G98" s="107"/>
      <c r="H98" s="108"/>
      <c r="I98" s="13" t="s">
        <v>137</v>
      </c>
      <c r="J98" s="30">
        <f>(IF(B90&gt;2,(H90/(B90+2)+J97),0))</f>
        <v>0</v>
      </c>
    </row>
    <row r="99" spans="1:10" ht="15.75" hidden="1" customHeight="1" x14ac:dyDescent="0.3">
      <c r="A99" s="85" t="s">
        <v>125</v>
      </c>
      <c r="B99" s="86" t="s">
        <v>125</v>
      </c>
      <c r="C99" s="43">
        <v>0</v>
      </c>
      <c r="D99" s="19">
        <f ca="1">((100/H90)*C99)/100</f>
        <v>0</v>
      </c>
      <c r="E99" s="107"/>
      <c r="F99" s="177"/>
      <c r="G99" s="107"/>
      <c r="H99" s="108"/>
      <c r="I99" s="13" t="s">
        <v>138</v>
      </c>
      <c r="J99" s="31">
        <f>(IF(B90&gt;3,(H90/(B90+2)+J98),0))</f>
        <v>0</v>
      </c>
    </row>
    <row r="100" spans="1:10" ht="15.75" hidden="1" customHeight="1" x14ac:dyDescent="0.3">
      <c r="A100" s="85" t="s">
        <v>132</v>
      </c>
      <c r="B100" s="86"/>
      <c r="C100" s="43">
        <v>0</v>
      </c>
      <c r="D100" s="19">
        <f ca="1">((100/H90)*C100)/100</f>
        <v>0</v>
      </c>
      <c r="E100" s="107"/>
      <c r="F100" s="177"/>
      <c r="G100" s="107"/>
      <c r="H100" s="108"/>
      <c r="I100" s="13" t="s">
        <v>139</v>
      </c>
      <c r="J100" s="30">
        <f>(IF(B90&gt;4,(H90/(B90+2)+J99),0))</f>
        <v>0</v>
      </c>
    </row>
    <row r="101" spans="1:10" ht="15.75" hidden="1" customHeight="1" x14ac:dyDescent="0.3">
      <c r="A101" s="85" t="s">
        <v>127</v>
      </c>
      <c r="B101" s="86" t="s">
        <v>127</v>
      </c>
      <c r="C101" s="43">
        <v>0</v>
      </c>
      <c r="D101" s="19">
        <f ca="1">((100/(H90))*C101)/100</f>
        <v>0</v>
      </c>
      <c r="E101" s="107"/>
      <c r="F101" s="177"/>
      <c r="G101" s="107"/>
      <c r="H101" s="108"/>
      <c r="I101" s="13" t="s">
        <v>141</v>
      </c>
      <c r="J101" s="30">
        <f ca="1">(IF(B90=1,(H90/(B90+3)+J96),IF(B90=0,(H90/4+J96),IF(B90&gt;1,0))))</f>
        <v>5.25</v>
      </c>
    </row>
    <row r="102" spans="1:10" ht="16.2" hidden="1" thickBot="1" x14ac:dyDescent="0.35">
      <c r="A102" s="83" t="s">
        <v>128</v>
      </c>
      <c r="B102" s="84"/>
      <c r="C102" s="44">
        <v>0</v>
      </c>
      <c r="D102" s="20">
        <f ca="1">((100/(H90))*C102)/100</f>
        <v>0</v>
      </c>
      <c r="E102" s="109"/>
      <c r="F102" s="178"/>
      <c r="G102" s="109"/>
      <c r="H102" s="110"/>
      <c r="I102" s="15" t="s">
        <v>101</v>
      </c>
      <c r="J102" s="32">
        <f ca="1">(IF(B90&gt;1.5,(H90/(B90+2)+J96+MAX(0,J97-J96)+MAX(0,J98-J97)+MAX(0,J99-J98)+MAX(0,J100-J99)+MAX(0,J101-J100)),IF(B90=1,(H90/(B90+3)+J101),IF(B90=0,H90/4+J101))))</f>
        <v>7</v>
      </c>
    </row>
    <row r="103" spans="1:10" ht="15.75" hidden="1" customHeight="1" x14ac:dyDescent="0.3">
      <c r="A103" s="141" t="s">
        <v>134</v>
      </c>
      <c r="B103" s="142"/>
      <c r="C103" s="143" t="str">
        <f>D67</f>
        <v>Wing C = Gr. + 1st to 7th Floor</v>
      </c>
      <c r="D103" s="144"/>
      <c r="E103" s="144"/>
      <c r="F103" s="144"/>
      <c r="G103" s="144"/>
      <c r="H103" s="145"/>
      <c r="I103" s="48" t="str">
        <f ca="1">IF(D116=100%,"All work Completed. Possession granted to the Building.",IF(D115=100%,"All work Completed, Waiting for OC",I104&amp;""&amp;I105&amp;""&amp;J104&amp;""&amp;J103&amp;" "&amp;J105))</f>
        <v xml:space="preserve">Excavation, Plinth, RCC Slab Completed </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
      <c r="A104" s="16" t="s">
        <v>136</v>
      </c>
      <c r="B104" s="46">
        <f>IF(AND(ISNUMBER(SEARCH("1B",C103))),1,IF(AND(ISNUMBER(SEARCH("2B",C103))),2,IF(AND(ISNUMBER(SEARCH("3B",C103))),3,IF(AND(ISNUMBER(SEARCH("4B",C103))),4,IF(ISNUMBER(SEARCH("5B",C103)),5,0)))))</f>
        <v>0</v>
      </c>
      <c r="C104" s="46" t="s">
        <v>69</v>
      </c>
      <c r="D104" s="46">
        <v>1</v>
      </c>
      <c r="E104" s="46" t="s">
        <v>68</v>
      </c>
      <c r="F104" s="14">
        <v>0</v>
      </c>
      <c r="G104" s="47" t="s">
        <v>76</v>
      </c>
      <c r="H104" s="17">
        <f ca="1">--TRIM(RIGHT(SUBSTITUTE(LEFT(C103,_xlfn.AGGREGATE(16,6,FIND({0,1,2,3,4,5,6,7,8,9},C103,ROW(INDIRECT("1:"&amp;LEN(C103)))),1))," ",REPT(" ",LEN(C103))),LEN(C103)))</f>
        <v>7</v>
      </c>
      <c r="I104" s="50" t="str">
        <f ca="1">IF(D107=100%,"Excavation","")&amp;IF(D108=100%,", Plinth","")&amp;IF(D109=100%,", RCC Slab","")&amp;IF(D110=100%,", Brickwork","")&amp;IF(D111=100%,", Internal Plaster","")&amp;IF(D112=100%,", External Plaster","")&amp;IF(D113=100%,", Flooring","")&amp;IF(D114=100%,", Painting","")&amp;IF(D115=100%,", Building common Amenities","")</f>
        <v>Excavation, Plinth, RCC Slab</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
      <c r="A105" s="116" t="s">
        <v>86</v>
      </c>
      <c r="B105" s="117"/>
      <c r="C105" s="89" t="str">
        <f ca="1">(IF($G$60="NA",I103,"All work Completed. OC Received."))</f>
        <v xml:space="preserve">Excavation, Plinth, RCC Slab Completed </v>
      </c>
      <c r="D105" s="89"/>
      <c r="E105" s="89"/>
      <c r="F105" s="89"/>
      <c r="G105" s="89"/>
      <c r="H105" s="90"/>
      <c r="I105" s="50" t="str">
        <f ca="1">IF(I104&lt;&gt;""," Completed","")</f>
        <v xml:space="preserve"> Completed</v>
      </c>
      <c r="J105" s="51" t="str">
        <f ca="1">IF(J103&lt;&gt;"","Completed","")</f>
        <v/>
      </c>
    </row>
    <row r="106" spans="1:10" ht="15.75" hidden="1" customHeight="1" x14ac:dyDescent="0.3">
      <c r="A106" s="85" t="s">
        <v>47</v>
      </c>
      <c r="B106" s="86"/>
      <c r="C106" s="43" t="s">
        <v>133</v>
      </c>
      <c r="D106" s="43" t="s">
        <v>79</v>
      </c>
      <c r="E106" s="86" t="s">
        <v>81</v>
      </c>
      <c r="F106" s="86"/>
      <c r="G106" s="86" t="s">
        <v>80</v>
      </c>
      <c r="H106" s="115"/>
      <c r="I106" s="13" t="s">
        <v>135</v>
      </c>
      <c r="J106" s="28">
        <f ca="1">H104*25%</f>
        <v>1.75</v>
      </c>
    </row>
    <row r="107" spans="1:10" hidden="1" x14ac:dyDescent="0.3">
      <c r="A107" s="85" t="s">
        <v>122</v>
      </c>
      <c r="B107" s="86"/>
      <c r="C107" s="43">
        <f ca="1">J108</f>
        <v>7</v>
      </c>
      <c r="D107" s="19">
        <f ca="1">((100/H104)*C107)/100</f>
        <v>1</v>
      </c>
      <c r="E107" s="105">
        <f ca="1">(((C108/H104*10)+(40/(D104+F104+H104)*C109)+(7.5/(H104)*C110)+(7.5/(H104)*C111)+(10/H104*C112)+(10/H104*C113)+(5/H104*C114)+(5/H104*C115)+(5/H104*C116))/100)</f>
        <v>0.5</v>
      </c>
      <c r="F107" s="176"/>
      <c r="G107" s="105">
        <f ca="1">((((C107/H104)*20)+((C108/H104)*25)+(30/(H104+F104+D104)*C109)+(5/H104*C110)+(5/H104*C111)+(5/H104*C112)+(5/H104*C113)+(0/H104*C114)+(0/H104*C115)+(5/H104*C116))/100)</f>
        <v>0.75</v>
      </c>
      <c r="H107" s="106"/>
      <c r="I107" s="13" t="s">
        <v>97</v>
      </c>
      <c r="J107" s="29">
        <f ca="1">H104*50%</f>
        <v>3.5</v>
      </c>
    </row>
    <row r="108" spans="1:10" hidden="1" x14ac:dyDescent="0.3">
      <c r="A108" s="85" t="s">
        <v>48</v>
      </c>
      <c r="B108" s="86"/>
      <c r="C108" s="43">
        <f ca="1">J116</f>
        <v>7</v>
      </c>
      <c r="D108" s="19">
        <f ca="1">((100/H104)*C108)/100</f>
        <v>1</v>
      </c>
      <c r="E108" s="107"/>
      <c r="F108" s="177"/>
      <c r="G108" s="107"/>
      <c r="H108" s="108"/>
      <c r="I108" s="13" t="s">
        <v>98</v>
      </c>
      <c r="J108" s="29">
        <f ca="1">H104</f>
        <v>7</v>
      </c>
    </row>
    <row r="109" spans="1:10" ht="15.75" hidden="1" customHeight="1" x14ac:dyDescent="0.3">
      <c r="A109" s="85" t="s">
        <v>123</v>
      </c>
      <c r="B109" s="86"/>
      <c r="C109" s="43">
        <f ca="1">D104+H104</f>
        <v>8</v>
      </c>
      <c r="D109" s="19">
        <f ca="1">((100/(D104+F104+H104))*C109)/100</f>
        <v>1</v>
      </c>
      <c r="E109" s="107"/>
      <c r="F109" s="177"/>
      <c r="G109" s="107"/>
      <c r="H109" s="108"/>
      <c r="I109" s="13" t="s">
        <v>99</v>
      </c>
      <c r="J109" s="30">
        <f ca="1">(IF(B104&gt;1,(H104/(B104+2)),H104/4))</f>
        <v>1.75</v>
      </c>
    </row>
    <row r="110" spans="1:10" ht="15.75" hidden="1" customHeight="1" x14ac:dyDescent="0.3">
      <c r="A110" s="85" t="s">
        <v>130</v>
      </c>
      <c r="B110" s="86" t="s">
        <v>124</v>
      </c>
      <c r="C110" s="43">
        <v>0</v>
      </c>
      <c r="D110" s="19">
        <f ca="1">((100/H104)*C110)/100</f>
        <v>0</v>
      </c>
      <c r="E110" s="107"/>
      <c r="F110" s="177"/>
      <c r="G110" s="107"/>
      <c r="H110" s="108"/>
      <c r="I110" s="13" t="s">
        <v>100</v>
      </c>
      <c r="J110" s="30">
        <f ca="1">(IF(B104&gt;1,(H104/(B104+2)+J109),H104/4+J109))</f>
        <v>3.5</v>
      </c>
    </row>
    <row r="111" spans="1:10" ht="15.75" hidden="1" customHeight="1" x14ac:dyDescent="0.3">
      <c r="A111" s="85" t="s">
        <v>131</v>
      </c>
      <c r="B111" s="86" t="s">
        <v>124</v>
      </c>
      <c r="C111" s="43">
        <v>0</v>
      </c>
      <c r="D111" s="19">
        <f ca="1">((100/H104)*C111)/100</f>
        <v>0</v>
      </c>
      <c r="E111" s="107"/>
      <c r="F111" s="177"/>
      <c r="G111" s="107"/>
      <c r="H111" s="108"/>
      <c r="I111" s="13" t="s">
        <v>140</v>
      </c>
      <c r="J111" s="30">
        <f>(IF(B104&gt;1,(H104/(B104+2)+J110),0))</f>
        <v>0</v>
      </c>
    </row>
    <row r="112" spans="1:10" ht="15" hidden="1" customHeight="1" x14ac:dyDescent="0.3">
      <c r="A112" s="85" t="s">
        <v>129</v>
      </c>
      <c r="B112" s="86" t="s">
        <v>126</v>
      </c>
      <c r="C112" s="43">
        <v>0</v>
      </c>
      <c r="D112" s="19">
        <f ca="1">((100/(H104))*C112)/100</f>
        <v>0</v>
      </c>
      <c r="E112" s="107"/>
      <c r="F112" s="177"/>
      <c r="G112" s="107"/>
      <c r="H112" s="108"/>
      <c r="I112" s="13" t="s">
        <v>137</v>
      </c>
      <c r="J112" s="30">
        <f>(IF(B104&gt;2,(H104/(B104+2)+J111),0))</f>
        <v>0</v>
      </c>
    </row>
    <row r="113" spans="1:22" ht="15.75" hidden="1" customHeight="1" x14ac:dyDescent="0.3">
      <c r="A113" s="85" t="s">
        <v>125</v>
      </c>
      <c r="B113" s="86" t="s">
        <v>125</v>
      </c>
      <c r="C113" s="43">
        <v>0</v>
      </c>
      <c r="D113" s="19">
        <f ca="1">((100/H104)*C113)/100</f>
        <v>0</v>
      </c>
      <c r="E113" s="107"/>
      <c r="F113" s="177"/>
      <c r="G113" s="107"/>
      <c r="H113" s="108"/>
      <c r="I113" s="13" t="s">
        <v>138</v>
      </c>
      <c r="J113" s="31">
        <f>(IF(B104&gt;3,(H104/(B104+2)+J112),0))</f>
        <v>0</v>
      </c>
    </row>
    <row r="114" spans="1:22" ht="15.75" hidden="1" customHeight="1" x14ac:dyDescent="0.3">
      <c r="A114" s="85" t="s">
        <v>132</v>
      </c>
      <c r="B114" s="86"/>
      <c r="C114" s="43">
        <v>0</v>
      </c>
      <c r="D114" s="19">
        <f ca="1">((100/H104)*C114)/100</f>
        <v>0</v>
      </c>
      <c r="E114" s="107"/>
      <c r="F114" s="177"/>
      <c r="G114" s="107"/>
      <c r="H114" s="108"/>
      <c r="I114" s="13" t="s">
        <v>139</v>
      </c>
      <c r="J114" s="30">
        <f>(IF(B104&gt;4,(H104/(B104+2)+J113),0))</f>
        <v>0</v>
      </c>
    </row>
    <row r="115" spans="1:22" ht="15.75" hidden="1" customHeight="1" x14ac:dyDescent="0.3">
      <c r="A115" s="85" t="s">
        <v>127</v>
      </c>
      <c r="B115" s="86" t="s">
        <v>127</v>
      </c>
      <c r="C115" s="43">
        <v>0</v>
      </c>
      <c r="D115" s="19">
        <f ca="1">((100/(H104))*C115)/100</f>
        <v>0</v>
      </c>
      <c r="E115" s="107"/>
      <c r="F115" s="177"/>
      <c r="G115" s="107"/>
      <c r="H115" s="108"/>
      <c r="I115" s="13" t="s">
        <v>141</v>
      </c>
      <c r="J115" s="30">
        <f ca="1">(IF(B104=1,(H104/(B104+3)+J110),IF(B104=0,(H104/4+J110),IF(B104&gt;1,0))))</f>
        <v>5.25</v>
      </c>
    </row>
    <row r="116" spans="1:22" ht="16.2" hidden="1" thickBot="1" x14ac:dyDescent="0.35">
      <c r="A116" s="83" t="s">
        <v>128</v>
      </c>
      <c r="B116" s="84"/>
      <c r="C116" s="44">
        <v>0</v>
      </c>
      <c r="D116" s="20">
        <f ca="1">((100/(H104))*C116)/100</f>
        <v>0</v>
      </c>
      <c r="E116" s="109"/>
      <c r="F116" s="178"/>
      <c r="G116" s="109"/>
      <c r="H116" s="110"/>
      <c r="I116" s="15" t="s">
        <v>101</v>
      </c>
      <c r="J116" s="32">
        <f ca="1">(IF(B104&gt;1.5,(H104/(B104+2)+J110+MAX(0,J111-J110)+MAX(0,J112-J111)+MAX(0,J113-J112)+MAX(0,J114-J113)+MAX(0,J115-J114)),IF(B104=1,(H104/(B104+3)+J115),IF(B104=0,H104/4+J115))))</f>
        <v>7</v>
      </c>
    </row>
    <row r="117" spans="1:22" x14ac:dyDescent="0.3">
      <c r="A117" s="114" t="s">
        <v>151</v>
      </c>
      <c r="B117" s="114"/>
      <c r="C117" s="114"/>
      <c r="D117" s="114"/>
      <c r="E117" s="114"/>
      <c r="F117" s="173" t="s">
        <v>155</v>
      </c>
      <c r="G117" s="173"/>
      <c r="H117" s="173"/>
      <c r="R117" t="s">
        <v>248</v>
      </c>
      <c r="S117" t="s">
        <v>167</v>
      </c>
      <c r="T117" t="s">
        <v>174</v>
      </c>
      <c r="U117" t="s">
        <v>189</v>
      </c>
      <c r="V117" t="s">
        <v>184</v>
      </c>
    </row>
    <row r="118" spans="1:22" x14ac:dyDescent="0.3">
      <c r="A118" s="82" t="s">
        <v>153</v>
      </c>
      <c r="B118" s="82"/>
      <c r="C118" s="82"/>
      <c r="D118" s="82"/>
      <c r="E118" s="82"/>
      <c r="F118" s="111">
        <v>3500</v>
      </c>
      <c r="G118" s="111"/>
      <c r="H118" s="111"/>
      <c r="R118"/>
      <c r="S118">
        <v>800000</v>
      </c>
      <c r="T118">
        <v>150000</v>
      </c>
      <c r="U118">
        <v>100000</v>
      </c>
      <c r="V118">
        <v>100000</v>
      </c>
    </row>
    <row r="119" spans="1:22" x14ac:dyDescent="0.3">
      <c r="A119" s="82" t="s">
        <v>152</v>
      </c>
      <c r="B119" s="82"/>
      <c r="C119" s="82"/>
      <c r="D119" s="82"/>
      <c r="E119" s="82"/>
      <c r="F119" s="111">
        <v>6500</v>
      </c>
      <c r="G119" s="111"/>
      <c r="H119" s="111"/>
      <c r="R119"/>
      <c r="S119">
        <v>900000</v>
      </c>
      <c r="T119">
        <v>200000</v>
      </c>
      <c r="U119">
        <v>150000</v>
      </c>
      <c r="V119">
        <v>150000</v>
      </c>
    </row>
    <row r="120" spans="1:22" hidden="1" x14ac:dyDescent="0.3">
      <c r="A120" s="82" t="s">
        <v>154</v>
      </c>
      <c r="B120" s="82"/>
      <c r="C120" s="82"/>
      <c r="D120" s="82"/>
      <c r="E120" s="82"/>
      <c r="F120" s="111"/>
      <c r="G120" s="111"/>
      <c r="H120" s="111"/>
      <c r="R120"/>
      <c r="S120">
        <v>1000000</v>
      </c>
      <c r="T120">
        <v>250000</v>
      </c>
      <c r="U120">
        <v>200000</v>
      </c>
      <c r="V120">
        <v>200000</v>
      </c>
    </row>
    <row r="121" spans="1:22" s="33" customFormat="1" hidden="1" x14ac:dyDescent="0.3">
      <c r="A121" s="82" t="s">
        <v>170</v>
      </c>
      <c r="B121" s="82"/>
      <c r="C121" s="82"/>
      <c r="D121" s="82"/>
      <c r="E121" s="82"/>
      <c r="F121" s="111"/>
      <c r="G121" s="111"/>
      <c r="H121" s="111"/>
      <c r="R121"/>
      <c r="S121">
        <v>1100000</v>
      </c>
      <c r="T121">
        <v>300000</v>
      </c>
      <c r="U121">
        <v>250000</v>
      </c>
      <c r="V121" s="23">
        <v>250000</v>
      </c>
    </row>
    <row r="122" spans="1:22" s="33" customFormat="1" hidden="1" x14ac:dyDescent="0.3">
      <c r="A122" s="82" t="s">
        <v>91</v>
      </c>
      <c r="B122" s="82"/>
      <c r="C122" s="82"/>
      <c r="D122" s="82"/>
      <c r="E122" s="82"/>
      <c r="F122" s="111"/>
      <c r="G122" s="111"/>
      <c r="H122" s="111"/>
      <c r="R122"/>
      <c r="S122">
        <v>1200000</v>
      </c>
      <c r="T122">
        <v>350000</v>
      </c>
      <c r="U122">
        <v>300000</v>
      </c>
      <c r="V122">
        <v>300000</v>
      </c>
    </row>
    <row r="123" spans="1:22" s="33" customFormat="1" hidden="1" x14ac:dyDescent="0.3">
      <c r="A123" s="82" t="s">
        <v>92</v>
      </c>
      <c r="B123" s="82"/>
      <c r="C123" s="82"/>
      <c r="D123" s="82"/>
      <c r="E123" s="82"/>
      <c r="F123" s="111"/>
      <c r="G123" s="111"/>
      <c r="H123" s="111"/>
      <c r="R123"/>
      <c r="S123">
        <v>1300000</v>
      </c>
      <c r="T123">
        <v>400000</v>
      </c>
      <c r="U123">
        <v>350000</v>
      </c>
      <c r="V123" s="23">
        <v>400000</v>
      </c>
    </row>
    <row r="124" spans="1:22" s="33" customFormat="1" hidden="1" x14ac:dyDescent="0.3">
      <c r="A124" s="82" t="s">
        <v>93</v>
      </c>
      <c r="B124" s="82"/>
      <c r="C124" s="82"/>
      <c r="D124" s="82"/>
      <c r="E124" s="82"/>
      <c r="F124" s="111"/>
      <c r="G124" s="111"/>
      <c r="H124" s="111"/>
      <c r="R124"/>
      <c r="S124">
        <v>1400000</v>
      </c>
      <c r="T124">
        <v>500000</v>
      </c>
      <c r="U124">
        <v>400000</v>
      </c>
      <c r="V124"/>
    </row>
    <row r="125" spans="1:22" s="33" customFormat="1" hidden="1" x14ac:dyDescent="0.3">
      <c r="A125" s="82" t="s">
        <v>94</v>
      </c>
      <c r="B125" s="82"/>
      <c r="C125" s="82"/>
      <c r="D125" s="82"/>
      <c r="E125" s="82"/>
      <c r="F125" s="111"/>
      <c r="G125" s="111"/>
      <c r="H125" s="111"/>
      <c r="R125"/>
      <c r="S125">
        <v>1500000</v>
      </c>
      <c r="T125">
        <v>600000</v>
      </c>
      <c r="U125">
        <v>500000</v>
      </c>
      <c r="V125" s="23"/>
    </row>
    <row r="126" spans="1:22" s="33" customFormat="1" hidden="1" x14ac:dyDescent="0.3">
      <c r="A126" s="82" t="s">
        <v>95</v>
      </c>
      <c r="B126" s="82"/>
      <c r="C126" s="82"/>
      <c r="D126" s="82"/>
      <c r="E126" s="82"/>
      <c r="F126" s="111"/>
      <c r="G126" s="111"/>
      <c r="H126" s="111"/>
      <c r="R126"/>
      <c r="S126">
        <v>1600000</v>
      </c>
      <c r="T126">
        <v>700000</v>
      </c>
      <c r="U126">
        <v>600000</v>
      </c>
      <c r="V126"/>
    </row>
    <row r="127" spans="1:22" s="33" customFormat="1" hidden="1" x14ac:dyDescent="0.3">
      <c r="A127" s="82" t="s">
        <v>96</v>
      </c>
      <c r="B127" s="82"/>
      <c r="C127" s="82"/>
      <c r="D127" s="82"/>
      <c r="E127" s="82"/>
      <c r="F127" s="111"/>
      <c r="G127" s="111"/>
      <c r="H127" s="111"/>
      <c r="R127"/>
      <c r="S127">
        <v>1700000</v>
      </c>
      <c r="T127">
        <v>800000</v>
      </c>
      <c r="U127"/>
      <c r="V127" s="23"/>
    </row>
    <row r="128" spans="1:22" x14ac:dyDescent="0.3">
      <c r="A128" s="82" t="s">
        <v>49</v>
      </c>
      <c r="B128" s="82"/>
      <c r="C128" s="82"/>
      <c r="D128" s="82"/>
      <c r="E128" s="82"/>
      <c r="F128" s="111">
        <v>150000</v>
      </c>
      <c r="G128" s="111"/>
      <c r="H128" s="111"/>
      <c r="R128"/>
      <c r="S128">
        <v>1800000</v>
      </c>
      <c r="T128">
        <v>900000</v>
      </c>
      <c r="U128"/>
    </row>
    <row r="129" spans="1:22" s="34" customFormat="1" x14ac:dyDescent="0.3">
      <c r="A129" s="140" t="s">
        <v>50</v>
      </c>
      <c r="B129" s="140"/>
      <c r="C129" s="140"/>
      <c r="D129" s="140"/>
      <c r="E129" s="140"/>
      <c r="F129" s="111">
        <f>F118*0.8</f>
        <v>2800</v>
      </c>
      <c r="G129" s="111"/>
      <c r="H129" s="111"/>
      <c r="R129" s="21"/>
      <c r="S129" s="21"/>
      <c r="T129">
        <v>1000000</v>
      </c>
      <c r="U129"/>
      <c r="V129" s="21"/>
    </row>
    <row r="130" spans="1:22" s="35" customFormat="1" ht="15.75" customHeight="1" x14ac:dyDescent="0.3">
      <c r="A130" s="95" t="s">
        <v>71</v>
      </c>
      <c r="B130" s="95"/>
      <c r="C130" s="95"/>
      <c r="D130" s="95"/>
      <c r="E130" s="95"/>
      <c r="F130" s="95"/>
      <c r="G130" s="95"/>
      <c r="H130" s="95"/>
      <c r="R130"/>
      <c r="S130" s="21"/>
      <c r="T130"/>
      <c r="U130"/>
      <c r="V130" s="21"/>
    </row>
    <row r="131" spans="1:22" s="35" customFormat="1" ht="15.75" customHeight="1" x14ac:dyDescent="0.3">
      <c r="A131" s="98" t="s">
        <v>51</v>
      </c>
      <c r="B131" s="98"/>
      <c r="C131" s="96" t="s">
        <v>74</v>
      </c>
      <c r="D131" s="96"/>
      <c r="E131" s="97" t="s">
        <v>52</v>
      </c>
      <c r="F131" s="97"/>
      <c r="G131" s="98" t="s">
        <v>53</v>
      </c>
      <c r="H131" s="98"/>
      <c r="R131"/>
      <c r="S131" s="21"/>
      <c r="T131"/>
      <c r="U131" s="21"/>
      <c r="V131" s="21"/>
    </row>
    <row r="132" spans="1:22" s="35" customFormat="1" x14ac:dyDescent="0.3">
      <c r="A132" s="99" t="s">
        <v>321</v>
      </c>
      <c r="B132" s="99"/>
      <c r="C132" s="121">
        <f>COUNT(D146:D150)</f>
        <v>5</v>
      </c>
      <c r="D132" s="92"/>
      <c r="E132" s="121">
        <f t="shared" ref="E132" si="0">SUM(F146:F150)</f>
        <v>1301.6905199999999</v>
      </c>
      <c r="F132" s="92"/>
      <c r="G132" s="121">
        <f t="shared" ref="G132" si="1">SUM(H146:H150)</f>
        <v>1952.5357799999997</v>
      </c>
      <c r="H132" s="92"/>
      <c r="R132"/>
      <c r="S132" s="21"/>
      <c r="T132"/>
      <c r="U132" s="21"/>
      <c r="V132" s="21"/>
    </row>
    <row r="133" spans="1:22" s="35" customFormat="1" hidden="1" x14ac:dyDescent="0.3">
      <c r="A133" s="99"/>
      <c r="B133" s="99"/>
      <c r="C133" s="92"/>
      <c r="D133" s="92"/>
      <c r="E133" s="93"/>
      <c r="F133" s="93"/>
      <c r="G133" s="94"/>
      <c r="H133" s="94"/>
      <c r="R133"/>
      <c r="S133" s="21"/>
      <c r="T133"/>
      <c r="U133" s="21"/>
      <c r="V133" s="21"/>
    </row>
    <row r="134" spans="1:22" s="35" customFormat="1" hidden="1" x14ac:dyDescent="0.3">
      <c r="A134" s="95" t="s">
        <v>144</v>
      </c>
      <c r="B134" s="95"/>
      <c r="C134" s="96"/>
      <c r="D134" s="96"/>
      <c r="E134" s="97"/>
      <c r="F134" s="97"/>
      <c r="G134" s="98"/>
      <c r="H134" s="98"/>
      <c r="R134"/>
      <c r="S134" s="21"/>
      <c r="T134"/>
      <c r="U134" s="21"/>
      <c r="V134" s="21"/>
    </row>
    <row r="135" spans="1:22" s="35" customFormat="1" x14ac:dyDescent="0.3">
      <c r="A135" s="95" t="s">
        <v>67</v>
      </c>
      <c r="B135" s="95"/>
      <c r="C135" s="95"/>
      <c r="D135" s="95"/>
      <c r="E135" s="95"/>
      <c r="F135" s="95"/>
      <c r="G135" s="95"/>
      <c r="H135" s="95"/>
      <c r="T135"/>
    </row>
    <row r="136" spans="1:22" s="35" customFormat="1" ht="15.75" customHeight="1" x14ac:dyDescent="0.3">
      <c r="A136" s="98" t="s">
        <v>51</v>
      </c>
      <c r="B136" s="98"/>
      <c r="C136" s="96" t="s">
        <v>74</v>
      </c>
      <c r="D136" s="96"/>
      <c r="E136" s="97" t="s">
        <v>52</v>
      </c>
      <c r="F136" s="97"/>
      <c r="G136" s="98" t="s">
        <v>53</v>
      </c>
      <c r="H136" s="98"/>
      <c r="T136"/>
    </row>
    <row r="137" spans="1:22" s="35" customFormat="1" ht="16.2" thickBot="1" x14ac:dyDescent="0.35">
      <c r="A137" s="99" t="s">
        <v>321</v>
      </c>
      <c r="B137" s="99"/>
      <c r="C137" s="121">
        <f>COUNT(D155:D156)+COUNT(D158:D163)*7</f>
        <v>44</v>
      </c>
      <c r="D137" s="121"/>
      <c r="E137" s="121">
        <f t="shared" ref="E137" si="2">SUM(F155:F156)+SUM(F158:F163)*7</f>
        <v>13555.320479999997</v>
      </c>
      <c r="F137" s="121"/>
      <c r="G137" s="121">
        <f t="shared" ref="G137" si="3">SUM(H155:H156)+SUM(H158:H163)*7</f>
        <v>19655.214696000003</v>
      </c>
      <c r="H137" s="121"/>
      <c r="T137"/>
    </row>
    <row r="138" spans="1:22" s="35" customFormat="1" hidden="1" x14ac:dyDescent="0.3">
      <c r="A138" s="99"/>
      <c r="B138" s="99"/>
      <c r="C138" s="92"/>
      <c r="D138" s="92"/>
      <c r="E138" s="93"/>
      <c r="F138" s="93"/>
      <c r="G138" s="94"/>
      <c r="H138" s="94"/>
      <c r="T138"/>
    </row>
    <row r="139" spans="1:22" s="35" customFormat="1" ht="16.2" hidden="1" thickBot="1" x14ac:dyDescent="0.35">
      <c r="A139" s="87" t="s">
        <v>144</v>
      </c>
      <c r="B139" s="87"/>
      <c r="C139" s="198"/>
      <c r="D139" s="198"/>
      <c r="E139" s="88"/>
      <c r="F139" s="88"/>
      <c r="G139" s="91"/>
      <c r="H139" s="91"/>
      <c r="T139"/>
    </row>
    <row r="140" spans="1:22" s="35" customFormat="1" ht="16.2" thickBot="1" x14ac:dyDescent="0.35">
      <c r="A140" s="183" t="s">
        <v>161</v>
      </c>
      <c r="B140" s="184"/>
      <c r="C140" s="135">
        <f>SUM(C132,C137)</f>
        <v>49</v>
      </c>
      <c r="D140" s="136"/>
      <c r="E140" s="135">
        <f t="shared" ref="E140" si="4">SUM(E132,E137)</f>
        <v>14857.010999999997</v>
      </c>
      <c r="F140" s="136"/>
      <c r="G140" s="135">
        <f t="shared" ref="G140" si="5">SUM(G132,G137)</f>
        <v>21607.750476000001</v>
      </c>
      <c r="H140" s="136"/>
      <c r="T140"/>
    </row>
    <row r="141" spans="1:22" s="66" customFormat="1" x14ac:dyDescent="0.3">
      <c r="A141" s="180" t="s">
        <v>54</v>
      </c>
      <c r="B141" s="180"/>
      <c r="C141" s="180"/>
      <c r="D141" s="180"/>
      <c r="E141" s="180"/>
      <c r="F141" s="180"/>
      <c r="G141" s="180"/>
      <c r="H141" s="180"/>
      <c r="T141" s="67"/>
    </row>
    <row r="142" spans="1:22" s="23" customFormat="1" x14ac:dyDescent="0.3">
      <c r="A142" s="160" t="s">
        <v>169</v>
      </c>
      <c r="B142" s="160"/>
      <c r="C142" s="160"/>
      <c r="D142" s="160"/>
      <c r="E142" s="160"/>
      <c r="F142" s="160"/>
      <c r="G142" s="160"/>
      <c r="H142" s="160"/>
      <c r="T142" s="67"/>
    </row>
    <row r="143" spans="1:22" s="23" customFormat="1" ht="47.25" customHeight="1" x14ac:dyDescent="0.3">
      <c r="A143" s="112" t="s">
        <v>336</v>
      </c>
      <c r="B143" s="112" t="s">
        <v>171</v>
      </c>
      <c r="C143" s="112" t="s">
        <v>55</v>
      </c>
      <c r="D143" s="112" t="s">
        <v>332</v>
      </c>
      <c r="E143" s="122" t="s">
        <v>150</v>
      </c>
      <c r="F143" s="112" t="s">
        <v>56</v>
      </c>
      <c r="G143" s="122" t="s">
        <v>57</v>
      </c>
      <c r="H143" s="68" t="s">
        <v>143</v>
      </c>
      <c r="T143" s="67"/>
    </row>
    <row r="144" spans="1:22" s="70" customFormat="1" x14ac:dyDescent="0.3">
      <c r="A144" s="113"/>
      <c r="B144" s="113"/>
      <c r="C144" s="113"/>
      <c r="D144" s="113"/>
      <c r="E144" s="123"/>
      <c r="F144" s="113"/>
      <c r="G144" s="123"/>
      <c r="H144" s="69">
        <v>0.5</v>
      </c>
      <c r="T144" s="67"/>
    </row>
    <row r="145" spans="1:20" s="70" customFormat="1" x14ac:dyDescent="0.3">
      <c r="A145" s="146" t="s">
        <v>315</v>
      </c>
      <c r="B145" s="147"/>
      <c r="C145" s="147"/>
      <c r="D145" s="147"/>
      <c r="E145" s="147"/>
      <c r="F145" s="147"/>
      <c r="G145" s="147"/>
      <c r="H145" s="148"/>
      <c r="J145" s="71"/>
      <c r="T145" s="67"/>
    </row>
    <row r="146" spans="1:20" s="70" customFormat="1" ht="15.75" customHeight="1" x14ac:dyDescent="0.3">
      <c r="A146" s="174">
        <v>1</v>
      </c>
      <c r="B146" s="175"/>
      <c r="C146" s="72" t="s">
        <v>316</v>
      </c>
      <c r="D146" s="72">
        <f>(28.9)*10.764</f>
        <v>311.07959999999997</v>
      </c>
      <c r="E146" s="72">
        <v>0</v>
      </c>
      <c r="F146" s="72">
        <f>D146+(IF(E146&lt;201,E146,IF(E146&lt;301,E146/2,E146/3)))</f>
        <v>311.07959999999997</v>
      </c>
      <c r="G146" s="72">
        <v>0</v>
      </c>
      <c r="H146" s="72">
        <f>(F146+(IF(G146&lt;101,G146,IF(G146&lt;201,G146/2,IF(G146&lt;=301,G146/3,G146/4)))))*(($H$144)+1)</f>
        <v>466.61939999999993</v>
      </c>
      <c r="I146" s="71">
        <f>4.33*4.7+2.75*1.95+1.2*1.8</f>
        <v>27.873500000000003</v>
      </c>
      <c r="J146" s="72">
        <v>10.763999999999999</v>
      </c>
      <c r="L146" s="76"/>
      <c r="M146" s="76"/>
      <c r="N146" s="71"/>
      <c r="T146" s="67"/>
    </row>
    <row r="147" spans="1:20" s="70" customFormat="1" ht="15.75" customHeight="1" x14ac:dyDescent="0.3">
      <c r="A147" s="174">
        <f>A146+1</f>
        <v>2</v>
      </c>
      <c r="B147" s="175"/>
      <c r="C147" s="72" t="s">
        <v>316</v>
      </c>
      <c r="D147" s="72">
        <f>(12.3)*10.764</f>
        <v>132.3972</v>
      </c>
      <c r="E147" s="72">
        <v>0</v>
      </c>
      <c r="F147" s="72">
        <f t="shared" ref="F147:F149" si="6">D147+(IF(E147&lt;201,E147,IF(E147&lt;301,E147/2,E147/3)))</f>
        <v>132.3972</v>
      </c>
      <c r="G147" s="72">
        <v>0</v>
      </c>
      <c r="H147" s="72">
        <f t="shared" ref="H147:H149" si="7">(F147+(IF(G147&lt;101,G147,IF(G147&lt;201,G147/2,IF(G147&lt;=301,G147/3,G147/4)))))*(($H$144)+1)</f>
        <v>198.5958</v>
      </c>
      <c r="I147" s="71"/>
      <c r="L147" s="76"/>
      <c r="M147" s="76"/>
      <c r="N147" s="71"/>
      <c r="T147" s="66"/>
    </row>
    <row r="148" spans="1:20" s="70" customFormat="1" ht="15.75" customHeight="1" x14ac:dyDescent="0.3">
      <c r="A148" s="174">
        <f>A147+1</f>
        <v>3</v>
      </c>
      <c r="B148" s="175"/>
      <c r="C148" s="72" t="s">
        <v>316</v>
      </c>
      <c r="D148" s="72">
        <f>(28.9)*10.764</f>
        <v>311.07959999999997</v>
      </c>
      <c r="E148" s="72">
        <v>0</v>
      </c>
      <c r="F148" s="72">
        <f t="shared" si="6"/>
        <v>311.07959999999997</v>
      </c>
      <c r="G148" s="72">
        <v>0</v>
      </c>
      <c r="H148" s="72">
        <f t="shared" si="7"/>
        <v>466.61939999999993</v>
      </c>
      <c r="I148" s="71"/>
      <c r="L148" s="76"/>
      <c r="M148" s="76"/>
      <c r="N148" s="71"/>
      <c r="T148" s="23"/>
    </row>
    <row r="149" spans="1:20" s="70" customFormat="1" ht="15.75" customHeight="1" x14ac:dyDescent="0.3">
      <c r="A149" s="174">
        <f>A148+1</f>
        <v>4</v>
      </c>
      <c r="B149" s="175"/>
      <c r="C149" s="72" t="s">
        <v>316</v>
      </c>
      <c r="D149" s="72">
        <f>(34.96)*10.764</f>
        <v>376.30944</v>
      </c>
      <c r="E149" s="72">
        <v>0</v>
      </c>
      <c r="F149" s="72">
        <f t="shared" si="6"/>
        <v>376.30944</v>
      </c>
      <c r="G149" s="72">
        <v>0</v>
      </c>
      <c r="H149" s="72">
        <f t="shared" si="7"/>
        <v>564.46415999999999</v>
      </c>
      <c r="I149" s="71">
        <f>4.33*6.1+2.75*1.95+1.2*1.8</f>
        <v>33.935500000000005</v>
      </c>
      <c r="L149" s="76"/>
      <c r="M149" s="76"/>
      <c r="N149" s="71"/>
      <c r="T149" s="23"/>
    </row>
    <row r="150" spans="1:20" s="70" customFormat="1" ht="15.75" customHeight="1" x14ac:dyDescent="0.3">
      <c r="A150" s="174">
        <f>A149+1</f>
        <v>5</v>
      </c>
      <c r="B150" s="175"/>
      <c r="C150" s="72" t="s">
        <v>316</v>
      </c>
      <c r="D150" s="72">
        <f>(15.87)*10.764</f>
        <v>170.82467999999997</v>
      </c>
      <c r="E150" s="72">
        <v>0</v>
      </c>
      <c r="F150" s="72">
        <f t="shared" ref="F150" si="8">D150+(IF(E150&lt;201,E150,IF(E150&lt;301,E150/2,E150/3)))</f>
        <v>170.82467999999997</v>
      </c>
      <c r="G150" s="72">
        <v>0</v>
      </c>
      <c r="H150" s="72">
        <f t="shared" ref="H150" si="9">(F150+(IF(G150&lt;101,G150,IF(G150&lt;201,G150/2,IF(G150&lt;=301,G150/3,G150/4)))))*(($H$144)+1)</f>
        <v>256.23701999999997</v>
      </c>
      <c r="I150" s="71"/>
      <c r="L150" s="76"/>
      <c r="M150" s="76"/>
      <c r="N150" s="71"/>
      <c r="T150" s="23"/>
    </row>
    <row r="151" spans="1:20" s="70" customFormat="1" x14ac:dyDescent="0.3">
      <c r="A151" s="174"/>
      <c r="B151" s="179"/>
      <c r="C151" s="179"/>
      <c r="D151" s="179"/>
      <c r="E151" s="179"/>
      <c r="F151" s="179"/>
      <c r="G151" s="179"/>
      <c r="H151" s="175"/>
      <c r="I151" s="71"/>
      <c r="N151" s="71"/>
    </row>
    <row r="152" spans="1:20" s="23" customFormat="1" ht="47.25" customHeight="1" x14ac:dyDescent="0.3">
      <c r="A152" s="181" t="s">
        <v>337</v>
      </c>
      <c r="B152" s="112" t="s">
        <v>172</v>
      </c>
      <c r="C152" s="112" t="s">
        <v>55</v>
      </c>
      <c r="D152" s="112" t="s">
        <v>332</v>
      </c>
      <c r="E152" s="112" t="s">
        <v>320</v>
      </c>
      <c r="F152" s="112" t="s">
        <v>56</v>
      </c>
      <c r="G152" s="122" t="s">
        <v>57</v>
      </c>
      <c r="H152" s="68" t="s">
        <v>143</v>
      </c>
      <c r="I152" s="71"/>
      <c r="T152" s="70"/>
    </row>
    <row r="153" spans="1:20" s="70" customFormat="1" x14ac:dyDescent="0.3">
      <c r="A153" s="182"/>
      <c r="B153" s="113"/>
      <c r="C153" s="113"/>
      <c r="D153" s="113"/>
      <c r="E153" s="113"/>
      <c r="F153" s="113"/>
      <c r="G153" s="123"/>
      <c r="H153" s="69">
        <v>0.45</v>
      </c>
      <c r="I153" s="71"/>
    </row>
    <row r="154" spans="1:20" s="70" customFormat="1" x14ac:dyDescent="0.3">
      <c r="A154" s="146" t="s">
        <v>315</v>
      </c>
      <c r="B154" s="147"/>
      <c r="C154" s="147"/>
      <c r="D154" s="147"/>
      <c r="E154" s="147"/>
      <c r="F154" s="147"/>
      <c r="G154" s="147"/>
      <c r="H154" s="148"/>
      <c r="J154" s="71"/>
    </row>
    <row r="155" spans="1:20" s="37" customFormat="1" ht="15.75" customHeight="1" x14ac:dyDescent="0.3">
      <c r="A155" s="133">
        <v>1</v>
      </c>
      <c r="B155" s="134"/>
      <c r="C155" s="42" t="s">
        <v>317</v>
      </c>
      <c r="D155" s="42">
        <f>(15.66)*10.764</f>
        <v>168.56423999999998</v>
      </c>
      <c r="E155" s="42">
        <f>(5.45)*10.764</f>
        <v>58.663799999999995</v>
      </c>
      <c r="F155" s="42">
        <f>D155+E155</f>
        <v>227.22803999999996</v>
      </c>
      <c r="G155" s="42">
        <v>0</v>
      </c>
      <c r="H155" s="42">
        <f>F155*(($H$153)+1)+(IF(G155&lt;101,G155,IF(G155&lt;201,G155/2,IF(G155&lt;=301,G155/3,G155/4))))</f>
        <v>329.48065799999995</v>
      </c>
      <c r="I155" s="36">
        <f>2.8*2.8+1.8*2.3+1.2*1.9</f>
        <v>14.259999999999998</v>
      </c>
      <c r="J155" s="36">
        <f>1.15*1.8+1.2*2.8</f>
        <v>5.43</v>
      </c>
      <c r="K155" s="42">
        <v>10.763999999999999</v>
      </c>
      <c r="L155" s="132">
        <f>1375000/H155</f>
        <v>4173.2343511345061</v>
      </c>
      <c r="M155" s="132"/>
      <c r="N155" s="36"/>
    </row>
    <row r="156" spans="1:20" s="37" customFormat="1" ht="15.75" customHeight="1" x14ac:dyDescent="0.3">
      <c r="A156" s="133">
        <f>A155+1</f>
        <v>2</v>
      </c>
      <c r="B156" s="134"/>
      <c r="C156" s="42" t="s">
        <v>317</v>
      </c>
      <c r="D156" s="42">
        <f>(28.12)*10.764</f>
        <v>302.68367999999998</v>
      </c>
      <c r="E156" s="42">
        <v>0</v>
      </c>
      <c r="F156" s="42">
        <f>D156+E156</f>
        <v>302.68367999999998</v>
      </c>
      <c r="G156" s="42">
        <v>0</v>
      </c>
      <c r="H156" s="42">
        <f>F156*(($H$153)+1)+(IF(G156&lt;101,G156,IF(G156&lt;201,G156/2,IF(G156&lt;=301,G156/3,G156/4))))</f>
        <v>438.89133599999997</v>
      </c>
      <c r="I156" s="36"/>
      <c r="L156" s="132"/>
      <c r="M156" s="132"/>
      <c r="N156" s="36"/>
    </row>
    <row r="157" spans="1:20" s="37" customFormat="1" x14ac:dyDescent="0.3">
      <c r="A157" s="77" t="s">
        <v>318</v>
      </c>
      <c r="B157" s="77"/>
      <c r="C157" s="77"/>
      <c r="D157" s="77"/>
      <c r="E157" s="77"/>
      <c r="F157" s="77"/>
      <c r="G157" s="77"/>
      <c r="H157" s="77"/>
      <c r="I157" s="36"/>
      <c r="L157" s="132"/>
      <c r="M157" s="132"/>
    </row>
    <row r="158" spans="1:20" s="37" customFormat="1" x14ac:dyDescent="0.3">
      <c r="A158" s="78">
        <v>1</v>
      </c>
      <c r="B158" s="78"/>
      <c r="C158" s="42" t="s">
        <v>319</v>
      </c>
      <c r="D158" s="42">
        <f>(22.24)*10.764</f>
        <v>239.39135999999996</v>
      </c>
      <c r="E158" s="42">
        <f>(7.22)*10.764</f>
        <v>77.716079999999991</v>
      </c>
      <c r="F158" s="42">
        <f t="shared" ref="F158:F163" si="10">D158+E158</f>
        <v>317.10743999999994</v>
      </c>
      <c r="G158" s="42">
        <v>0</v>
      </c>
      <c r="H158" s="42">
        <f t="shared" ref="H158:H163" si="11">F158*(($H$153)+1)+(IF(G158&lt;101,G158,IF(G158&lt;201,G158/2,IF(G158&lt;=301,G158/3,G158/4))))</f>
        <v>459.80578799999989</v>
      </c>
      <c r="I158" s="36"/>
      <c r="N158" s="36"/>
    </row>
    <row r="159" spans="1:20" s="37" customFormat="1" x14ac:dyDescent="0.3">
      <c r="A159" s="78">
        <v>2</v>
      </c>
      <c r="B159" s="78"/>
      <c r="C159" s="42" t="s">
        <v>319</v>
      </c>
      <c r="D159" s="42">
        <f>(26.12)*10.764</f>
        <v>281.15568000000002</v>
      </c>
      <c r="E159" s="42">
        <f>(2.47)*10.764</f>
        <v>26.58708</v>
      </c>
      <c r="F159" s="42">
        <f t="shared" si="10"/>
        <v>307.74276000000003</v>
      </c>
      <c r="G159" s="42">
        <v>0</v>
      </c>
      <c r="H159" s="42">
        <f t="shared" si="11"/>
        <v>446.22700200000003</v>
      </c>
      <c r="I159" s="36"/>
      <c r="N159" s="36"/>
    </row>
    <row r="160" spans="1:20" s="37" customFormat="1" x14ac:dyDescent="0.3">
      <c r="A160" s="78">
        <v>3</v>
      </c>
      <c r="B160" s="78"/>
      <c r="C160" s="42" t="s">
        <v>319</v>
      </c>
      <c r="D160" s="42">
        <f>(26.12)*10.764</f>
        <v>281.15568000000002</v>
      </c>
      <c r="E160" s="42">
        <f>(2.47)*10.764</f>
        <v>26.58708</v>
      </c>
      <c r="F160" s="42">
        <f t="shared" si="10"/>
        <v>307.74276000000003</v>
      </c>
      <c r="G160" s="42">
        <v>0</v>
      </c>
      <c r="H160" s="42">
        <f t="shared" si="11"/>
        <v>446.22700200000003</v>
      </c>
      <c r="I160" s="36">
        <f>2.75*3.75+2.8*1.8+2.7*2.75+1.2*1.8</f>
        <v>24.9375</v>
      </c>
      <c r="J160" s="36">
        <f>1.5*1.5</f>
        <v>2.25</v>
      </c>
      <c r="N160" s="36"/>
    </row>
    <row r="161" spans="1:20" s="37" customFormat="1" x14ac:dyDescent="0.3">
      <c r="A161" s="78">
        <v>4</v>
      </c>
      <c r="B161" s="78"/>
      <c r="C161" s="42" t="s">
        <v>319</v>
      </c>
      <c r="D161" s="42">
        <f>(26.13)*10.764</f>
        <v>281.26331999999996</v>
      </c>
      <c r="E161" s="42">
        <f>(4.12)*10.764</f>
        <v>44.347679999999997</v>
      </c>
      <c r="F161" s="42">
        <f t="shared" si="10"/>
        <v>325.61099999999999</v>
      </c>
      <c r="G161" s="42">
        <v>0</v>
      </c>
      <c r="H161" s="42">
        <f t="shared" si="11"/>
        <v>472.13594999999998</v>
      </c>
      <c r="I161" s="36"/>
      <c r="N161" s="36"/>
    </row>
    <row r="162" spans="1:20" s="37" customFormat="1" x14ac:dyDescent="0.3">
      <c r="A162" s="78">
        <v>5</v>
      </c>
      <c r="B162" s="78"/>
      <c r="C162" s="42" t="s">
        <v>319</v>
      </c>
      <c r="D162" s="42">
        <f>(26.13)*10.764</f>
        <v>281.26331999999996</v>
      </c>
      <c r="E162" s="42">
        <f>(4.12)*10.764</f>
        <v>44.347679999999997</v>
      </c>
      <c r="F162" s="42">
        <f t="shared" si="10"/>
        <v>325.61099999999999</v>
      </c>
      <c r="G162" s="42">
        <v>0</v>
      </c>
      <c r="H162" s="42">
        <f t="shared" si="11"/>
        <v>472.13594999999998</v>
      </c>
      <c r="I162" s="36">
        <f>2.75*3.75+2.8*1.8+2.98*2.75+1.2*1.8</f>
        <v>25.7075</v>
      </c>
      <c r="J162" s="36">
        <f>1.35*2.8</f>
        <v>3.78</v>
      </c>
      <c r="N162" s="36"/>
    </row>
    <row r="163" spans="1:20" s="37" customFormat="1" x14ac:dyDescent="0.3">
      <c r="A163" s="78">
        <v>6</v>
      </c>
      <c r="B163" s="78"/>
      <c r="C163" s="42" t="s">
        <v>319</v>
      </c>
      <c r="D163" s="42">
        <f>(25.73)*10.764</f>
        <v>276.95771999999999</v>
      </c>
      <c r="E163" s="42">
        <v>0</v>
      </c>
      <c r="F163" s="42">
        <f t="shared" si="10"/>
        <v>276.95771999999999</v>
      </c>
      <c r="G163" s="42">
        <v>0</v>
      </c>
      <c r="H163" s="42">
        <f t="shared" si="11"/>
        <v>401.58869399999998</v>
      </c>
      <c r="I163" s="36"/>
      <c r="N163" s="36"/>
    </row>
    <row r="164" spans="1:20" s="35" customFormat="1" x14ac:dyDescent="0.3">
      <c r="A164" s="186" t="s">
        <v>65</v>
      </c>
      <c r="B164" s="186"/>
      <c r="C164" s="186"/>
      <c r="D164" s="186"/>
      <c r="E164" s="186"/>
      <c r="F164" s="186"/>
      <c r="G164" s="186"/>
      <c r="H164" s="186"/>
      <c r="T164" s="37"/>
    </row>
    <row r="165" spans="1:20" s="35" customFormat="1" x14ac:dyDescent="0.3">
      <c r="A165" s="73">
        <v>1</v>
      </c>
      <c r="B165" s="185" t="s">
        <v>342</v>
      </c>
      <c r="C165" s="185"/>
      <c r="D165" s="185"/>
      <c r="E165" s="185"/>
      <c r="F165" s="185"/>
      <c r="G165" s="185"/>
      <c r="H165" s="185"/>
      <c r="T165" s="37"/>
    </row>
    <row r="166" spans="1:20" s="35" customFormat="1" x14ac:dyDescent="0.3">
      <c r="A166" s="73">
        <v>2</v>
      </c>
      <c r="B166" s="79" t="str">
        <f>(IF(H152="Saleable area Loading :","We have considered Saleable area of Flats as per our Calculation.","We considered Saleable area of Flat as per Builder area Sheet."))</f>
        <v>We have considered Saleable area of Flats as per our Calculation.</v>
      </c>
      <c r="C166" s="80"/>
      <c r="D166" s="80"/>
      <c r="E166" s="80"/>
      <c r="F166" s="80"/>
      <c r="G166" s="80"/>
      <c r="H166" s="81"/>
      <c r="T166" s="37"/>
    </row>
    <row r="167" spans="1:20" s="35" customFormat="1" x14ac:dyDescent="0.3">
      <c r="A167" s="73">
        <v>3</v>
      </c>
      <c r="B167" s="79" t="str">
        <f>(IF(H143="Saleable area Loading :","We have considered Saleable area of Commercial as per our Calculation.","We considered Saleable area of Commercial as per Builder area Sheet."))</f>
        <v>We have considered Saleable area of Commercial as per our Calculation.</v>
      </c>
      <c r="C167" s="80"/>
      <c r="D167" s="80"/>
      <c r="E167" s="80"/>
      <c r="F167" s="80"/>
      <c r="G167" s="80"/>
      <c r="H167" s="81"/>
      <c r="T167" s="37"/>
    </row>
    <row r="168" spans="1:20" s="35" customFormat="1" x14ac:dyDescent="0.3">
      <c r="A168" s="73">
        <v>4</v>
      </c>
      <c r="B168" s="79" t="s">
        <v>117</v>
      </c>
      <c r="C168" s="80"/>
      <c r="D168" s="80"/>
      <c r="E168" s="80"/>
      <c r="F168" s="80"/>
      <c r="G168" s="80"/>
      <c r="H168" s="81"/>
      <c r="T168" s="37"/>
    </row>
    <row r="169" spans="1:20" s="35" customFormat="1" ht="18.75" customHeight="1" x14ac:dyDescent="0.3">
      <c r="A169" s="73">
        <v>5</v>
      </c>
      <c r="B169" s="79" t="s">
        <v>333</v>
      </c>
      <c r="C169" s="80"/>
      <c r="D169" s="80"/>
      <c r="E169" s="80"/>
      <c r="F169" s="80"/>
      <c r="G169" s="80"/>
      <c r="H169" s="81"/>
      <c r="T169" s="37"/>
    </row>
    <row r="170" spans="1:20" s="35" customFormat="1" x14ac:dyDescent="0.3">
      <c r="A170" s="73">
        <v>6</v>
      </c>
      <c r="B170" s="79" t="s">
        <v>146</v>
      </c>
      <c r="C170" s="80"/>
      <c r="D170" s="80"/>
      <c r="E170" s="80"/>
      <c r="F170" s="80"/>
      <c r="G170" s="80"/>
      <c r="H170" s="81"/>
    </row>
    <row r="171" spans="1:20" s="35" customFormat="1" x14ac:dyDescent="0.3">
      <c r="A171" s="73">
        <v>7</v>
      </c>
      <c r="B171" s="79" t="s">
        <v>118</v>
      </c>
      <c r="C171" s="80"/>
      <c r="D171" s="80"/>
      <c r="E171" s="80"/>
      <c r="F171" s="80"/>
      <c r="G171" s="80"/>
      <c r="H171" s="81"/>
    </row>
    <row r="172" spans="1:20" s="35" customFormat="1" ht="34.5" customHeight="1" x14ac:dyDescent="0.3">
      <c r="A172" s="73">
        <v>8</v>
      </c>
      <c r="B172" s="79" t="s">
        <v>148</v>
      </c>
      <c r="C172" s="80"/>
      <c r="D172" s="80"/>
      <c r="E172" s="80"/>
      <c r="F172" s="80"/>
      <c r="G172" s="80"/>
      <c r="H172" s="81"/>
    </row>
    <row r="173" spans="1:20" s="35" customFormat="1" x14ac:dyDescent="0.3">
      <c r="A173" s="73">
        <v>9</v>
      </c>
      <c r="B173" s="79" t="s">
        <v>119</v>
      </c>
      <c r="C173" s="80"/>
      <c r="D173" s="80"/>
      <c r="E173" s="80"/>
      <c r="F173" s="80"/>
      <c r="G173" s="80"/>
      <c r="H173" s="81"/>
    </row>
    <row r="174" spans="1:20" s="35" customFormat="1" ht="32.25" hidden="1" customHeight="1" x14ac:dyDescent="0.3">
      <c r="A174" s="73" t="s">
        <v>147</v>
      </c>
      <c r="B174" s="79" t="s">
        <v>173</v>
      </c>
      <c r="C174" s="80"/>
      <c r="D174" s="80"/>
      <c r="E174" s="80"/>
      <c r="F174" s="80"/>
      <c r="G174" s="80"/>
      <c r="H174" s="81"/>
    </row>
    <row r="175" spans="1:20" s="35" customFormat="1" hidden="1" x14ac:dyDescent="0.3">
      <c r="A175" s="73" t="s">
        <v>147</v>
      </c>
      <c r="B175" s="79" t="s">
        <v>227</v>
      </c>
      <c r="C175" s="80"/>
      <c r="D175" s="80"/>
      <c r="E175" s="80"/>
      <c r="F175" s="80"/>
      <c r="G175" s="80"/>
      <c r="H175" s="81"/>
    </row>
    <row r="176" spans="1:20" s="35" customFormat="1" x14ac:dyDescent="0.3">
      <c r="A176" s="73">
        <v>10</v>
      </c>
      <c r="B176" s="79" t="s">
        <v>323</v>
      </c>
      <c r="C176" s="80"/>
      <c r="D176" s="80"/>
      <c r="E176" s="80"/>
      <c r="F176" s="80"/>
      <c r="G176" s="80"/>
      <c r="H176" s="81"/>
    </row>
    <row r="177" spans="1:20" s="35" customFormat="1" ht="66.75" customHeight="1" x14ac:dyDescent="0.3">
      <c r="A177" s="73">
        <v>11</v>
      </c>
      <c r="B177" s="79" t="s">
        <v>340</v>
      </c>
      <c r="C177" s="80"/>
      <c r="D177" s="80"/>
      <c r="E177" s="80"/>
      <c r="F177" s="80"/>
      <c r="G177" s="80"/>
      <c r="H177" s="81"/>
    </row>
    <row r="178" spans="1:20" x14ac:dyDescent="0.3">
      <c r="A178" s="172" t="s">
        <v>58</v>
      </c>
      <c r="B178" s="172"/>
      <c r="C178" s="172"/>
      <c r="D178" s="172"/>
      <c r="E178" s="172"/>
      <c r="F178" s="172"/>
      <c r="G178" s="172"/>
      <c r="H178" s="172"/>
      <c r="T178" s="35"/>
    </row>
    <row r="179" spans="1:20" x14ac:dyDescent="0.3">
      <c r="A179" s="82" t="s">
        <v>59</v>
      </c>
      <c r="B179" s="82"/>
      <c r="C179" s="82"/>
      <c r="D179" s="82"/>
      <c r="E179" s="82"/>
      <c r="F179" s="82"/>
      <c r="G179" s="82"/>
      <c r="H179" s="82"/>
      <c r="T179" s="35"/>
    </row>
    <row r="180" spans="1:20" ht="15.75" customHeight="1" x14ac:dyDescent="0.3">
      <c r="A180" s="197" t="s">
        <v>60</v>
      </c>
      <c r="B180" s="197"/>
      <c r="C180" s="197"/>
      <c r="D180" s="197"/>
      <c r="E180" s="197"/>
      <c r="F180" s="197"/>
      <c r="G180" s="197"/>
      <c r="H180" s="197"/>
      <c r="T180" s="35"/>
    </row>
    <row r="181" spans="1:20" x14ac:dyDescent="0.3">
      <c r="A181" s="82" t="s">
        <v>61</v>
      </c>
      <c r="B181" s="82"/>
      <c r="C181" s="82"/>
      <c r="D181" s="82"/>
      <c r="E181" s="82"/>
      <c r="F181" s="82"/>
      <c r="G181" s="82"/>
      <c r="H181" s="82"/>
      <c r="T181" s="35"/>
    </row>
    <row r="182" spans="1:20" x14ac:dyDescent="0.3">
      <c r="A182" s="82" t="s">
        <v>62</v>
      </c>
      <c r="B182" s="82"/>
      <c r="C182" s="82"/>
      <c r="D182" s="82"/>
      <c r="E182" s="82"/>
      <c r="F182" s="82"/>
      <c r="G182" s="82"/>
      <c r="H182" s="82"/>
      <c r="T182" s="35"/>
    </row>
    <row r="183" spans="1:20" x14ac:dyDescent="0.3">
      <c r="A183" s="82" t="s">
        <v>120</v>
      </c>
      <c r="B183" s="82"/>
      <c r="C183" s="82"/>
      <c r="D183" s="82"/>
      <c r="E183" s="82"/>
      <c r="F183" s="82"/>
      <c r="G183" s="82"/>
      <c r="H183" s="82"/>
      <c r="T183" s="35"/>
    </row>
    <row r="184" spans="1:20" ht="33.9" customHeight="1" x14ac:dyDescent="0.3">
      <c r="A184" s="162" t="s">
        <v>121</v>
      </c>
      <c r="B184" s="162"/>
      <c r="C184" s="162"/>
      <c r="D184" s="162"/>
      <c r="E184" s="162"/>
      <c r="F184" s="162"/>
      <c r="G184" s="162"/>
      <c r="H184" s="162"/>
    </row>
    <row r="185" spans="1:20" x14ac:dyDescent="0.3">
      <c r="A185" s="171" t="s">
        <v>73</v>
      </c>
      <c r="B185" s="171"/>
      <c r="C185" s="171" t="s">
        <v>344</v>
      </c>
      <c r="D185" s="171"/>
      <c r="E185" s="171" t="s">
        <v>103</v>
      </c>
      <c r="F185" s="171"/>
      <c r="G185" s="171" t="s">
        <v>343</v>
      </c>
      <c r="H185" s="171"/>
    </row>
    <row r="186" spans="1:20" x14ac:dyDescent="0.3">
      <c r="A186" s="170" t="s">
        <v>75</v>
      </c>
      <c r="B186" s="170"/>
      <c r="C186" s="170"/>
      <c r="D186" s="170"/>
      <c r="E186" s="170"/>
      <c r="F186" s="170"/>
      <c r="G186" s="170"/>
      <c r="H186" s="170"/>
    </row>
    <row r="187" spans="1:20" x14ac:dyDescent="0.3">
      <c r="A187" s="170"/>
      <c r="B187" s="170"/>
      <c r="C187" s="170"/>
      <c r="D187" s="170"/>
      <c r="E187" s="170"/>
      <c r="F187" s="170"/>
      <c r="G187" s="170"/>
      <c r="H187" s="170"/>
    </row>
    <row r="188" spans="1:20" x14ac:dyDescent="0.3">
      <c r="A188" s="170"/>
      <c r="B188" s="170"/>
      <c r="C188" s="170"/>
      <c r="D188" s="170"/>
      <c r="E188" s="170"/>
      <c r="F188" s="170"/>
      <c r="G188" s="170"/>
      <c r="H188" s="170"/>
    </row>
    <row r="189" spans="1:20" x14ac:dyDescent="0.3">
      <c r="A189" s="170"/>
      <c r="B189" s="170"/>
      <c r="C189" s="170"/>
      <c r="D189" s="170"/>
      <c r="E189" s="170"/>
      <c r="F189" s="170"/>
      <c r="G189" s="170"/>
      <c r="H189" s="170"/>
    </row>
    <row r="190" spans="1:20" x14ac:dyDescent="0.3">
      <c r="A190" s="38" t="s">
        <v>63</v>
      </c>
      <c r="B190" s="39"/>
      <c r="C190" s="39"/>
      <c r="D190" s="38" t="str">
        <f>E9</f>
        <v>Paarshvanath</v>
      </c>
      <c r="F190" s="39"/>
      <c r="G190" s="39"/>
      <c r="H190" s="39"/>
    </row>
    <row r="191" spans="1:20" x14ac:dyDescent="0.3">
      <c r="A191" s="39"/>
      <c r="B191" s="39"/>
      <c r="C191" s="39"/>
      <c r="D191" s="39"/>
      <c r="E191" s="39"/>
      <c r="F191" s="39"/>
      <c r="G191" s="39"/>
      <c r="H191" s="39"/>
    </row>
    <row r="192" spans="1:20" x14ac:dyDescent="0.3">
      <c r="A192" s="39"/>
      <c r="B192" s="39"/>
      <c r="C192" s="39"/>
      <c r="D192" s="39"/>
      <c r="E192" s="39"/>
      <c r="F192" s="39"/>
      <c r="G192" s="39"/>
      <c r="H192" s="39"/>
    </row>
    <row r="193" ht="15" customHeight="1" x14ac:dyDescent="0.3"/>
    <row r="232" spans="1:1" x14ac:dyDescent="0.3">
      <c r="A232" s="41" t="s">
        <v>158</v>
      </c>
    </row>
    <row r="274" spans="1:1" x14ac:dyDescent="0.3">
      <c r="A274" s="41" t="s">
        <v>64</v>
      </c>
    </row>
  </sheetData>
  <mergeCells count="343">
    <mergeCell ref="B177:H177"/>
    <mergeCell ref="B176:H176"/>
    <mergeCell ref="I15:P15"/>
    <mergeCell ref="F127:H127"/>
    <mergeCell ref="F125:H12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183:H183"/>
    <mergeCell ref="A180:H180"/>
    <mergeCell ref="A158:B158"/>
    <mergeCell ref="A136:B136"/>
    <mergeCell ref="D152:D153"/>
    <mergeCell ref="E152:E153"/>
    <mergeCell ref="A97:B97"/>
    <mergeCell ref="A98:B98"/>
    <mergeCell ref="A99:B99"/>
    <mergeCell ref="A113:B113"/>
    <mergeCell ref="F118:H118"/>
    <mergeCell ref="G132:H132"/>
    <mergeCell ref="A116:B116"/>
    <mergeCell ref="F124:H124"/>
    <mergeCell ref="C131:D131"/>
    <mergeCell ref="C139:D139"/>
    <mergeCell ref="A154:H154"/>
    <mergeCell ref="A146:B146"/>
    <mergeCell ref="B174:H174"/>
    <mergeCell ref="A140:B140"/>
    <mergeCell ref="C140:D140"/>
    <mergeCell ref="E140:F140"/>
    <mergeCell ref="B173:H173"/>
    <mergeCell ref="B171:H171"/>
    <mergeCell ref="B167:H167"/>
    <mergeCell ref="B165:H165"/>
    <mergeCell ref="B166:H166"/>
    <mergeCell ref="B168:H168"/>
    <mergeCell ref="B169:H169"/>
    <mergeCell ref="A164:H164"/>
    <mergeCell ref="A150:B150"/>
    <mergeCell ref="G143:G144"/>
    <mergeCell ref="F117:H117"/>
    <mergeCell ref="F122:H122"/>
    <mergeCell ref="A155:B155"/>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1:H151"/>
    <mergeCell ref="E136:F136"/>
    <mergeCell ref="A141:H141"/>
    <mergeCell ref="A152:A153"/>
    <mergeCell ref="F152:F153"/>
    <mergeCell ref="A186:H189"/>
    <mergeCell ref="A185:B185"/>
    <mergeCell ref="E185:F185"/>
    <mergeCell ref="C185:D185"/>
    <mergeCell ref="G185:H185"/>
    <mergeCell ref="A130:H130"/>
    <mergeCell ref="A128:E128"/>
    <mergeCell ref="F128:H128"/>
    <mergeCell ref="A129:E129"/>
    <mergeCell ref="F129:H129"/>
    <mergeCell ref="A137:B137"/>
    <mergeCell ref="A132:B132"/>
    <mergeCell ref="A181:H181"/>
    <mergeCell ref="A135:H135"/>
    <mergeCell ref="A184:H184"/>
    <mergeCell ref="A182:H182"/>
    <mergeCell ref="A178:H178"/>
    <mergeCell ref="G136:H136"/>
    <mergeCell ref="C143:C144"/>
    <mergeCell ref="B152:B153"/>
    <mergeCell ref="A179:H179"/>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L155:M155"/>
    <mergeCell ref="A156:B156"/>
    <mergeCell ref="G140:H140"/>
    <mergeCell ref="L156:M156"/>
    <mergeCell ref="L157:M157"/>
    <mergeCell ref="C55:H55"/>
    <mergeCell ref="A78:B78"/>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81:B81"/>
    <mergeCell ref="A162:B162"/>
    <mergeCell ref="A159:B159"/>
    <mergeCell ref="A160:B160"/>
    <mergeCell ref="A40:B40"/>
    <mergeCell ref="C40:H40"/>
    <mergeCell ref="F143:F144"/>
    <mergeCell ref="C132:D132"/>
    <mergeCell ref="E132:F132"/>
    <mergeCell ref="B143:B144"/>
    <mergeCell ref="A143:A144"/>
    <mergeCell ref="C152:C153"/>
    <mergeCell ref="G152:G153"/>
    <mergeCell ref="A47:D47"/>
    <mergeCell ref="A48:H48"/>
    <mergeCell ref="D64:H64"/>
    <mergeCell ref="A64:C64"/>
    <mergeCell ref="A85:B85"/>
    <mergeCell ref="C91:H91"/>
    <mergeCell ref="A45:D45"/>
    <mergeCell ref="A77:B77"/>
    <mergeCell ref="A75:B75"/>
    <mergeCell ref="B172:H172"/>
    <mergeCell ref="A161:B161"/>
    <mergeCell ref="A49:B49"/>
    <mergeCell ref="C49:H49"/>
    <mergeCell ref="B170:H170"/>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L150:M150"/>
    <mergeCell ref="A157:H157"/>
    <mergeCell ref="A163:B163"/>
    <mergeCell ref="B175:H175"/>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No,Gaothan Pardi No,Plot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185:H185" xr:uid="{00000000-0002-0000-0000-000004000000}">
      <formula1>"Kunal Kadam,Gaurav Panchal,Pranita Mhatre,Shruti Fule,Pooja Kawale,Neha Dhokale,Shruti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8:H128" xr:uid="{00000000-0002-0000-0000-000006000000}">
      <formula1>OFFSET($S$117,1,MATCH($G20,$S$117:$W$117,0)-1,15,1)</formula1>
    </dataValidation>
    <dataValidation type="list" allowBlank="1" showInputMessage="1" showErrorMessage="1" sqref="B143:B144" xr:uid="{00000000-0002-0000-0000-000007000000}">
      <formula1>"Shop No. (Sale Plan),Sale / Rehab,Sale / Mhada"</formula1>
    </dataValidation>
    <dataValidation type="list" allowBlank="1" showInputMessage="1" showErrorMessage="1" sqref="B152:B153"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2:E153" xr:uid="{00000000-0002-0000-0000-00000B000000}">
      <formula1>"Fungible area,Balcony Area+Encl Balcony,Chajja Area,Cornice Area,AP Area,WS Area"</formula1>
    </dataValidation>
    <dataValidation type="list" allowBlank="1" showInputMessage="1" showErrorMessage="1" sqref="H144 H153"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xr:uid="{00000000-0002-0000-0000-00000F000000}">
      <formula1>0</formula1>
      <formula2>H76</formula2>
    </dataValidation>
    <dataValidation type="list" allowBlank="1" showInputMessage="1" showErrorMessage="1" sqref="H143 H152" xr:uid="{00000000-0002-0000-0000-000010000000}">
      <formula1>"Saleable area Loading :,Builder Saleable Area"</formula1>
    </dataValidation>
    <dataValidation type="list" allowBlank="1" showInputMessage="1" showErrorMessage="1" sqref="D143:D144 D152:D153"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189" max="16383" man="1"/>
    <brk id="231"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7" t="s">
        <v>104</v>
      </c>
      <c r="C3" s="227"/>
      <c r="D3" s="227"/>
      <c r="E3" s="227"/>
      <c r="F3" s="227"/>
      <c r="G3" s="227"/>
      <c r="H3" s="227"/>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174</v>
      </c>
      <c r="E4" s="53" t="s">
        <v>184</v>
      </c>
      <c r="F4" s="53" t="s">
        <v>167</v>
      </c>
      <c r="G4" s="53" t="s">
        <v>189</v>
      </c>
      <c r="H4" s="53" t="s">
        <v>207</v>
      </c>
      <c r="J4" t="s">
        <v>189</v>
      </c>
      <c r="K4" t="s">
        <v>205</v>
      </c>
    </row>
    <row r="5" spans="2:11" x14ac:dyDescent="0.3">
      <c r="B5" s="52"/>
      <c r="C5" s="52"/>
      <c r="D5" s="53" t="s">
        <v>175</v>
      </c>
      <c r="E5" s="53" t="s">
        <v>182</v>
      </c>
      <c r="F5" s="53" t="s">
        <v>204</v>
      </c>
      <c r="G5" s="53" t="s">
        <v>190</v>
      </c>
      <c r="H5" s="53" t="s">
        <v>208</v>
      </c>
    </row>
    <row r="6" spans="2:11" x14ac:dyDescent="0.3">
      <c r="B6" s="52"/>
      <c r="C6" s="52"/>
      <c r="D6" s="53" t="s">
        <v>176</v>
      </c>
      <c r="E6" s="53" t="s">
        <v>183</v>
      </c>
      <c r="F6" s="53" t="s">
        <v>205</v>
      </c>
      <c r="G6" s="53" t="s">
        <v>191</v>
      </c>
      <c r="H6" s="53" t="s">
        <v>221</v>
      </c>
    </row>
    <row r="7" spans="2:11" x14ac:dyDescent="0.3">
      <c r="B7" s="52"/>
      <c r="C7" s="52"/>
      <c r="D7" s="53" t="s">
        <v>177</v>
      </c>
      <c r="E7" s="53" t="s">
        <v>185</v>
      </c>
      <c r="F7" s="53" t="s">
        <v>206</v>
      </c>
      <c r="G7" s="53" t="s">
        <v>192</v>
      </c>
      <c r="H7" s="53" t="s">
        <v>209</v>
      </c>
    </row>
    <row r="8" spans="2:11" x14ac:dyDescent="0.3">
      <c r="B8" s="52"/>
      <c r="C8" s="52"/>
      <c r="D8" s="53" t="s">
        <v>178</v>
      </c>
      <c r="E8" s="53" t="s">
        <v>186</v>
      </c>
      <c r="F8" s="53"/>
      <c r="G8" s="53" t="s">
        <v>193</v>
      </c>
      <c r="H8" s="53" t="s">
        <v>210</v>
      </c>
    </row>
    <row r="9" spans="2:11" x14ac:dyDescent="0.3">
      <c r="B9" s="52"/>
      <c r="C9" s="52"/>
      <c r="D9" s="53" t="s">
        <v>179</v>
      </c>
      <c r="E9" s="53" t="s">
        <v>184</v>
      </c>
      <c r="F9" s="53"/>
      <c r="G9" s="53" t="s">
        <v>194</v>
      </c>
      <c r="H9" s="53" t="s">
        <v>211</v>
      </c>
    </row>
    <row r="10" spans="2:11" x14ac:dyDescent="0.3">
      <c r="B10" s="52"/>
      <c r="C10" s="52"/>
      <c r="D10" s="53" t="s">
        <v>180</v>
      </c>
      <c r="E10" s="53" t="s">
        <v>187</v>
      </c>
      <c r="F10" s="53"/>
      <c r="G10" s="53" t="s">
        <v>195</v>
      </c>
      <c r="H10" s="53" t="s">
        <v>212</v>
      </c>
    </row>
    <row r="11" spans="2:11" x14ac:dyDescent="0.3">
      <c r="B11" s="52"/>
      <c r="C11" s="52"/>
      <c r="D11" s="53" t="s">
        <v>181</v>
      </c>
      <c r="E11" s="53" t="s">
        <v>188</v>
      </c>
      <c r="F11" s="53"/>
      <c r="G11" s="53" t="s">
        <v>196</v>
      </c>
      <c r="H11" s="53" t="s">
        <v>213</v>
      </c>
    </row>
    <row r="12" spans="2:11" x14ac:dyDescent="0.3">
      <c r="B12" s="52"/>
      <c r="C12" s="52"/>
      <c r="D12" s="53"/>
      <c r="E12" s="53"/>
      <c r="F12" s="53"/>
      <c r="G12" s="53" t="s">
        <v>197</v>
      </c>
      <c r="H12" s="53" t="s">
        <v>214</v>
      </c>
    </row>
    <row r="13" spans="2:11" x14ac:dyDescent="0.3">
      <c r="B13" s="52"/>
      <c r="C13" s="52"/>
      <c r="D13" s="53"/>
      <c r="E13" s="53"/>
      <c r="F13" s="53"/>
      <c r="G13" s="53" t="s">
        <v>198</v>
      </c>
      <c r="H13" s="53" t="s">
        <v>215</v>
      </c>
    </row>
    <row r="14" spans="2:11" x14ac:dyDescent="0.3">
      <c r="B14" s="52"/>
      <c r="C14" s="52"/>
      <c r="D14" s="53"/>
      <c r="E14" s="53"/>
      <c r="F14" s="53"/>
      <c r="G14" s="53" t="s">
        <v>199</v>
      </c>
      <c r="H14" s="53" t="s">
        <v>216</v>
      </c>
    </row>
    <row r="15" spans="2:11" x14ac:dyDescent="0.3">
      <c r="B15" s="52"/>
      <c r="C15" s="52"/>
      <c r="D15" s="53"/>
      <c r="E15" s="53"/>
      <c r="F15" s="53"/>
      <c r="G15" s="53" t="s">
        <v>200</v>
      </c>
      <c r="H15" s="53" t="s">
        <v>217</v>
      </c>
    </row>
    <row r="16" spans="2:11" x14ac:dyDescent="0.3">
      <c r="B16" s="52"/>
      <c r="C16" s="52"/>
      <c r="D16" s="53"/>
      <c r="E16" s="53"/>
      <c r="F16" s="53"/>
      <c r="G16" s="53" t="s">
        <v>201</v>
      </c>
      <c r="H16" s="53" t="s">
        <v>218</v>
      </c>
    </row>
    <row r="17" spans="2:8" x14ac:dyDescent="0.3">
      <c r="B17" s="52"/>
      <c r="C17" s="52"/>
      <c r="D17" s="53"/>
      <c r="E17" s="53"/>
      <c r="F17" s="53"/>
      <c r="G17" s="53" t="s">
        <v>202</v>
      </c>
      <c r="H17" s="53" t="s">
        <v>219</v>
      </c>
    </row>
    <row r="18" spans="2:8" x14ac:dyDescent="0.3">
      <c r="B18" s="52"/>
      <c r="C18" s="52"/>
      <c r="D18" s="53"/>
      <c r="E18" s="53"/>
      <c r="F18" s="53"/>
      <c r="G18" s="53" t="s">
        <v>203</v>
      </c>
      <c r="H18" s="53" t="s">
        <v>220</v>
      </c>
    </row>
    <row r="24" spans="2:8" x14ac:dyDescent="0.3">
      <c r="C24" t="s">
        <v>164</v>
      </c>
    </row>
    <row r="25" spans="2:8" x14ac:dyDescent="0.3">
      <c r="C25" t="s">
        <v>222</v>
      </c>
    </row>
    <row r="26" spans="2:8" x14ac:dyDescent="0.3">
      <c r="C26" t="s">
        <v>223</v>
      </c>
    </row>
    <row r="27" spans="2:8" x14ac:dyDescent="0.3">
      <c r="C27" t="s">
        <v>224</v>
      </c>
    </row>
    <row r="28" spans="2:8" x14ac:dyDescent="0.3">
      <c r="C28" t="s">
        <v>225</v>
      </c>
    </row>
    <row r="29" spans="2:8" x14ac:dyDescent="0.3">
      <c r="C29" t="s">
        <v>226</v>
      </c>
    </row>
    <row r="30" spans="2:8" x14ac:dyDescent="0.3">
      <c r="C30" t="s">
        <v>164</v>
      </c>
    </row>
    <row r="33" spans="3:11" x14ac:dyDescent="0.3">
      <c r="J33">
        <v>1</v>
      </c>
      <c r="K33">
        <v>2</v>
      </c>
    </row>
    <row r="34" spans="3:11" x14ac:dyDescent="0.3">
      <c r="C34" s="54" t="s">
        <v>231</v>
      </c>
      <c r="D34" s="53" t="s">
        <v>229</v>
      </c>
      <c r="E34" s="53" t="s">
        <v>234</v>
      </c>
      <c r="F34" s="53" t="s">
        <v>232</v>
      </c>
      <c r="G34" s="53" t="s">
        <v>233</v>
      </c>
      <c r="H34" s="53" t="s">
        <v>235</v>
      </c>
      <c r="J34" t="s">
        <v>189</v>
      </c>
      <c r="K34" t="s">
        <v>205</v>
      </c>
    </row>
    <row r="35" spans="3:11" x14ac:dyDescent="0.3">
      <c r="C35" s="52" t="s">
        <v>230</v>
      </c>
      <c r="D35" s="53" t="s">
        <v>165</v>
      </c>
      <c r="E35" s="53" t="s">
        <v>239</v>
      </c>
      <c r="F35" s="53" t="s">
        <v>241</v>
      </c>
      <c r="G35" s="53" t="s">
        <v>243</v>
      </c>
      <c r="H35" s="53"/>
    </row>
    <row r="36" spans="3:11" x14ac:dyDescent="0.3">
      <c r="C36" s="52"/>
      <c r="D36" s="53" t="s">
        <v>236</v>
      </c>
      <c r="E36" s="53" t="s">
        <v>240</v>
      </c>
      <c r="F36" s="53" t="s">
        <v>242</v>
      </c>
      <c r="G36" s="53" t="s">
        <v>244</v>
      </c>
      <c r="H36" s="53"/>
    </row>
    <row r="37" spans="3:11" x14ac:dyDescent="0.3">
      <c r="C37" s="52"/>
      <c r="D37" s="53" t="s">
        <v>237</v>
      </c>
      <c r="E37" s="53"/>
      <c r="F37" s="53"/>
      <c r="G37" s="53" t="s">
        <v>245</v>
      </c>
      <c r="H37" s="53"/>
    </row>
    <row r="38" spans="3:11" x14ac:dyDescent="0.3">
      <c r="C38" s="52"/>
      <c r="D38" s="53" t="s">
        <v>238</v>
      </c>
      <c r="E38" s="53"/>
      <c r="F38" s="53"/>
      <c r="G38" s="53" t="s">
        <v>245</v>
      </c>
      <c r="H38" s="53"/>
    </row>
    <row r="39" spans="3:11" x14ac:dyDescent="0.3">
      <c r="C39" s="52"/>
      <c r="D39" s="53"/>
      <c r="E39" s="53"/>
      <c r="F39" s="53"/>
      <c r="G39" s="53" t="s">
        <v>246</v>
      </c>
      <c r="H39" s="53"/>
    </row>
    <row r="40" spans="3:11" x14ac:dyDescent="0.3">
      <c r="C40" s="52"/>
      <c r="D40" s="53"/>
      <c r="E40" s="53"/>
      <c r="F40" s="53"/>
      <c r="G40" s="53" t="s">
        <v>247</v>
      </c>
      <c r="H40" s="53"/>
    </row>
    <row r="41" spans="3:11" x14ac:dyDescent="0.3">
      <c r="C41" s="52"/>
      <c r="D41" s="53"/>
      <c r="E41" s="53"/>
      <c r="F41" s="53"/>
      <c r="G41" s="53"/>
      <c r="H41" s="53"/>
    </row>
    <row r="43" spans="3:11" x14ac:dyDescent="0.3">
      <c r="C43" t="s">
        <v>248</v>
      </c>
    </row>
    <row r="44" spans="3:11" x14ac:dyDescent="0.3">
      <c r="C44" t="s">
        <v>167</v>
      </c>
      <c r="D44" t="s">
        <v>249</v>
      </c>
    </row>
    <row r="45" spans="3:11" x14ac:dyDescent="0.3">
      <c r="D45" t="s">
        <v>250</v>
      </c>
    </row>
    <row r="46" spans="3:11" x14ac:dyDescent="0.3">
      <c r="D46" t="s">
        <v>251</v>
      </c>
    </row>
    <row r="47" spans="3:11" x14ac:dyDescent="0.3">
      <c r="D47" t="s">
        <v>252</v>
      </c>
    </row>
    <row r="48" spans="3:11" x14ac:dyDescent="0.3">
      <c r="D48" t="s">
        <v>253</v>
      </c>
    </row>
    <row r="49" spans="3:4" x14ac:dyDescent="0.3">
      <c r="C49" t="s">
        <v>174</v>
      </c>
      <c r="D49" t="s">
        <v>254</v>
      </c>
    </row>
    <row r="50" spans="3:4" x14ac:dyDescent="0.3">
      <c r="D50" t="s">
        <v>255</v>
      </c>
    </row>
    <row r="51" spans="3:4" x14ac:dyDescent="0.3">
      <c r="D51" t="s">
        <v>256</v>
      </c>
    </row>
    <row r="52" spans="3:4" x14ac:dyDescent="0.3">
      <c r="D52" t="s">
        <v>259</v>
      </c>
    </row>
    <row r="53" spans="3:4" x14ac:dyDescent="0.3">
      <c r="D53" t="s">
        <v>257</v>
      </c>
    </row>
    <row r="54" spans="3:4" x14ac:dyDescent="0.3">
      <c r="D54" t="s">
        <v>258</v>
      </c>
    </row>
    <row r="55" spans="3:4" x14ac:dyDescent="0.3">
      <c r="D55" t="s">
        <v>260</v>
      </c>
    </row>
    <row r="56" spans="3:4" x14ac:dyDescent="0.3">
      <c r="D56" t="s">
        <v>261</v>
      </c>
    </row>
    <row r="57" spans="3:4" x14ac:dyDescent="0.3">
      <c r="D57" t="s">
        <v>262</v>
      </c>
    </row>
    <row r="58" spans="3:4" x14ac:dyDescent="0.3">
      <c r="D58" t="s">
        <v>264</v>
      </c>
    </row>
    <row r="59" spans="3:4" x14ac:dyDescent="0.3">
      <c r="D59" t="s">
        <v>273</v>
      </c>
    </row>
    <row r="60" spans="3:4" x14ac:dyDescent="0.3">
      <c r="C60" t="s">
        <v>189</v>
      </c>
      <c r="D60" t="s">
        <v>265</v>
      </c>
    </row>
    <row r="61" spans="3:4" x14ac:dyDescent="0.3">
      <c r="D61" t="s">
        <v>263</v>
      </c>
    </row>
    <row r="62" spans="3:4" x14ac:dyDescent="0.3">
      <c r="D62" t="s">
        <v>253</v>
      </c>
    </row>
    <row r="63" spans="3:4" x14ac:dyDescent="0.3">
      <c r="D63" t="s">
        <v>266</v>
      </c>
    </row>
    <row r="64" spans="3:4" x14ac:dyDescent="0.3">
      <c r="D64" t="s">
        <v>267</v>
      </c>
    </row>
    <row r="65" spans="3:4" x14ac:dyDescent="0.3">
      <c r="D65" t="s">
        <v>268</v>
      </c>
    </row>
    <row r="66" spans="3:4" x14ac:dyDescent="0.3">
      <c r="D66" t="s">
        <v>269</v>
      </c>
    </row>
    <row r="67" spans="3:4" x14ac:dyDescent="0.3">
      <c r="C67" t="s">
        <v>184</v>
      </c>
      <c r="D67" t="s">
        <v>270</v>
      </c>
    </row>
    <row r="68" spans="3:4" x14ac:dyDescent="0.3">
      <c r="D68" t="s">
        <v>271</v>
      </c>
    </row>
    <row r="69" spans="3:4" x14ac:dyDescent="0.3">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5">
        <v>1</v>
      </c>
      <c r="C2" s="57" t="s">
        <v>279</v>
      </c>
    </row>
    <row r="3" spans="2:3" x14ac:dyDescent="0.3">
      <c r="B3" s="55">
        <v>2</v>
      </c>
      <c r="C3" s="56" t="s">
        <v>280</v>
      </c>
    </row>
    <row r="4" spans="2:3" x14ac:dyDescent="0.3">
      <c r="B4" s="55">
        <v>3</v>
      </c>
      <c r="C4" s="55" t="s">
        <v>281</v>
      </c>
    </row>
    <row r="5" spans="2:3" x14ac:dyDescent="0.3">
      <c r="B5" s="55">
        <v>4</v>
      </c>
      <c r="C5" s="56" t="s">
        <v>282</v>
      </c>
    </row>
    <row r="6" spans="2:3" x14ac:dyDescent="0.3">
      <c r="B6" s="55">
        <v>5</v>
      </c>
      <c r="C6" s="55" t="s">
        <v>283</v>
      </c>
    </row>
    <row r="7" spans="2:3" ht="28.8" x14ac:dyDescent="0.3">
      <c r="B7" s="55">
        <v>6</v>
      </c>
      <c r="C7" s="56" t="s">
        <v>284</v>
      </c>
    </row>
    <row r="8" spans="2:3" ht="72" x14ac:dyDescent="0.3">
      <c r="B8" s="55">
        <v>7</v>
      </c>
      <c r="C8" s="56" t="s">
        <v>285</v>
      </c>
    </row>
    <row r="9" spans="2:3" x14ac:dyDescent="0.3">
      <c r="B9" s="55">
        <v>8</v>
      </c>
      <c r="C9" s="55" t="s">
        <v>286</v>
      </c>
    </row>
    <row r="10" spans="2:3" x14ac:dyDescent="0.3">
      <c r="B10" s="55">
        <v>9</v>
      </c>
      <c r="C10" s="55" t="s">
        <v>287</v>
      </c>
    </row>
    <row r="11" spans="2:3" x14ac:dyDescent="0.3">
      <c r="B11" s="55">
        <v>10</v>
      </c>
      <c r="C11" s="55" t="s">
        <v>288</v>
      </c>
    </row>
    <row r="12" spans="2:3" x14ac:dyDescent="0.3">
      <c r="B12" s="55">
        <v>11</v>
      </c>
      <c r="C12" s="55" t="s">
        <v>289</v>
      </c>
    </row>
    <row r="13" spans="2:3" x14ac:dyDescent="0.3">
      <c r="B13" s="55">
        <v>12</v>
      </c>
      <c r="C13" s="55" t="s">
        <v>290</v>
      </c>
    </row>
    <row r="14" spans="2:3" x14ac:dyDescent="0.3">
      <c r="B14" s="55">
        <v>13</v>
      </c>
      <c r="C14" s="55" t="s">
        <v>291</v>
      </c>
    </row>
    <row r="15" spans="2:3" x14ac:dyDescent="0.3">
      <c r="B15" s="55">
        <v>14</v>
      </c>
      <c r="C15" s="55" t="s">
        <v>281</v>
      </c>
    </row>
    <row r="16" spans="2:3" x14ac:dyDescent="0.3">
      <c r="B16" s="55">
        <v>15</v>
      </c>
      <c r="C16" s="55" t="s">
        <v>293</v>
      </c>
    </row>
    <row r="17" spans="2:3" ht="31.5" customHeight="1" x14ac:dyDescent="0.3">
      <c r="B17" s="60">
        <v>16</v>
      </c>
      <c r="C17" s="62" t="s">
        <v>294</v>
      </c>
    </row>
    <row r="18" spans="2:3" x14ac:dyDescent="0.3">
      <c r="B18" s="61">
        <v>17</v>
      </c>
      <c r="C18" s="62" t="s">
        <v>295</v>
      </c>
    </row>
    <row r="19" spans="2:3" x14ac:dyDescent="0.3">
      <c r="B19" s="60">
        <v>18</v>
      </c>
      <c r="C19" s="55" t="s">
        <v>296</v>
      </c>
    </row>
    <row r="20" spans="2:3" x14ac:dyDescent="0.3">
      <c r="B20" s="61">
        <v>19</v>
      </c>
      <c r="C20" s="55"/>
    </row>
    <row r="21" spans="2:3" x14ac:dyDescent="0.3">
      <c r="B21" s="55">
        <v>20</v>
      </c>
      <c r="C21" s="55"/>
    </row>
    <row r="22" spans="2:3" x14ac:dyDescent="0.3">
      <c r="B22" s="55"/>
      <c r="C22" s="55"/>
    </row>
    <row r="23" spans="2:3" x14ac:dyDescent="0.3">
      <c r="B23" s="55"/>
      <c r="C23" s="55"/>
    </row>
    <row r="24" spans="2:3" x14ac:dyDescent="0.3">
      <c r="B24" s="55"/>
      <c r="C24" s="55"/>
    </row>
    <row r="25" spans="2:3" x14ac:dyDescent="0.3">
      <c r="B25" s="55"/>
      <c r="C25" s="55"/>
    </row>
    <row r="26" spans="2:3" x14ac:dyDescent="0.3">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2025-09-17T09:39:39Z</cp:lastPrinted>
  <dcterms:created xsi:type="dcterms:W3CDTF">2019-07-16T09:29:46Z</dcterms:created>
  <dcterms:modified xsi:type="dcterms:W3CDTF">2025-09-17T09:41:30Z</dcterms:modified>
</cp:coreProperties>
</file>