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7AAD6914-EE5F-4966-A6FF-A4425ED0D237}"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Report!$A$1:$H$571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5" i="1" l="1"/>
  <c r="D385" i="1"/>
  <c r="D384" i="1"/>
  <c r="D383" i="1"/>
  <c r="D382" i="1"/>
  <c r="D381" i="1"/>
  <c r="D380" i="1"/>
  <c r="D379" i="1"/>
  <c r="D378" i="1"/>
  <c r="D376" i="1"/>
  <c r="D375" i="1"/>
  <c r="D374" i="1"/>
  <c r="D373" i="1"/>
  <c r="D372" i="1"/>
  <c r="D371" i="1"/>
  <c r="D370" i="1"/>
  <c r="D369" i="1"/>
  <c r="D367" i="1"/>
  <c r="D366" i="1"/>
  <c r="D365" i="1"/>
  <c r="D364" i="1"/>
  <c r="D363" i="1"/>
  <c r="D362" i="1"/>
  <c r="D361" i="1"/>
  <c r="D360" i="1"/>
  <c r="D358" i="1"/>
  <c r="D357"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3" i="1"/>
  <c r="D322" i="1"/>
  <c r="D321" i="1"/>
  <c r="D320" i="1"/>
  <c r="D319" i="1"/>
  <c r="D318" i="1"/>
  <c r="D317" i="1"/>
  <c r="D316" i="1"/>
  <c r="D315" i="1"/>
  <c r="D314" i="1"/>
  <c r="D313" i="1"/>
  <c r="D312" i="1"/>
  <c r="D311" i="1"/>
  <c r="D310" i="1"/>
  <c r="D309" i="1"/>
  <c r="D308" i="1"/>
  <c r="D307" i="1"/>
  <c r="D306" i="1"/>
  <c r="D305" i="1"/>
  <c r="D304" i="1"/>
  <c r="D299" i="1"/>
  <c r="D298" i="1"/>
  <c r="D297" i="1"/>
  <c r="D294" i="1"/>
  <c r="D293" i="1"/>
  <c r="D292" i="1"/>
  <c r="D291" i="1"/>
  <c r="D290" i="1"/>
  <c r="D289" i="1"/>
  <c r="D288" i="1"/>
  <c r="D287" i="1"/>
  <c r="D286" i="1"/>
  <c r="D285" i="1"/>
  <c r="D284" i="1"/>
  <c r="D283" i="1"/>
  <c r="D282" i="1"/>
  <c r="D281" i="1"/>
  <c r="D280" i="1"/>
  <c r="D279" i="1"/>
  <c r="D278" i="1"/>
  <c r="D277" i="1"/>
  <c r="D276" i="1"/>
  <c r="D275" i="1"/>
  <c r="D271" i="1"/>
  <c r="D270" i="1"/>
  <c r="D269" i="1"/>
  <c r="D268" i="1"/>
  <c r="D267" i="1"/>
  <c r="F323" i="1" l="1"/>
  <c r="H323" i="1" s="1"/>
  <c r="F322" i="1"/>
  <c r="H322" i="1" s="1"/>
  <c r="F321" i="1"/>
  <c r="H321" i="1" s="1"/>
  <c r="F318" i="1"/>
  <c r="H318" i="1" s="1"/>
  <c r="F317" i="1"/>
  <c r="H317" i="1" s="1"/>
  <c r="F316" i="1"/>
  <c r="H316" i="1" s="1"/>
  <c r="J316" i="1" s="1"/>
  <c r="F315" i="1"/>
  <c r="H315" i="1" s="1"/>
  <c r="F314" i="1"/>
  <c r="H314" i="1" s="1"/>
  <c r="F313" i="1"/>
  <c r="H313" i="1" s="1"/>
  <c r="F310" i="1"/>
  <c r="H310" i="1" s="1"/>
  <c r="F309" i="1"/>
  <c r="H309" i="1" s="1"/>
  <c r="F308" i="1"/>
  <c r="H308" i="1" s="1"/>
  <c r="F307" i="1"/>
  <c r="H307" i="1" s="1"/>
  <c r="F306" i="1"/>
  <c r="H306" i="1" s="1"/>
  <c r="J306" i="1" s="1"/>
  <c r="F299" i="1"/>
  <c r="H299" i="1" s="1"/>
  <c r="F298" i="1"/>
  <c r="H298" i="1" s="1"/>
  <c r="J298" i="1" s="1"/>
  <c r="F297" i="1"/>
  <c r="H297" i="1" s="1"/>
  <c r="J297" i="1" s="1"/>
  <c r="F294" i="1"/>
  <c r="H294" i="1" s="1"/>
  <c r="F293" i="1"/>
  <c r="H293" i="1" s="1"/>
  <c r="F283" i="1"/>
  <c r="H283" i="1" s="1"/>
  <c r="F282" i="1"/>
  <c r="H282" i="1" s="1"/>
  <c r="F275" i="1"/>
  <c r="H275" i="1" s="1"/>
  <c r="F311" i="1"/>
  <c r="H311" i="1" s="1"/>
  <c r="F312" i="1"/>
  <c r="H312" i="1" s="1"/>
  <c r="F319" i="1"/>
  <c r="H319" i="1" s="1"/>
  <c r="F320" i="1"/>
  <c r="H320" i="1" s="1"/>
  <c r="F271" i="1"/>
  <c r="H271" i="1" s="1"/>
  <c r="I328" i="1"/>
  <c r="I327" i="1"/>
  <c r="F270" i="1"/>
  <c r="H270" i="1" s="1"/>
  <c r="F305" i="1"/>
  <c r="H305" i="1" s="1"/>
  <c r="F304" i="1"/>
  <c r="H304" i="1" s="1"/>
  <c r="E44" i="1" l="1"/>
  <c r="D262" i="1" l="1"/>
  <c r="D261" i="1"/>
  <c r="D260" i="1"/>
  <c r="D259" i="1"/>
  <c r="D257" i="1"/>
  <c r="D256" i="1"/>
  <c r="D255" i="1"/>
  <c r="D254" i="1"/>
  <c r="D253" i="1"/>
  <c r="D252" i="1"/>
  <c r="D251" i="1"/>
  <c r="D249" i="1"/>
  <c r="D248" i="1"/>
  <c r="D247" i="1"/>
  <c r="D246" i="1"/>
  <c r="D245" i="1"/>
  <c r="D244" i="1"/>
  <c r="D243" i="1"/>
  <c r="D242" i="1"/>
  <c r="D241" i="1"/>
  <c r="D240" i="1"/>
  <c r="D239"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0" i="1"/>
  <c r="D206" i="1"/>
  <c r="D205" i="1"/>
  <c r="D204" i="1"/>
  <c r="D201" i="1"/>
  <c r="D200" i="1"/>
  <c r="D199" i="1"/>
  <c r="D198" i="1"/>
  <c r="D197" i="1"/>
  <c r="D196" i="1"/>
  <c r="D195" i="1"/>
  <c r="D194" i="1"/>
  <c r="D193" i="1"/>
  <c r="D192" i="1"/>
  <c r="D191" i="1"/>
  <c r="D190" i="1"/>
  <c r="D189" i="1"/>
  <c r="D188" i="1"/>
  <c r="D187" i="1"/>
  <c r="D186" i="1"/>
  <c r="D183" i="1"/>
  <c r="D182" i="1"/>
  <c r="D181" i="1"/>
  <c r="D180" i="1"/>
  <c r="D179" i="1"/>
  <c r="D178" i="1"/>
  <c r="D177" i="1"/>
  <c r="D176" i="1"/>
  <c r="G171" i="1"/>
  <c r="G170" i="1"/>
  <c r="G169" i="1"/>
  <c r="D174" i="1"/>
  <c r="D173" i="1"/>
  <c r="D172" i="1"/>
  <c r="D171" i="1"/>
  <c r="D170" i="1"/>
  <c r="D169" i="1"/>
  <c r="D168" i="1"/>
  <c r="D167" i="1"/>
  <c r="D166" i="1"/>
  <c r="G163" i="1"/>
  <c r="G162" i="1"/>
  <c r="G161" i="1"/>
  <c r="G160" i="1"/>
  <c r="D164" i="1"/>
  <c r="D163" i="1"/>
  <c r="D162" i="1"/>
  <c r="D161" i="1"/>
  <c r="D160" i="1"/>
  <c r="I193" i="1"/>
  <c r="I212" i="1"/>
  <c r="F261" i="1" l="1"/>
  <c r="H261" i="1" s="1"/>
  <c r="F252" i="1"/>
  <c r="H252" i="1" s="1"/>
  <c r="F244" i="1"/>
  <c r="H244" i="1" s="1"/>
  <c r="F243" i="1"/>
  <c r="H243" i="1" s="1"/>
  <c r="F233" i="1"/>
  <c r="H233" i="1" s="1"/>
  <c r="F235" i="1"/>
  <c r="H235" i="1" s="1"/>
  <c r="F230" i="1"/>
  <c r="H230" i="1" s="1"/>
  <c r="F228" i="1"/>
  <c r="H228" i="1" s="1"/>
  <c r="F224" i="1"/>
  <c r="H224" i="1" s="1"/>
  <c r="F223" i="1"/>
  <c r="H223" i="1" s="1"/>
  <c r="F219" i="1"/>
  <c r="H219" i="1" s="1"/>
  <c r="F214" i="1"/>
  <c r="H214" i="1" s="1"/>
  <c r="F212" i="1"/>
  <c r="H212" i="1" s="1"/>
  <c r="F204" i="1"/>
  <c r="H204" i="1" s="1"/>
  <c r="F201" i="1"/>
  <c r="H201" i="1" s="1"/>
  <c r="F200" i="1"/>
  <c r="H200" i="1" s="1"/>
  <c r="F195" i="1"/>
  <c r="H195" i="1" s="1"/>
  <c r="F194" i="1"/>
  <c r="H194" i="1" s="1"/>
  <c r="F192" i="1"/>
  <c r="H192" i="1" s="1"/>
  <c r="F186" i="1"/>
  <c r="H186" i="1" s="1"/>
  <c r="F183" i="1"/>
  <c r="H183" i="1" s="1"/>
  <c r="F182" i="1"/>
  <c r="H182" i="1" s="1"/>
  <c r="F180" i="1"/>
  <c r="H180" i="1" s="1"/>
  <c r="F178" i="1"/>
  <c r="H178" i="1" s="1"/>
  <c r="F177" i="1"/>
  <c r="H177" i="1" s="1"/>
  <c r="F176" i="1"/>
  <c r="H176" i="1" s="1"/>
  <c r="F173" i="1"/>
  <c r="H173" i="1" s="1"/>
  <c r="F172" i="1"/>
  <c r="H172" i="1" s="1"/>
  <c r="F171" i="1"/>
  <c r="H171" i="1" s="1"/>
  <c r="F170" i="1"/>
  <c r="H170" i="1" s="1"/>
  <c r="F169" i="1"/>
  <c r="H169" i="1" s="1"/>
  <c r="F167" i="1"/>
  <c r="H167" i="1" s="1"/>
  <c r="F163" i="1"/>
  <c r="H163" i="1" s="1"/>
  <c r="F166" i="1"/>
  <c r="H166" i="1" s="1"/>
  <c r="F162" i="1"/>
  <c r="H162" i="1" s="1"/>
  <c r="F161" i="1"/>
  <c r="H161" i="1" s="1"/>
  <c r="F160" i="1"/>
  <c r="F262" i="1"/>
  <c r="H262" i="1" s="1"/>
  <c r="F260" i="1"/>
  <c r="H260" i="1" s="1"/>
  <c r="F259" i="1"/>
  <c r="H259" i="1" s="1"/>
  <c r="F257" i="1"/>
  <c r="H257" i="1" s="1"/>
  <c r="F256" i="1"/>
  <c r="H256" i="1" s="1"/>
  <c r="F255" i="1"/>
  <c r="H255" i="1" s="1"/>
  <c r="F254" i="1"/>
  <c r="H254" i="1" s="1"/>
  <c r="F253" i="1"/>
  <c r="H253" i="1" s="1"/>
  <c r="F251" i="1"/>
  <c r="H251" i="1" s="1"/>
  <c r="F249" i="1"/>
  <c r="H249" i="1" s="1"/>
  <c r="F248" i="1"/>
  <c r="H248" i="1" s="1"/>
  <c r="F247" i="1"/>
  <c r="H247" i="1" s="1"/>
  <c r="F246" i="1"/>
  <c r="H246" i="1" s="1"/>
  <c r="F245" i="1"/>
  <c r="H245" i="1" s="1"/>
  <c r="F242" i="1"/>
  <c r="H242" i="1" s="1"/>
  <c r="F241" i="1"/>
  <c r="H241" i="1" s="1"/>
  <c r="F240" i="1"/>
  <c r="H240" i="1" s="1"/>
  <c r="F239" i="1"/>
  <c r="H239" i="1" s="1"/>
  <c r="F236" i="1"/>
  <c r="H236" i="1" s="1"/>
  <c r="F234" i="1"/>
  <c r="H234" i="1" s="1"/>
  <c r="F232" i="1"/>
  <c r="H232" i="1" s="1"/>
  <c r="F231" i="1"/>
  <c r="H231" i="1" s="1"/>
  <c r="F229" i="1"/>
  <c r="H229" i="1" s="1"/>
  <c r="F227" i="1"/>
  <c r="H227" i="1" s="1"/>
  <c r="F226" i="1"/>
  <c r="H226" i="1" s="1"/>
  <c r="F225" i="1"/>
  <c r="H225" i="1" s="1"/>
  <c r="F222" i="1"/>
  <c r="H222" i="1" s="1"/>
  <c r="F221" i="1"/>
  <c r="H221" i="1" s="1"/>
  <c r="F220" i="1"/>
  <c r="H220" i="1" s="1"/>
  <c r="F218" i="1"/>
  <c r="H218" i="1" s="1"/>
  <c r="F217" i="1"/>
  <c r="H217" i="1" s="1"/>
  <c r="F216" i="1"/>
  <c r="H216" i="1" s="1"/>
  <c r="F215" i="1"/>
  <c r="H215" i="1" s="1"/>
  <c r="F213" i="1"/>
  <c r="H213" i="1" s="1"/>
  <c r="F210" i="1"/>
  <c r="H210" i="1" s="1"/>
  <c r="F206" i="1"/>
  <c r="H206" i="1" s="1"/>
  <c r="F205" i="1"/>
  <c r="H205" i="1" s="1"/>
  <c r="F199" i="1"/>
  <c r="H199" i="1" s="1"/>
  <c r="F198" i="1"/>
  <c r="H198" i="1" s="1"/>
  <c r="F197" i="1"/>
  <c r="H197" i="1" s="1"/>
  <c r="F196" i="1"/>
  <c r="H196" i="1" s="1"/>
  <c r="F193" i="1"/>
  <c r="H193" i="1" s="1"/>
  <c r="F191" i="1"/>
  <c r="H191" i="1" s="1"/>
  <c r="F190" i="1"/>
  <c r="H190" i="1" s="1"/>
  <c r="F189" i="1"/>
  <c r="H189" i="1" s="1"/>
  <c r="F188" i="1"/>
  <c r="H188" i="1" s="1"/>
  <c r="F187" i="1"/>
  <c r="H187" i="1" s="1"/>
  <c r="F181" i="1"/>
  <c r="H181" i="1" s="1"/>
  <c r="F179" i="1"/>
  <c r="H179" i="1" s="1"/>
  <c r="F174" i="1"/>
  <c r="H174" i="1" s="1"/>
  <c r="F168" i="1"/>
  <c r="H168" i="1" s="1"/>
  <c r="F164" i="1"/>
  <c r="H164" i="1" s="1"/>
  <c r="D154" i="1"/>
  <c r="F154" i="1" s="1"/>
  <c r="H154" i="1" s="1"/>
  <c r="E153" i="1"/>
  <c r="D153" i="1"/>
  <c r="E152" i="1"/>
  <c r="D152" i="1"/>
  <c r="E151" i="1"/>
  <c r="D151" i="1"/>
  <c r="E150" i="1"/>
  <c r="D150" i="1"/>
  <c r="D149" i="1"/>
  <c r="F149" i="1" s="1"/>
  <c r="H149" i="1" s="1"/>
  <c r="E148" i="1"/>
  <c r="D148" i="1"/>
  <c r="E147" i="1"/>
  <c r="D147" i="1"/>
  <c r="E146" i="1"/>
  <c r="D146" i="1"/>
  <c r="E145" i="1"/>
  <c r="D145" i="1"/>
  <c r="D144" i="1"/>
  <c r="F144" i="1" s="1"/>
  <c r="H144" i="1" s="1"/>
  <c r="D143" i="1"/>
  <c r="F143" i="1" s="1"/>
  <c r="H143" i="1" s="1"/>
  <c r="E142" i="1"/>
  <c r="D142" i="1"/>
  <c r="E141" i="1"/>
  <c r="D141" i="1"/>
  <c r="D140" i="1"/>
  <c r="F140" i="1" s="1"/>
  <c r="H140" i="1" s="1"/>
  <c r="E139" i="1"/>
  <c r="D139" i="1"/>
  <c r="E138" i="1"/>
  <c r="D138" i="1"/>
  <c r="D137" i="1"/>
  <c r="E136" i="1"/>
  <c r="D136" i="1"/>
  <c r="E135" i="1"/>
  <c r="D135" i="1"/>
  <c r="D134" i="1"/>
  <c r="C77" i="1"/>
  <c r="C52" i="1"/>
  <c r="G54" i="1"/>
  <c r="C54" i="1"/>
  <c r="H78" i="1"/>
  <c r="C124" i="1" l="1"/>
  <c r="F148" i="1"/>
  <c r="H148" i="1" s="1"/>
  <c r="F153" i="1"/>
  <c r="H153" i="1" s="1"/>
  <c r="F139" i="1"/>
  <c r="H139" i="1" s="1"/>
  <c r="H160" i="1"/>
  <c r="G124" i="1" s="1"/>
  <c r="E124" i="1"/>
  <c r="F141" i="1"/>
  <c r="H141" i="1" s="1"/>
  <c r="F138" i="1"/>
  <c r="H138" i="1" s="1"/>
  <c r="F147" i="1"/>
  <c r="H147" i="1" s="1"/>
  <c r="F152" i="1"/>
  <c r="H152" i="1" s="1"/>
  <c r="F150" i="1"/>
  <c r="H150" i="1" s="1"/>
  <c r="F145" i="1"/>
  <c r="H145" i="1" s="1"/>
  <c r="F146" i="1"/>
  <c r="H146" i="1" s="1"/>
  <c r="F142" i="1"/>
  <c r="H142" i="1" s="1"/>
  <c r="F151" i="1"/>
  <c r="H151" i="1" s="1"/>
  <c r="D89" i="1"/>
  <c r="D85" i="1"/>
  <c r="J81" i="1"/>
  <c r="J77" i="1"/>
  <c r="J79" i="1" s="1"/>
  <c r="D88" i="1"/>
  <c r="D84" i="1"/>
  <c r="J80" i="1"/>
  <c r="D86" i="1"/>
  <c r="D87" i="1"/>
  <c r="D83" i="1"/>
  <c r="J82" i="1"/>
  <c r="C81" i="1" s="1"/>
  <c r="D90" i="1"/>
  <c r="B78" i="1"/>
  <c r="J88" i="1" l="1"/>
  <c r="J86" i="1"/>
  <c r="J87" i="1"/>
  <c r="J83" i="1"/>
  <c r="J85" i="1"/>
  <c r="D81" i="1"/>
  <c r="C17" i="1"/>
  <c r="J84" i="1" l="1"/>
  <c r="J89" i="1" s="1"/>
  <c r="J90" i="1" s="1"/>
  <c r="C82" i="1"/>
  <c r="E81" i="1" s="1"/>
  <c r="J78" i="1"/>
  <c r="G81" i="1" l="1"/>
  <c r="D82" i="1"/>
  <c r="I78" i="1" s="1"/>
  <c r="I79" i="1" s="1"/>
  <c r="I77" i="1" s="1"/>
  <c r="C79" i="1" s="1"/>
  <c r="F385" i="1"/>
  <c r="H385" i="1" s="1"/>
  <c r="F383" i="1"/>
  <c r="H383" i="1" s="1"/>
  <c r="F382" i="1"/>
  <c r="H382" i="1" s="1"/>
  <c r="F381" i="1"/>
  <c r="H381" i="1" s="1"/>
  <c r="F380" i="1"/>
  <c r="H380" i="1" s="1"/>
  <c r="F379" i="1"/>
  <c r="H379" i="1" s="1"/>
  <c r="F376" i="1"/>
  <c r="H376" i="1" s="1"/>
  <c r="F374" i="1"/>
  <c r="H374" i="1" s="1"/>
  <c r="F373" i="1"/>
  <c r="H373" i="1" s="1"/>
  <c r="F372" i="1"/>
  <c r="H372" i="1" s="1"/>
  <c r="F371" i="1"/>
  <c r="H371" i="1" s="1"/>
  <c r="F370" i="1"/>
  <c r="H370" i="1" s="1"/>
  <c r="F369" i="1"/>
  <c r="H369" i="1" s="1"/>
  <c r="F367" i="1"/>
  <c r="H367" i="1" s="1"/>
  <c r="F365" i="1"/>
  <c r="H365" i="1" s="1"/>
  <c r="F363" i="1"/>
  <c r="H363" i="1" s="1"/>
  <c r="F362" i="1"/>
  <c r="H362" i="1" s="1"/>
  <c r="F361" i="1"/>
  <c r="H361" i="1" s="1"/>
  <c r="F360" i="1"/>
  <c r="H360" i="1" s="1"/>
  <c r="F358" i="1"/>
  <c r="H358" i="1" s="1"/>
  <c r="F355" i="1"/>
  <c r="H355" i="1" s="1"/>
  <c r="F354" i="1"/>
  <c r="H354" i="1" s="1"/>
  <c r="F353" i="1"/>
  <c r="H353" i="1" s="1"/>
  <c r="F351" i="1"/>
  <c r="H351" i="1" s="1"/>
  <c r="F350" i="1"/>
  <c r="H350" i="1" s="1"/>
  <c r="F349" i="1"/>
  <c r="H349" i="1" s="1"/>
  <c r="F348" i="1"/>
  <c r="H348" i="1" s="1"/>
  <c r="F347" i="1"/>
  <c r="H347" i="1" s="1"/>
  <c r="F346" i="1"/>
  <c r="H346" i="1" s="1"/>
  <c r="F345" i="1"/>
  <c r="H345" i="1" s="1"/>
  <c r="F344" i="1"/>
  <c r="H344" i="1" s="1"/>
  <c r="F343" i="1"/>
  <c r="H343" i="1" s="1"/>
  <c r="F341" i="1"/>
  <c r="H341" i="1" s="1"/>
  <c r="F339" i="1"/>
  <c r="H339" i="1" s="1"/>
  <c r="F338" i="1"/>
  <c r="H338" i="1" s="1"/>
  <c r="F337" i="1"/>
  <c r="H337" i="1" s="1"/>
  <c r="F336" i="1"/>
  <c r="H336" i="1" s="1"/>
  <c r="F335" i="1"/>
  <c r="H335" i="1" s="1"/>
  <c r="F333" i="1"/>
  <c r="H333" i="1" s="1"/>
  <c r="F331" i="1"/>
  <c r="H331" i="1" s="1"/>
  <c r="F330" i="1"/>
  <c r="H330" i="1" s="1"/>
  <c r="F329" i="1"/>
  <c r="H329" i="1" s="1"/>
  <c r="F328" i="1"/>
  <c r="H328" i="1" s="1"/>
  <c r="F327" i="1"/>
  <c r="H327" i="1" s="1"/>
  <c r="F292" i="1"/>
  <c r="H292" i="1" s="1"/>
  <c r="F290" i="1"/>
  <c r="H290" i="1" s="1"/>
  <c r="F289" i="1"/>
  <c r="H289" i="1" s="1"/>
  <c r="F288" i="1"/>
  <c r="H288" i="1" s="1"/>
  <c r="F287" i="1"/>
  <c r="H287" i="1" s="1"/>
  <c r="F286" i="1"/>
  <c r="H286" i="1" s="1"/>
  <c r="J286" i="1" s="1"/>
  <c r="F285" i="1"/>
  <c r="H285" i="1" s="1"/>
  <c r="F284" i="1"/>
  <c r="H284" i="1" s="1"/>
  <c r="F280" i="1"/>
  <c r="H280" i="1" s="1"/>
  <c r="F279" i="1"/>
  <c r="H279" i="1" s="1"/>
  <c r="F278" i="1"/>
  <c r="H278" i="1" s="1"/>
  <c r="F277" i="1"/>
  <c r="H277" i="1" s="1"/>
  <c r="F276" i="1"/>
  <c r="H276" i="1" s="1"/>
  <c r="J276" i="1" s="1"/>
  <c r="F268" i="1"/>
  <c r="H268" i="1" s="1"/>
  <c r="J268" i="1" s="1"/>
  <c r="F384" i="1"/>
  <c r="H384" i="1" s="1"/>
  <c r="F378" i="1"/>
  <c r="H378" i="1" s="1"/>
  <c r="F375" i="1"/>
  <c r="H375" i="1" s="1"/>
  <c r="F366" i="1"/>
  <c r="H366" i="1" s="1"/>
  <c r="F364" i="1"/>
  <c r="H364" i="1" s="1"/>
  <c r="F357" i="1"/>
  <c r="H357" i="1" s="1"/>
  <c r="F342" i="1"/>
  <c r="H342" i="1" s="1"/>
  <c r="F334" i="1"/>
  <c r="H334" i="1" s="1"/>
  <c r="F332" i="1"/>
  <c r="H332" i="1" s="1"/>
  <c r="F352" i="1"/>
  <c r="H352" i="1" s="1"/>
  <c r="F340" i="1"/>
  <c r="H340" i="1" s="1"/>
  <c r="F291" i="1"/>
  <c r="H291" i="1" s="1"/>
  <c r="F281" i="1"/>
  <c r="H281" i="1" s="1"/>
  <c r="F269" i="1"/>
  <c r="H269" i="1" s="1"/>
  <c r="F267" i="1"/>
  <c r="E125" i="1" l="1"/>
  <c r="E126" i="1" s="1"/>
  <c r="H267" i="1"/>
  <c r="C125" i="1"/>
  <c r="C126"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J267" i="1" l="1"/>
  <c r="G125" i="1"/>
  <c r="G126" i="1" s="1"/>
  <c r="E42" i="7"/>
  <c r="I42" i="7"/>
  <c r="H42" i="7" s="1"/>
  <c r="L42" i="7"/>
  <c r="K42" i="7" s="1"/>
  <c r="E44" i="7" l="1"/>
  <c r="D42" i="7"/>
  <c r="D44" i="7" s="1"/>
  <c r="E32" i="1"/>
  <c r="B417" i="1" l="1"/>
  <c r="F135" i="1" l="1"/>
  <c r="H135" i="1" s="1"/>
  <c r="F136" i="1"/>
  <c r="H136" i="1" s="1"/>
  <c r="F137" i="1"/>
  <c r="H137" i="1" s="1"/>
  <c r="F134" i="1"/>
  <c r="C120" i="1" l="1"/>
  <c r="C121" i="1" s="1"/>
  <c r="C127" i="1" s="1"/>
  <c r="H134" i="1"/>
  <c r="G120" i="1" s="1"/>
  <c r="G121" i="1" s="1"/>
  <c r="G127" i="1" s="1"/>
  <c r="E120" i="1"/>
  <c r="E121" i="1" s="1"/>
  <c r="E127" i="1" s="1"/>
  <c r="S34" i="1"/>
  <c r="F11" i="5" l="1"/>
  <c r="G11" i="5" s="1"/>
  <c r="F10" i="5"/>
  <c r="G10" i="5" s="1"/>
  <c r="F9" i="5"/>
  <c r="G9" i="5" s="1"/>
  <c r="F8" i="5"/>
  <c r="G8" i="5" s="1"/>
  <c r="F7" i="5"/>
  <c r="G7" i="5" s="1"/>
  <c r="F6" i="5"/>
  <c r="G6" i="5" s="1"/>
  <c r="F5" i="5"/>
  <c r="G5" i="5" s="1"/>
  <c r="G12" i="5" s="1"/>
  <c r="D445" i="1"/>
  <c r="B418" i="1"/>
  <c r="F414" i="1"/>
  <c r="H414" i="1" s="1"/>
  <c r="F413" i="1"/>
  <c r="H413" i="1" s="1"/>
  <c r="F412" i="1"/>
  <c r="H412" i="1" s="1"/>
  <c r="F411" i="1"/>
  <c r="H411" i="1" s="1"/>
  <c r="F410" i="1"/>
  <c r="H410" i="1" s="1"/>
  <c r="F408" i="1"/>
  <c r="H408" i="1" s="1"/>
  <c r="F407" i="1"/>
  <c r="H407" i="1" s="1"/>
  <c r="F406" i="1"/>
  <c r="H406" i="1" s="1"/>
  <c r="F405" i="1"/>
  <c r="H405" i="1" s="1"/>
  <c r="F404" i="1"/>
  <c r="H404" i="1" s="1"/>
  <c r="F402" i="1"/>
  <c r="H402" i="1" s="1"/>
  <c r="F401" i="1"/>
  <c r="H401" i="1" s="1"/>
  <c r="F400" i="1"/>
  <c r="H400" i="1" s="1"/>
  <c r="F399" i="1"/>
  <c r="H399" i="1" s="1"/>
  <c r="F398" i="1"/>
  <c r="H398" i="1" s="1"/>
  <c r="F396" i="1"/>
  <c r="H396" i="1" s="1"/>
  <c r="F395" i="1"/>
  <c r="H395" i="1" s="1"/>
  <c r="F394" i="1"/>
  <c r="H394" i="1" s="1"/>
  <c r="F393" i="1"/>
  <c r="H393" i="1" s="1"/>
  <c r="F392" i="1"/>
  <c r="H392" i="1" s="1"/>
  <c r="A392" i="1"/>
  <c r="A393" i="1" s="1"/>
  <c r="A394" i="1" s="1"/>
  <c r="A395" i="1" s="1"/>
  <c r="A396" i="1" s="1"/>
  <c r="F390" i="1"/>
  <c r="H390" i="1" s="1"/>
  <c r="F389" i="1"/>
  <c r="H389" i="1" s="1"/>
  <c r="F388" i="1"/>
  <c r="H388" i="1" s="1"/>
  <c r="A388" i="1"/>
  <c r="A389" i="1" s="1"/>
  <c r="A390" i="1" s="1"/>
  <c r="F387" i="1"/>
  <c r="H387" i="1" s="1"/>
  <c r="A135" i="1"/>
  <c r="A136" i="1" s="1"/>
  <c r="A137" i="1" s="1"/>
  <c r="A138" i="1" s="1"/>
  <c r="A139" i="1" s="1"/>
  <c r="A140" i="1" s="1"/>
  <c r="A141" i="1" s="1"/>
  <c r="A142" i="1" s="1"/>
  <c r="A143" i="1" s="1"/>
  <c r="A144" i="1" s="1"/>
  <c r="A145" i="1" s="1"/>
  <c r="A146" i="1" s="1"/>
  <c r="A147" i="1" s="1"/>
  <c r="A148" i="1" s="1"/>
  <c r="A149" i="1" s="1"/>
  <c r="A150" i="1" s="1"/>
  <c r="A151" i="1" s="1"/>
  <c r="A152" i="1" s="1"/>
  <c r="A153" i="1" s="1"/>
  <c r="A154" i="1" s="1"/>
  <c r="F117" i="1"/>
  <c r="C91" i="1"/>
  <c r="D71" i="1"/>
  <c r="D65" i="1"/>
  <c r="G52" i="1"/>
  <c r="E45" i="1"/>
  <c r="E46" i="1" s="1"/>
  <c r="E29" i="1"/>
  <c r="E27" i="1"/>
  <c r="I16" i="1"/>
  <c r="Z14" i="1"/>
  <c r="E8" i="1"/>
  <c r="E3" i="1"/>
  <c r="A404" i="1"/>
  <c r="A410" i="1"/>
  <c r="A398" i="1"/>
  <c r="H92" i="1"/>
  <c r="J91" i="1" l="1"/>
  <c r="J93" i="1" s="1"/>
  <c r="J94" i="1"/>
  <c r="J95" i="1"/>
  <c r="J96" i="1"/>
  <c r="C95" i="1" s="1"/>
  <c r="D99" i="1"/>
  <c r="D101" i="1"/>
  <c r="D100" i="1"/>
  <c r="D104" i="1"/>
  <c r="D98" i="1"/>
  <c r="D103" i="1"/>
  <c r="D97" i="1"/>
  <c r="D102" i="1"/>
  <c r="B92" i="1"/>
  <c r="J97" i="1" s="1"/>
  <c r="A411" i="1"/>
  <c r="A405" i="1"/>
  <c r="A399" i="1"/>
  <c r="D95" i="1" l="1"/>
  <c r="J101" i="1"/>
  <c r="J99" i="1"/>
  <c r="J100" i="1"/>
  <c r="J98" i="1"/>
  <c r="J103" i="1" s="1"/>
  <c r="J104" i="1" s="1"/>
  <c r="C96" i="1" s="1"/>
  <c r="J102" i="1"/>
  <c r="A406" i="1"/>
  <c r="A412" i="1"/>
  <c r="A400" i="1"/>
  <c r="J92" i="1" l="1"/>
  <c r="E95" i="1"/>
  <c r="D96" i="1"/>
  <c r="I92" i="1" s="1"/>
  <c r="G95" i="1"/>
  <c r="D75" i="1" s="1"/>
  <c r="A413" i="1"/>
  <c r="A401" i="1"/>
  <c r="A407" i="1"/>
  <c r="F76" i="1" l="1"/>
  <c r="D76" i="1"/>
  <c r="I93" i="1"/>
  <c r="I91" i="1" s="1"/>
  <c r="C93" i="1" s="1"/>
  <c r="A402" i="1"/>
  <c r="A408" i="1"/>
  <c r="A4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3"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4"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8" authorId="1" shapeId="0" xr:uid="{00000000-0006-0000-0000-000003000000}">
      <text>
        <r>
          <rPr>
            <b/>
            <sz val="9"/>
            <color indexed="81"/>
            <rFont val="Tahoma"/>
            <family val="2"/>
          </rPr>
          <t>SACHIN:</t>
        </r>
        <r>
          <rPr>
            <sz val="9"/>
            <color indexed="81"/>
            <rFont val="Tahoma"/>
            <family val="2"/>
          </rPr>
          <t xml:space="preserve">
Floor with height</t>
        </r>
      </text>
    </comment>
    <comment ref="C60" authorId="1" shapeId="0" xr:uid="{00000000-0006-0000-0000-000004000000}">
      <text>
        <r>
          <rPr>
            <b/>
            <sz val="9"/>
            <color indexed="81"/>
            <rFont val="Tahoma"/>
            <family val="2"/>
          </rPr>
          <t>SACHIN:</t>
        </r>
        <r>
          <rPr>
            <sz val="9"/>
            <color indexed="81"/>
            <rFont val="Tahoma"/>
            <family val="2"/>
          </rPr>
          <t xml:space="preserve">
Survey Nos.</t>
        </r>
      </text>
    </comment>
    <comment ref="C62" authorId="1" shapeId="0" xr:uid="{00000000-0006-0000-0000-000005000000}">
      <text>
        <r>
          <rPr>
            <b/>
            <sz val="9"/>
            <color indexed="81"/>
            <rFont val="Tahoma"/>
            <family val="2"/>
          </rPr>
          <t>SACHIN:</t>
        </r>
        <r>
          <rPr>
            <sz val="9"/>
            <color indexed="81"/>
            <rFont val="Tahoma"/>
            <family val="2"/>
          </rPr>
          <t xml:space="preserve">
Height from AMSL</t>
        </r>
      </text>
    </comment>
    <comment ref="D65"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10"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7"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<sst xmlns="http://schemas.openxmlformats.org/spreadsheetml/2006/main" count="1113" uniqueCount="441">
  <si>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</si>
  <si>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</si>
  <si>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</si>
  <si>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</si>
  <si>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</si>
  <si>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</si>
  <si>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</si>
  <si>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</si>
  <si>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</si>
  <si>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</si>
  <si>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</si>
  <si>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</si>
  <si>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</si>
  <si>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</si>
  <si>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</si>
  <si>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</si>
  <si>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</si>
  <si>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</si>
  <si>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</si>
  <si>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</si>
  <si>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</si>
  <si>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</si>
  <si>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</si>
  <si>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</si>
  <si>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</si>
  <si>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</si>
  <si>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</si>
  <si>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</si>
  <si>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</si>
  <si>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</si>
  <si>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</si>
  <si>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</si>
  <si>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</si>
  <si>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</si>
  <si>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</si>
  <si>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</si>
  <si>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</si>
  <si>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</si>
  <si>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</si>
  <si>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</si>
  <si>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</si>
  <si>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</si>
  <si>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</si>
  <si>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</si>
  <si>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</si>
  <si>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</si>
  <si>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</si>
  <si>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</si>
  <si>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</si>
  <si>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</si>
  <si>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</si>
  <si>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</si>
  <si>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</si>
  <si>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</si>
  <si>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</si>
  <si>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</si>
  <si>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</si>
  <si>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</si>
  <si>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</si>
  <si>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</si>
  <si>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</si>
  <si>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</si>
  <si>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</si>
  <si>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</si>
  <si>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</si>
  <si>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</si>
  <si>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</si>
  <si>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</si>
  <si>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</si>
  <si>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</si>
  <si>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</si>
  <si>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</si>
  <si>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</si>
  <si>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</si>
  <si>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</si>
  <si>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</si>
  <si>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</si>
  <si>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</si>
  <si>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</si>
  <si>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</si>
  <si>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</si>
  <si>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</si>
  <si>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</si>
  <si>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</si>
  <si>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</si>
  <si>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</si>
  <si>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</si>
  <si>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</si>
  <si>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</si>
  <si>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</si>
  <si>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</si>
  <si>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</si>
  <si>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</si>
  <si>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</si>
  <si>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</si>
  <si>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</si>
  <si>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</si>
  <si>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</si>
  <si>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</si>
  <si>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</si>
  <si>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</si>
  <si>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</si>
  <si>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</si>
  <si>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</si>
  <si>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</si>
  <si>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</si>
  <si>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</si>
  <si>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</si>
  <si>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</si>
  <si>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</si>
  <si>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</si>
  <si>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</si>
  <si>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</si>
  <si>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</si>
  <si>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</si>
  <si>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</si>
  <si>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</si>
  <si>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</si>
  <si>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</si>
  <si>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</si>
  <si>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</si>
  <si>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</si>
  <si>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</si>
  <si>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</si>
  <si>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</si>
  <si>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</si>
  <si>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</si>
  <si>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</si>
  <si>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</si>
  <si>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</si>
  <si>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</si>
  <si>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</si>
  <si>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</si>
  <si>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</si>
  <si>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</si>
  <si>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</si>
  <si>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</si>
  <si>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</si>
  <si>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</si>
  <si>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</si>
  <si>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</si>
  <si>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</si>
  <si>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</si>
  <si>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</si>
  <si>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</si>
  <si>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</si>
  <si>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</si>
  <si>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</si>
  <si>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</si>
  <si>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</si>
  <si>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</si>
  <si>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</si>
  <si>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</si>
  <si>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</si>
  <si>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</si>
  <si>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</si>
  <si>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</si>
  <si>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</si>
  <si>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</si>
  <si>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</si>
  <si>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</si>
  <si>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</si>
  <si>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</si>
  <si>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</si>
  <si>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</si>
  <si>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</si>
  <si>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</si>
  <si>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</si>
  <si>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</si>
  <si>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</si>
  <si>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</si>
  <si>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</si>
  <si>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</si>
  <si>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</si>
  <si>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</si>
  <si>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</si>
  <si>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</si>
  <si>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</si>
  <si>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</si>
  <si>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</si>
  <si>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</si>
  <si>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</si>
  <si>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</si>
  <si>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</si>
  <si>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</si>
  <si>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</si>
  <si>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</si>
  <si>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</si>
  <si>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</si>
  <si>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</si>
  <si>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</si>
  <si>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</si>
  <si>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</si>
  <si>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</si>
  <si>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</si>
  <si>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</si>
  <si>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</si>
  <si>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</si>
  <si>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</si>
  <si>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</si>
  <si>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</si>
  <si>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</si>
  <si>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</si>
  <si>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</si>
  <si>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</si>
  <si>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</si>
  <si>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</si>
  <si>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</si>
  <si>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</si>
  <si>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</si>
  <si>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</si>
  <si>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</si>
  <si>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</si>
  <si>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</si>
  <si>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</si>
  <si>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</si>
  <si>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</si>
  <si>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</si>
  <si>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</si>
  <si>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</si>
  <si>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</si>
  <si>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</si>
  <si>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</si>
  <si>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</si>
  <si>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</si>
  <si>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</si>
  <si>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</si>
  <si>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</si>
  <si>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</si>
  <si>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</si>
  <si>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</si>
  <si>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</si>
  <si>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</si>
  <si>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</si>
  <si>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</si>
  <si>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</si>
  <si>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</si>
  <si>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</si>
  <si>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</si>
  <si>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</si>
  <si>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</si>
  <si>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</si>
  <si>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</si>
  <si>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</si>
  <si>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</si>
  <si>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</si>
  <si>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</si>
  <si>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</si>
  <si>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</si>
  <si>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</si>
  <si>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</si>
  <si>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</si>
  <si>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</si>
  <si>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</si>
  <si>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</si>
  <si>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</si>
  <si>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</si>
  <si>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</si>
  <si>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</si>
  <si>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</si>
  <si>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</si>
  <si>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</si>
  <si>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</si>
  <si>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</si>
  <si>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</si>
  <si>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</si>
  <si>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</si>
  <si>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</si>
  <si>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</si>
  <si>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</si>
  <si>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</si>
  <si>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</si>
  <si>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</si>
  <si>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</si>
  <si>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</si>
  <si>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</si>
  <si>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</si>
  <si>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</si>
  <si>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</si>
  <si>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</si>
  <si>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</si>
  <si>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</si>
  <si>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</si>
  <si>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</si>
  <si>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</si>
  <si>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</si>
  <si>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</si>
  <si>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</si>
  <si>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</si>
  <si>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</si>
  <si>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</si>
  <si>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</si>
  <si>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</si>
  <si>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</si>
  <si>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</si>
  <si>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</si>
  <si>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</si>
  <si>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</si>
  <si>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</si>
  <si>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</si>
  <si>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</si>
  <si>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</si>
  <si>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</si>
  <si>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</si>
  <si>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</si>
  <si>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</si>
  <si>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</si>
  <si>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</si>
  <si>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</si>
  <si>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</si>
  <si>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</si>
  <si>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</si>
  <si>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</si>
  <si>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</si>
  <si>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</si>
  <si>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</si>
  <si>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</si>
  <si>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</si>
  <si>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</si>
  <si>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</si>
  <si>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</si>
  <si>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</si>
  <si>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</si>
  <si>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</si>
  <si>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</si>
  <si>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</si>
  <si>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</si>
  <si>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</si>
  <si>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</si>
  <si>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</si>
  <si>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</si>
  <si>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</si>
  <si>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</si>
  <si>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</si>
  <si>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Skylark Buildspace Private Limited</t>
  </si>
  <si>
    <t>Codename Lottery</t>
  </si>
  <si>
    <t>Tower 2</t>
  </si>
  <si>
    <t>Owale</t>
  </si>
  <si>
    <t>Thane (West)</t>
  </si>
  <si>
    <t>Sai Nagar</t>
  </si>
  <si>
    <t>Internal Road</t>
  </si>
  <si>
    <t>https://maps.app.goo.gl/kCHyzka11MFwzki46</t>
  </si>
  <si>
    <t>19.2652587,72.959664</t>
  </si>
  <si>
    <t>10.9 KM from Thane Railway Station</t>
  </si>
  <si>
    <t>Vihang Valley Phase 2</t>
  </si>
  <si>
    <t>Raunak Heights CHS (Tower-H1)</t>
  </si>
  <si>
    <t>Other Plot</t>
  </si>
  <si>
    <t>40.0 M.Wide Proposed DP Road</t>
  </si>
  <si>
    <t>30.0 M.Wide Proposed DP Road</t>
  </si>
  <si>
    <t>Raunak Delight</t>
  </si>
  <si>
    <t>Gymnasium, Games Lounge, Toddler’s Room, Melody Studio-Music Room, Indoor Café, Senior Citizen Lounge, Pearl Banquet Hall, Grotto, Urban Forest, Enclave Suites-Guest Rooms, Zen Studio, Creche, Co-working Space, Aqua Haven-Swimming Pool, Mini Marvel-Kids’ Pool, Aqua Deck, Treasures Trove-Kids’ Play Area, Toddler’s Park, Lounge Seateria, Multipurpose Sports Arena, Open Air Pavilion-Amphitheatre, Silver Screen Lounge, Party Lawn-Green Soiree, Gardens-Botanic Boulevard, Fitness Trail-Jogging Track, Reflexology Path</t>
  </si>
  <si>
    <r>
      <t xml:space="preserve">Proposed Amenities :                                                                                                                                                                                                                         </t>
    </r>
    <r>
      <rPr>
        <b/>
        <sz val="12"/>
        <rFont val="Times New Roman"/>
        <family val="1"/>
      </rPr>
      <t xml:space="preserve">                                               </t>
    </r>
  </si>
  <si>
    <t>Ajay</t>
  </si>
  <si>
    <t>1st Podium Floor for Parking</t>
  </si>
  <si>
    <t>1A</t>
  </si>
  <si>
    <t>2A</t>
  </si>
  <si>
    <t>3A</t>
  </si>
  <si>
    <t>4A</t>
  </si>
  <si>
    <t>5A</t>
  </si>
  <si>
    <t>6A</t>
  </si>
  <si>
    <t>7A</t>
  </si>
  <si>
    <t>8A</t>
  </si>
  <si>
    <t>9A</t>
  </si>
  <si>
    <t>1BHK</t>
  </si>
  <si>
    <t>2BHK</t>
  </si>
  <si>
    <t>Meter Room</t>
  </si>
  <si>
    <t>1B</t>
  </si>
  <si>
    <t>2B</t>
  </si>
  <si>
    <t>3B</t>
  </si>
  <si>
    <t>4B</t>
  </si>
  <si>
    <t>5B</t>
  </si>
  <si>
    <t>6B</t>
  </si>
  <si>
    <t>7B</t>
  </si>
  <si>
    <t>8B</t>
  </si>
  <si>
    <t>9B</t>
  </si>
  <si>
    <t>10B</t>
  </si>
  <si>
    <t>1C</t>
  </si>
  <si>
    <t>2C</t>
  </si>
  <si>
    <t>3C</t>
  </si>
  <si>
    <t>4C</t>
  </si>
  <si>
    <t>5C</t>
  </si>
  <si>
    <t>6C</t>
  </si>
  <si>
    <t>7C</t>
  </si>
  <si>
    <t>8C</t>
  </si>
  <si>
    <t>9C</t>
  </si>
  <si>
    <t>10C</t>
  </si>
  <si>
    <t>Refuge Area</t>
  </si>
  <si>
    <r>
      <t xml:space="preserve">Shop No.
</t>
    </r>
    <r>
      <rPr>
        <b/>
        <sz val="11"/>
        <rFont val="Times New Roman"/>
        <family val="1"/>
      </rPr>
      <t>(Approved Plan)</t>
    </r>
  </si>
  <si>
    <r>
      <t xml:space="preserve">Flat No.
</t>
    </r>
    <r>
      <rPr>
        <b/>
        <sz val="11"/>
        <rFont val="Times New Roman"/>
        <family val="1"/>
      </rPr>
      <t>(Approved Plan)</t>
    </r>
  </si>
  <si>
    <t>We considered Gross carpet area = Net carpet.</t>
  </si>
  <si>
    <t>SIA/MH/INFRA2/445835/2023</t>
  </si>
  <si>
    <t>CTS No.467/A, 449(Pt), 450(Pt), 451, 464/1 (Pt), 465/1, 538/1, 463, 461(Pt), 460(Pt), 462, 459, 455/A (Pt)</t>
  </si>
  <si>
    <t>We refer latest CC from Rera.</t>
  </si>
  <si>
    <t>S06/0366/21/TMCB/TDD/0065/(P/O)/2024/A-DCR</t>
  </si>
  <si>
    <t>New DP Road</t>
  </si>
  <si>
    <t>Construction work is in process at the time of visit. Internal photographs not allowed.</t>
  </si>
  <si>
    <t>Name of the Project as per Rera</t>
  </si>
  <si>
    <t>Tower 1 &amp; 2</t>
  </si>
  <si>
    <t>Tower 1 = P51700077764
Tower 2 = P51700054824</t>
  </si>
  <si>
    <t>451/1, 464/1/2, 451/2, 464/1/3, 455/A/1, 459, 460/1, 461/1, 464/1/1, 450 (Pt), 449 (Pt), 467/A (Pt), 538/1, 465/1, 463, 462</t>
  </si>
  <si>
    <t>02 Buildings</t>
  </si>
  <si>
    <t>V.P.No.S06/0366/21/TMC/TDD/57</t>
  </si>
  <si>
    <t>Tower 1 = Gr/St + 1st to 32nd Floor
Tower 2 = Gr/St + 1st to 34th Floor</t>
  </si>
  <si>
    <t xml:space="preserve">Layout Approval No.
Tower 2   </t>
  </si>
  <si>
    <t xml:space="preserve">Approved Floor plan No.
Tower 2   </t>
  </si>
  <si>
    <t>V.P.S06/0366/21/TMC/TDD/57</t>
  </si>
  <si>
    <t>Tower 1 = Gr/St + 1st to 34th Floor</t>
  </si>
  <si>
    <t>As per RERA -
Tower 1 =  31/12/2032
Tower 2 = 31/12/2031</t>
  </si>
  <si>
    <t>North Imperial Greens -Tower 1 &amp; 2</t>
  </si>
  <si>
    <t>Tower 1</t>
  </si>
  <si>
    <t>Shop</t>
  </si>
  <si>
    <t>Attached Mezzanine area</t>
  </si>
  <si>
    <t>Ground Floor for Commercial, Drivers room &amp; Parking</t>
  </si>
  <si>
    <t>1st Floor for Residentail, Meter room &amp; Parking</t>
  </si>
  <si>
    <t>3rd to 6th, 8th to 11th, 13th to 16th, 18th to 21st, 23rd to 26th, 28th to 31st, 33rd &amp; 34th Floor</t>
  </si>
  <si>
    <t>7th, 12th, 17th, 22nd, 27th &amp; 32nd Floor (Part Refuge Area)</t>
  </si>
  <si>
    <t>Fitness Centre</t>
  </si>
  <si>
    <t>Society Office</t>
  </si>
  <si>
    <t>Creche</t>
  </si>
  <si>
    <t>2nd Floor for Residential, Society Office, Fitness Centre, Creche &amp; Other Amenities</t>
  </si>
  <si>
    <t>Mr. Sujit</t>
  </si>
  <si>
    <t xml:space="preserve">Approved Floor plan No. </t>
  </si>
  <si>
    <t>Ground Floor for Drivers room &amp; Parking</t>
  </si>
  <si>
    <t>1st Floor for Residential &amp; Meter Room</t>
  </si>
  <si>
    <t>2nd Floor for Residential, Fitness Centre, Creche, Society Office &amp; Other Amenities</t>
  </si>
  <si>
    <t>8th, 13th, 18th, 23rd, 28th &amp; 33rd Floor (Part Refuge Area)</t>
  </si>
  <si>
    <t>Tower 1 = Gr/St + 1st to 34th Floor
Tower 2 = Gr/Stilt + 1st to 36th Floor</t>
  </si>
  <si>
    <t>Tower 2 = Gr/Stilt + P1 + 1st to 36th Floor</t>
  </si>
  <si>
    <t>Flats - 1840, Shops - 21</t>
  </si>
  <si>
    <t>449 (Pt), 450 (PT), 465/1, 538/1, 463, 462, 459</t>
  </si>
  <si>
    <t>We have updated latest CC &amp; approved floor plans from Rera site for Tower 1 &amp; 2 (On 21/06/2025).</t>
  </si>
  <si>
    <t>Recommended Rates/Other Charges of the Property have been revised on 17/06/2025.</t>
  </si>
  <si>
    <t>As per latest CC (dtd. 06/12/2024)</t>
  </si>
  <si>
    <t>3rd to 7th &amp; 9th to 12th, 14th to 17th, 19th to 22nd, 24th to 27th, 29th to 32nd &amp; 34th to 36th Floor</t>
  </si>
  <si>
    <t>450 Pt
449 Pt
451
455/A Pt
460 Pt
461 Pt
464/1 Pt
465/1 Pt
538/1
463
462
459
467/A</t>
  </si>
  <si>
    <t xml:space="preserve">450 (Pt)
449 (pt)
451/1 &amp; 451/2
455/A/1
460/1
461/1
464/1/1, 464/1/2 &amp; 464/1/3
465/1
538/1
463
462
459
467/A(Pt)
</t>
  </si>
  <si>
    <t>9500 to 10000 by aakash mote on 17/06/2025. The saleable area is changed for flat No. 501B 425 to 472, but as per the latest approved plan dtd. 06/12/2024 the area is increased and the case has been satisfied, so we are not changing the area now.</t>
  </si>
  <si>
    <t>The saleable area is changed for flat No. 501B 425 to 472, but as per the latest approved plan dtd. 06/12/2024 the area is increased and the case has been satisfied, so we are not changing the area now.</t>
  </si>
  <si>
    <t>Nomenclature of survey numbers</t>
  </si>
  <si>
    <t>As per latest approved plans
(dtd. 06/12/2024)</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</si>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</sst>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2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4" fillId="0" borderId="26"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1"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4" fillId="0" borderId="0" xfId="1" applyFont="1" applyAlignment="1">
      <alignment horizontal="center" vertical="center"/>
    </xf>
    <xf numFmtId="0" fontId="30" fillId="0" borderId="0" xfId="1" applyFont="1" applyAlignment="1">
      <alignment horizontal="center" vertical="center"/>
    </xf>
    <xf numFmtId="0" fontId="14" fillId="0" borderId="0" xfId="2" applyFont="1" applyAlignment="1">
      <alignment horizontal="center" vertical="center"/>
    </xf>
    <xf numFmtId="1" fontId="14" fillId="0" borderId="0" xfId="1" applyNumberFormat="1" applyFont="1" applyAlignment="1">
      <alignment horizontal="center" vertical="center"/>
    </xf>
    <xf numFmtId="0" fontId="23" fillId="2" borderId="13" xfId="0" applyFont="1" applyFill="1" applyBorder="1"/>
    <xf numFmtId="1" fontId="11" fillId="0" borderId="1" xfId="1" applyNumberFormat="1" applyFont="1" applyBorder="1" applyAlignment="1" applyProtection="1">
      <alignment horizontal="center" vertical="top" wrapText="1"/>
      <protection locked="0"/>
    </xf>
    <xf numFmtId="14" fontId="6" fillId="0" borderId="0" xfId="0" applyNumberFormat="1" applyFont="1" applyAlignment="1">
      <alignment horizontal="center" vertical="center"/>
    </xf>
    <xf numFmtId="0" fontId="11" fillId="0" borderId="7"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5" fillId="0" borderId="3" xfId="0" applyNumberFormat="1" applyFont="1" applyBorder="1" applyAlignment="1" applyProtection="1">
      <alignment horizontal="center" vertical="center" wrapText="1"/>
      <protection locked="0"/>
    </xf>
    <xf numFmtId="1" fontId="5" fillId="0" borderId="27" xfId="0" applyNumberFormat="1" applyFont="1" applyBorder="1" applyAlignment="1" applyProtection="1">
      <alignment horizontal="center" vertical="center" wrapText="1"/>
      <protection locked="0"/>
    </xf>
    <xf numFmtId="1" fontId="5" fillId="0" borderId="14" xfId="0"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horizontal="center" vertical="top" wrapText="1"/>
      <protection locked="0"/>
    </xf>
    <xf numFmtId="1" fontId="12" fillId="0" borderId="19" xfId="0" applyNumberFormat="1" applyFont="1" applyBorder="1" applyAlignment="1" applyProtection="1">
      <alignment horizontal="center" vertical="top" wrapText="1"/>
      <protection locked="0"/>
    </xf>
    <xf numFmtId="1" fontId="12" fillId="0" borderId="9"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horizontal="center" vertical="top" wrapText="1"/>
      <protection locked="0"/>
    </xf>
    <xf numFmtId="1" fontId="7" fillId="0" borderId="19" xfId="0" applyNumberFormat="1" applyFont="1" applyBorder="1" applyAlignment="1" applyProtection="1">
      <alignment horizontal="center" vertical="top" wrapText="1"/>
      <protection locked="0"/>
    </xf>
    <xf numFmtId="1" fontId="7" fillId="0" borderId="9"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1" fillId="0" borderId="8" xfId="1" applyNumberFormat="1" applyFont="1" applyBorder="1" applyAlignment="1" applyProtection="1">
      <alignment horizontal="center" vertical="center" wrapText="1"/>
      <protection locked="0"/>
    </xf>
    <xf numFmtId="1" fontId="11" fillId="0" borderId="19"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14" fillId="0" borderId="21" xfId="1" applyNumberFormat="1" applyFont="1" applyBorder="1" applyAlignment="1">
      <alignment horizontal="center" vertical="center"/>
    </xf>
    <xf numFmtId="1" fontId="14" fillId="0" borderId="0" xfId="1" applyNumberFormat="1" applyFont="1" applyAlignment="1">
      <alignment horizontal="center" vertical="center"/>
    </xf>
    <xf numFmtId="1" fontId="7" fillId="0" borderId="1"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5" fillId="0" borderId="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21"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12"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6" fillId="0" borderId="1" xfId="0" applyNumberFormat="1" applyFont="1" applyBorder="1" applyAlignment="1" applyProtection="1">
      <alignment vertical="top" wrapText="1"/>
      <protection locked="0"/>
    </xf>
    <xf numFmtId="1" fontId="9" fillId="0" borderId="1"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vertical="top" wrapText="1"/>
      <protection locked="0"/>
    </xf>
    <xf numFmtId="0" fontId="7" fillId="0" borderId="1" xfId="1" applyFont="1" applyBorder="1" applyAlignment="1" applyProtection="1">
      <alignment vertical="top"/>
      <protection locked="0"/>
    </xf>
    <xf numFmtId="0" fontId="12" fillId="0" borderId="1" xfId="1" applyFont="1" applyBorder="1" applyAlignment="1" applyProtection="1">
      <alignment horizontal="center" vertical="top"/>
      <protection locked="0"/>
    </xf>
    <xf numFmtId="1" fontId="12" fillId="0" borderId="3" xfId="1" applyNumberFormat="1" applyFont="1" applyBorder="1" applyAlignment="1" applyProtection="1">
      <alignment horizontal="center" vertical="top" wrapText="1"/>
      <protection locked="0"/>
    </xf>
    <xf numFmtId="1" fontId="12" fillId="0" borderId="14"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 fontId="11"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1" fontId="12" fillId="0" borderId="8" xfId="1" applyNumberFormat="1" applyFont="1" applyBorder="1" applyAlignment="1" applyProtection="1">
      <alignment horizontal="center" vertical="center" wrapText="1"/>
      <protection locked="0"/>
    </xf>
    <xf numFmtId="1" fontId="12" fillId="0" borderId="19"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4" xfId="1" applyNumberFormat="1" applyFont="1" applyBorder="1" applyAlignment="1" applyProtection="1">
      <alignment horizontal="center" vertical="top" wrapText="1"/>
      <protection locked="0"/>
    </xf>
    <xf numFmtId="0" fontId="11" fillId="0" borderId="20" xfId="1" applyFont="1" applyBorder="1" applyAlignment="1" applyProtection="1">
      <alignment horizontal="left" vertical="top" wrapText="1"/>
      <protection locked="0"/>
    </xf>
    <xf numFmtId="9" fontId="11" fillId="0" borderId="1" xfId="8" applyFont="1" applyFill="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29" fillId="0" borderId="1" xfId="1"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4" xfId="1" applyFont="1" applyBorder="1" applyAlignment="1" applyProtection="1">
      <alignment horizontal="center" vertical="top" wrapText="1"/>
      <protection locked="0"/>
    </xf>
    <xf numFmtId="0" fontId="12" fillId="0" borderId="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 fontId="12" fillId="0" borderId="8" xfId="0" applyNumberFormat="1" applyFont="1" applyBorder="1" applyAlignment="1" applyProtection="1">
      <alignment vertical="top" wrapText="1"/>
      <protection locked="0"/>
    </xf>
    <xf numFmtId="1" fontId="12" fillId="0" borderId="19"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67" fontId="6" fillId="0" borderId="1" xfId="9" applyNumberFormat="1" applyFont="1" applyFill="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1" fontId="12" fillId="5" borderId="8" xfId="1" applyNumberFormat="1" applyFont="1" applyFill="1" applyBorder="1" applyAlignment="1" applyProtection="1">
      <alignment horizontal="center" vertical="center" wrapText="1"/>
      <protection locked="0"/>
    </xf>
    <xf numFmtId="1" fontId="12" fillId="5" borderId="19" xfId="1" applyNumberFormat="1" applyFont="1" applyFill="1" applyBorder="1" applyAlignment="1" applyProtection="1">
      <alignment horizontal="center" vertical="center" wrapText="1"/>
      <protection locked="0"/>
    </xf>
    <xf numFmtId="1" fontId="12" fillId="5" borderId="9" xfId="1" applyNumberFormat="1" applyFont="1" applyFill="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center" wrapText="1"/>
      <protection locked="0"/>
    </xf>
    <xf numFmtId="9" fontId="11" fillId="0" borderId="16" xfId="8" applyFont="1" applyFill="1" applyBorder="1" applyAlignment="1" applyProtection="1">
      <alignment horizontal="center" vertical="center" wrapText="1"/>
      <protection locked="0"/>
    </xf>
    <xf numFmtId="9" fontId="11" fillId="0" borderId="21" xfId="8" applyFont="1" applyFill="1" applyBorder="1" applyAlignment="1" applyProtection="1">
      <alignment horizontal="center" vertical="center" wrapText="1"/>
      <protection locked="0"/>
    </xf>
    <xf numFmtId="9" fontId="11" fillId="0" borderId="22"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3"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9.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550</xdr:row>
      <xdr:rowOff>155703</xdr:rowOff>
    </xdr:from>
    <xdr:to>
      <xdr:col>6</xdr:col>
      <xdr:colOff>675350</xdr:colOff>
      <xdr:row>569</xdr:row>
      <xdr:rowOff>109989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01700" y="68049903"/>
          <a:ext cx="4860000" cy="3694436"/>
        </a:xfrm>
        <a:prstGeom prst="rect">
          <a:avLst/>
        </a:prstGeom>
        <a:ln>
          <a:solidFill>
            <a:schemeClr val="tx1"/>
          </a:solidFill>
        </a:ln>
      </xdr:spPr>
    </xdr:pic>
    <xdr:clientData/>
  </xdr:twoCellAnchor>
  <xdr:twoCellAnchor editAs="oneCell">
    <xdr:from>
      <xdr:col>1</xdr:col>
      <xdr:colOff>101600</xdr:colOff>
      <xdr:row>530</xdr:row>
      <xdr:rowOff>88905</xdr:rowOff>
    </xdr:from>
    <xdr:to>
      <xdr:col>6</xdr:col>
      <xdr:colOff>675350</xdr:colOff>
      <xdr:row>550</xdr:row>
      <xdr:rowOff>45427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901700" y="64046105"/>
          <a:ext cx="4860000" cy="3893522"/>
        </a:xfrm>
        <a:prstGeom prst="rect">
          <a:avLst/>
        </a:prstGeom>
        <a:ln>
          <a:solidFill>
            <a:schemeClr val="tx1"/>
          </a:solidFill>
        </a:ln>
      </xdr:spPr>
    </xdr:pic>
    <xdr:clientData/>
  </xdr:twoCellAnchor>
  <xdr:twoCellAnchor>
    <xdr:from>
      <xdr:col>2</xdr:col>
      <xdr:colOff>779493</xdr:colOff>
      <xdr:row>554</xdr:row>
      <xdr:rowOff>54974</xdr:rowOff>
    </xdr:from>
    <xdr:to>
      <xdr:col>4</xdr:col>
      <xdr:colOff>673875</xdr:colOff>
      <xdr:row>565</xdr:row>
      <xdr:rowOff>160481</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rot="19321220">
          <a:off x="2417793" y="68736574"/>
          <a:ext cx="1742232" cy="2270857"/>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8</xdr:col>
      <xdr:colOff>946150</xdr:colOff>
      <xdr:row>40</xdr:row>
      <xdr:rowOff>114301</xdr:rowOff>
    </xdr:from>
    <xdr:to>
      <xdr:col>13</xdr:col>
      <xdr:colOff>719550</xdr:colOff>
      <xdr:row>49</xdr:row>
      <xdr:rowOff>359954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7569200" y="9436101"/>
          <a:ext cx="4320000" cy="2017303"/>
        </a:xfrm>
        <a:prstGeom prst="rect">
          <a:avLst/>
        </a:prstGeom>
        <a:ln>
          <a:solidFill>
            <a:schemeClr val="tx1"/>
          </a:solidFill>
        </a:ln>
      </xdr:spPr>
    </xdr:pic>
    <xdr:clientData/>
  </xdr:twoCellAnchor>
  <xdr:twoCellAnchor editAs="oneCell">
    <xdr:from>
      <xdr:col>0</xdr:col>
      <xdr:colOff>660400</xdr:colOff>
      <xdr:row>488</xdr:row>
      <xdr:rowOff>63500</xdr:rowOff>
    </xdr:from>
    <xdr:to>
      <xdr:col>7</xdr:col>
      <xdr:colOff>205700</xdr:colOff>
      <xdr:row>513</xdr:row>
      <xdr:rowOff>112933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660400" y="55556150"/>
          <a:ext cx="5400000" cy="4970683"/>
        </a:xfrm>
        <a:prstGeom prst="rect">
          <a:avLst/>
        </a:prstGeom>
        <a:ln>
          <a:solidFill>
            <a:schemeClr val="tx1"/>
          </a:solidFill>
        </a:ln>
      </xdr:spPr>
    </xdr:pic>
    <xdr:clientData/>
  </xdr:twoCellAnchor>
  <xdr:twoCellAnchor editAs="oneCell">
    <xdr:from>
      <xdr:col>2</xdr:col>
      <xdr:colOff>282100</xdr:colOff>
      <xdr:row>514</xdr:row>
      <xdr:rowOff>68472</xdr:rowOff>
    </xdr:from>
    <xdr:to>
      <xdr:col>5</xdr:col>
      <xdr:colOff>495100</xdr:colOff>
      <xdr:row>527</xdr:row>
      <xdr:rowOff>55186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1920400" y="60679222"/>
          <a:ext cx="2880000" cy="2545764"/>
        </a:xfrm>
        <a:prstGeom prst="rect">
          <a:avLst/>
        </a:prstGeom>
        <a:ln>
          <a:solidFill>
            <a:schemeClr val="tx1"/>
          </a:solidFill>
        </a:ln>
      </xdr:spPr>
    </xdr:pic>
    <xdr:clientData/>
  </xdr:twoCellAnchor>
  <xdr:oneCellAnchor>
    <xdr:from>
      <xdr:col>2</xdr:col>
      <xdr:colOff>666752</xdr:colOff>
      <xdr:row>509</xdr:row>
      <xdr:rowOff>12700</xdr:rowOff>
    </xdr:from>
    <xdr:ext cx="948337" cy="374141"/>
    <xdr:sp macro="" textlink="">
      <xdr:nvSpPr>
        <xdr:cNvPr id="11" name="TextBox 10">
          <a:extLst>
            <a:ext uri="{FF2B5EF4-FFF2-40B4-BE49-F238E27FC236}">
              <a16:creationId xmlns:a16="http://schemas.microsoft.com/office/drawing/2014/main" id="{00000000-0008-0000-0000-00000B000000}"/>
            </a:ext>
          </a:extLst>
        </xdr:cNvPr>
        <xdr:cNvSpPr txBox="1"/>
      </xdr:nvSpPr>
      <xdr:spPr>
        <a:xfrm rot="1373070">
          <a:off x="2305052" y="59639200"/>
          <a:ext cx="94833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0" cap="none" spc="0">
              <a:ln w="0"/>
              <a:solidFill>
                <a:sysClr val="windowText" lastClr="000000"/>
              </a:solidFill>
              <a:effectLst>
                <a:outerShdw blurRad="38100" dist="25400" dir="5400000" algn="ctr" rotWithShape="0">
                  <a:srgbClr val="6E747A">
                    <a:alpha val="43000"/>
                  </a:srgbClr>
                </a:outerShdw>
              </a:effectLst>
            </a:rPr>
            <a:t>Tower 2</a:t>
          </a:r>
        </a:p>
      </xdr:txBody>
    </xdr:sp>
    <xdr:clientData/>
  </xdr:oneCellAnchor>
  <xdr:twoCellAnchor editAs="oneCell">
    <xdr:from>
      <xdr:col>8</xdr:col>
      <xdr:colOff>190500</xdr:colOff>
      <xdr:row>16</xdr:row>
      <xdr:rowOff>158750</xdr:rowOff>
    </xdr:from>
    <xdr:to>
      <xdr:col>13</xdr:col>
      <xdr:colOff>683900</xdr:colOff>
      <xdr:row>18</xdr:row>
      <xdr:rowOff>83030</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a:stretch>
          <a:fillRect/>
        </a:stretch>
      </xdr:blipFill>
      <xdr:spPr>
        <a:xfrm>
          <a:off x="6813550" y="3917950"/>
          <a:ext cx="5040000" cy="933930"/>
        </a:xfrm>
        <a:prstGeom prst="rect">
          <a:avLst/>
        </a:prstGeom>
        <a:ln>
          <a:solidFill>
            <a:schemeClr val="tx1"/>
          </a:solidFill>
        </a:ln>
      </xdr:spPr>
    </xdr:pic>
    <xdr:clientData/>
  </xdr:twoCellAnchor>
  <xdr:twoCellAnchor editAs="oneCell">
    <xdr:from>
      <xdr:col>8</xdr:col>
      <xdr:colOff>635000</xdr:colOff>
      <xdr:row>50</xdr:row>
      <xdr:rowOff>12700</xdr:rowOff>
    </xdr:from>
    <xdr:to>
      <xdr:col>11</xdr:col>
      <xdr:colOff>759100</xdr:colOff>
      <xdr:row>63</xdr:row>
      <xdr:rowOff>127910</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a:stretch>
          <a:fillRect/>
        </a:stretch>
      </xdr:blipFill>
      <xdr:spPr>
        <a:xfrm>
          <a:off x="7258050" y="11531600"/>
          <a:ext cx="2880000" cy="2198010"/>
        </a:xfrm>
        <a:prstGeom prst="rect">
          <a:avLst/>
        </a:prstGeom>
        <a:ln>
          <a:solidFill>
            <a:schemeClr val="tx1"/>
          </a:solidFill>
        </a:ln>
      </xdr:spPr>
    </xdr:pic>
    <xdr:clientData/>
  </xdr:twoCellAnchor>
  <xdr:twoCellAnchor editAs="oneCell">
    <xdr:from>
      <xdr:col>8</xdr:col>
      <xdr:colOff>647700</xdr:colOff>
      <xdr:row>154</xdr:row>
      <xdr:rowOff>117475</xdr:rowOff>
    </xdr:from>
    <xdr:to>
      <xdr:col>12</xdr:col>
      <xdr:colOff>526600</xdr:colOff>
      <xdr:row>174</xdr:row>
      <xdr:rowOff>115433</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a:stretch>
          <a:fillRect/>
        </a:stretch>
      </xdr:blipFill>
      <xdr:spPr>
        <a:xfrm>
          <a:off x="6962775" y="33769300"/>
          <a:ext cx="3431725" cy="4398508"/>
        </a:xfrm>
        <a:prstGeom prst="rect">
          <a:avLst/>
        </a:prstGeom>
        <a:ln>
          <a:solidFill>
            <a:schemeClr val="tx1"/>
          </a:solidFill>
        </a:ln>
      </xdr:spPr>
    </xdr:pic>
    <xdr:clientData/>
  </xdr:twoCellAnchor>
  <xdr:twoCellAnchor editAs="oneCell">
    <xdr:from>
      <xdr:col>8</xdr:col>
      <xdr:colOff>990600</xdr:colOff>
      <xdr:row>181</xdr:row>
      <xdr:rowOff>47626</xdr:rowOff>
    </xdr:from>
    <xdr:to>
      <xdr:col>13</xdr:col>
      <xdr:colOff>78925</xdr:colOff>
      <xdr:row>203</xdr:row>
      <xdr:rowOff>80563</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9"/>
        <a:stretch>
          <a:fillRect/>
        </a:stretch>
      </xdr:blipFill>
      <xdr:spPr>
        <a:xfrm>
          <a:off x="7305675" y="39500176"/>
          <a:ext cx="3431725" cy="4433487"/>
        </a:xfrm>
        <a:prstGeom prst="rect">
          <a:avLst/>
        </a:prstGeom>
        <a:ln>
          <a:solidFill>
            <a:schemeClr val="tx1"/>
          </a:solidFill>
        </a:ln>
      </xdr:spPr>
    </xdr:pic>
    <xdr:clientData/>
  </xdr:twoCellAnchor>
  <xdr:twoCellAnchor editAs="oneCell">
    <xdr:from>
      <xdr:col>8</xdr:col>
      <xdr:colOff>882650</xdr:colOff>
      <xdr:row>207</xdr:row>
      <xdr:rowOff>152400</xdr:rowOff>
    </xdr:from>
    <xdr:to>
      <xdr:col>12</xdr:col>
      <xdr:colOff>752025</xdr:colOff>
      <xdr:row>229</xdr:row>
      <xdr:rowOff>157732</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0"/>
        <a:stretch>
          <a:fillRect/>
        </a:stretch>
      </xdr:blipFill>
      <xdr:spPr>
        <a:xfrm>
          <a:off x="7197725" y="44805600"/>
          <a:ext cx="3422200" cy="4405882"/>
        </a:xfrm>
        <a:prstGeom prst="rect">
          <a:avLst/>
        </a:prstGeom>
        <a:ln>
          <a:solidFill>
            <a:schemeClr val="tx1"/>
          </a:solidFill>
        </a:ln>
      </xdr:spPr>
    </xdr:pic>
    <xdr:clientData/>
  </xdr:twoCellAnchor>
  <xdr:twoCellAnchor editAs="oneCell">
    <xdr:from>
      <xdr:col>8</xdr:col>
      <xdr:colOff>971550</xdr:colOff>
      <xdr:row>238</xdr:row>
      <xdr:rowOff>12701</xdr:rowOff>
    </xdr:from>
    <xdr:to>
      <xdr:col>13</xdr:col>
      <xdr:colOff>24950</xdr:colOff>
      <xdr:row>260</xdr:row>
      <xdr:rowOff>10746</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1"/>
        <a:stretch>
          <a:fillRect/>
        </a:stretch>
      </xdr:blipFill>
      <xdr:spPr>
        <a:xfrm>
          <a:off x="7594600" y="50730151"/>
          <a:ext cx="3600000" cy="4328745"/>
        </a:xfrm>
        <a:prstGeom prst="rect">
          <a:avLst/>
        </a:prstGeom>
        <a:ln>
          <a:solidFill>
            <a:schemeClr val="tx1"/>
          </a:solidFill>
        </a:ln>
      </xdr:spPr>
    </xdr:pic>
    <xdr:clientData/>
  </xdr:twoCellAnchor>
  <xdr:oneCellAnchor>
    <xdr:from>
      <xdr:col>3</xdr:col>
      <xdr:colOff>171450</xdr:colOff>
      <xdr:row>494</xdr:row>
      <xdr:rowOff>44450</xdr:rowOff>
    </xdr:from>
    <xdr:ext cx="948337" cy="374141"/>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2698750" y="94145100"/>
          <a:ext cx="94833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0" cap="none" spc="0">
              <a:ln w="0"/>
              <a:solidFill>
                <a:sysClr val="windowText" lastClr="000000"/>
              </a:solidFill>
              <a:effectLst>
                <a:outerShdw blurRad="38100" dist="25400" dir="5400000" algn="ctr" rotWithShape="0">
                  <a:srgbClr val="6E747A">
                    <a:alpha val="43000"/>
                  </a:srgbClr>
                </a:outerShdw>
              </a:effectLst>
            </a:rPr>
            <a:t>Tower 1</a:t>
          </a:r>
        </a:p>
      </xdr:txBody>
    </xdr:sp>
    <xdr:clientData/>
  </xdr:oneCellAnchor>
  <xdr:twoCellAnchor editAs="oneCell">
    <xdr:from>
      <xdr:col>8</xdr:col>
      <xdr:colOff>266700</xdr:colOff>
      <xdr:row>429</xdr:row>
      <xdr:rowOff>104775</xdr:rowOff>
    </xdr:from>
    <xdr:to>
      <xdr:col>13</xdr:col>
      <xdr:colOff>753750</xdr:colOff>
      <xdr:row>431</xdr:row>
      <xdr:rowOff>432280</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6"/>
        <a:stretch>
          <a:fillRect/>
        </a:stretch>
      </xdr:blipFill>
      <xdr:spPr>
        <a:xfrm>
          <a:off x="6581775" y="82848450"/>
          <a:ext cx="4830450" cy="927580"/>
        </a:xfrm>
        <a:prstGeom prst="rect">
          <a:avLst/>
        </a:prstGeom>
        <a:ln>
          <a:solidFill>
            <a:schemeClr val="tx1"/>
          </a:solidFill>
        </a:ln>
      </xdr:spPr>
    </xdr:pic>
    <xdr:clientData/>
  </xdr:twoCellAnchor>
  <xdr:twoCellAnchor>
    <xdr:from>
      <xdr:col>8</xdr:col>
      <xdr:colOff>675640</xdr:colOff>
      <xdr:row>447</xdr:row>
      <xdr:rowOff>16510</xdr:rowOff>
    </xdr:from>
    <xdr:to>
      <xdr:col>16</xdr:col>
      <xdr:colOff>118322</xdr:colOff>
      <xdr:row>470</xdr:row>
      <xdr:rowOff>178489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160260" y="88431370"/>
          <a:ext cx="6407362" cy="4711119"/>
          <a:chOff x="50800" y="85642450"/>
          <a:chExt cx="6531822" cy="4681909"/>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972750" y="88164359"/>
            <a:ext cx="1618313" cy="216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0800" y="85642450"/>
            <a:ext cx="3213023" cy="2412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369599" y="85642450"/>
            <a:ext cx="3213023" cy="2412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983728" y="88164359"/>
            <a:ext cx="2877333" cy="2160000"/>
          </a:xfrm>
          <a:prstGeom prst="rect">
            <a:avLst/>
          </a:prstGeom>
          <a:ln>
            <a:solidFill>
              <a:schemeClr val="tx1"/>
            </a:solidFill>
          </a:ln>
        </xdr:spPr>
      </xdr:pic>
    </xdr:grpSp>
    <xdr:clientData/>
  </xdr:twoCellAnchor>
  <xdr:twoCellAnchor editAs="oneCell">
    <xdr:from>
      <xdr:col>8</xdr:col>
      <xdr:colOff>1114425</xdr:colOff>
      <xdr:row>262</xdr:row>
      <xdr:rowOff>53975</xdr:rowOff>
    </xdr:from>
    <xdr:to>
      <xdr:col>13</xdr:col>
      <xdr:colOff>110675</xdr:colOff>
      <xdr:row>285</xdr:row>
      <xdr:rowOff>98424</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6"/>
        <a:stretch>
          <a:fillRect/>
        </a:stretch>
      </xdr:blipFill>
      <xdr:spPr>
        <a:xfrm>
          <a:off x="7737475" y="56041925"/>
          <a:ext cx="3542850" cy="4375149"/>
        </a:xfrm>
        <a:prstGeom prst="rect">
          <a:avLst/>
        </a:prstGeom>
        <a:ln>
          <a:solidFill>
            <a:schemeClr val="tx1"/>
          </a:solidFill>
        </a:ln>
      </xdr:spPr>
    </xdr:pic>
    <xdr:clientData/>
  </xdr:twoCellAnchor>
  <xdr:twoCellAnchor editAs="oneCell">
    <xdr:from>
      <xdr:col>8</xdr:col>
      <xdr:colOff>847725</xdr:colOff>
      <xdr:row>292</xdr:row>
      <xdr:rowOff>28575</xdr:rowOff>
    </xdr:from>
    <xdr:to>
      <xdr:col>12</xdr:col>
      <xdr:colOff>783775</xdr:colOff>
      <xdr:row>314</xdr:row>
      <xdr:rowOff>90183</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7"/>
        <a:stretch>
          <a:fillRect/>
        </a:stretch>
      </xdr:blipFill>
      <xdr:spPr>
        <a:xfrm>
          <a:off x="7470775" y="61922025"/>
          <a:ext cx="3657150" cy="4392308"/>
        </a:xfrm>
        <a:prstGeom prst="rect">
          <a:avLst/>
        </a:prstGeom>
        <a:ln>
          <a:solidFill>
            <a:schemeClr val="tx1"/>
          </a:solidFill>
        </a:ln>
      </xdr:spPr>
    </xdr:pic>
    <xdr:clientData/>
  </xdr:twoCellAnchor>
  <xdr:twoCellAnchor editAs="oneCell">
    <xdr:from>
      <xdr:col>12</xdr:col>
      <xdr:colOff>774700</xdr:colOff>
      <xdr:row>321</xdr:row>
      <xdr:rowOff>76200</xdr:rowOff>
    </xdr:from>
    <xdr:to>
      <xdr:col>17</xdr:col>
      <xdr:colOff>399600</xdr:colOff>
      <xdr:row>343</xdr:row>
      <xdr:rowOff>100960</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8"/>
        <a:stretch>
          <a:fillRect/>
        </a:stretch>
      </xdr:blipFill>
      <xdr:spPr>
        <a:xfrm>
          <a:off x="10642600" y="67189350"/>
          <a:ext cx="3453950" cy="4425310"/>
        </a:xfrm>
        <a:prstGeom prst="rect">
          <a:avLst/>
        </a:prstGeom>
        <a:ln>
          <a:solidFill>
            <a:schemeClr val="tx1"/>
          </a:solidFill>
        </a:ln>
      </xdr:spPr>
    </xdr:pic>
    <xdr:clientData/>
  </xdr:twoCellAnchor>
  <xdr:twoCellAnchor editAs="oneCell">
    <xdr:from>
      <xdr:col>8</xdr:col>
      <xdr:colOff>180975</xdr:colOff>
      <xdr:row>431</xdr:row>
      <xdr:rowOff>638176</xdr:rowOff>
    </xdr:from>
    <xdr:to>
      <xdr:col>13</xdr:col>
      <xdr:colOff>314375</xdr:colOff>
      <xdr:row>431</xdr:row>
      <xdr:rowOff>1782168</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9"/>
        <a:stretch>
          <a:fillRect/>
        </a:stretch>
      </xdr:blipFill>
      <xdr:spPr>
        <a:xfrm>
          <a:off x="6804025" y="84039076"/>
          <a:ext cx="4680000" cy="1143992"/>
        </a:xfrm>
        <a:prstGeom prst="rect">
          <a:avLst/>
        </a:prstGeom>
        <a:ln>
          <a:solidFill>
            <a:schemeClr val="tx1"/>
          </a:solidFill>
        </a:ln>
      </xdr:spPr>
    </xdr:pic>
    <xdr:clientData/>
  </xdr:twoCellAnchor>
  <xdr:twoCellAnchor>
    <xdr:from>
      <xdr:col>0</xdr:col>
      <xdr:colOff>175260</xdr:colOff>
      <xdr:row>446</xdr:row>
      <xdr:rowOff>30480</xdr:rowOff>
    </xdr:from>
    <xdr:to>
      <xdr:col>7</xdr:col>
      <xdr:colOff>558581</xdr:colOff>
      <xdr:row>474</xdr:row>
      <xdr:rowOff>45860</xdr:rowOff>
    </xdr:to>
    <xdr:grpSp>
      <xdr:nvGrpSpPr>
        <xdr:cNvPr id="9" name="Group 8">
          <a:extLst>
            <a:ext uri="{FF2B5EF4-FFF2-40B4-BE49-F238E27FC236}">
              <a16:creationId xmlns:a16="http://schemas.microsoft.com/office/drawing/2014/main" id="{0A328514-A0AD-B458-0283-534BF96753B4}"/>
            </a:ext>
          </a:extLst>
        </xdr:cNvPr>
        <xdr:cNvGrpSpPr/>
      </xdr:nvGrpSpPr>
      <xdr:grpSpPr>
        <a:xfrm>
          <a:off x="175260" y="88247220"/>
          <a:ext cx="6113561" cy="5555120"/>
          <a:chOff x="411481" y="144960"/>
          <a:chExt cx="6113561" cy="5555120"/>
        </a:xfrm>
      </xdr:grpSpPr>
      <xdr:grpSp>
        <xdr:nvGrpSpPr>
          <xdr:cNvPr id="10" name="Group 9">
            <a:extLst>
              <a:ext uri="{FF2B5EF4-FFF2-40B4-BE49-F238E27FC236}">
                <a16:creationId xmlns:a16="http://schemas.microsoft.com/office/drawing/2014/main" id="{FD703C5A-6521-3EFA-5A03-72D467516644}"/>
              </a:ext>
            </a:extLst>
          </xdr:cNvPr>
          <xdr:cNvGrpSpPr/>
        </xdr:nvGrpSpPr>
        <xdr:grpSpPr>
          <a:xfrm>
            <a:off x="1517686" y="3180080"/>
            <a:ext cx="3901151" cy="2520000"/>
            <a:chOff x="2359895" y="3180080"/>
            <a:chExt cx="3901151" cy="2520000"/>
          </a:xfrm>
        </xdr:grpSpPr>
        <xdr:pic>
          <xdr:nvPicPr>
            <xdr:cNvPr id="15" name="Picture 14">
              <a:extLst>
                <a:ext uri="{FF2B5EF4-FFF2-40B4-BE49-F238E27FC236}">
                  <a16:creationId xmlns:a16="http://schemas.microsoft.com/office/drawing/2014/main" id="{BEEAB7C7-C6D4-4D46-A492-033BFC3F1559}"/>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4373015" y="3180080"/>
              <a:ext cx="1888031" cy="2520000"/>
            </a:xfrm>
            <a:prstGeom prst="rect">
              <a:avLst/>
            </a:prstGeom>
            <a:ln>
              <a:solidFill>
                <a:schemeClr val="tx1"/>
              </a:solidFill>
            </a:ln>
          </xdr:spPr>
        </xdr:pic>
        <xdr:pic>
          <xdr:nvPicPr>
            <xdr:cNvPr id="16" name="Picture 15">
              <a:extLst>
                <a:ext uri="{FF2B5EF4-FFF2-40B4-BE49-F238E27FC236}">
                  <a16:creationId xmlns:a16="http://schemas.microsoft.com/office/drawing/2014/main" id="{1C16CDA2-56AD-B090-B4FD-7BAC88F69B45}"/>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2359895" y="3180080"/>
              <a:ext cx="1888031" cy="2520000"/>
            </a:xfrm>
            <a:prstGeom prst="rect">
              <a:avLst/>
            </a:prstGeom>
            <a:ln>
              <a:solidFill>
                <a:schemeClr val="tx1"/>
              </a:solidFill>
            </a:ln>
          </xdr:spPr>
        </xdr:pic>
      </xdr:grpSp>
      <xdr:grpSp>
        <xdr:nvGrpSpPr>
          <xdr:cNvPr id="12" name="Group 11">
            <a:extLst>
              <a:ext uri="{FF2B5EF4-FFF2-40B4-BE49-F238E27FC236}">
                <a16:creationId xmlns:a16="http://schemas.microsoft.com/office/drawing/2014/main" id="{407C1966-74CA-BC33-8529-80EF04100E7C}"/>
              </a:ext>
            </a:extLst>
          </xdr:cNvPr>
          <xdr:cNvGrpSpPr/>
        </xdr:nvGrpSpPr>
        <xdr:grpSpPr>
          <a:xfrm>
            <a:off x="411481" y="144960"/>
            <a:ext cx="6113561" cy="2880000"/>
            <a:chOff x="411481" y="144960"/>
            <a:chExt cx="6113561" cy="2880000"/>
          </a:xfrm>
        </xdr:grpSpPr>
        <xdr:pic>
          <xdr:nvPicPr>
            <xdr:cNvPr id="13" name="Picture 12">
              <a:extLst>
                <a:ext uri="{FF2B5EF4-FFF2-40B4-BE49-F238E27FC236}">
                  <a16:creationId xmlns:a16="http://schemas.microsoft.com/office/drawing/2014/main" id="{17F37406-B357-0B66-4A56-8CB28472E6C6}"/>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4367292" y="144960"/>
              <a:ext cx="2157750" cy="2880000"/>
            </a:xfrm>
            <a:prstGeom prst="rect">
              <a:avLst/>
            </a:prstGeom>
            <a:ln>
              <a:solidFill>
                <a:schemeClr val="tx1"/>
              </a:solidFill>
            </a:ln>
          </xdr:spPr>
        </xdr:pic>
        <xdr:pic>
          <xdr:nvPicPr>
            <xdr:cNvPr id="14" name="Picture 13">
              <a:extLst>
                <a:ext uri="{FF2B5EF4-FFF2-40B4-BE49-F238E27FC236}">
                  <a16:creationId xmlns:a16="http://schemas.microsoft.com/office/drawing/2014/main" id="{7B91840F-7730-AAE8-23F0-F5B3FAC2A16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tretch>
              <a:fillRect/>
            </a:stretch>
          </xdr:blipFill>
          <xdr:spPr>
            <a:xfrm>
              <a:off x="411481" y="144960"/>
              <a:ext cx="3836445" cy="288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693530</xdr:colOff>
      <xdr:row>29</xdr:row>
      <xdr:rowOff>178518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5400000" cy="3036018"/>
        </a:xfrm>
        <a:prstGeom prst="rect">
          <a:avLst/>
        </a:prstGeom>
        <a:ln>
          <a:solidFill>
            <a:schemeClr val="tx1"/>
          </a:solidFill>
        </a:ln>
      </xdr:spPr>
    </xdr:pic>
    <xdr:clientData/>
  </xdr:twoCellAnchor>
  <xdr:twoCellAnchor editAs="oneCell">
    <xdr:from>
      <xdr:col>5</xdr:col>
      <xdr:colOff>135825</xdr:colOff>
      <xdr:row>14</xdr:row>
      <xdr:rowOff>0</xdr:rowOff>
    </xdr:from>
    <xdr:to>
      <xdr:col>11</xdr:col>
      <xdr:colOff>425942</xdr:colOff>
      <xdr:row>29</xdr:row>
      <xdr:rowOff>178518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187001" y="2678206"/>
          <a:ext cx="5400000" cy="3036018"/>
        </a:xfrm>
        <a:prstGeom prst="rect">
          <a:avLst/>
        </a:prstGeom>
        <a:ln>
          <a:solidFill>
            <a:schemeClr val="tx1"/>
          </a:solidFill>
        </a:ln>
      </xdr:spPr>
    </xdr:pic>
    <xdr:clientData/>
  </xdr:twoCellAnchor>
  <xdr:twoCellAnchor editAs="oneCell">
    <xdr:from>
      <xdr:col>1</xdr:col>
      <xdr:colOff>0</xdr:colOff>
      <xdr:row>30</xdr:row>
      <xdr:rowOff>156320</xdr:rowOff>
    </xdr:from>
    <xdr:to>
      <xdr:col>4</xdr:col>
      <xdr:colOff>693530</xdr:colOff>
      <xdr:row>42</xdr:row>
      <xdr:rowOff>175198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582706" y="5882526"/>
          <a:ext cx="5400000" cy="2304878"/>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kCHyzka11MFwzki4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530"/>
  <sheetViews>
    <sheetView tabSelected="1" view="pageBreakPreview" zoomScaleNormal="100" zoomScaleSheetLayoutView="100" zoomScalePageLayoutView="85" workbookViewId="0">
      <selection activeCell="I8" sqref="I8"/>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0.554687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68" t="s">
        <v>163</v>
      </c>
      <c r="B1" s="168"/>
      <c r="C1" s="168"/>
      <c r="D1" s="168"/>
      <c r="E1" s="168"/>
      <c r="F1" s="168"/>
      <c r="G1" s="168"/>
      <c r="H1" s="168"/>
    </row>
    <row r="2" spans="1:26" ht="16.5" customHeight="1" x14ac:dyDescent="0.3">
      <c r="A2" s="160" t="s">
        <v>0</v>
      </c>
      <c r="B2" s="160"/>
      <c r="C2" s="160"/>
      <c r="D2" s="160"/>
      <c r="E2" s="160"/>
      <c r="F2" s="160"/>
      <c r="G2" s="160"/>
      <c r="H2" s="160"/>
    </row>
    <row r="3" spans="1:26" x14ac:dyDescent="0.3">
      <c r="A3" s="126" t="s">
        <v>1</v>
      </c>
      <c r="B3" s="126"/>
      <c r="C3" s="126"/>
      <c r="D3" s="126"/>
      <c r="E3" s="126" t="str">
        <f ca="1">TEXT(TODAY(),"DD/MM/YYYY")</f>
        <v>10/09/2025</v>
      </c>
      <c r="F3" s="126"/>
      <c r="G3" s="126"/>
      <c r="H3" s="126"/>
      <c r="K3" s="48" t="s">
        <v>238</v>
      </c>
      <c r="L3" s="47" t="s">
        <v>236</v>
      </c>
      <c r="M3" s="47" t="s">
        <v>241</v>
      </c>
      <c r="N3" s="47" t="s">
        <v>239</v>
      </c>
      <c r="O3" s="47" t="s">
        <v>240</v>
      </c>
      <c r="P3" s="47" t="s">
        <v>242</v>
      </c>
    </row>
    <row r="4" spans="1:26" ht="15" customHeight="1" x14ac:dyDescent="0.3">
      <c r="A4" s="126" t="s">
        <v>235</v>
      </c>
      <c r="B4" s="126"/>
      <c r="C4" s="126"/>
      <c r="D4" s="126"/>
      <c r="E4" s="126" t="s">
        <v>236</v>
      </c>
      <c r="F4" s="126"/>
      <c r="G4" s="126"/>
      <c r="H4" s="126"/>
      <c r="K4" s="46" t="s">
        <v>237</v>
      </c>
      <c r="L4" s="47" t="s">
        <v>169</v>
      </c>
      <c r="M4" s="47" t="s">
        <v>246</v>
      </c>
      <c r="N4" s="47" t="s">
        <v>248</v>
      </c>
      <c r="O4" s="47" t="s">
        <v>250</v>
      </c>
      <c r="P4" s="47"/>
    </row>
    <row r="5" spans="1:26" ht="15" customHeight="1" x14ac:dyDescent="0.3">
      <c r="A5" s="126" t="s">
        <v>2</v>
      </c>
      <c r="B5" s="126"/>
      <c r="C5" s="126"/>
      <c r="D5" s="126"/>
      <c r="E5" s="126" t="s">
        <v>169</v>
      </c>
      <c r="F5" s="126"/>
      <c r="G5" s="126"/>
      <c r="H5" s="126"/>
      <c r="K5" s="46"/>
      <c r="L5" s="47" t="s">
        <v>243</v>
      </c>
      <c r="M5" s="47" t="s">
        <v>247</v>
      </c>
      <c r="N5" s="47" t="s">
        <v>249</v>
      </c>
      <c r="O5" s="47" t="s">
        <v>251</v>
      </c>
      <c r="P5" s="47"/>
    </row>
    <row r="6" spans="1:26" x14ac:dyDescent="0.3">
      <c r="A6" s="126" t="s">
        <v>3</v>
      </c>
      <c r="B6" s="126"/>
      <c r="C6" s="126"/>
      <c r="D6" s="126"/>
      <c r="E6" s="170">
        <v>45909</v>
      </c>
      <c r="F6" s="126"/>
      <c r="G6" s="126"/>
      <c r="H6" s="126"/>
      <c r="K6" s="46"/>
      <c r="L6" s="47" t="s">
        <v>244</v>
      </c>
      <c r="M6" s="47"/>
      <c r="N6" s="47"/>
      <c r="O6" s="47" t="s">
        <v>252</v>
      </c>
      <c r="P6" s="47"/>
    </row>
    <row r="7" spans="1:26" ht="16.5" customHeight="1" x14ac:dyDescent="0.3">
      <c r="A7" s="126" t="s">
        <v>4</v>
      </c>
      <c r="B7" s="126"/>
      <c r="C7" s="126"/>
      <c r="D7" s="126"/>
      <c r="E7" s="126" t="s">
        <v>334</v>
      </c>
      <c r="F7" s="126"/>
      <c r="G7" s="126"/>
      <c r="H7" s="126"/>
      <c r="K7" s="46"/>
      <c r="L7" s="47" t="s">
        <v>245</v>
      </c>
      <c r="M7" s="47"/>
      <c r="N7" s="47"/>
      <c r="O7" s="47" t="s">
        <v>252</v>
      </c>
      <c r="P7" s="47"/>
    </row>
    <row r="8" spans="1:26" ht="15" customHeight="1" x14ac:dyDescent="0.3">
      <c r="A8" s="126" t="s">
        <v>5</v>
      </c>
      <c r="B8" s="126"/>
      <c r="C8" s="126"/>
      <c r="D8" s="126"/>
      <c r="E8" s="126" t="str">
        <f>E7</f>
        <v>Skylark Buildspace Private Limited</v>
      </c>
      <c r="F8" s="126"/>
      <c r="G8" s="126"/>
      <c r="H8" s="126"/>
      <c r="K8" s="46"/>
      <c r="L8" s="47"/>
      <c r="M8" s="47"/>
      <c r="N8" s="47"/>
      <c r="O8" s="47" t="s">
        <v>253</v>
      </c>
      <c r="P8" s="47"/>
    </row>
    <row r="9" spans="1:26" x14ac:dyDescent="0.3">
      <c r="A9" s="126" t="s">
        <v>6</v>
      </c>
      <c r="B9" s="126"/>
      <c r="C9" s="126"/>
      <c r="D9" s="126"/>
      <c r="E9" s="169" t="s">
        <v>335</v>
      </c>
      <c r="F9" s="169"/>
      <c r="G9" s="169"/>
      <c r="H9" s="169"/>
      <c r="K9" s="46"/>
      <c r="L9" s="47"/>
      <c r="M9" s="47"/>
      <c r="N9" s="47"/>
      <c r="O9" s="47" t="s">
        <v>254</v>
      </c>
      <c r="P9" s="47"/>
    </row>
    <row r="10" spans="1:26" x14ac:dyDescent="0.3">
      <c r="A10" s="126" t="s">
        <v>396</v>
      </c>
      <c r="B10" s="126"/>
      <c r="C10" s="126"/>
      <c r="D10" s="126"/>
      <c r="E10" s="169" t="s">
        <v>408</v>
      </c>
      <c r="F10" s="169"/>
      <c r="G10" s="169"/>
      <c r="H10" s="169"/>
      <c r="K10" s="46"/>
      <c r="L10" s="47"/>
      <c r="M10" s="47"/>
      <c r="N10" s="47"/>
      <c r="O10" s="47" t="s">
        <v>254</v>
      </c>
      <c r="P10" s="47"/>
    </row>
    <row r="11" spans="1:26" x14ac:dyDescent="0.3">
      <c r="A11" s="126" t="s">
        <v>166</v>
      </c>
      <c r="B11" s="126"/>
      <c r="C11" s="126"/>
      <c r="D11" s="126"/>
      <c r="E11" s="126">
        <v>7045920486</v>
      </c>
      <c r="F11" s="126"/>
      <c r="G11" s="126"/>
      <c r="H11" s="126"/>
      <c r="K11" s="46"/>
      <c r="L11" s="47"/>
      <c r="M11" s="47"/>
      <c r="N11" s="47"/>
      <c r="O11" s="47"/>
      <c r="P11" s="47"/>
    </row>
    <row r="12" spans="1:26" x14ac:dyDescent="0.3">
      <c r="A12" s="126" t="s">
        <v>167</v>
      </c>
      <c r="B12" s="126"/>
      <c r="C12" s="126"/>
      <c r="D12" s="126"/>
      <c r="E12" s="126" t="s">
        <v>420</v>
      </c>
      <c r="F12" s="126"/>
      <c r="G12" s="126"/>
      <c r="H12" s="126"/>
    </row>
    <row r="13" spans="1:26" x14ac:dyDescent="0.3">
      <c r="A13" s="126" t="s">
        <v>7</v>
      </c>
      <c r="B13" s="126"/>
      <c r="C13" s="126"/>
      <c r="D13" s="126"/>
      <c r="E13" s="126" t="s">
        <v>397</v>
      </c>
      <c r="F13" s="126"/>
      <c r="G13" s="126"/>
      <c r="H13" s="126"/>
    </row>
    <row r="14" spans="1:26" x14ac:dyDescent="0.3">
      <c r="A14" s="126" t="s">
        <v>170</v>
      </c>
      <c r="B14" s="126"/>
      <c r="C14" s="126"/>
      <c r="D14" s="126"/>
      <c r="E14" s="126" t="s">
        <v>28</v>
      </c>
      <c r="F14" s="126"/>
      <c r="G14" s="126"/>
      <c r="H14" s="126"/>
      <c r="S14" s="47" t="s">
        <v>179</v>
      </c>
      <c r="T14" s="47" t="s">
        <v>189</v>
      </c>
      <c r="U14" s="47" t="s">
        <v>171</v>
      </c>
      <c r="V14" s="47" t="s">
        <v>194</v>
      </c>
      <c r="W14" s="47" t="s">
        <v>212</v>
      </c>
      <c r="X14"/>
      <c r="Y14" t="s">
        <v>194</v>
      </c>
      <c r="Z14" t="e">
        <f ca="1">OFFSET($S$14,1,MATCH($G21,$S$14:$W$14,0)-1,15,1)</f>
        <v>#VALUE!</v>
      </c>
    </row>
    <row r="15" spans="1:26" x14ac:dyDescent="0.3">
      <c r="A15" s="106" t="s">
        <v>281</v>
      </c>
      <c r="B15" s="106"/>
      <c r="C15" s="106"/>
      <c r="D15" s="106"/>
      <c r="E15" s="120" t="s">
        <v>227</v>
      </c>
      <c r="F15" s="120"/>
      <c r="G15" s="120"/>
      <c r="H15" s="120"/>
      <c r="S15" s="47" t="s">
        <v>180</v>
      </c>
      <c r="T15" s="47" t="s">
        <v>187</v>
      </c>
      <c r="U15" s="47" t="s">
        <v>209</v>
      </c>
      <c r="V15" s="47" t="s">
        <v>195</v>
      </c>
      <c r="W15" s="47" t="s">
        <v>213</v>
      </c>
      <c r="X15"/>
      <c r="Y15"/>
      <c r="Z15"/>
    </row>
    <row r="16" spans="1:26" ht="32.1" customHeight="1" x14ac:dyDescent="0.3">
      <c r="A16" s="106" t="s">
        <v>8</v>
      </c>
      <c r="B16" s="106"/>
      <c r="C16" s="106"/>
      <c r="D16" s="106"/>
      <c r="E16" s="120" t="s">
        <v>398</v>
      </c>
      <c r="F16" s="126"/>
      <c r="G16" s="126"/>
      <c r="H16" s="126"/>
      <c r="I16" s="127" t="e">
        <f ca="1">OFFSET($D$5,1,MATCH($J14,$D$5:$H$5,0)-1,15,1)</f>
        <v>#N/A</v>
      </c>
      <c r="J16" s="128"/>
      <c r="K16" s="128"/>
      <c r="L16" s="128"/>
      <c r="M16" s="128"/>
      <c r="N16" s="128"/>
      <c r="O16" s="128"/>
      <c r="P16" s="128"/>
      <c r="S16" s="47" t="s">
        <v>181</v>
      </c>
      <c r="T16" s="47" t="s">
        <v>188</v>
      </c>
      <c r="U16" s="47" t="s">
        <v>210</v>
      </c>
      <c r="V16" s="47" t="s">
        <v>196</v>
      </c>
      <c r="W16" s="47" t="s">
        <v>226</v>
      </c>
      <c r="X16"/>
      <c r="Y16"/>
      <c r="Z16"/>
    </row>
    <row r="17" spans="1:26" ht="48.75" customHeight="1" x14ac:dyDescent="0.3">
      <c r="A17" s="120" t="s">
        <v>9</v>
      </c>
      <c r="B17" s="120"/>
      <c r="C17" s="120" t="str">
        <f>CONCATENATE((IF(OR(E9="",E9="NA"),"",E9)),", ",(IF(OR(A18="",A18="NA"),"",A18)),".",(IF(OR(C18="",C18="NA"),"",C18)),", near ",(IF(OR(C23="",C23="NA"),"",C23)),", ",(IF(OR(C20="",C20="NA"),"",C20)),", ",(IF(OR(C19="",C19="NA"),"",C19)),", ",(IF(OR(G20="",G20="NA"),"",G20)),", ",(IF(OR(C21="",C21="NA"),"",C21)),", ",(IF(OR(C22="",C22="NA"),"",C22)),", ",(IF(OR(G21="",G21="NA"),"",G21))," - ",(IF(OR(G22="",G22="NA"),"",G22)),".")</f>
        <v>Codename Lottery, CTS No.451/1, 464/1/2, 451/2, 464/1/3, 455/A/1, 459, 460/1, 461/1, 464/1/1, 450 (Pt), 449 (Pt), 467/A (Pt), 538/1, 465/1, 463, 462, near Raunak Delight, New DP Road, Sai Nagar, Owale, Thane (West), Thane, Thane  - 400615.</v>
      </c>
      <c r="D17" s="120"/>
      <c r="E17" s="120"/>
      <c r="F17" s="120"/>
      <c r="G17" s="120"/>
      <c r="H17" s="120"/>
      <c r="S17" s="47" t="s">
        <v>182</v>
      </c>
      <c r="T17" s="47" t="s">
        <v>190</v>
      </c>
      <c r="U17" s="47" t="s">
        <v>211</v>
      </c>
      <c r="V17" s="47" t="s">
        <v>197</v>
      </c>
      <c r="W17" s="47" t="s">
        <v>214</v>
      </c>
      <c r="X17"/>
      <c r="Y17"/>
      <c r="Z17"/>
    </row>
    <row r="18" spans="1:26" ht="30.9" customHeight="1" x14ac:dyDescent="0.3">
      <c r="A18" s="120" t="s">
        <v>175</v>
      </c>
      <c r="B18" s="120"/>
      <c r="C18" s="120" t="s">
        <v>399</v>
      </c>
      <c r="D18" s="120"/>
      <c r="E18" s="120"/>
      <c r="F18" s="120"/>
      <c r="G18" s="120"/>
      <c r="H18" s="120"/>
      <c r="S18" s="47" t="s">
        <v>183</v>
      </c>
      <c r="T18" s="47" t="s">
        <v>191</v>
      </c>
      <c r="U18" s="47" t="s">
        <v>171</v>
      </c>
      <c r="V18" s="47" t="s">
        <v>198</v>
      </c>
      <c r="W18" s="47" t="s">
        <v>215</v>
      </c>
      <c r="X18"/>
      <c r="Y18"/>
      <c r="Z18"/>
    </row>
    <row r="19" spans="1:26" ht="15.75" customHeight="1" x14ac:dyDescent="0.3">
      <c r="A19" s="120" t="s">
        <v>161</v>
      </c>
      <c r="B19" s="120"/>
      <c r="C19" s="120" t="s">
        <v>339</v>
      </c>
      <c r="D19" s="120"/>
      <c r="E19" s="120"/>
      <c r="F19" s="120"/>
      <c r="G19" s="120"/>
      <c r="H19" s="120"/>
      <c r="S19" s="47" t="s">
        <v>184</v>
      </c>
      <c r="T19" s="47" t="s">
        <v>189</v>
      </c>
      <c r="U19" s="47"/>
      <c r="V19" s="47" t="s">
        <v>199</v>
      </c>
      <c r="W19" s="47" t="s">
        <v>216</v>
      </c>
      <c r="X19"/>
      <c r="Y19"/>
      <c r="Z19"/>
    </row>
    <row r="20" spans="1:26" ht="15.75" customHeight="1" x14ac:dyDescent="0.3">
      <c r="A20" s="120" t="s">
        <v>10</v>
      </c>
      <c r="B20" s="120"/>
      <c r="C20" s="126" t="s">
        <v>394</v>
      </c>
      <c r="D20" s="126"/>
      <c r="E20" s="120" t="s">
        <v>68</v>
      </c>
      <c r="F20" s="120"/>
      <c r="G20" s="120" t="s">
        <v>337</v>
      </c>
      <c r="H20" s="120"/>
      <c r="S20" s="47" t="s">
        <v>185</v>
      </c>
      <c r="T20" s="47" t="s">
        <v>192</v>
      </c>
      <c r="U20" s="47"/>
      <c r="V20" s="47" t="s">
        <v>200</v>
      </c>
      <c r="W20" s="47" t="s">
        <v>217</v>
      </c>
      <c r="X20"/>
      <c r="Y20"/>
      <c r="Z20"/>
    </row>
    <row r="21" spans="1:26" x14ac:dyDescent="0.3">
      <c r="A21" s="126" t="s">
        <v>12</v>
      </c>
      <c r="B21" s="126"/>
      <c r="C21" s="120" t="s">
        <v>338</v>
      </c>
      <c r="D21" s="120"/>
      <c r="E21" s="120" t="s">
        <v>11</v>
      </c>
      <c r="F21" s="120"/>
      <c r="G21" s="171" t="s">
        <v>179</v>
      </c>
      <c r="H21" s="171"/>
      <c r="S21" s="47" t="s">
        <v>186</v>
      </c>
      <c r="T21" s="47" t="s">
        <v>193</v>
      </c>
      <c r="U21" s="47"/>
      <c r="V21" s="47" t="s">
        <v>201</v>
      </c>
      <c r="W21" s="47" t="s">
        <v>218</v>
      </c>
      <c r="X21"/>
      <c r="Y21"/>
      <c r="Z21"/>
    </row>
    <row r="22" spans="1:26" x14ac:dyDescent="0.3">
      <c r="A22" s="126" t="s">
        <v>69</v>
      </c>
      <c r="B22" s="126"/>
      <c r="C22" s="120" t="s">
        <v>180</v>
      </c>
      <c r="D22" s="120"/>
      <c r="E22" s="120" t="s">
        <v>13</v>
      </c>
      <c r="F22" s="120"/>
      <c r="G22" s="120">
        <v>400615</v>
      </c>
      <c r="H22" s="120"/>
      <c r="S22" s="47"/>
      <c r="T22" s="47"/>
      <c r="U22" s="47"/>
      <c r="V22" s="47" t="s">
        <v>202</v>
      </c>
      <c r="W22" s="47" t="s">
        <v>219</v>
      </c>
      <c r="X22"/>
      <c r="Y22"/>
      <c r="Z22"/>
    </row>
    <row r="23" spans="1:26" ht="32.25" customHeight="1" x14ac:dyDescent="0.3">
      <c r="A23" s="126" t="s">
        <v>118</v>
      </c>
      <c r="B23" s="126"/>
      <c r="C23" s="120" t="s">
        <v>349</v>
      </c>
      <c r="D23" s="120"/>
      <c r="E23" s="120" t="s">
        <v>14</v>
      </c>
      <c r="F23" s="120"/>
      <c r="G23" s="120" t="s">
        <v>343</v>
      </c>
      <c r="H23" s="120"/>
      <c r="S23" s="47"/>
      <c r="T23" s="47"/>
      <c r="U23" s="47"/>
      <c r="V23" s="47" t="s">
        <v>203</v>
      </c>
      <c r="W23" s="47" t="s">
        <v>220</v>
      </c>
      <c r="X23"/>
      <c r="Y23"/>
      <c r="Z23"/>
    </row>
    <row r="24" spans="1:26" ht="15" customHeight="1" x14ac:dyDescent="0.3">
      <c r="A24" s="114" t="s">
        <v>71</v>
      </c>
      <c r="B24" s="114"/>
      <c r="C24" s="114"/>
      <c r="D24" s="114"/>
      <c r="E24" s="126" t="s">
        <v>15</v>
      </c>
      <c r="F24" s="126"/>
      <c r="G24" s="126"/>
      <c r="H24" s="126"/>
      <c r="S24" s="47"/>
      <c r="T24" s="47"/>
      <c r="U24" s="47"/>
      <c r="V24" s="47" t="s">
        <v>204</v>
      </c>
      <c r="W24" s="47" t="s">
        <v>221</v>
      </c>
      <c r="X24"/>
      <c r="Y24"/>
      <c r="Z24"/>
    </row>
    <row r="25" spans="1:26" ht="18.75" customHeight="1" x14ac:dyDescent="0.3">
      <c r="A25" s="114"/>
      <c r="B25" s="114"/>
      <c r="C25" s="114"/>
      <c r="D25" s="114"/>
      <c r="E25" s="126"/>
      <c r="F25" s="126"/>
      <c r="G25" s="126"/>
      <c r="H25" s="126"/>
      <c r="S25" s="47"/>
      <c r="T25" s="47"/>
      <c r="U25" s="47"/>
      <c r="V25" s="47" t="s">
        <v>205</v>
      </c>
      <c r="W25" s="47" t="s">
        <v>222</v>
      </c>
      <c r="X25"/>
      <c r="Y25"/>
      <c r="Z25"/>
    </row>
    <row r="26" spans="1:26" ht="15" customHeight="1" x14ac:dyDescent="0.3">
      <c r="A26" s="114" t="s">
        <v>16</v>
      </c>
      <c r="B26" s="114"/>
      <c r="C26" s="114"/>
      <c r="D26" s="114"/>
      <c r="E26" s="120" t="s">
        <v>17</v>
      </c>
      <c r="F26" s="120"/>
      <c r="G26" s="120"/>
      <c r="H26" s="120"/>
      <c r="S26" s="47"/>
      <c r="T26" s="47"/>
      <c r="U26" s="47"/>
      <c r="V26" s="47" t="s">
        <v>206</v>
      </c>
      <c r="W26" s="47" t="s">
        <v>223</v>
      </c>
      <c r="X26"/>
      <c r="Y26"/>
      <c r="Z26"/>
    </row>
    <row r="27" spans="1:26" ht="15" customHeight="1" x14ac:dyDescent="0.3">
      <c r="A27" s="106" t="s">
        <v>18</v>
      </c>
      <c r="B27" s="106"/>
      <c r="C27" s="106"/>
      <c r="D27" s="106"/>
      <c r="E27" s="120" t="str">
        <f>IF(AND(G21="Mumbai"),"Upper Class","Middle Class")</f>
        <v>Middle Class</v>
      </c>
      <c r="F27" s="120"/>
      <c r="G27" s="120"/>
      <c r="H27" s="120"/>
      <c r="S27" s="47"/>
      <c r="T27" s="47"/>
      <c r="U27" s="47"/>
      <c r="V27" s="47" t="s">
        <v>207</v>
      </c>
      <c r="W27" s="47" t="s">
        <v>224</v>
      </c>
      <c r="X27"/>
      <c r="Y27"/>
      <c r="Z27"/>
    </row>
    <row r="28" spans="1:26" x14ac:dyDescent="0.3">
      <c r="A28" s="106" t="s">
        <v>19</v>
      </c>
      <c r="B28" s="106"/>
      <c r="C28" s="106"/>
      <c r="D28" s="106"/>
      <c r="E28" s="120" t="s">
        <v>20</v>
      </c>
      <c r="F28" s="120"/>
      <c r="G28" s="120"/>
      <c r="H28" s="120"/>
      <c r="S28" s="47"/>
      <c r="T28" s="47"/>
      <c r="U28" s="47"/>
      <c r="V28" s="47" t="s">
        <v>208</v>
      </c>
      <c r="W28" s="47" t="s">
        <v>225</v>
      </c>
      <c r="X28"/>
      <c r="Y28"/>
      <c r="Z28"/>
    </row>
    <row r="29" spans="1:26" ht="15.75" customHeight="1" x14ac:dyDescent="0.3">
      <c r="A29" s="106" t="s">
        <v>21</v>
      </c>
      <c r="B29" s="106"/>
      <c r="C29" s="106"/>
      <c r="D29" s="106"/>
      <c r="E29" s="120" t="str">
        <f>IF(AND(G21="Mumbai"),"Developed","Developing")</f>
        <v>Developing</v>
      </c>
      <c r="F29" s="120"/>
      <c r="G29" s="120"/>
      <c r="H29" s="120"/>
    </row>
    <row r="30" spans="1:26" x14ac:dyDescent="0.3">
      <c r="A30" s="106" t="s">
        <v>22</v>
      </c>
      <c r="B30" s="106"/>
      <c r="C30" s="106"/>
      <c r="D30" s="106"/>
      <c r="E30" s="120" t="s">
        <v>23</v>
      </c>
      <c r="F30" s="120"/>
      <c r="G30" s="120"/>
      <c r="H30" s="120"/>
    </row>
    <row r="31" spans="1:26" ht="15.75" customHeight="1" x14ac:dyDescent="0.3">
      <c r="A31" s="106" t="s">
        <v>76</v>
      </c>
      <c r="B31" s="106"/>
      <c r="C31" s="106"/>
      <c r="D31" s="106"/>
      <c r="E31" s="120" t="s">
        <v>77</v>
      </c>
      <c r="F31" s="120"/>
      <c r="G31" s="120"/>
      <c r="H31" s="120"/>
    </row>
    <row r="32" spans="1:26" ht="15" customHeight="1" x14ac:dyDescent="0.3">
      <c r="A32" s="106" t="s">
        <v>30</v>
      </c>
      <c r="B32" s="106"/>
      <c r="C32" s="106"/>
      <c r="D32" s="106"/>
      <c r="E32" s="120"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 + Commercial</v>
      </c>
      <c r="F32" s="120"/>
      <c r="G32" s="120"/>
      <c r="H32" s="120"/>
    </row>
    <row r="33" spans="1:19" ht="15.75" customHeight="1" x14ac:dyDescent="0.3">
      <c r="A33" s="106" t="s">
        <v>88</v>
      </c>
      <c r="B33" s="106"/>
      <c r="C33" s="106"/>
      <c r="D33" s="106"/>
      <c r="E33" s="120" t="s">
        <v>31</v>
      </c>
      <c r="F33" s="120"/>
      <c r="G33" s="120"/>
      <c r="H33" s="120"/>
    </row>
    <row r="34" spans="1:19" s="19" customFormat="1" x14ac:dyDescent="0.3">
      <c r="A34" s="173" t="s">
        <v>89</v>
      </c>
      <c r="B34" s="173"/>
      <c r="C34" s="157" t="s">
        <v>172</v>
      </c>
      <c r="D34" s="157"/>
      <c r="E34" s="157"/>
      <c r="F34" s="157" t="s">
        <v>29</v>
      </c>
      <c r="G34" s="157"/>
      <c r="H34" s="157"/>
      <c r="S34" s="19" t="e">
        <f ca="1">OFFSET($S$14,1,MATCH($G21,$S$14:$W$14,0)-1,15,1)</f>
        <v>#VALUE!</v>
      </c>
    </row>
    <row r="35" spans="1:19" s="19" customFormat="1" x14ac:dyDescent="0.3">
      <c r="A35" s="172" t="s">
        <v>24</v>
      </c>
      <c r="B35" s="172" t="s">
        <v>28</v>
      </c>
      <c r="C35" s="139" t="s">
        <v>346</v>
      </c>
      <c r="D35" s="139"/>
      <c r="E35" s="139"/>
      <c r="F35" s="139" t="s">
        <v>344</v>
      </c>
      <c r="G35" s="139"/>
      <c r="H35" s="139"/>
    </row>
    <row r="36" spans="1:19" x14ac:dyDescent="0.3">
      <c r="A36" s="172" t="s">
        <v>25</v>
      </c>
      <c r="B36" s="172" t="s">
        <v>28</v>
      </c>
      <c r="C36" s="139" t="s">
        <v>347</v>
      </c>
      <c r="D36" s="139"/>
      <c r="E36" s="139"/>
      <c r="F36" s="139" t="s">
        <v>340</v>
      </c>
      <c r="G36" s="139"/>
      <c r="H36" s="139"/>
    </row>
    <row r="37" spans="1:19" s="19" customFormat="1" x14ac:dyDescent="0.3">
      <c r="A37" s="172" t="s">
        <v>27</v>
      </c>
      <c r="B37" s="172" t="s">
        <v>28</v>
      </c>
      <c r="C37" s="139" t="s">
        <v>348</v>
      </c>
      <c r="D37" s="139"/>
      <c r="E37" s="139"/>
      <c r="F37" s="139" t="s">
        <v>340</v>
      </c>
      <c r="G37" s="139"/>
      <c r="H37" s="139"/>
    </row>
    <row r="38" spans="1:19" x14ac:dyDescent="0.3">
      <c r="A38" s="172" t="s">
        <v>26</v>
      </c>
      <c r="B38" s="172" t="s">
        <v>28</v>
      </c>
      <c r="C38" s="139" t="s">
        <v>346</v>
      </c>
      <c r="D38" s="139"/>
      <c r="E38" s="139"/>
      <c r="F38" s="139" t="s">
        <v>345</v>
      </c>
      <c r="G38" s="139"/>
      <c r="H38" s="139"/>
    </row>
    <row r="39" spans="1:19" x14ac:dyDescent="0.3">
      <c r="A39" s="106" t="s">
        <v>282</v>
      </c>
      <c r="B39" s="106"/>
      <c r="C39" s="106"/>
      <c r="D39" s="106"/>
      <c r="E39" s="106"/>
      <c r="F39" s="106"/>
      <c r="G39" s="106"/>
      <c r="H39" s="106"/>
    </row>
    <row r="40" spans="1:19" ht="15.75" customHeight="1" x14ac:dyDescent="0.3">
      <c r="A40" s="106" t="s">
        <v>164</v>
      </c>
      <c r="B40" s="106"/>
      <c r="C40" s="165" t="s">
        <v>342</v>
      </c>
      <c r="D40" s="165"/>
      <c r="E40" s="165"/>
      <c r="F40" s="165"/>
      <c r="G40" s="165"/>
      <c r="H40" s="165"/>
    </row>
    <row r="41" spans="1:19" x14ac:dyDescent="0.3">
      <c r="A41" s="106" t="s">
        <v>160</v>
      </c>
      <c r="B41" s="106"/>
      <c r="C41" s="184" t="s">
        <v>341</v>
      </c>
      <c r="D41" s="120"/>
      <c r="E41" s="120"/>
      <c r="F41" s="120"/>
      <c r="G41" s="120"/>
      <c r="H41" s="120"/>
    </row>
    <row r="42" spans="1:19" x14ac:dyDescent="0.3">
      <c r="A42" s="165" t="s">
        <v>32</v>
      </c>
      <c r="B42" s="165"/>
      <c r="C42" s="165"/>
      <c r="D42" s="165"/>
      <c r="E42" s="165"/>
      <c r="F42" s="165"/>
      <c r="G42" s="165"/>
      <c r="H42" s="165"/>
    </row>
    <row r="43" spans="1:19" x14ac:dyDescent="0.3">
      <c r="A43" s="106" t="s">
        <v>33</v>
      </c>
      <c r="B43" s="106"/>
      <c r="C43" s="106"/>
      <c r="D43" s="106"/>
      <c r="E43" s="174">
        <v>20283.27</v>
      </c>
      <c r="F43" s="174"/>
      <c r="G43" s="174"/>
      <c r="H43" s="174"/>
    </row>
    <row r="44" spans="1:19" x14ac:dyDescent="0.3">
      <c r="A44" s="106" t="s">
        <v>34</v>
      </c>
      <c r="B44" s="106"/>
      <c r="C44" s="106"/>
      <c r="D44" s="106"/>
      <c r="E44" s="130">
        <f>22311.6/E43</f>
        <v>1.1000001479051453</v>
      </c>
      <c r="F44" s="130"/>
      <c r="G44" s="130"/>
      <c r="H44" s="130"/>
    </row>
    <row r="45" spans="1:19" x14ac:dyDescent="0.3">
      <c r="A45" s="106" t="s">
        <v>35</v>
      </c>
      <c r="B45" s="106"/>
      <c r="C45" s="106"/>
      <c r="D45" s="106"/>
      <c r="E45" s="130">
        <f>E47/E43-E44</f>
        <v>3.9476090393708709</v>
      </c>
      <c r="F45" s="130"/>
      <c r="G45" s="130"/>
      <c r="H45" s="130"/>
    </row>
    <row r="46" spans="1:19" x14ac:dyDescent="0.3">
      <c r="A46" s="106" t="s">
        <v>36</v>
      </c>
      <c r="B46" s="106"/>
      <c r="C46" s="106"/>
      <c r="D46" s="106"/>
      <c r="E46" s="130">
        <f>E44+E45</f>
        <v>5.0476091872760165</v>
      </c>
      <c r="F46" s="130"/>
      <c r="G46" s="130"/>
      <c r="H46" s="130"/>
    </row>
    <row r="47" spans="1:19" x14ac:dyDescent="0.3">
      <c r="A47" s="106" t="s">
        <v>87</v>
      </c>
      <c r="B47" s="106"/>
      <c r="C47" s="106"/>
      <c r="D47" s="106"/>
      <c r="E47" s="176">
        <v>102382.02</v>
      </c>
      <c r="F47" s="176"/>
      <c r="G47" s="176"/>
      <c r="H47" s="176"/>
    </row>
    <row r="48" spans="1:19" x14ac:dyDescent="0.3">
      <c r="A48" s="126" t="s">
        <v>37</v>
      </c>
      <c r="B48" s="126"/>
      <c r="C48" s="126"/>
      <c r="D48" s="126"/>
      <c r="E48" s="126" t="s">
        <v>400</v>
      </c>
      <c r="F48" s="126"/>
      <c r="G48" s="126"/>
      <c r="H48" s="126"/>
    </row>
    <row r="49" spans="1:24" x14ac:dyDescent="0.3">
      <c r="A49" s="165" t="s">
        <v>38</v>
      </c>
      <c r="B49" s="165"/>
      <c r="C49" s="165"/>
      <c r="D49" s="165"/>
      <c r="E49" s="165"/>
      <c r="F49" s="165"/>
      <c r="G49" s="165"/>
      <c r="H49" s="165"/>
    </row>
    <row r="50" spans="1:24" ht="33.75" customHeight="1" x14ac:dyDescent="0.3">
      <c r="A50" s="123" t="s">
        <v>150</v>
      </c>
      <c r="B50" s="125"/>
      <c r="C50" s="192" t="s">
        <v>262</v>
      </c>
      <c r="D50" s="193"/>
      <c r="E50" s="193"/>
      <c r="F50" s="193"/>
      <c r="G50" s="193"/>
      <c r="H50" s="194"/>
      <c r="R50" t="s">
        <v>255</v>
      </c>
      <c r="S50" t="s">
        <v>171</v>
      </c>
      <c r="T50" t="s">
        <v>179</v>
      </c>
      <c r="U50" t="s">
        <v>194</v>
      </c>
      <c r="V50" t="s">
        <v>189</v>
      </c>
    </row>
    <row r="51" spans="1:24" ht="20.100000000000001" customHeight="1" x14ac:dyDescent="0.3">
      <c r="A51" s="123" t="s">
        <v>403</v>
      </c>
      <c r="B51" s="125"/>
      <c r="C51" s="123" t="s">
        <v>405</v>
      </c>
      <c r="D51" s="124"/>
      <c r="E51" s="125"/>
      <c r="F51" s="17" t="s">
        <v>39</v>
      </c>
      <c r="G51" s="108">
        <v>45632</v>
      </c>
      <c r="H51" s="109"/>
      <c r="R51"/>
      <c r="S51" t="s">
        <v>256</v>
      </c>
      <c r="T51" t="s">
        <v>261</v>
      </c>
      <c r="U51" t="s">
        <v>272</v>
      </c>
      <c r="V51" t="s">
        <v>277</v>
      </c>
    </row>
    <row r="52" spans="1:24" ht="17.399999999999999" customHeight="1" x14ac:dyDescent="0.3">
      <c r="A52" s="123" t="s">
        <v>421</v>
      </c>
      <c r="B52" s="125"/>
      <c r="C52" s="123" t="str">
        <f>C51</f>
        <v>V.P.S06/0366/21/TMC/TDD/57</v>
      </c>
      <c r="D52" s="124"/>
      <c r="E52" s="125"/>
      <c r="F52" s="17" t="s">
        <v>39</v>
      </c>
      <c r="G52" s="108">
        <f>G51</f>
        <v>45632</v>
      </c>
      <c r="H52" s="109"/>
      <c r="R52"/>
      <c r="S52" t="s">
        <v>257</v>
      </c>
      <c r="T52" t="s">
        <v>262</v>
      </c>
      <c r="U52" t="s">
        <v>270</v>
      </c>
      <c r="V52" t="s">
        <v>278</v>
      </c>
    </row>
    <row r="53" spans="1:24" ht="33" hidden="1" customHeight="1" x14ac:dyDescent="0.3">
      <c r="A53" s="123" t="s">
        <v>403</v>
      </c>
      <c r="B53" s="125"/>
      <c r="C53" s="123" t="s">
        <v>393</v>
      </c>
      <c r="D53" s="124"/>
      <c r="E53" s="125"/>
      <c r="F53" s="17" t="s">
        <v>39</v>
      </c>
      <c r="G53" s="108">
        <v>45300</v>
      </c>
      <c r="H53" s="109"/>
      <c r="R53"/>
      <c r="S53" t="s">
        <v>256</v>
      </c>
      <c r="T53" t="s">
        <v>261</v>
      </c>
      <c r="U53" t="s">
        <v>272</v>
      </c>
      <c r="V53" t="s">
        <v>277</v>
      </c>
    </row>
    <row r="54" spans="1:24" ht="33.6" hidden="1" customHeight="1" x14ac:dyDescent="0.3">
      <c r="A54" s="123" t="s">
        <v>404</v>
      </c>
      <c r="B54" s="125"/>
      <c r="C54" s="123" t="str">
        <f>C53</f>
        <v>S06/0366/21/TMCB/TDD/0065/(P/O)/2024/A-DCR</v>
      </c>
      <c r="D54" s="124"/>
      <c r="E54" s="125"/>
      <c r="F54" s="17" t="s">
        <v>39</v>
      </c>
      <c r="G54" s="108">
        <f>G53</f>
        <v>45300</v>
      </c>
      <c r="H54" s="109"/>
      <c r="R54"/>
      <c r="S54" t="s">
        <v>257</v>
      </c>
      <c r="T54" t="s">
        <v>262</v>
      </c>
      <c r="U54" t="s">
        <v>270</v>
      </c>
      <c r="V54" t="s">
        <v>278</v>
      </c>
    </row>
    <row r="55" spans="1:24" s="20" customFormat="1" ht="15.75" customHeight="1" x14ac:dyDescent="0.3">
      <c r="A55" s="110" t="s">
        <v>154</v>
      </c>
      <c r="B55" s="111"/>
      <c r="C55" s="123" t="s">
        <v>401</v>
      </c>
      <c r="D55" s="124"/>
      <c r="E55" s="125"/>
      <c r="F55" s="17" t="s">
        <v>39</v>
      </c>
      <c r="G55" s="108">
        <v>45632</v>
      </c>
      <c r="H55" s="109"/>
      <c r="R55"/>
      <c r="S55" t="s">
        <v>258</v>
      </c>
      <c r="T55" t="s">
        <v>263</v>
      </c>
      <c r="U55" t="s">
        <v>260</v>
      </c>
      <c r="V55" t="s">
        <v>279</v>
      </c>
    </row>
    <row r="56" spans="1:24" s="20" customFormat="1" ht="32.4" customHeight="1" x14ac:dyDescent="0.3">
      <c r="A56" s="112"/>
      <c r="B56" s="113"/>
      <c r="C56" s="115" t="s">
        <v>402</v>
      </c>
      <c r="D56" s="116"/>
      <c r="E56" s="116"/>
      <c r="F56" s="116"/>
      <c r="G56" s="116"/>
      <c r="H56" s="117"/>
      <c r="R56"/>
      <c r="S56" t="s">
        <v>259</v>
      </c>
      <c r="T56" t="s">
        <v>266</v>
      </c>
      <c r="U56" t="s">
        <v>273</v>
      </c>
    </row>
    <row r="57" spans="1:24" s="20" customFormat="1" hidden="1" x14ac:dyDescent="0.3">
      <c r="A57" s="131" t="s">
        <v>283</v>
      </c>
      <c r="B57" s="132"/>
      <c r="C57" s="123"/>
      <c r="D57" s="124"/>
      <c r="E57" s="125"/>
      <c r="F57" s="17" t="s">
        <v>39</v>
      </c>
      <c r="G57" s="123"/>
      <c r="H57" s="125"/>
      <c r="R57"/>
      <c r="S57" t="s">
        <v>258</v>
      </c>
      <c r="T57" t="s">
        <v>263</v>
      </c>
      <c r="U57" t="s">
        <v>260</v>
      </c>
      <c r="V57" t="s">
        <v>279</v>
      </c>
    </row>
    <row r="58" spans="1:24" s="20" customFormat="1" ht="32.25" hidden="1" customHeight="1" x14ac:dyDescent="0.3">
      <c r="A58" s="133"/>
      <c r="B58" s="134"/>
      <c r="C58" s="188"/>
      <c r="D58" s="189"/>
      <c r="E58" s="189"/>
      <c r="F58" s="189"/>
      <c r="G58" s="189"/>
      <c r="H58" s="190"/>
      <c r="R58"/>
      <c r="S58" t="s">
        <v>260</v>
      </c>
      <c r="T58" t="s">
        <v>264</v>
      </c>
      <c r="U58" t="s">
        <v>274</v>
      </c>
      <c r="V58" s="18"/>
      <c r="W58" s="18"/>
      <c r="X58" s="18"/>
    </row>
    <row r="59" spans="1:24" s="20" customFormat="1" ht="30.75" customHeight="1" x14ac:dyDescent="0.3">
      <c r="A59" s="135" t="s">
        <v>284</v>
      </c>
      <c r="B59" s="136"/>
      <c r="C59" s="123" t="s">
        <v>390</v>
      </c>
      <c r="D59" s="124"/>
      <c r="E59" s="125"/>
      <c r="F59" s="17" t="s">
        <v>39</v>
      </c>
      <c r="G59" s="108">
        <v>45328</v>
      </c>
      <c r="H59" s="125"/>
      <c r="R59"/>
      <c r="S59" s="18"/>
      <c r="T59" t="s">
        <v>265</v>
      </c>
      <c r="U59" t="s">
        <v>275</v>
      </c>
      <c r="V59" s="18"/>
      <c r="W59" s="18"/>
      <c r="X59" s="18"/>
    </row>
    <row r="60" spans="1:24" s="20" customFormat="1" ht="32.25" customHeight="1" x14ac:dyDescent="0.3">
      <c r="A60" s="137"/>
      <c r="B60" s="138"/>
      <c r="C60" s="123" t="s">
        <v>391</v>
      </c>
      <c r="D60" s="124"/>
      <c r="E60" s="124"/>
      <c r="F60" s="124"/>
      <c r="G60" s="124"/>
      <c r="H60" s="125"/>
      <c r="R60"/>
      <c r="S60" s="18"/>
      <c r="T60" t="s">
        <v>267</v>
      </c>
      <c r="U60" t="s">
        <v>276</v>
      </c>
      <c r="V60" s="18"/>
      <c r="W60" s="18"/>
      <c r="X60" s="18"/>
    </row>
    <row r="61" spans="1:24" s="20" customFormat="1" ht="15.75" hidden="1" customHeight="1" x14ac:dyDescent="0.3">
      <c r="A61" s="131" t="s">
        <v>285</v>
      </c>
      <c r="B61" s="132"/>
      <c r="C61" s="123"/>
      <c r="D61" s="124"/>
      <c r="E61" s="125"/>
      <c r="F61" s="17" t="s">
        <v>39</v>
      </c>
      <c r="G61" s="123"/>
      <c r="H61" s="125"/>
      <c r="R61"/>
      <c r="S61" s="18"/>
      <c r="T61" t="s">
        <v>268</v>
      </c>
      <c r="U61" s="18" t="s">
        <v>299</v>
      </c>
      <c r="V61" s="18"/>
      <c r="W61" s="18"/>
      <c r="X61" s="18"/>
    </row>
    <row r="62" spans="1:24" s="20" customFormat="1" ht="33.75" hidden="1" customHeight="1" x14ac:dyDescent="0.3">
      <c r="A62" s="133"/>
      <c r="B62" s="134"/>
      <c r="C62" s="114"/>
      <c r="D62" s="114"/>
      <c r="E62" s="114"/>
      <c r="F62" s="17" t="s">
        <v>117</v>
      </c>
      <c r="G62" s="114"/>
      <c r="H62" s="114"/>
      <c r="R62"/>
      <c r="S62" s="18"/>
      <c r="T62" t="s">
        <v>269</v>
      </c>
      <c r="U62" s="18"/>
      <c r="V62" s="18"/>
      <c r="W62" s="18"/>
      <c r="X62" s="18"/>
    </row>
    <row r="63" spans="1:24" x14ac:dyDescent="0.3">
      <c r="A63" s="140" t="s">
        <v>40</v>
      </c>
      <c r="B63" s="141"/>
      <c r="C63" s="140" t="s">
        <v>101</v>
      </c>
      <c r="D63" s="142"/>
      <c r="E63" s="141"/>
      <c r="F63" s="40" t="s">
        <v>39</v>
      </c>
      <c r="G63" s="143" t="s">
        <v>28</v>
      </c>
      <c r="H63" s="144"/>
      <c r="R63"/>
      <c r="T63" t="s">
        <v>271</v>
      </c>
    </row>
    <row r="64" spans="1:24" x14ac:dyDescent="0.3">
      <c r="A64" s="156" t="s">
        <v>42</v>
      </c>
      <c r="B64" s="156"/>
      <c r="C64" s="156"/>
      <c r="D64" s="156"/>
      <c r="E64" s="156"/>
      <c r="F64" s="156"/>
      <c r="G64" s="156"/>
      <c r="H64" s="156"/>
      <c r="T64" t="s">
        <v>280</v>
      </c>
    </row>
    <row r="65" spans="1:19" x14ac:dyDescent="0.3">
      <c r="A65" s="114" t="s">
        <v>86</v>
      </c>
      <c r="B65" s="114"/>
      <c r="C65" s="114"/>
      <c r="D65" s="106">
        <f>E47</f>
        <v>102382.02</v>
      </c>
      <c r="E65" s="106"/>
      <c r="F65" s="106"/>
      <c r="G65" s="106"/>
      <c r="H65" s="106"/>
      <c r="R65"/>
    </row>
    <row r="66" spans="1:19" x14ac:dyDescent="0.3">
      <c r="A66" s="120" t="s">
        <v>43</v>
      </c>
      <c r="B66" s="126"/>
      <c r="C66" s="126"/>
      <c r="D66" s="126" t="s">
        <v>428</v>
      </c>
      <c r="E66" s="126"/>
      <c r="F66" s="126"/>
      <c r="G66" s="126"/>
      <c r="H66" s="126"/>
      <c r="I66" s="21"/>
      <c r="R66"/>
    </row>
    <row r="67" spans="1:19" ht="30.9" customHeight="1" x14ac:dyDescent="0.3">
      <c r="A67" s="135" t="s">
        <v>44</v>
      </c>
      <c r="B67" s="182"/>
      <c r="C67" s="136"/>
      <c r="D67" s="120" t="s">
        <v>426</v>
      </c>
      <c r="E67" s="126"/>
      <c r="F67" s="126"/>
      <c r="G67" s="126"/>
      <c r="H67" s="126"/>
      <c r="R67"/>
    </row>
    <row r="68" spans="1:19" ht="15.75" customHeight="1" x14ac:dyDescent="0.3">
      <c r="A68" s="120" t="s">
        <v>84</v>
      </c>
      <c r="B68" s="120"/>
      <c r="C68" s="120"/>
      <c r="D68" s="126" t="s">
        <v>406</v>
      </c>
      <c r="E68" s="126"/>
      <c r="F68" s="126"/>
      <c r="G68" s="126"/>
      <c r="H68" s="126"/>
      <c r="R68"/>
    </row>
    <row r="69" spans="1:19" ht="15.75" customHeight="1" x14ac:dyDescent="0.3">
      <c r="A69" s="120"/>
      <c r="B69" s="120"/>
      <c r="C69" s="120"/>
      <c r="D69" s="126" t="s">
        <v>427</v>
      </c>
      <c r="E69" s="126"/>
      <c r="F69" s="126"/>
      <c r="G69" s="126"/>
      <c r="H69" s="126"/>
      <c r="R69"/>
    </row>
    <row r="70" spans="1:19" ht="47.1" customHeight="1" x14ac:dyDescent="0.3">
      <c r="A70" s="106" t="s">
        <v>41</v>
      </c>
      <c r="B70" s="106"/>
      <c r="C70" s="106"/>
      <c r="D70" s="114" t="s">
        <v>407</v>
      </c>
      <c r="E70" s="114"/>
      <c r="F70" s="114"/>
      <c r="G70" s="114"/>
      <c r="H70" s="114"/>
      <c r="J70" s="22"/>
      <c r="K70" s="21"/>
      <c r="N70" s="21"/>
      <c r="S70"/>
    </row>
    <row r="71" spans="1:19" ht="15.75" customHeight="1" x14ac:dyDescent="0.3">
      <c r="A71" s="106" t="s">
        <v>82</v>
      </c>
      <c r="B71" s="106"/>
      <c r="C71" s="106"/>
      <c r="D71" s="175" t="str">
        <f>(IF(G63="NA","60 Years After Completion",IF(G63&lt;&gt;"NA",""&amp;60-ROUNDDOWN((E3-G63)/360,0)&amp;" Years"," ")))</f>
        <v>60 Years After Completion</v>
      </c>
      <c r="E71" s="175"/>
      <c r="F71" s="175"/>
      <c r="G71" s="175"/>
      <c r="H71" s="175"/>
      <c r="N71" s="21"/>
      <c r="S71"/>
    </row>
    <row r="72" spans="1:19" ht="15.75" customHeight="1" x14ac:dyDescent="0.3">
      <c r="A72" s="106" t="s">
        <v>83</v>
      </c>
      <c r="B72" s="106"/>
      <c r="C72" s="106"/>
      <c r="D72" s="114" t="s">
        <v>23</v>
      </c>
      <c r="E72" s="114"/>
      <c r="F72" s="114"/>
      <c r="G72" s="114"/>
      <c r="H72" s="114"/>
      <c r="J72" s="23"/>
      <c r="K72" s="23"/>
      <c r="S72"/>
    </row>
    <row r="73" spans="1:19" ht="141" customHeight="1" x14ac:dyDescent="0.3">
      <c r="A73" s="126" t="s">
        <v>351</v>
      </c>
      <c r="B73" s="126"/>
      <c r="C73" s="126"/>
      <c r="D73" s="120" t="s">
        <v>350</v>
      </c>
      <c r="E73" s="114"/>
      <c r="F73" s="114"/>
      <c r="G73" s="114"/>
      <c r="H73" s="114"/>
      <c r="S73"/>
    </row>
    <row r="74" spans="1:19" x14ac:dyDescent="0.3">
      <c r="A74" s="114" t="s">
        <v>146</v>
      </c>
      <c r="B74" s="114"/>
      <c r="C74" s="114"/>
      <c r="D74" s="114" t="s">
        <v>28</v>
      </c>
      <c r="E74" s="114"/>
      <c r="F74" s="114"/>
      <c r="G74" s="114"/>
      <c r="H74" s="114"/>
      <c r="I74" s="24"/>
      <c r="J74" s="24"/>
      <c r="K74" s="24"/>
      <c r="L74" s="24"/>
      <c r="M74" s="24"/>
      <c r="N74" s="24"/>
    </row>
    <row r="75" spans="1:19" ht="15.75" customHeight="1" x14ac:dyDescent="0.3">
      <c r="A75" s="106" t="s">
        <v>81</v>
      </c>
      <c r="B75" s="106"/>
      <c r="C75" s="106"/>
      <c r="D75" s="120" t="str">
        <f ca="1">(IF(G95&gt;95%,"Nothing",IF(G95&gt;0%,"Cement, Aggregate, Steel, etc",IF(G95=0%,"Work not yet Started"))))</f>
        <v>Cement, Aggregate, Steel, etc</v>
      </c>
      <c r="E75" s="120"/>
      <c r="F75" s="120"/>
      <c r="G75" s="120"/>
      <c r="H75" s="120"/>
      <c r="J75" s="23"/>
      <c r="S75"/>
    </row>
    <row r="76" spans="1:19" ht="33.75" customHeight="1" thickBot="1" x14ac:dyDescent="0.35">
      <c r="A76" s="120" t="s">
        <v>114</v>
      </c>
      <c r="B76" s="120"/>
      <c r="C76" s="120"/>
      <c r="D76" s="120" t="str">
        <f ca="1">(IF(D75="Nothing","Yes",IF(D75="Cement, Aggregate, Steel, etc","Under Construction",IF(D75="Work not yet Started","Work not yet Started"))))</f>
        <v>Under Construction</v>
      </c>
      <c r="E76" s="120"/>
      <c r="F76" s="120" t="str">
        <f ca="1">(IF(D75="Nothing","Yes",IF(D75="Cement, Aggregate, Steel, etc","Under Construction",IF(D75="Work not yet Started","Work not yet Started"))))</f>
        <v>Under Construction</v>
      </c>
      <c r="G76" s="120"/>
      <c r="H76" s="120"/>
      <c r="S76"/>
    </row>
    <row r="77" spans="1:19" ht="15.75" customHeight="1" x14ac:dyDescent="0.3">
      <c r="A77" s="200" t="s">
        <v>136</v>
      </c>
      <c r="B77" s="200"/>
      <c r="C77" s="200" t="str">
        <f>D68</f>
        <v>Tower 1 = Gr/St + 1st to 34th Floor</v>
      </c>
      <c r="D77" s="200"/>
      <c r="E77" s="200"/>
      <c r="F77" s="200"/>
      <c r="G77" s="200"/>
      <c r="H77" s="200"/>
      <c r="I77" s="75" t="str">
        <f ca="1">IF(D90=100%,"All work Completed. Possession granted to the Building.",IF(D89=100%,"All work Completed, Waiting for OC",I78&amp;""&amp;I79&amp;""&amp;J78&amp;""&amp;J77&amp;" "&amp;J79))</f>
        <v xml:space="preserve">Excavation Completed, Footing work is process </v>
      </c>
      <c r="J77" s="42"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c>
      <c r="S77"/>
    </row>
    <row r="78" spans="1:19" x14ac:dyDescent="0.3">
      <c r="A78" s="15" t="s">
        <v>138</v>
      </c>
      <c r="B78" s="45">
        <f>IF(AND(ISNUMBER(SEARCH("1B",C77))),1,IF(AND(ISNUMBER(SEARCH("2B",C77))),2,IF(AND(ISNUMBER(SEARCH("3B",C77))),3,IF(AND(ISNUMBER(SEARCH("4B",C77))),4,IF(ISNUMBER(SEARCH("5B",C77)),5,0)))))</f>
        <v>0</v>
      </c>
      <c r="C78" s="45" t="s">
        <v>67</v>
      </c>
      <c r="D78" s="45">
        <v>1</v>
      </c>
      <c r="E78" s="45" t="s">
        <v>66</v>
      </c>
      <c r="F78" s="45">
        <v>0</v>
      </c>
      <c r="G78" s="45" t="s">
        <v>75</v>
      </c>
      <c r="H78" s="16">
        <f ca="1">--TRIM(RIGHT(SUBSTITUTE(LEFT(C77,_xlfn.AGGREGATE(16,6,FIND({0,1,2,3,4,5,6,7,8,9},C77,ROW(INDIRECT("1:"&amp;LEN(C77)))),1))," ",REPT(" ",LEN(C77))),LEN(C77)))</f>
        <v>34</v>
      </c>
      <c r="I78" s="43" t="str">
        <f ca="1">IF(D81=100%,"Excavation","")&amp;IF(D82=100%,", Plinth","")&amp;IF(D83=100%,", RCC Slab","")&amp;IF(D84=100%,", Brickwork","")&amp;IF(D85=100%,", Internal Plaster","")&amp;IF(D86=100%,", External Plaster","")&amp;IF(D87=100%,", Flooring","")&amp;IF(D88=100%,", Painting","")&amp;IF(D89=100%,", Building common Amenities","")</f>
        <v>Excavation</v>
      </c>
      <c r="J78" s="44"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Footing work is process</v>
      </c>
      <c r="S78"/>
    </row>
    <row r="79" spans="1:19" x14ac:dyDescent="0.3">
      <c r="A79" s="199" t="s">
        <v>85</v>
      </c>
      <c r="B79" s="169"/>
      <c r="C79" s="200" t="str">
        <f ca="1">I77</f>
        <v xml:space="preserve">Excavation Completed, Footing work is process </v>
      </c>
      <c r="D79" s="200"/>
      <c r="E79" s="200"/>
      <c r="F79" s="200"/>
      <c r="G79" s="200"/>
      <c r="H79" s="201"/>
      <c r="I79" s="43" t="str">
        <f ca="1">IF(I78&lt;&gt;""," Completed","")</f>
        <v xml:space="preserve"> Completed</v>
      </c>
      <c r="J79" s="44" t="str">
        <f ca="1">IF(J77&lt;&gt;"","Completed","")</f>
        <v/>
      </c>
      <c r="S79"/>
    </row>
    <row r="80" spans="1:19" ht="15.75" customHeight="1" x14ac:dyDescent="0.3">
      <c r="A80" s="191" t="s">
        <v>45</v>
      </c>
      <c r="B80" s="107"/>
      <c r="C80" s="64" t="s">
        <v>135</v>
      </c>
      <c r="D80" s="64" t="s">
        <v>78</v>
      </c>
      <c r="E80" s="107" t="s">
        <v>80</v>
      </c>
      <c r="F80" s="107"/>
      <c r="G80" s="107" t="s">
        <v>79</v>
      </c>
      <c r="H80" s="121"/>
      <c r="I80" s="13" t="s">
        <v>137</v>
      </c>
      <c r="J80" s="25">
        <f ca="1">H78*25%</f>
        <v>8.5</v>
      </c>
      <c r="S80"/>
    </row>
    <row r="81" spans="1:19" x14ac:dyDescent="0.3">
      <c r="A81" s="191" t="s">
        <v>124</v>
      </c>
      <c r="B81" s="107"/>
      <c r="C81" s="64">
        <f ca="1">J82</f>
        <v>34</v>
      </c>
      <c r="D81" s="65">
        <f ca="1">((100/H78)*C81)/100</f>
        <v>1</v>
      </c>
      <c r="E81" s="208">
        <f ca="1">(((C82/H78*10)+(40/(D78+F78+H78)*C83)+(7.5/(H78)*C84)+(7.5/(H78)*C85)+(10/H78*C86)+(10/H78*C87)+(5/H78*C88)+(5/H78*C89)+(5/H78*C90))/100)</f>
        <v>2.5000000000000001E-2</v>
      </c>
      <c r="F81" s="209"/>
      <c r="G81" s="208">
        <f ca="1">((((C81/H78)*20)+((C82/H78)*25)+(30/(H78+F78+D78)*C83)+(5/H78*C84)+(5/H78*C85)+(5/H78*C86)+(5/H78*C87)+(0/H78*C88)+(0/H78*C89)+(5/H78*C90))/100)</f>
        <v>0.26250000000000001</v>
      </c>
      <c r="H81" s="214"/>
      <c r="I81" s="13" t="s">
        <v>96</v>
      </c>
      <c r="J81" s="26">
        <f ca="1">H78*50%</f>
        <v>17</v>
      </c>
    </row>
    <row r="82" spans="1:19" x14ac:dyDescent="0.3">
      <c r="A82" s="191" t="s">
        <v>46</v>
      </c>
      <c r="B82" s="107"/>
      <c r="C82" s="76">
        <f ca="1">J83</f>
        <v>8.5</v>
      </c>
      <c r="D82" s="65">
        <f ca="1">((100/H78)*C82)/100</f>
        <v>0.25</v>
      </c>
      <c r="E82" s="210"/>
      <c r="F82" s="211"/>
      <c r="G82" s="210"/>
      <c r="H82" s="215"/>
      <c r="I82" s="13" t="s">
        <v>97</v>
      </c>
      <c r="J82" s="26">
        <f ca="1">H78</f>
        <v>34</v>
      </c>
      <c r="S82"/>
    </row>
    <row r="83" spans="1:19" ht="15.75" customHeight="1" x14ac:dyDescent="0.3">
      <c r="A83" s="191" t="s">
        <v>125</v>
      </c>
      <c r="B83" s="107"/>
      <c r="C83" s="64">
        <v>0</v>
      </c>
      <c r="D83" s="65">
        <f ca="1">((100/(D78+F78+H78))*C83)/100</f>
        <v>0</v>
      </c>
      <c r="E83" s="210"/>
      <c r="F83" s="211"/>
      <c r="G83" s="210"/>
      <c r="H83" s="215"/>
      <c r="I83" s="13" t="s">
        <v>98</v>
      </c>
      <c r="J83" s="27">
        <f ca="1">(IF(B78&gt;1,(H78/(B78+2)),H78/4))</f>
        <v>8.5</v>
      </c>
      <c r="S83"/>
    </row>
    <row r="84" spans="1:19" ht="15.75" customHeight="1" x14ac:dyDescent="0.3">
      <c r="A84" s="191" t="s">
        <v>132</v>
      </c>
      <c r="B84" s="107" t="s">
        <v>126</v>
      </c>
      <c r="C84" s="64">
        <v>0</v>
      </c>
      <c r="D84" s="65">
        <f ca="1">((100/H78)*C84)/100</f>
        <v>0</v>
      </c>
      <c r="E84" s="210"/>
      <c r="F84" s="211"/>
      <c r="G84" s="210"/>
      <c r="H84" s="215"/>
      <c r="I84" s="13" t="s">
        <v>99</v>
      </c>
      <c r="J84" s="27">
        <f ca="1">(IF(B78&gt;1,(H78/(B78+2)+J83),H78/4+J83))</f>
        <v>17</v>
      </c>
    </row>
    <row r="85" spans="1:19" ht="15.75" customHeight="1" x14ac:dyDescent="0.3">
      <c r="A85" s="191" t="s">
        <v>133</v>
      </c>
      <c r="B85" s="107" t="s">
        <v>126</v>
      </c>
      <c r="C85" s="64">
        <v>0</v>
      </c>
      <c r="D85" s="65">
        <f ca="1">((100/H78)*C85)/100</f>
        <v>0</v>
      </c>
      <c r="E85" s="210"/>
      <c r="F85" s="211"/>
      <c r="G85" s="210"/>
      <c r="H85" s="215"/>
      <c r="I85" s="13" t="s">
        <v>144</v>
      </c>
      <c r="J85" s="27">
        <f>(IF(B78&gt;1,(H78/(B78+2)+J84),0))</f>
        <v>0</v>
      </c>
    </row>
    <row r="86" spans="1:19" ht="15" customHeight="1" x14ac:dyDescent="0.3">
      <c r="A86" s="191" t="s">
        <v>131</v>
      </c>
      <c r="B86" s="107" t="s">
        <v>128</v>
      </c>
      <c r="C86" s="64">
        <v>0</v>
      </c>
      <c r="D86" s="65">
        <f ca="1">((100/(H78))*C86)/100</f>
        <v>0</v>
      </c>
      <c r="E86" s="210"/>
      <c r="F86" s="211"/>
      <c r="G86" s="210"/>
      <c r="H86" s="215"/>
      <c r="I86" s="13" t="s">
        <v>139</v>
      </c>
      <c r="J86" s="27">
        <f>(IF(B78&gt;2,(H78/(B78+2)+J85),0))</f>
        <v>0</v>
      </c>
    </row>
    <row r="87" spans="1:19" ht="15.75" customHeight="1" x14ac:dyDescent="0.3">
      <c r="A87" s="191" t="s">
        <v>127</v>
      </c>
      <c r="B87" s="107" t="s">
        <v>127</v>
      </c>
      <c r="C87" s="64">
        <v>0</v>
      </c>
      <c r="D87" s="65">
        <f ca="1">((100/H78)*C87)/100</f>
        <v>0</v>
      </c>
      <c r="E87" s="210"/>
      <c r="F87" s="211"/>
      <c r="G87" s="210"/>
      <c r="H87" s="215"/>
      <c r="I87" s="13" t="s">
        <v>140</v>
      </c>
      <c r="J87" s="28">
        <f>(IF(B78&gt;3,(H78/(B78+2)+J86),0))</f>
        <v>0</v>
      </c>
    </row>
    <row r="88" spans="1:19" ht="15.75" customHeight="1" x14ac:dyDescent="0.3">
      <c r="A88" s="191" t="s">
        <v>134</v>
      </c>
      <c r="B88" s="107"/>
      <c r="C88" s="64">
        <v>0</v>
      </c>
      <c r="D88" s="65">
        <f ca="1">((100/H78)*C88)/100</f>
        <v>0</v>
      </c>
      <c r="E88" s="210"/>
      <c r="F88" s="211"/>
      <c r="G88" s="210"/>
      <c r="H88" s="215"/>
      <c r="I88" s="13" t="s">
        <v>141</v>
      </c>
      <c r="J88" s="27">
        <f>(IF(B78&gt;4,(H78/(B78+2)+J87),0))</f>
        <v>0</v>
      </c>
    </row>
    <row r="89" spans="1:19" ht="15.75" customHeight="1" x14ac:dyDescent="0.3">
      <c r="A89" s="191" t="s">
        <v>129</v>
      </c>
      <c r="B89" s="107" t="s">
        <v>129</v>
      </c>
      <c r="C89" s="64">
        <v>0</v>
      </c>
      <c r="D89" s="65">
        <f ca="1">((100/(H78))*C89)/100</f>
        <v>0</v>
      </c>
      <c r="E89" s="210"/>
      <c r="F89" s="211"/>
      <c r="G89" s="210"/>
      <c r="H89" s="215"/>
      <c r="I89" s="13" t="s">
        <v>145</v>
      </c>
      <c r="J89" s="27">
        <f ca="1">(IF(B78=1,(H78/(B78+3)+J84),IF(B78=0,(H78/4+J84),IF(B78&gt;1,0))))</f>
        <v>25.5</v>
      </c>
    </row>
    <row r="90" spans="1:19" ht="16.2" thickBot="1" x14ac:dyDescent="0.35">
      <c r="A90" s="206" t="s">
        <v>130</v>
      </c>
      <c r="B90" s="207"/>
      <c r="C90" s="78">
        <v>0</v>
      </c>
      <c r="D90" s="66">
        <f ca="1">((100/(H78))*C90)/100</f>
        <v>0</v>
      </c>
      <c r="E90" s="212"/>
      <c r="F90" s="213"/>
      <c r="G90" s="212"/>
      <c r="H90" s="216"/>
      <c r="I90" s="14" t="s">
        <v>100</v>
      </c>
      <c r="J90" s="29">
        <f ca="1">(IF(B78&gt;1.5,(H78/(B78+2)+J84+MAX(0,J85-J84)+MAX(0,J86-J85)+MAX(0,J87-J86)+MAX(0,J88-J87)+MAX(0,J89-J88)),IF(B78=1,(H78/(B78+3)+J89),IF(B78=0,H78/4+J89))))</f>
        <v>34</v>
      </c>
    </row>
    <row r="91" spans="1:19" ht="15.75" customHeight="1" x14ac:dyDescent="0.3">
      <c r="A91" s="200" t="s">
        <v>136</v>
      </c>
      <c r="B91" s="200"/>
      <c r="C91" s="200" t="str">
        <f>D69</f>
        <v>Tower 2 = Gr/Stilt + P1 + 1st to 36th Floor</v>
      </c>
      <c r="D91" s="200"/>
      <c r="E91" s="200"/>
      <c r="F91" s="200"/>
      <c r="G91" s="200"/>
      <c r="H91" s="200"/>
      <c r="I91" s="75" t="str">
        <f ca="1">IF(D104=100%,"All work Completed. Possession granted to the Building.",IF(D103=100%,"All work Completed, Waiting for OC",I92&amp;""&amp;I93&amp;""&amp;J92&amp;""&amp;J91&amp;" "&amp;J93))</f>
        <v>Excavation, Plinth Completed, RCC upto 2 Slab Completed</v>
      </c>
      <c r="J91" s="42"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RCC upto 2 Slab</v>
      </c>
      <c r="S91"/>
    </row>
    <row r="92" spans="1:19" x14ac:dyDescent="0.3">
      <c r="A92" s="15" t="s">
        <v>138</v>
      </c>
      <c r="B92" s="45">
        <f>IF(AND(ISNUMBER(SEARCH("1B",C91))),1,IF(AND(ISNUMBER(SEARCH("2B",C91))),2,IF(AND(ISNUMBER(SEARCH("3B",C91))),3,IF(AND(ISNUMBER(SEARCH("4B",C91))),4,IF(ISNUMBER(SEARCH("5B",C91)),5,0)))))</f>
        <v>0</v>
      </c>
      <c r="C92" s="45" t="s">
        <v>67</v>
      </c>
      <c r="D92" s="45">
        <v>1</v>
      </c>
      <c r="E92" s="45" t="s">
        <v>66</v>
      </c>
      <c r="F92" s="45">
        <v>0</v>
      </c>
      <c r="G92" s="45" t="s">
        <v>75</v>
      </c>
      <c r="H92" s="16">
        <f ca="1">--TRIM(RIGHT(SUBSTITUTE(LEFT(C91,_xlfn.AGGREGATE(16,6,FIND({0,1,2,3,4,5,6,7,8,9},C91,ROW(INDIRECT("1:"&amp;LEN(C91)))),1))," ",REPT(" ",LEN(C91))),LEN(C91)))</f>
        <v>36</v>
      </c>
      <c r="I92" s="43" t="str">
        <f ca="1">IF(D95=100%,"Excavation","")&amp;IF(D96=100%,", Plinth","")&amp;IF(D97=100%,", RCC Slab","")&amp;IF(D98=100%,", Brickwork","")&amp;IF(D99=100%,", Internal Plaster","")&amp;IF(D100=100%,", External Plaster","")&amp;IF(D101=100%,", Flooring","")&amp;IF(D102=100%,", Painting","")&amp;IF(D103=100%,", Building common Amenities","")</f>
        <v>Excavation, Plinth</v>
      </c>
      <c r="J92" s="44"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c r="S92"/>
    </row>
    <row r="93" spans="1:19" x14ac:dyDescent="0.3">
      <c r="A93" s="199" t="s">
        <v>85</v>
      </c>
      <c r="B93" s="169"/>
      <c r="C93" s="200" t="str">
        <f ca="1">I91</f>
        <v>Excavation, Plinth Completed, RCC upto 2 Slab Completed</v>
      </c>
      <c r="D93" s="200"/>
      <c r="E93" s="200"/>
      <c r="F93" s="200"/>
      <c r="G93" s="200"/>
      <c r="H93" s="201"/>
      <c r="I93" s="43" t="str">
        <f ca="1">IF(I92&lt;&gt;""," Completed","")</f>
        <v xml:space="preserve"> Completed</v>
      </c>
      <c r="J93" s="44" t="str">
        <f ca="1">IF(J91&lt;&gt;"","Completed","")</f>
        <v>Completed</v>
      </c>
      <c r="S93"/>
    </row>
    <row r="94" spans="1:19" ht="15.75" customHeight="1" x14ac:dyDescent="0.3">
      <c r="A94" s="191" t="s">
        <v>45</v>
      </c>
      <c r="B94" s="107"/>
      <c r="C94" s="64" t="s">
        <v>135</v>
      </c>
      <c r="D94" s="64" t="s">
        <v>78</v>
      </c>
      <c r="E94" s="107" t="s">
        <v>80</v>
      </c>
      <c r="F94" s="107"/>
      <c r="G94" s="107" t="s">
        <v>79</v>
      </c>
      <c r="H94" s="121"/>
      <c r="I94" s="13" t="s">
        <v>137</v>
      </c>
      <c r="J94" s="25">
        <f ca="1">H92*25%</f>
        <v>9</v>
      </c>
      <c r="S94"/>
    </row>
    <row r="95" spans="1:19" x14ac:dyDescent="0.3">
      <c r="A95" s="107" t="s">
        <v>124</v>
      </c>
      <c r="B95" s="107"/>
      <c r="C95" s="64">
        <f ca="1">J96</f>
        <v>36</v>
      </c>
      <c r="D95" s="65">
        <f ca="1">((100/H92)*C95)/100</f>
        <v>1</v>
      </c>
      <c r="E95" s="183">
        <f ca="1">(((C96/H92*10)+(40/(D92+F92+H92)*C97)+(7.5/(H92)*C98)+(7.5/(H92)*C99)+(10/H92*C100)+(10/H92*C101)+(5/H92*C102)+(5/H92*C103)+(5/H92*C104))/100)</f>
        <v>0.12162162162162161</v>
      </c>
      <c r="F95" s="183"/>
      <c r="G95" s="183">
        <f ca="1">((((C95/H92)*20)+((C96/H92)*25)+(30/(H92+F92+D92)*C97)+(5/H92*C98)+(5/H92*C99)+(5/H92*C100)+(5/H92*C101)+(0/H92*C102)+(0/H92*C103)+(5/H92*C104))/100)</f>
        <v>0.46621621621621623</v>
      </c>
      <c r="H95" s="183"/>
      <c r="I95" s="13" t="s">
        <v>96</v>
      </c>
      <c r="J95" s="26">
        <f ca="1">H92*50%</f>
        <v>18</v>
      </c>
    </row>
    <row r="96" spans="1:19" x14ac:dyDescent="0.3">
      <c r="A96" s="107" t="s">
        <v>46</v>
      </c>
      <c r="B96" s="107"/>
      <c r="C96" s="76">
        <f ca="1">J104</f>
        <v>36</v>
      </c>
      <c r="D96" s="65">
        <f ca="1">((100/H92)*C96)/100</f>
        <v>1</v>
      </c>
      <c r="E96" s="183"/>
      <c r="F96" s="183"/>
      <c r="G96" s="183"/>
      <c r="H96" s="183"/>
      <c r="I96" s="13" t="s">
        <v>97</v>
      </c>
      <c r="J96" s="26">
        <f ca="1">H92</f>
        <v>36</v>
      </c>
      <c r="S96"/>
    </row>
    <row r="97" spans="1:22" ht="15.75" customHeight="1" x14ac:dyDescent="0.3">
      <c r="A97" s="107" t="s">
        <v>125</v>
      </c>
      <c r="B97" s="107"/>
      <c r="C97" s="64">
        <v>2</v>
      </c>
      <c r="D97" s="65">
        <f ca="1">((100/(D92+F92+H92))*C97)/100</f>
        <v>5.405405405405405E-2</v>
      </c>
      <c r="E97" s="183"/>
      <c r="F97" s="183"/>
      <c r="G97" s="183"/>
      <c r="H97" s="183"/>
      <c r="I97" s="13" t="s">
        <v>98</v>
      </c>
      <c r="J97" s="27">
        <f ca="1">(IF(B92&gt;1,(H92/(B92+2)),H92/4))</f>
        <v>9</v>
      </c>
      <c r="S97"/>
    </row>
    <row r="98" spans="1:22" ht="15.75" customHeight="1" x14ac:dyDescent="0.3">
      <c r="A98" s="107" t="s">
        <v>132</v>
      </c>
      <c r="B98" s="107" t="s">
        <v>126</v>
      </c>
      <c r="C98" s="64">
        <v>0</v>
      </c>
      <c r="D98" s="65">
        <f ca="1">((100/H92)*C98)/100</f>
        <v>0</v>
      </c>
      <c r="E98" s="183"/>
      <c r="F98" s="183"/>
      <c r="G98" s="183"/>
      <c r="H98" s="183"/>
      <c r="I98" s="13" t="s">
        <v>99</v>
      </c>
      <c r="J98" s="27">
        <f ca="1">(IF(B92&gt;1,(H92/(B92+2)+J97),H92/4+J97))</f>
        <v>18</v>
      </c>
    </row>
    <row r="99" spans="1:22" ht="15.75" customHeight="1" x14ac:dyDescent="0.3">
      <c r="A99" s="107" t="s">
        <v>133</v>
      </c>
      <c r="B99" s="107" t="s">
        <v>126</v>
      </c>
      <c r="C99" s="64">
        <v>0</v>
      </c>
      <c r="D99" s="65">
        <f ca="1">((100/H92)*C99)/100</f>
        <v>0</v>
      </c>
      <c r="E99" s="183"/>
      <c r="F99" s="183"/>
      <c r="G99" s="183"/>
      <c r="H99" s="183"/>
      <c r="I99" s="13" t="s">
        <v>144</v>
      </c>
      <c r="J99" s="27">
        <f>(IF(B92&gt;1,(H92/(B92+2)+J98),0))</f>
        <v>0</v>
      </c>
    </row>
    <row r="100" spans="1:22" ht="15" customHeight="1" x14ac:dyDescent="0.3">
      <c r="A100" s="107" t="s">
        <v>131</v>
      </c>
      <c r="B100" s="107" t="s">
        <v>128</v>
      </c>
      <c r="C100" s="64">
        <v>0</v>
      </c>
      <c r="D100" s="65">
        <f ca="1">((100/(H92))*C100)/100</f>
        <v>0</v>
      </c>
      <c r="E100" s="183"/>
      <c r="F100" s="183"/>
      <c r="G100" s="183"/>
      <c r="H100" s="183"/>
      <c r="I100" s="13" t="s">
        <v>139</v>
      </c>
      <c r="J100" s="27">
        <f>(IF(B92&gt;2,(H92/(B92+2)+J99),0))</f>
        <v>0</v>
      </c>
    </row>
    <row r="101" spans="1:22" ht="15.75" customHeight="1" x14ac:dyDescent="0.3">
      <c r="A101" s="107" t="s">
        <v>127</v>
      </c>
      <c r="B101" s="107" t="s">
        <v>127</v>
      </c>
      <c r="C101" s="64">
        <v>0</v>
      </c>
      <c r="D101" s="65">
        <f ca="1">((100/H92)*C101)/100</f>
        <v>0</v>
      </c>
      <c r="E101" s="183"/>
      <c r="F101" s="183"/>
      <c r="G101" s="183"/>
      <c r="H101" s="183"/>
      <c r="I101" s="13" t="s">
        <v>140</v>
      </c>
      <c r="J101" s="28">
        <f>(IF(B92&gt;3,(H92/(B92+2)+J100),0))</f>
        <v>0</v>
      </c>
    </row>
    <row r="102" spans="1:22" ht="15.75" customHeight="1" x14ac:dyDescent="0.3">
      <c r="A102" s="107" t="s">
        <v>134</v>
      </c>
      <c r="B102" s="107"/>
      <c r="C102" s="64">
        <v>0</v>
      </c>
      <c r="D102" s="65">
        <f ca="1">((100/H92)*C102)/100</f>
        <v>0</v>
      </c>
      <c r="E102" s="183"/>
      <c r="F102" s="183"/>
      <c r="G102" s="183"/>
      <c r="H102" s="183"/>
      <c r="I102" s="13" t="s">
        <v>141</v>
      </c>
      <c r="J102" s="27">
        <f>(IF(B92&gt;4,(H92/(B92+2)+J101),0))</f>
        <v>0</v>
      </c>
    </row>
    <row r="103" spans="1:22" ht="15.75" customHeight="1" x14ac:dyDescent="0.3">
      <c r="A103" s="107" t="s">
        <v>129</v>
      </c>
      <c r="B103" s="107" t="s">
        <v>129</v>
      </c>
      <c r="C103" s="64">
        <v>0</v>
      </c>
      <c r="D103" s="65">
        <f ca="1">((100/(H92))*C103)/100</f>
        <v>0</v>
      </c>
      <c r="E103" s="183"/>
      <c r="F103" s="183"/>
      <c r="G103" s="183"/>
      <c r="H103" s="183"/>
      <c r="I103" s="13" t="s">
        <v>145</v>
      </c>
      <c r="J103" s="27">
        <f ca="1">(IF(B92=1,(H92/(B92+3)+J98),IF(B92=0,(H92/4+J98),IF(B92&gt;1,0))))</f>
        <v>27</v>
      </c>
    </row>
    <row r="104" spans="1:22" ht="16.2" thickBot="1" x14ac:dyDescent="0.35">
      <c r="A104" s="107" t="s">
        <v>130</v>
      </c>
      <c r="B104" s="107"/>
      <c r="C104" s="64">
        <v>0</v>
      </c>
      <c r="D104" s="65">
        <f ca="1">((100/(H92))*C104)/100</f>
        <v>0</v>
      </c>
      <c r="E104" s="183"/>
      <c r="F104" s="183"/>
      <c r="G104" s="183"/>
      <c r="H104" s="183"/>
      <c r="I104" s="14" t="s">
        <v>100</v>
      </c>
      <c r="J104" s="29">
        <f ca="1">(IF(B92&gt;1.5,(H92/(B92+2)+J98+MAX(0,J99-J98)+MAX(0,J100-J99)+MAX(0,J101-J100)+MAX(0,J102-J101)+MAX(0,J103-J102)),IF(B92=1,(H92/(B92+3)+J103),IF(B92=0,H92/4+J103))))</f>
        <v>36</v>
      </c>
    </row>
    <row r="105" spans="1:22" x14ac:dyDescent="0.3">
      <c r="A105" s="165" t="s">
        <v>155</v>
      </c>
      <c r="B105" s="165"/>
      <c r="C105" s="165"/>
      <c r="D105" s="165"/>
      <c r="E105" s="165"/>
      <c r="F105" s="160" t="s">
        <v>159</v>
      </c>
      <c r="G105" s="160"/>
      <c r="H105" s="160"/>
      <c r="I105" s="71"/>
      <c r="J105" s="71"/>
      <c r="K105" s="71"/>
      <c r="L105" s="71"/>
      <c r="M105" s="71"/>
      <c r="N105" s="71"/>
      <c r="O105" s="71"/>
      <c r="R105" t="s">
        <v>255</v>
      </c>
      <c r="S105" t="s">
        <v>171</v>
      </c>
      <c r="T105" t="s">
        <v>179</v>
      </c>
      <c r="U105" t="s">
        <v>194</v>
      </c>
      <c r="V105" t="s">
        <v>189</v>
      </c>
    </row>
    <row r="106" spans="1:22" x14ac:dyDescent="0.3">
      <c r="A106" s="106" t="s">
        <v>157</v>
      </c>
      <c r="B106" s="106"/>
      <c r="C106" s="106"/>
      <c r="D106" s="106"/>
      <c r="E106" s="106"/>
      <c r="F106" s="129">
        <v>10000</v>
      </c>
      <c r="G106" s="129"/>
      <c r="H106" s="129"/>
      <c r="I106" s="71" t="s">
        <v>436</v>
      </c>
      <c r="J106" s="74"/>
      <c r="K106" s="71"/>
      <c r="L106" s="71"/>
      <c r="M106" s="71"/>
      <c r="N106" s="71"/>
      <c r="O106" s="71"/>
      <c r="R106"/>
      <c r="S106">
        <v>800000</v>
      </c>
      <c r="T106">
        <v>150000</v>
      </c>
      <c r="U106">
        <v>100000</v>
      </c>
      <c r="V106">
        <v>100000</v>
      </c>
    </row>
    <row r="107" spans="1:22" x14ac:dyDescent="0.3">
      <c r="A107" s="106" t="s">
        <v>156</v>
      </c>
      <c r="B107" s="106"/>
      <c r="C107" s="106"/>
      <c r="D107" s="106"/>
      <c r="E107" s="106"/>
      <c r="F107" s="198">
        <v>15000</v>
      </c>
      <c r="G107" s="198"/>
      <c r="H107" s="198"/>
      <c r="I107" s="71"/>
      <c r="J107" s="71"/>
      <c r="K107" s="71"/>
      <c r="L107" s="71"/>
      <c r="M107" s="71"/>
      <c r="N107" s="71"/>
      <c r="O107" s="71"/>
      <c r="R107"/>
      <c r="S107">
        <v>900000</v>
      </c>
      <c r="T107">
        <v>200000</v>
      </c>
      <c r="U107">
        <v>150000</v>
      </c>
      <c r="V107">
        <v>150000</v>
      </c>
    </row>
    <row r="108" spans="1:22" hidden="1" x14ac:dyDescent="0.3">
      <c r="A108" s="106" t="s">
        <v>158</v>
      </c>
      <c r="B108" s="106"/>
      <c r="C108" s="106"/>
      <c r="D108" s="106"/>
      <c r="E108" s="106"/>
      <c r="F108" s="129"/>
      <c r="G108" s="129"/>
      <c r="H108" s="129"/>
      <c r="I108" s="71"/>
      <c r="J108" s="71"/>
      <c r="K108" s="71"/>
      <c r="L108" s="71"/>
      <c r="M108" s="71"/>
      <c r="N108" s="71"/>
      <c r="O108" s="71"/>
      <c r="R108"/>
      <c r="S108">
        <v>1000000</v>
      </c>
      <c r="T108">
        <v>250000</v>
      </c>
      <c r="U108">
        <v>200000</v>
      </c>
      <c r="V108">
        <v>200000</v>
      </c>
    </row>
    <row r="109" spans="1:22" s="30" customFormat="1" hidden="1" x14ac:dyDescent="0.3">
      <c r="A109" s="106" t="s">
        <v>174</v>
      </c>
      <c r="B109" s="106"/>
      <c r="C109" s="106"/>
      <c r="D109" s="106"/>
      <c r="E109" s="106"/>
      <c r="F109" s="129"/>
      <c r="G109" s="129"/>
      <c r="H109" s="129"/>
      <c r="I109" s="72"/>
      <c r="J109" s="72"/>
      <c r="K109" s="72"/>
      <c r="L109" s="72"/>
      <c r="M109" s="72"/>
      <c r="N109" s="72"/>
      <c r="O109" s="72"/>
      <c r="R109"/>
      <c r="S109">
        <v>1100000</v>
      </c>
      <c r="T109">
        <v>300000</v>
      </c>
      <c r="U109">
        <v>250000</v>
      </c>
      <c r="V109" s="20">
        <v>250000</v>
      </c>
    </row>
    <row r="110" spans="1:22" s="30" customFormat="1" x14ac:dyDescent="0.3">
      <c r="A110" s="106" t="s">
        <v>90</v>
      </c>
      <c r="B110" s="106"/>
      <c r="C110" s="106"/>
      <c r="D110" s="106"/>
      <c r="E110" s="106"/>
      <c r="F110" s="129">
        <v>100000</v>
      </c>
      <c r="G110" s="129"/>
      <c r="H110" s="129"/>
      <c r="I110" s="72"/>
      <c r="J110" s="72"/>
      <c r="K110" s="72"/>
      <c r="L110" s="72"/>
      <c r="M110" s="72"/>
      <c r="N110" s="72"/>
      <c r="O110" s="72"/>
      <c r="R110"/>
      <c r="S110">
        <v>1200000</v>
      </c>
      <c r="T110">
        <v>350000</v>
      </c>
      <c r="U110">
        <v>300000</v>
      </c>
      <c r="V110">
        <v>300000</v>
      </c>
    </row>
    <row r="111" spans="1:22" s="30" customFormat="1" hidden="1" x14ac:dyDescent="0.3">
      <c r="A111" s="106" t="s">
        <v>91</v>
      </c>
      <c r="B111" s="106"/>
      <c r="C111" s="106"/>
      <c r="D111" s="106"/>
      <c r="E111" s="106"/>
      <c r="F111" s="129"/>
      <c r="G111" s="129"/>
      <c r="H111" s="129"/>
      <c r="I111" s="72"/>
      <c r="J111" s="72"/>
      <c r="K111" s="72"/>
      <c r="L111" s="72"/>
      <c r="M111" s="72"/>
      <c r="N111" s="72"/>
      <c r="O111" s="72"/>
      <c r="R111"/>
      <c r="S111">
        <v>1300000</v>
      </c>
      <c r="T111">
        <v>400000</v>
      </c>
      <c r="U111">
        <v>350000</v>
      </c>
      <c r="V111" s="20">
        <v>400000</v>
      </c>
    </row>
    <row r="112" spans="1:22" s="30" customFormat="1" hidden="1" x14ac:dyDescent="0.3">
      <c r="A112" s="106" t="s">
        <v>92</v>
      </c>
      <c r="B112" s="106"/>
      <c r="C112" s="106"/>
      <c r="D112" s="106"/>
      <c r="E112" s="106"/>
      <c r="F112" s="129"/>
      <c r="G112" s="129"/>
      <c r="H112" s="129"/>
      <c r="I112" s="72"/>
      <c r="J112" s="72"/>
      <c r="K112" s="72"/>
      <c r="L112" s="72"/>
      <c r="M112" s="72"/>
      <c r="N112" s="72"/>
      <c r="O112" s="72"/>
      <c r="R112"/>
      <c r="S112">
        <v>1400000</v>
      </c>
      <c r="T112">
        <v>500000</v>
      </c>
      <c r="U112">
        <v>400000</v>
      </c>
      <c r="V112"/>
    </row>
    <row r="113" spans="1:22" s="30" customFormat="1" hidden="1" x14ac:dyDescent="0.3">
      <c r="A113" s="106" t="s">
        <v>93</v>
      </c>
      <c r="B113" s="106"/>
      <c r="C113" s="106"/>
      <c r="D113" s="106"/>
      <c r="E113" s="106"/>
      <c r="F113" s="129"/>
      <c r="G113" s="129"/>
      <c r="H113" s="129"/>
      <c r="I113" s="72"/>
      <c r="J113" s="72"/>
      <c r="K113" s="72"/>
      <c r="L113" s="72"/>
      <c r="M113" s="72"/>
      <c r="N113" s="72"/>
      <c r="O113" s="72"/>
      <c r="R113"/>
      <c r="S113">
        <v>1500000</v>
      </c>
      <c r="T113">
        <v>600000</v>
      </c>
      <c r="U113">
        <v>500000</v>
      </c>
      <c r="V113" s="20"/>
    </row>
    <row r="114" spans="1:22" s="30" customFormat="1" x14ac:dyDescent="0.3">
      <c r="A114" s="106" t="s">
        <v>94</v>
      </c>
      <c r="B114" s="106"/>
      <c r="C114" s="106"/>
      <c r="D114" s="106"/>
      <c r="E114" s="106"/>
      <c r="F114" s="129">
        <v>25000</v>
      </c>
      <c r="G114" s="129"/>
      <c r="H114" s="129"/>
      <c r="I114" s="72"/>
      <c r="J114" s="72"/>
      <c r="K114" s="72"/>
      <c r="L114" s="72"/>
      <c r="M114" s="72"/>
      <c r="N114" s="72"/>
      <c r="O114" s="72"/>
      <c r="R114"/>
      <c r="S114">
        <v>1600000</v>
      </c>
      <c r="T114">
        <v>700000</v>
      </c>
      <c r="U114">
        <v>600000</v>
      </c>
      <c r="V114"/>
    </row>
    <row r="115" spans="1:22" s="30" customFormat="1" hidden="1" x14ac:dyDescent="0.3">
      <c r="A115" s="106" t="s">
        <v>95</v>
      </c>
      <c r="B115" s="106"/>
      <c r="C115" s="106"/>
      <c r="D115" s="106"/>
      <c r="E115" s="106"/>
      <c r="F115" s="129"/>
      <c r="G115" s="129"/>
      <c r="H115" s="129"/>
      <c r="I115" s="72"/>
      <c r="J115" s="72"/>
      <c r="K115" s="72"/>
      <c r="L115" s="72"/>
      <c r="M115" s="72"/>
      <c r="N115" s="72"/>
      <c r="O115" s="72"/>
      <c r="R115"/>
      <c r="S115">
        <v>1700000</v>
      </c>
      <c r="T115">
        <v>800000</v>
      </c>
      <c r="U115"/>
      <c r="V115" s="20"/>
    </row>
    <row r="116" spans="1:22" x14ac:dyDescent="0.3">
      <c r="A116" s="106" t="s">
        <v>47</v>
      </c>
      <c r="B116" s="106"/>
      <c r="C116" s="106"/>
      <c r="D116" s="106"/>
      <c r="E116" s="106"/>
      <c r="F116" s="129">
        <v>500000</v>
      </c>
      <c r="G116" s="129"/>
      <c r="H116" s="129"/>
      <c r="I116" s="71"/>
      <c r="J116" s="71"/>
      <c r="K116" s="71"/>
      <c r="L116" s="71"/>
      <c r="M116" s="71"/>
      <c r="N116" s="71"/>
      <c r="O116" s="71"/>
      <c r="R116"/>
      <c r="S116">
        <v>1800000</v>
      </c>
      <c r="T116">
        <v>900000</v>
      </c>
      <c r="U116"/>
    </row>
    <row r="117" spans="1:22" s="31" customFormat="1" x14ac:dyDescent="0.3">
      <c r="A117" s="165" t="s">
        <v>48</v>
      </c>
      <c r="B117" s="165"/>
      <c r="C117" s="165"/>
      <c r="D117" s="165"/>
      <c r="E117" s="165"/>
      <c r="F117" s="129">
        <f>F106*0.8</f>
        <v>8000</v>
      </c>
      <c r="G117" s="129"/>
      <c r="H117" s="129"/>
      <c r="I117" s="73"/>
      <c r="J117" s="73"/>
      <c r="K117" s="73"/>
      <c r="L117" s="73"/>
      <c r="M117" s="73"/>
      <c r="N117" s="73"/>
      <c r="O117" s="73"/>
      <c r="R117" s="18"/>
      <c r="S117" s="18"/>
      <c r="T117">
        <v>1000000</v>
      </c>
      <c r="U117"/>
      <c r="V117" s="18"/>
    </row>
    <row r="118" spans="1:22" s="32" customFormat="1" ht="15.75" customHeight="1" x14ac:dyDescent="0.3">
      <c r="A118" s="122" t="s">
        <v>70</v>
      </c>
      <c r="B118" s="122"/>
      <c r="C118" s="122"/>
      <c r="D118" s="122"/>
      <c r="E118" s="122"/>
      <c r="F118" s="122"/>
      <c r="G118" s="122"/>
      <c r="H118" s="122"/>
      <c r="R118"/>
      <c r="S118" s="18"/>
      <c r="T118"/>
      <c r="U118"/>
      <c r="V118" s="18"/>
    </row>
    <row r="119" spans="1:22" s="32" customFormat="1" ht="15.75" customHeight="1" x14ac:dyDescent="0.3">
      <c r="A119" s="94" t="s">
        <v>49</v>
      </c>
      <c r="B119" s="94"/>
      <c r="C119" s="119" t="s">
        <v>73</v>
      </c>
      <c r="D119" s="119"/>
      <c r="E119" s="118" t="s">
        <v>50</v>
      </c>
      <c r="F119" s="118"/>
      <c r="G119" s="94" t="s">
        <v>51</v>
      </c>
      <c r="H119" s="94"/>
      <c r="R119"/>
      <c r="S119" s="18"/>
      <c r="T119"/>
      <c r="U119" s="18"/>
      <c r="V119" s="18"/>
    </row>
    <row r="120" spans="1:22" s="32" customFormat="1" x14ac:dyDescent="0.3">
      <c r="A120" s="41" t="s">
        <v>409</v>
      </c>
      <c r="B120" s="41" t="s">
        <v>410</v>
      </c>
      <c r="C120" s="185">
        <f>COUNT(F134:F154)</f>
        <v>21</v>
      </c>
      <c r="D120" s="186"/>
      <c r="E120" s="147">
        <f>SUM(F134:F154)</f>
        <v>5467.8644279999999</v>
      </c>
      <c r="F120" s="148"/>
      <c r="G120" s="147">
        <f>SUM(H134:H154)</f>
        <v>8475.189863399999</v>
      </c>
      <c r="H120" s="148"/>
      <c r="R120"/>
      <c r="S120" s="18"/>
      <c r="T120"/>
      <c r="U120" s="18"/>
      <c r="V120" s="18"/>
    </row>
    <row r="121" spans="1:22" s="32" customFormat="1" x14ac:dyDescent="0.3">
      <c r="A121" s="122" t="s">
        <v>149</v>
      </c>
      <c r="B121" s="122"/>
      <c r="C121" s="149">
        <f>SUM(C120)</f>
        <v>21</v>
      </c>
      <c r="D121" s="119"/>
      <c r="E121" s="154">
        <f>SUM(E120)</f>
        <v>5467.8644279999999</v>
      </c>
      <c r="F121" s="118"/>
      <c r="G121" s="94">
        <f>SUM(G120)</f>
        <v>8475.189863399999</v>
      </c>
      <c r="H121" s="94"/>
      <c r="R121"/>
      <c r="S121" s="18"/>
      <c r="T121"/>
      <c r="U121" s="18"/>
      <c r="V121" s="18"/>
    </row>
    <row r="122" spans="1:22" s="32" customFormat="1" x14ac:dyDescent="0.3">
      <c r="A122" s="122" t="s">
        <v>65</v>
      </c>
      <c r="B122" s="122"/>
      <c r="C122" s="122"/>
      <c r="D122" s="122"/>
      <c r="E122" s="122"/>
      <c r="F122" s="122"/>
      <c r="G122" s="122"/>
      <c r="H122" s="122"/>
      <c r="T122"/>
    </row>
    <row r="123" spans="1:22" s="32" customFormat="1" ht="15.75" customHeight="1" x14ac:dyDescent="0.3">
      <c r="A123" s="94" t="s">
        <v>49</v>
      </c>
      <c r="B123" s="94"/>
      <c r="C123" s="119" t="s">
        <v>73</v>
      </c>
      <c r="D123" s="119"/>
      <c r="E123" s="118" t="s">
        <v>50</v>
      </c>
      <c r="F123" s="118"/>
      <c r="G123" s="94" t="s">
        <v>51</v>
      </c>
      <c r="H123" s="94"/>
      <c r="T123"/>
    </row>
    <row r="124" spans="1:22" s="32" customFormat="1" x14ac:dyDescent="0.3">
      <c r="A124" s="167" t="s">
        <v>409</v>
      </c>
      <c r="B124" s="167"/>
      <c r="C124" s="147">
        <f>COUNT(F160:F164,F166:F174,F176:F183)+COUNT(F186:F201,F204:F206,F210)+COUNT(F212:F236)*26+COUNT(F239:F249,F251:F257,F259:F262)*6</f>
        <v>824</v>
      </c>
      <c r="D124" s="147"/>
      <c r="E124" s="147">
        <f>SUM(F160:F164,F166:F174,F176:F183)+SUM(F186:F201,F204:F206,F210)+SUM(F212:F236)*26+SUM(F239:F249,F251:F257,F259:F262)*6</f>
        <v>354871.85759999999</v>
      </c>
      <c r="F124" s="147"/>
      <c r="G124" s="147">
        <f>SUM(H160:H164,H166:H174,H176:H183)+SUM(H186:H201,H204:H206,H210)+SUM(H212:H236)*26+SUM(H239:H249,H251:H257,H259:H262)*6</f>
        <v>532788.22856999992</v>
      </c>
      <c r="H124" s="147"/>
      <c r="T124"/>
    </row>
    <row r="125" spans="1:22" s="32" customFormat="1" x14ac:dyDescent="0.3">
      <c r="A125" s="167" t="s">
        <v>336</v>
      </c>
      <c r="B125" s="167"/>
      <c r="C125" s="147">
        <f>COUNT(F267:F271,F275:F294)+COUNT(F297:F299,F304:F323)+COUNT(F327:F355)*28+COUNT(F357:F358,F360:F367,F369:F376,F378:F385)*6</f>
        <v>1016</v>
      </c>
      <c r="D125" s="147"/>
      <c r="E125" s="147">
        <f>SUM(F267:F271,F275:F294)+SUM(F297:F299,F304:F323)+SUM(F327:F355)*28+SUM(F357:F358,F360:F367,F369:F376,F378:F385)*6</f>
        <v>384888.13272000005</v>
      </c>
      <c r="F125" s="147"/>
      <c r="G125" s="147">
        <f>SUM(H267:H271,H275:H294)+SUM(H297:H299,H304:H323)+SUM(H327:H355)*28+SUM(H357:H358,H360:H367,H369:H376,H378:H385)*6</f>
        <v>577332.19907999958</v>
      </c>
      <c r="H125" s="147"/>
      <c r="T125"/>
    </row>
    <row r="126" spans="1:22" s="32" customFormat="1" x14ac:dyDescent="0.3">
      <c r="A126" s="122" t="s">
        <v>149</v>
      </c>
      <c r="B126" s="122"/>
      <c r="C126" s="149">
        <f>SUM(C124:C125)</f>
        <v>1840</v>
      </c>
      <c r="D126" s="119"/>
      <c r="E126" s="154">
        <f>SUM(E124:E125)</f>
        <v>739759.9903200001</v>
      </c>
      <c r="F126" s="118"/>
      <c r="G126" s="94">
        <f>SUM(G124:G125)</f>
        <v>1110120.4276499995</v>
      </c>
      <c r="H126" s="94"/>
      <c r="T126"/>
    </row>
    <row r="127" spans="1:22" s="32" customFormat="1" x14ac:dyDescent="0.3">
      <c r="A127" s="122" t="s">
        <v>165</v>
      </c>
      <c r="B127" s="122"/>
      <c r="C127" s="149">
        <f>C121+C126</f>
        <v>1861</v>
      </c>
      <c r="D127" s="119"/>
      <c r="E127" s="154">
        <f>E121+E126</f>
        <v>745227.85474800004</v>
      </c>
      <c r="F127" s="118"/>
      <c r="G127" s="94">
        <f>G121+G126</f>
        <v>1118595.6175133996</v>
      </c>
      <c r="H127" s="94"/>
      <c r="T127"/>
    </row>
    <row r="128" spans="1:22" s="31" customFormat="1" x14ac:dyDescent="0.3">
      <c r="A128" s="157" t="s">
        <v>52</v>
      </c>
      <c r="B128" s="157"/>
      <c r="C128" s="157"/>
      <c r="D128" s="157"/>
      <c r="E128" s="157"/>
      <c r="F128" s="157"/>
      <c r="G128" s="157"/>
      <c r="H128" s="157"/>
      <c r="T128" s="32"/>
    </row>
    <row r="129" spans="1:20" x14ac:dyDescent="0.3">
      <c r="A129" s="157" t="s">
        <v>173</v>
      </c>
      <c r="B129" s="157"/>
      <c r="C129" s="157"/>
      <c r="D129" s="157"/>
      <c r="E129" s="157"/>
      <c r="F129" s="157"/>
      <c r="G129" s="157"/>
      <c r="H129" s="157"/>
      <c r="T129" s="32"/>
    </row>
    <row r="130" spans="1:20" ht="47.25" customHeight="1" x14ac:dyDescent="0.3">
      <c r="A130" s="158" t="s">
        <v>387</v>
      </c>
      <c r="B130" s="158" t="s">
        <v>176</v>
      </c>
      <c r="C130" s="158" t="s">
        <v>53</v>
      </c>
      <c r="D130" s="158" t="s">
        <v>233</v>
      </c>
      <c r="E130" s="180" t="s">
        <v>411</v>
      </c>
      <c r="F130" s="158" t="s">
        <v>54</v>
      </c>
      <c r="G130" s="180" t="s">
        <v>55</v>
      </c>
      <c r="H130" s="67" t="s">
        <v>147</v>
      </c>
      <c r="T130" s="32"/>
    </row>
    <row r="131" spans="1:20" s="34" customFormat="1" x14ac:dyDescent="0.3">
      <c r="A131" s="159"/>
      <c r="B131" s="159"/>
      <c r="C131" s="159"/>
      <c r="D131" s="159"/>
      <c r="E131" s="181"/>
      <c r="F131" s="159"/>
      <c r="G131" s="181"/>
      <c r="H131" s="68">
        <v>0.55000000000000004</v>
      </c>
      <c r="T131" s="32"/>
    </row>
    <row r="132" spans="1:20" s="34" customFormat="1" x14ac:dyDescent="0.3">
      <c r="A132" s="203" t="s">
        <v>409</v>
      </c>
      <c r="B132" s="204"/>
      <c r="C132" s="204"/>
      <c r="D132" s="204"/>
      <c r="E132" s="204"/>
      <c r="F132" s="204"/>
      <c r="G132" s="204"/>
      <c r="H132" s="205"/>
      <c r="J132" s="70">
        <v>10.763999999999999</v>
      </c>
    </row>
    <row r="133" spans="1:20" s="34" customFormat="1" x14ac:dyDescent="0.3">
      <c r="A133" s="177" t="s">
        <v>412</v>
      </c>
      <c r="B133" s="178"/>
      <c r="C133" s="178"/>
      <c r="D133" s="178"/>
      <c r="E133" s="178"/>
      <c r="F133" s="178"/>
      <c r="G133" s="178"/>
      <c r="H133" s="179"/>
      <c r="J133" s="33"/>
      <c r="T133" s="32"/>
    </row>
    <row r="134" spans="1:20" s="34" customFormat="1" ht="15.75" customHeight="1" x14ac:dyDescent="0.3">
      <c r="A134" s="97">
        <v>1</v>
      </c>
      <c r="B134" s="99"/>
      <c r="C134" s="69" t="s">
        <v>410</v>
      </c>
      <c r="D134" s="70">
        <f>(1.65*2.7)*10.764</f>
        <v>47.953620000000001</v>
      </c>
      <c r="E134" s="70">
        <v>0</v>
      </c>
      <c r="F134" s="69">
        <f>D134+(IF(E134&lt;201,E134,IF(E134&lt;301,E134/2,E134/3)))</f>
        <v>47.953620000000001</v>
      </c>
      <c r="G134" s="69">
        <v>0</v>
      </c>
      <c r="H134" s="69">
        <f>(F134+(IF(G134&lt;101,G134,IF(G134&lt;201,G134/2,IF(G134&lt;=301,G134/3,G134/4)))))*(($H$131)+1)</f>
        <v>74.328111000000007</v>
      </c>
      <c r="I134" s="33"/>
      <c r="L134" s="96"/>
      <c r="M134" s="96"/>
      <c r="N134" s="33"/>
      <c r="T134" s="32"/>
    </row>
    <row r="135" spans="1:20" s="34" customFormat="1" ht="15.75" customHeight="1" x14ac:dyDescent="0.3">
      <c r="A135" s="97">
        <f t="shared" ref="A135:A154" si="0">A134+1</f>
        <v>2</v>
      </c>
      <c r="B135" s="99"/>
      <c r="C135" s="69" t="s">
        <v>410</v>
      </c>
      <c r="D135" s="70">
        <f>(2.75*6.1+1.8*3.1)*10.764</f>
        <v>240.62921999999995</v>
      </c>
      <c r="E135" s="70">
        <f>(4.1*2.45)*10.764</f>
        <v>108.12437999999999</v>
      </c>
      <c r="F135" s="69">
        <f t="shared" ref="F135:F137" si="1">D135+(IF(E135&lt;201,E135,IF(E135&lt;301,E135/2,E135/3)))</f>
        <v>348.75359999999995</v>
      </c>
      <c r="G135" s="69">
        <v>0</v>
      </c>
      <c r="H135" s="69">
        <f t="shared" ref="H135:H137" si="2">(F135+(IF(G135&lt;101,G135,IF(G135&lt;201,G135/2,IF(G135&lt;=301,G135/3,G135/4)))))*(($H$131)+1)</f>
        <v>540.5680799999999</v>
      </c>
      <c r="I135" s="33"/>
      <c r="L135" s="96"/>
      <c r="M135" s="96"/>
      <c r="N135" s="33"/>
      <c r="T135" s="31"/>
    </row>
    <row r="136" spans="1:20" s="34" customFormat="1" ht="15.75" customHeight="1" x14ac:dyDescent="0.3">
      <c r="A136" s="97">
        <f t="shared" si="0"/>
        <v>3</v>
      </c>
      <c r="B136" s="99"/>
      <c r="C136" s="69" t="s">
        <v>410</v>
      </c>
      <c r="D136" s="70">
        <f>(2.1*2.9+4.25*3.15+1*1.2+2.5*1.45)*10.764</f>
        <v>261.59210999999999</v>
      </c>
      <c r="E136" s="70">
        <f>(4.25*1.8+2.5*1.45+1*1.2)*10.764</f>
        <v>134.28089999999997</v>
      </c>
      <c r="F136" s="69">
        <f t="shared" si="1"/>
        <v>395.87300999999997</v>
      </c>
      <c r="G136" s="69">
        <v>0</v>
      </c>
      <c r="H136" s="69">
        <f t="shared" si="2"/>
        <v>613.60316549999993</v>
      </c>
      <c r="I136" s="33"/>
      <c r="L136" s="96"/>
      <c r="M136" s="96"/>
      <c r="N136" s="33"/>
      <c r="T136" s="18"/>
    </row>
    <row r="137" spans="1:20" s="34" customFormat="1" ht="15.75" customHeight="1" x14ac:dyDescent="0.3">
      <c r="A137" s="97">
        <f t="shared" si="0"/>
        <v>4</v>
      </c>
      <c r="B137" s="99"/>
      <c r="C137" s="69" t="s">
        <v>410</v>
      </c>
      <c r="D137" s="70">
        <f>(4.2*2.75)*10.764</f>
        <v>124.3242</v>
      </c>
      <c r="E137" s="70">
        <v>0</v>
      </c>
      <c r="F137" s="69">
        <f t="shared" si="1"/>
        <v>124.3242</v>
      </c>
      <c r="G137" s="69">
        <v>0</v>
      </c>
      <c r="H137" s="69">
        <f t="shared" si="2"/>
        <v>192.70251000000002</v>
      </c>
      <c r="I137" s="33"/>
      <c r="L137" s="96"/>
      <c r="M137" s="96"/>
      <c r="N137" s="33"/>
      <c r="T137" s="18"/>
    </row>
    <row r="138" spans="1:20" s="34" customFormat="1" ht="15.75" customHeight="1" x14ac:dyDescent="0.3">
      <c r="A138" s="97">
        <f t="shared" si="0"/>
        <v>5</v>
      </c>
      <c r="B138" s="99"/>
      <c r="C138" s="69" t="s">
        <v>410</v>
      </c>
      <c r="D138" s="70">
        <f>(2.1*2.9+4.25*3.15+1*1.2+2.5*1.45)*10.764</f>
        <v>261.59210999999999</v>
      </c>
      <c r="E138" s="70">
        <f>(4.25*1.8+2.5*1.45+1*1.2)*10.764</f>
        <v>134.28089999999997</v>
      </c>
      <c r="F138" s="69">
        <f t="shared" ref="F138:F143" si="3">D138+(IF(E138&lt;201,E138,IF(E138&lt;301,E138/2,E138/3)))</f>
        <v>395.87300999999997</v>
      </c>
      <c r="G138" s="69">
        <v>0</v>
      </c>
      <c r="H138" s="69">
        <f t="shared" ref="H138:H143" si="4">(F138+(IF(G138&lt;101,G138,IF(G138&lt;201,G138/2,IF(G138&lt;=301,G138/3,G138/4)))))*(($H$131)+1)</f>
        <v>613.60316549999993</v>
      </c>
      <c r="I138" s="33"/>
      <c r="L138" s="96"/>
      <c r="M138" s="96"/>
      <c r="N138" s="33"/>
      <c r="T138" s="31"/>
    </row>
    <row r="139" spans="1:20" s="34" customFormat="1" ht="15.75" customHeight="1" x14ac:dyDescent="0.3">
      <c r="A139" s="97">
        <f t="shared" si="0"/>
        <v>6</v>
      </c>
      <c r="B139" s="99"/>
      <c r="C139" s="69" t="s">
        <v>410</v>
      </c>
      <c r="D139" s="70">
        <f>(2.75*5.6+1.8*3.1)*10.764</f>
        <v>225.82871999999995</v>
      </c>
      <c r="E139" s="70">
        <f>(4.1*2.4)*10.764</f>
        <v>105.91775999999997</v>
      </c>
      <c r="F139" s="69">
        <f t="shared" si="3"/>
        <v>331.74647999999991</v>
      </c>
      <c r="G139" s="69">
        <v>0</v>
      </c>
      <c r="H139" s="69">
        <f t="shared" si="4"/>
        <v>514.20704399999988</v>
      </c>
      <c r="I139" s="33"/>
      <c r="L139" s="96"/>
      <c r="M139" s="96"/>
      <c r="N139" s="33"/>
      <c r="T139" s="18"/>
    </row>
    <row r="140" spans="1:20" s="34" customFormat="1" ht="15.75" customHeight="1" x14ac:dyDescent="0.3">
      <c r="A140" s="97">
        <f t="shared" si="0"/>
        <v>7</v>
      </c>
      <c r="B140" s="99"/>
      <c r="C140" s="69" t="s">
        <v>410</v>
      </c>
      <c r="D140" s="70">
        <f>(3.4*2.7)*10.764</f>
        <v>98.813519999999997</v>
      </c>
      <c r="E140" s="70">
        <v>0</v>
      </c>
      <c r="F140" s="69">
        <f t="shared" si="3"/>
        <v>98.813519999999997</v>
      </c>
      <c r="G140" s="69">
        <v>0</v>
      </c>
      <c r="H140" s="69">
        <f t="shared" si="4"/>
        <v>153.160956</v>
      </c>
      <c r="I140" s="33"/>
      <c r="L140" s="96"/>
      <c r="M140" s="96"/>
      <c r="N140" s="33"/>
      <c r="T140" s="18"/>
    </row>
    <row r="141" spans="1:20" s="34" customFormat="1" ht="15.75" customHeight="1" x14ac:dyDescent="0.3">
      <c r="A141" s="97">
        <f t="shared" si="0"/>
        <v>8</v>
      </c>
      <c r="B141" s="99"/>
      <c r="C141" s="69" t="s">
        <v>410</v>
      </c>
      <c r="D141" s="70">
        <f>(2.75*5.6+1.8*3.1)*10.764</f>
        <v>225.82871999999995</v>
      </c>
      <c r="E141" s="70">
        <f>(4.1*2.4)*10.764</f>
        <v>105.91775999999997</v>
      </c>
      <c r="F141" s="69">
        <f t="shared" si="3"/>
        <v>331.74647999999991</v>
      </c>
      <c r="G141" s="69">
        <v>0</v>
      </c>
      <c r="H141" s="69">
        <f t="shared" si="4"/>
        <v>514.20704399999988</v>
      </c>
      <c r="I141" s="33"/>
      <c r="L141" s="96"/>
      <c r="M141" s="96"/>
      <c r="N141" s="33"/>
      <c r="T141" s="31"/>
    </row>
    <row r="142" spans="1:20" s="34" customFormat="1" ht="15.75" customHeight="1" x14ac:dyDescent="0.3">
      <c r="A142" s="97">
        <f t="shared" si="0"/>
        <v>9</v>
      </c>
      <c r="B142" s="99"/>
      <c r="C142" s="69" t="s">
        <v>410</v>
      </c>
      <c r="D142" s="70">
        <f>(2.1*2.9+4.25*3.15+1*1.2+2.5*1.45)*10.764</f>
        <v>261.59210999999999</v>
      </c>
      <c r="E142" s="70">
        <f>(4.25*1.8+2.5*1.45+1*1.2)*10.764</f>
        <v>134.28089999999997</v>
      </c>
      <c r="F142" s="69">
        <f t="shared" si="3"/>
        <v>395.87300999999997</v>
      </c>
      <c r="G142" s="69">
        <v>0</v>
      </c>
      <c r="H142" s="69">
        <f t="shared" si="4"/>
        <v>613.60316549999993</v>
      </c>
      <c r="I142" s="33"/>
      <c r="L142" s="96"/>
      <c r="M142" s="96"/>
      <c r="N142" s="33"/>
      <c r="T142" s="18"/>
    </row>
    <row r="143" spans="1:20" s="34" customFormat="1" ht="15.75" customHeight="1" x14ac:dyDescent="0.3">
      <c r="A143" s="97">
        <f t="shared" si="0"/>
        <v>10</v>
      </c>
      <c r="B143" s="99"/>
      <c r="C143" s="69" t="s">
        <v>410</v>
      </c>
      <c r="D143" s="70">
        <f>(1.95*2.75)*10.764</f>
        <v>57.721949999999993</v>
      </c>
      <c r="E143" s="70">
        <v>0</v>
      </c>
      <c r="F143" s="69">
        <f t="shared" si="3"/>
        <v>57.721949999999993</v>
      </c>
      <c r="G143" s="69">
        <v>0</v>
      </c>
      <c r="H143" s="69">
        <f t="shared" si="4"/>
        <v>89.469022499999994</v>
      </c>
      <c r="I143" s="33"/>
      <c r="L143" s="96"/>
      <c r="M143" s="96"/>
      <c r="N143" s="33"/>
      <c r="T143" s="18"/>
    </row>
    <row r="144" spans="1:20" s="34" customFormat="1" ht="15.75" customHeight="1" x14ac:dyDescent="0.3">
      <c r="A144" s="97">
        <f t="shared" si="0"/>
        <v>11</v>
      </c>
      <c r="B144" s="99"/>
      <c r="C144" s="69" t="s">
        <v>410</v>
      </c>
      <c r="D144" s="70">
        <f>(1.9*3.35)*10.764</f>
        <v>68.512860000000003</v>
      </c>
      <c r="E144" s="70">
        <v>0</v>
      </c>
      <c r="F144" s="69">
        <f t="shared" ref="F144:F150" si="5">D144+(IF(E144&lt;201,E144,IF(E144&lt;301,E144/2,E144/3)))</f>
        <v>68.512860000000003</v>
      </c>
      <c r="G144" s="69">
        <v>0</v>
      </c>
      <c r="H144" s="69">
        <f t="shared" ref="H144:H150" si="6">(F144+(IF(G144&lt;101,G144,IF(G144&lt;201,G144/2,IF(G144&lt;=301,G144/3,G144/4)))))*(($H$131)+1)</f>
        <v>106.19493300000001</v>
      </c>
      <c r="I144" s="33"/>
      <c r="L144" s="96"/>
      <c r="M144" s="96"/>
      <c r="N144" s="33"/>
      <c r="T144" s="31"/>
    </row>
    <row r="145" spans="1:20" s="34" customFormat="1" ht="15.75" customHeight="1" x14ac:dyDescent="0.3">
      <c r="A145" s="97">
        <f t="shared" si="0"/>
        <v>12</v>
      </c>
      <c r="B145" s="99"/>
      <c r="C145" s="69" t="s">
        <v>410</v>
      </c>
      <c r="D145" s="70">
        <f>(1.95*3.5+3.98*2.75+2.15*1.25+1*1.2)*10.764</f>
        <v>233.12132999999997</v>
      </c>
      <c r="E145" s="70">
        <f>(3.98*1.8+2.15*1.25+1*1.2)*10.764</f>
        <v>118.95834599999998</v>
      </c>
      <c r="F145" s="69">
        <f t="shared" si="5"/>
        <v>352.07967599999995</v>
      </c>
      <c r="G145" s="69">
        <v>0</v>
      </c>
      <c r="H145" s="69">
        <f t="shared" si="6"/>
        <v>545.7234977999999</v>
      </c>
      <c r="I145" s="33"/>
      <c r="L145" s="96"/>
      <c r="M145" s="96"/>
      <c r="N145" s="33"/>
      <c r="T145" s="18"/>
    </row>
    <row r="146" spans="1:20" s="34" customFormat="1" ht="15.75" customHeight="1" x14ac:dyDescent="0.3">
      <c r="A146" s="97">
        <f t="shared" si="0"/>
        <v>13</v>
      </c>
      <c r="B146" s="99"/>
      <c r="C146" s="69" t="s">
        <v>410</v>
      </c>
      <c r="D146" s="70">
        <f>(2.73*5.1+1.6*1.2+1*1.2)*10.764</f>
        <v>183.45085199999997</v>
      </c>
      <c r="E146" s="70">
        <f>(2.73*2+1.4*1.2+1*1.1)*10.764</f>
        <v>88.695359999999994</v>
      </c>
      <c r="F146" s="69">
        <f t="shared" si="5"/>
        <v>272.14621199999999</v>
      </c>
      <c r="G146" s="69">
        <v>0</v>
      </c>
      <c r="H146" s="69">
        <f t="shared" si="6"/>
        <v>421.82662859999999</v>
      </c>
      <c r="I146" s="33"/>
      <c r="L146" s="96"/>
      <c r="M146" s="96"/>
      <c r="N146" s="33"/>
      <c r="T146" s="18"/>
    </row>
    <row r="147" spans="1:20" s="34" customFormat="1" ht="15.75" customHeight="1" x14ac:dyDescent="0.3">
      <c r="A147" s="97">
        <f t="shared" si="0"/>
        <v>14</v>
      </c>
      <c r="B147" s="99"/>
      <c r="C147" s="69" t="s">
        <v>410</v>
      </c>
      <c r="D147" s="70">
        <f>(2.73*5.1+1.6*1.2+1*1.2)*10.764</f>
        <v>183.45085199999997</v>
      </c>
      <c r="E147" s="70">
        <f>(2.73*2+1.4*1.2+1*1.1)*10.764</f>
        <v>88.695359999999994</v>
      </c>
      <c r="F147" s="69">
        <f t="shared" si="5"/>
        <v>272.14621199999999</v>
      </c>
      <c r="G147" s="69">
        <v>0</v>
      </c>
      <c r="H147" s="69">
        <f t="shared" si="6"/>
        <v>421.82662859999999</v>
      </c>
      <c r="I147" s="33"/>
      <c r="L147" s="96"/>
      <c r="M147" s="96"/>
      <c r="N147" s="33"/>
      <c r="T147" s="18"/>
    </row>
    <row r="148" spans="1:20" s="34" customFormat="1" ht="15.75" customHeight="1" x14ac:dyDescent="0.3">
      <c r="A148" s="97">
        <f t="shared" si="0"/>
        <v>15</v>
      </c>
      <c r="B148" s="99"/>
      <c r="C148" s="69" t="s">
        <v>410</v>
      </c>
      <c r="D148" s="70">
        <f>(2*3.45+4.05*2.6+2.15*1.25+1*1.2)*10.764</f>
        <v>229.46156999999997</v>
      </c>
      <c r="E148" s="70">
        <f>(4.05*2.6+2.15*1.25+1*1.2)*10.764</f>
        <v>155.18996999999999</v>
      </c>
      <c r="F148" s="69">
        <f t="shared" si="5"/>
        <v>384.65153999999995</v>
      </c>
      <c r="G148" s="69">
        <v>0</v>
      </c>
      <c r="H148" s="69">
        <f t="shared" si="6"/>
        <v>596.20988699999998</v>
      </c>
      <c r="I148" s="33"/>
      <c r="L148" s="96"/>
      <c r="M148" s="96"/>
      <c r="N148" s="33"/>
      <c r="T148" s="31"/>
    </row>
    <row r="149" spans="1:20" s="34" customFormat="1" ht="15.75" customHeight="1" x14ac:dyDescent="0.3">
      <c r="A149" s="161">
        <f t="shared" si="0"/>
        <v>16</v>
      </c>
      <c r="B149" s="161"/>
      <c r="C149" s="69" t="s">
        <v>410</v>
      </c>
      <c r="D149" s="70">
        <f>(4.1*3.3)*10.764</f>
        <v>145.63691999999998</v>
      </c>
      <c r="E149" s="70">
        <v>0</v>
      </c>
      <c r="F149" s="69">
        <f t="shared" si="5"/>
        <v>145.63691999999998</v>
      </c>
      <c r="G149" s="69">
        <v>0</v>
      </c>
      <c r="H149" s="69">
        <f t="shared" si="6"/>
        <v>225.73722599999996</v>
      </c>
      <c r="I149" s="33"/>
      <c r="L149" s="96"/>
      <c r="M149" s="96"/>
      <c r="N149" s="33"/>
      <c r="T149" s="18"/>
    </row>
    <row r="150" spans="1:20" s="34" customFormat="1" ht="15.75" customHeight="1" x14ac:dyDescent="0.3">
      <c r="A150" s="161">
        <f t="shared" si="0"/>
        <v>17</v>
      </c>
      <c r="B150" s="161"/>
      <c r="C150" s="69" t="s">
        <v>410</v>
      </c>
      <c r="D150" s="70">
        <f>(2*3.45+4.05*2.6+2.15*1.25+1*1.2)*10.764</f>
        <v>229.46156999999997</v>
      </c>
      <c r="E150" s="70">
        <f>(4.05*2.6+2.15*1.25+1*1.2)*10.764</f>
        <v>155.18996999999999</v>
      </c>
      <c r="F150" s="69">
        <f t="shared" si="5"/>
        <v>384.65153999999995</v>
      </c>
      <c r="G150" s="69">
        <v>0</v>
      </c>
      <c r="H150" s="69">
        <f t="shared" si="6"/>
        <v>596.20988699999998</v>
      </c>
      <c r="I150" s="33"/>
      <c r="L150" s="96"/>
      <c r="M150" s="96"/>
      <c r="N150" s="33"/>
      <c r="T150" s="18"/>
    </row>
    <row r="151" spans="1:20" s="34" customFormat="1" ht="15.75" customHeight="1" x14ac:dyDescent="0.3">
      <c r="A151" s="161">
        <f t="shared" si="0"/>
        <v>18</v>
      </c>
      <c r="B151" s="161"/>
      <c r="C151" s="69" t="s">
        <v>410</v>
      </c>
      <c r="D151" s="70">
        <f>(2.73*5.1+1.4*1.2+1*1.1)*10.764</f>
        <v>179.79109199999999</v>
      </c>
      <c r="E151" s="70">
        <f>(2.73*1.9+1.4*1.2+1*1.1)*10.764</f>
        <v>85.756787999999986</v>
      </c>
      <c r="F151" s="69">
        <f t="shared" ref="F151:F153" si="7">D151+(IF(E151&lt;201,E151,IF(E151&lt;301,E151/2,E151/3)))</f>
        <v>265.54787999999996</v>
      </c>
      <c r="G151" s="69">
        <v>0</v>
      </c>
      <c r="H151" s="69">
        <f t="shared" ref="H151:H153" si="8">(F151+(IF(G151&lt;101,G151,IF(G151&lt;201,G151/2,IF(G151&lt;=301,G151/3,G151/4)))))*(($H$131)+1)</f>
        <v>411.59921399999996</v>
      </c>
      <c r="I151" s="33"/>
      <c r="L151" s="96"/>
      <c r="M151" s="96"/>
      <c r="N151" s="33"/>
      <c r="T151" s="31"/>
    </row>
    <row r="152" spans="1:20" s="34" customFormat="1" ht="15.75" customHeight="1" x14ac:dyDescent="0.3">
      <c r="A152" s="161">
        <f t="shared" si="0"/>
        <v>19</v>
      </c>
      <c r="B152" s="161"/>
      <c r="C152" s="69" t="s">
        <v>410</v>
      </c>
      <c r="D152" s="70">
        <f>(2.73*5.1+1.4*1.2+1*1.1)*10.764</f>
        <v>179.79109199999999</v>
      </c>
      <c r="E152" s="70">
        <f>(2.73*1.9+1.4*1.2+1*1.1)*10.764</f>
        <v>85.756787999999986</v>
      </c>
      <c r="F152" s="69">
        <f t="shared" si="7"/>
        <v>265.54787999999996</v>
      </c>
      <c r="G152" s="69">
        <v>0</v>
      </c>
      <c r="H152" s="69">
        <f t="shared" si="8"/>
        <v>411.59921399999996</v>
      </c>
      <c r="I152" s="33"/>
      <c r="L152" s="96"/>
      <c r="M152" s="96"/>
      <c r="N152" s="33"/>
      <c r="T152" s="18"/>
    </row>
    <row r="153" spans="1:20" s="34" customFormat="1" ht="15.75" customHeight="1" x14ac:dyDescent="0.3">
      <c r="A153" s="161">
        <f t="shared" si="0"/>
        <v>20</v>
      </c>
      <c r="B153" s="161"/>
      <c r="C153" s="69" t="s">
        <v>410</v>
      </c>
      <c r="D153" s="70">
        <f>(2*3.45+4.05*2.75+2.15*1.25+1*1.2)*10.764</f>
        <v>236.00069999999999</v>
      </c>
      <c r="E153" s="70">
        <f>(4.05*2.75+2.15*1.25+1*1.2)*10.764</f>
        <v>161.72909999999999</v>
      </c>
      <c r="F153" s="69">
        <f t="shared" si="7"/>
        <v>397.72979999999995</v>
      </c>
      <c r="G153" s="69">
        <v>0</v>
      </c>
      <c r="H153" s="69">
        <f t="shared" si="8"/>
        <v>616.48118999999997</v>
      </c>
      <c r="I153" s="33"/>
      <c r="L153" s="96"/>
      <c r="M153" s="96"/>
      <c r="N153" s="33"/>
      <c r="T153" s="18"/>
    </row>
    <row r="154" spans="1:20" s="34" customFormat="1" ht="15.75" customHeight="1" x14ac:dyDescent="0.3">
      <c r="A154" s="161">
        <f t="shared" si="0"/>
        <v>21</v>
      </c>
      <c r="B154" s="161"/>
      <c r="C154" s="69" t="s">
        <v>410</v>
      </c>
      <c r="D154" s="70">
        <f>(3.62*3.35)*10.764</f>
        <v>130.53502800000001</v>
      </c>
      <c r="E154" s="70">
        <v>0</v>
      </c>
      <c r="F154" s="69">
        <f t="shared" ref="F154" si="9">D154+(IF(E154&lt;201,E154,IF(E154&lt;301,E154/2,E154/3)))</f>
        <v>130.53502800000001</v>
      </c>
      <c r="G154" s="69">
        <v>0</v>
      </c>
      <c r="H154" s="69">
        <f t="shared" ref="H154" si="10">(F154+(IF(G154&lt;101,G154,IF(G154&lt;201,G154/2,IF(G154&lt;=301,G154/3,G154/4)))))*(($H$131)+1)</f>
        <v>202.32929340000001</v>
      </c>
      <c r="I154" s="33"/>
      <c r="L154" s="96"/>
      <c r="M154" s="96"/>
      <c r="N154" s="33"/>
      <c r="T154" s="18"/>
    </row>
    <row r="155" spans="1:20" s="34" customFormat="1" x14ac:dyDescent="0.3">
      <c r="A155" s="161"/>
      <c r="B155" s="161"/>
      <c r="C155" s="161"/>
      <c r="D155" s="161"/>
      <c r="E155" s="161"/>
      <c r="F155" s="161"/>
      <c r="G155" s="161"/>
      <c r="H155" s="161"/>
      <c r="I155" s="33"/>
      <c r="N155" s="33"/>
    </row>
    <row r="156" spans="1:20" ht="47.25" customHeight="1" x14ac:dyDescent="0.3">
      <c r="A156" s="146" t="s">
        <v>388</v>
      </c>
      <c r="B156" s="146" t="s">
        <v>177</v>
      </c>
      <c r="C156" s="146" t="s">
        <v>53</v>
      </c>
      <c r="D156" s="146" t="s">
        <v>233</v>
      </c>
      <c r="E156" s="146" t="s">
        <v>232</v>
      </c>
      <c r="F156" s="146" t="s">
        <v>54</v>
      </c>
      <c r="G156" s="187" t="s">
        <v>55</v>
      </c>
      <c r="H156" s="79" t="s">
        <v>147</v>
      </c>
      <c r="I156" s="33"/>
      <c r="T156" s="34"/>
    </row>
    <row r="157" spans="1:20" s="34" customFormat="1" x14ac:dyDescent="0.3">
      <c r="A157" s="146"/>
      <c r="B157" s="146"/>
      <c r="C157" s="146"/>
      <c r="D157" s="146"/>
      <c r="E157" s="146"/>
      <c r="F157" s="146"/>
      <c r="G157" s="187"/>
      <c r="H157" s="80">
        <v>0.5</v>
      </c>
      <c r="I157" s="33"/>
    </row>
    <row r="158" spans="1:20" s="34" customFormat="1" x14ac:dyDescent="0.3">
      <c r="A158" s="203" t="s">
        <v>409</v>
      </c>
      <c r="B158" s="204"/>
      <c r="C158" s="204"/>
      <c r="D158" s="204"/>
      <c r="E158" s="204"/>
      <c r="F158" s="204"/>
      <c r="G158" s="204"/>
      <c r="H158" s="205"/>
      <c r="J158" s="33"/>
    </row>
    <row r="159" spans="1:20" s="34" customFormat="1" ht="15.75" customHeight="1" x14ac:dyDescent="0.3">
      <c r="A159" s="150" t="s">
        <v>413</v>
      </c>
      <c r="B159" s="151"/>
      <c r="C159" s="151"/>
      <c r="D159" s="151"/>
      <c r="E159" s="151"/>
      <c r="F159" s="151"/>
      <c r="G159" s="151"/>
      <c r="H159" s="152"/>
      <c r="J159" s="33"/>
    </row>
    <row r="160" spans="1:20" s="34" customFormat="1" ht="15.75" customHeight="1" x14ac:dyDescent="0.3">
      <c r="A160" s="100" t="s">
        <v>354</v>
      </c>
      <c r="B160" s="102"/>
      <c r="C160" s="39" t="s">
        <v>364</v>
      </c>
      <c r="D160" s="70">
        <f>(46.62)*10.764</f>
        <v>501.81767999999994</v>
      </c>
      <c r="E160" s="39">
        <v>0</v>
      </c>
      <c r="F160" s="39">
        <f>D160+E160</f>
        <v>501.81767999999994</v>
      </c>
      <c r="G160" s="70">
        <f>(1.8*2.8+1.9*2.8)*10.764</f>
        <v>111.51503999999998</v>
      </c>
      <c r="H160" s="39">
        <f>F160*(($H$157)+1)+(IF(G160&lt;101,G160,IF(G160&lt;201,G160/2,IF(G160&lt;=301,G160/3,G160/4))))</f>
        <v>808.48403999999994</v>
      </c>
      <c r="I160" s="33"/>
      <c r="L160" s="96"/>
      <c r="M160" s="96"/>
      <c r="N160" s="33"/>
    </row>
    <row r="161" spans="1:20" s="34" customFormat="1" ht="15.75" customHeight="1" x14ac:dyDescent="0.3">
      <c r="A161" s="100" t="s">
        <v>355</v>
      </c>
      <c r="B161" s="102"/>
      <c r="C161" s="39" t="s">
        <v>364</v>
      </c>
      <c r="D161" s="70">
        <f>(46.62)*10.764</f>
        <v>501.81767999999994</v>
      </c>
      <c r="E161" s="39">
        <v>0</v>
      </c>
      <c r="F161" s="39">
        <f>D161+E161</f>
        <v>501.81767999999994</v>
      </c>
      <c r="G161" s="70">
        <f>(1.9*2.8+1.6*2.8)*10.764</f>
        <v>105.48719999999999</v>
      </c>
      <c r="H161" s="39">
        <f>F161*(($H$157)+1)+(IF(G161&lt;101,G161,IF(G161&lt;201,G161/2,IF(G161&lt;=301,G161/3,G161/4))))</f>
        <v>805.47011999999995</v>
      </c>
      <c r="I161" s="33"/>
      <c r="L161" s="96"/>
      <c r="M161" s="96"/>
      <c r="N161" s="33"/>
    </row>
    <row r="162" spans="1:20" s="34" customFormat="1" ht="15.75" customHeight="1" x14ac:dyDescent="0.3">
      <c r="A162" s="100" t="s">
        <v>356</v>
      </c>
      <c r="B162" s="102"/>
      <c r="C162" s="39" t="s">
        <v>364</v>
      </c>
      <c r="D162" s="70">
        <f>(46.62)*10.764</f>
        <v>501.81767999999994</v>
      </c>
      <c r="E162" s="39">
        <v>0</v>
      </c>
      <c r="F162" s="39">
        <f>D162+E162</f>
        <v>501.81767999999994</v>
      </c>
      <c r="G162" s="70">
        <f>(1.6*2.8+1.95*2.8)*10.764</f>
        <v>106.99415999999999</v>
      </c>
      <c r="H162" s="39">
        <f>F162*(($H$157)+1)+(IF(G162&lt;101,G162,IF(G162&lt;201,G162/2,IF(G162&lt;=301,G162/3,G162/4))))</f>
        <v>806.22359999999992</v>
      </c>
      <c r="I162" s="33"/>
      <c r="L162" s="96"/>
      <c r="M162" s="96"/>
      <c r="N162" s="33"/>
    </row>
    <row r="163" spans="1:20" s="34" customFormat="1" ht="15.75" customHeight="1" x14ac:dyDescent="0.3">
      <c r="A163" s="100" t="s">
        <v>357</v>
      </c>
      <c r="B163" s="102"/>
      <c r="C163" s="39" t="s">
        <v>363</v>
      </c>
      <c r="D163" s="70">
        <f>(29.86)*10.764</f>
        <v>321.41303999999997</v>
      </c>
      <c r="E163" s="39">
        <v>0</v>
      </c>
      <c r="F163" s="39">
        <f t="shared" ref="F163:F183" si="11">D163+E163</f>
        <v>321.41303999999997</v>
      </c>
      <c r="G163" s="70">
        <f>(1.9*3.35+4.9*1.1+4.4*0.75)*10.764</f>
        <v>162.05202</v>
      </c>
      <c r="H163" s="39">
        <f t="shared" ref="H163:H183" si="12">F163*(($H$157)+1)+(IF(G163&lt;101,G163,IF(G163&lt;201,G163/2,IF(G163&lt;=301,G163/3,G163/4))))</f>
        <v>563.14557000000002</v>
      </c>
      <c r="I163" s="33"/>
      <c r="L163" s="96"/>
      <c r="M163" s="96"/>
      <c r="N163" s="33"/>
      <c r="T163" s="18"/>
    </row>
    <row r="164" spans="1:20" s="34" customFormat="1" ht="15.75" customHeight="1" x14ac:dyDescent="0.3">
      <c r="A164" s="100" t="s">
        <v>358</v>
      </c>
      <c r="B164" s="102"/>
      <c r="C164" s="39" t="s">
        <v>363</v>
      </c>
      <c r="D164" s="70">
        <f>(29.86)*10.764</f>
        <v>321.41303999999997</v>
      </c>
      <c r="E164" s="39">
        <v>0</v>
      </c>
      <c r="F164" s="39">
        <f t="shared" si="11"/>
        <v>321.41303999999997</v>
      </c>
      <c r="G164" s="39">
        <v>0</v>
      </c>
      <c r="H164" s="39">
        <f t="shared" si="12"/>
        <v>482.11955999999998</v>
      </c>
      <c r="I164" s="33"/>
      <c r="L164" s="96"/>
      <c r="M164" s="96"/>
      <c r="N164" s="33"/>
    </row>
    <row r="165" spans="1:20" s="34" customFormat="1" ht="15.75" customHeight="1" x14ac:dyDescent="0.3">
      <c r="A165" s="100" t="s">
        <v>359</v>
      </c>
      <c r="B165" s="102"/>
      <c r="C165" s="100" t="s">
        <v>365</v>
      </c>
      <c r="D165" s="101"/>
      <c r="E165" s="101"/>
      <c r="F165" s="101"/>
      <c r="G165" s="101"/>
      <c r="H165" s="102"/>
      <c r="I165" s="33"/>
      <c r="L165" s="96"/>
      <c r="M165" s="96"/>
      <c r="N165" s="33"/>
    </row>
    <row r="166" spans="1:20" s="34" customFormat="1" ht="15.75" customHeight="1" x14ac:dyDescent="0.3">
      <c r="A166" s="100" t="s">
        <v>360</v>
      </c>
      <c r="B166" s="102"/>
      <c r="C166" s="39" t="s">
        <v>364</v>
      </c>
      <c r="D166" s="70">
        <f>(46.62)*10.764</f>
        <v>501.81767999999994</v>
      </c>
      <c r="E166" s="39">
        <v>0</v>
      </c>
      <c r="F166" s="39">
        <f t="shared" si="11"/>
        <v>501.81767999999994</v>
      </c>
      <c r="G166" s="70">
        <v>0</v>
      </c>
      <c r="H166" s="39">
        <f t="shared" si="12"/>
        <v>752.72651999999994</v>
      </c>
      <c r="I166" s="33"/>
      <c r="L166" s="96"/>
      <c r="M166" s="96"/>
      <c r="N166" s="33"/>
      <c r="T166" s="18"/>
    </row>
    <row r="167" spans="1:20" s="34" customFormat="1" ht="15.75" customHeight="1" x14ac:dyDescent="0.3">
      <c r="A167" s="100" t="s">
        <v>361</v>
      </c>
      <c r="B167" s="102"/>
      <c r="C167" s="39" t="s">
        <v>364</v>
      </c>
      <c r="D167" s="70">
        <f>(46.62)*10.764</f>
        <v>501.81767999999994</v>
      </c>
      <c r="E167" s="39">
        <v>0</v>
      </c>
      <c r="F167" s="39">
        <f t="shared" si="11"/>
        <v>501.81767999999994</v>
      </c>
      <c r="G167" s="70">
        <v>0</v>
      </c>
      <c r="H167" s="39">
        <f t="shared" si="12"/>
        <v>752.72651999999994</v>
      </c>
      <c r="I167" s="33"/>
      <c r="L167" s="96"/>
      <c r="M167" s="96"/>
      <c r="N167" s="33"/>
    </row>
    <row r="168" spans="1:20" s="34" customFormat="1" ht="15.75" customHeight="1" x14ac:dyDescent="0.3">
      <c r="A168" s="100" t="s">
        <v>362</v>
      </c>
      <c r="B168" s="102"/>
      <c r="C168" s="39" t="s">
        <v>364</v>
      </c>
      <c r="D168" s="70">
        <f>(46.62)*10.764</f>
        <v>501.81767999999994</v>
      </c>
      <c r="E168" s="39">
        <v>0</v>
      </c>
      <c r="F168" s="39">
        <f t="shared" si="11"/>
        <v>501.81767999999994</v>
      </c>
      <c r="G168" s="70">
        <v>0</v>
      </c>
      <c r="H168" s="39">
        <f t="shared" si="12"/>
        <v>752.72651999999994</v>
      </c>
      <c r="I168" s="33"/>
      <c r="L168" s="96"/>
      <c r="M168" s="96"/>
      <c r="N168" s="33"/>
    </row>
    <row r="169" spans="1:20" s="34" customFormat="1" ht="15.75" customHeight="1" x14ac:dyDescent="0.3">
      <c r="A169" s="100" t="s">
        <v>366</v>
      </c>
      <c r="B169" s="102"/>
      <c r="C169" s="39" t="s">
        <v>363</v>
      </c>
      <c r="D169" s="70">
        <f t="shared" ref="D169:D174" si="13">(29.86)*10.764</f>
        <v>321.41303999999997</v>
      </c>
      <c r="E169" s="39">
        <v>0</v>
      </c>
      <c r="F169" s="39">
        <f t="shared" si="11"/>
        <v>321.41303999999997</v>
      </c>
      <c r="G169" s="70">
        <f>(1.9*3.35+4.9*1.1+4.4*0.75)*10.764</f>
        <v>162.05202</v>
      </c>
      <c r="H169" s="39">
        <f t="shared" si="12"/>
        <v>563.14557000000002</v>
      </c>
      <c r="I169" s="33"/>
      <c r="L169" s="96"/>
      <c r="M169" s="96"/>
      <c r="N169" s="33"/>
      <c r="T169" s="18"/>
    </row>
    <row r="170" spans="1:20" s="34" customFormat="1" ht="15.75" customHeight="1" x14ac:dyDescent="0.3">
      <c r="A170" s="100" t="s">
        <v>367</v>
      </c>
      <c r="B170" s="102"/>
      <c r="C170" s="39" t="s">
        <v>363</v>
      </c>
      <c r="D170" s="70">
        <f t="shared" si="13"/>
        <v>321.41303999999997</v>
      </c>
      <c r="E170" s="39">
        <v>0</v>
      </c>
      <c r="F170" s="39">
        <f t="shared" si="11"/>
        <v>321.41303999999997</v>
      </c>
      <c r="G170" s="70">
        <f>(1.9*3.35+4.9*1.1+4.4*0.75)*10.764</f>
        <v>162.05202</v>
      </c>
      <c r="H170" s="39">
        <f t="shared" si="12"/>
        <v>563.14557000000002</v>
      </c>
      <c r="I170" s="33"/>
      <c r="L170" s="96"/>
      <c r="M170" s="96"/>
      <c r="N170" s="33"/>
    </row>
    <row r="171" spans="1:20" s="34" customFormat="1" ht="15.75" customHeight="1" x14ac:dyDescent="0.3">
      <c r="A171" s="100" t="s">
        <v>368</v>
      </c>
      <c r="B171" s="102"/>
      <c r="C171" s="39" t="s">
        <v>363</v>
      </c>
      <c r="D171" s="70">
        <f t="shared" si="13"/>
        <v>321.41303999999997</v>
      </c>
      <c r="E171" s="39">
        <v>0</v>
      </c>
      <c r="F171" s="39">
        <f t="shared" si="11"/>
        <v>321.41303999999997</v>
      </c>
      <c r="G171" s="70">
        <f>(1.9*3.35+4.9*1.1+4.4*0.75+1.7*3.5)*10.764</f>
        <v>226.09782000000001</v>
      </c>
      <c r="H171" s="39">
        <f t="shared" si="12"/>
        <v>557.4855</v>
      </c>
      <c r="I171" s="33"/>
      <c r="L171" s="96"/>
      <c r="M171" s="96"/>
      <c r="N171" s="33"/>
    </row>
    <row r="172" spans="1:20" s="34" customFormat="1" ht="15.75" customHeight="1" x14ac:dyDescent="0.3">
      <c r="A172" s="100" t="s">
        <v>369</v>
      </c>
      <c r="B172" s="102"/>
      <c r="C172" s="39" t="s">
        <v>363</v>
      </c>
      <c r="D172" s="70">
        <f t="shared" si="13"/>
        <v>321.41303999999997</v>
      </c>
      <c r="E172" s="39">
        <v>0</v>
      </c>
      <c r="F172" s="39">
        <f t="shared" si="11"/>
        <v>321.41303999999997</v>
      </c>
      <c r="G172" s="70">
        <v>0</v>
      </c>
      <c r="H172" s="39">
        <f t="shared" si="12"/>
        <v>482.11955999999998</v>
      </c>
      <c r="I172" s="33"/>
      <c r="L172" s="96"/>
      <c r="M172" s="96"/>
      <c r="N172" s="33"/>
      <c r="T172" s="18"/>
    </row>
    <row r="173" spans="1:20" s="34" customFormat="1" ht="15.75" customHeight="1" x14ac:dyDescent="0.3">
      <c r="A173" s="100" t="s">
        <v>370</v>
      </c>
      <c r="B173" s="102"/>
      <c r="C173" s="39" t="s">
        <v>363</v>
      </c>
      <c r="D173" s="70">
        <f t="shared" si="13"/>
        <v>321.41303999999997</v>
      </c>
      <c r="E173" s="39">
        <v>0</v>
      </c>
      <c r="F173" s="39">
        <f t="shared" si="11"/>
        <v>321.41303999999997</v>
      </c>
      <c r="G173" s="70">
        <v>0</v>
      </c>
      <c r="H173" s="39">
        <f t="shared" si="12"/>
        <v>482.11955999999998</v>
      </c>
      <c r="I173" s="33"/>
      <c r="L173" s="96"/>
      <c r="M173" s="96"/>
      <c r="N173" s="33"/>
      <c r="T173" s="18"/>
    </row>
    <row r="174" spans="1:20" s="34" customFormat="1" ht="15.75" customHeight="1" x14ac:dyDescent="0.3">
      <c r="A174" s="100" t="s">
        <v>371</v>
      </c>
      <c r="B174" s="102"/>
      <c r="C174" s="39" t="s">
        <v>363</v>
      </c>
      <c r="D174" s="70">
        <f t="shared" si="13"/>
        <v>321.41303999999997</v>
      </c>
      <c r="E174" s="39">
        <v>0</v>
      </c>
      <c r="F174" s="39">
        <f t="shared" si="11"/>
        <v>321.41303999999997</v>
      </c>
      <c r="G174" s="70">
        <v>0</v>
      </c>
      <c r="H174" s="39">
        <f t="shared" si="12"/>
        <v>482.11955999999998</v>
      </c>
      <c r="I174" s="33"/>
      <c r="L174" s="96"/>
      <c r="M174" s="96"/>
      <c r="N174" s="33"/>
    </row>
    <row r="175" spans="1:20" s="34" customFormat="1" ht="15.75" customHeight="1" x14ac:dyDescent="0.3">
      <c r="A175" s="100" t="s">
        <v>372</v>
      </c>
      <c r="B175" s="102"/>
      <c r="C175" s="100" t="s">
        <v>365</v>
      </c>
      <c r="D175" s="101"/>
      <c r="E175" s="101"/>
      <c r="F175" s="101"/>
      <c r="G175" s="101"/>
      <c r="H175" s="102"/>
      <c r="I175" s="33"/>
      <c r="L175" s="96"/>
      <c r="M175" s="96"/>
      <c r="N175" s="33"/>
    </row>
    <row r="176" spans="1:20" s="34" customFormat="1" ht="15.75" customHeight="1" x14ac:dyDescent="0.3">
      <c r="A176" s="100" t="s">
        <v>373</v>
      </c>
      <c r="B176" s="102"/>
      <c r="C176" s="39" t="s">
        <v>363</v>
      </c>
      <c r="D176" s="70">
        <f>(29.86)*10.764</f>
        <v>321.41303999999997</v>
      </c>
      <c r="E176" s="39">
        <v>0</v>
      </c>
      <c r="F176" s="39">
        <f t="shared" si="11"/>
        <v>321.41303999999997</v>
      </c>
      <c r="G176" s="39">
        <v>0</v>
      </c>
      <c r="H176" s="39">
        <f t="shared" si="12"/>
        <v>482.11955999999998</v>
      </c>
      <c r="I176" s="33"/>
      <c r="L176" s="96"/>
      <c r="M176" s="96"/>
      <c r="N176" s="33"/>
      <c r="T176" s="18"/>
    </row>
    <row r="177" spans="1:20" s="34" customFormat="1" ht="15.75" customHeight="1" x14ac:dyDescent="0.3">
      <c r="A177" s="100" t="s">
        <v>374</v>
      </c>
      <c r="B177" s="102"/>
      <c r="C177" s="39" t="s">
        <v>363</v>
      </c>
      <c r="D177" s="70">
        <f>(29.86)*10.764</f>
        <v>321.41303999999997</v>
      </c>
      <c r="E177" s="39">
        <v>0</v>
      </c>
      <c r="F177" s="39">
        <f t="shared" si="11"/>
        <v>321.41303999999997</v>
      </c>
      <c r="G177" s="39">
        <v>0</v>
      </c>
      <c r="H177" s="39">
        <f t="shared" si="12"/>
        <v>482.11955999999998</v>
      </c>
      <c r="I177" s="33"/>
      <c r="L177" s="96"/>
      <c r="M177" s="96"/>
      <c r="N177" s="33"/>
    </row>
    <row r="178" spans="1:20" s="34" customFormat="1" ht="15.75" customHeight="1" x14ac:dyDescent="0.3">
      <c r="A178" s="100" t="s">
        <v>376</v>
      </c>
      <c r="B178" s="102"/>
      <c r="C178" s="39" t="s">
        <v>364</v>
      </c>
      <c r="D178" s="70">
        <f t="shared" ref="D178:D183" si="14">(49.6)*10.764</f>
        <v>533.89440000000002</v>
      </c>
      <c r="E178" s="39">
        <v>0</v>
      </c>
      <c r="F178" s="39">
        <f t="shared" si="11"/>
        <v>533.89440000000002</v>
      </c>
      <c r="G178" s="39">
        <v>0</v>
      </c>
      <c r="H178" s="39">
        <f t="shared" si="12"/>
        <v>800.84159999999997</v>
      </c>
      <c r="I178" s="33"/>
      <c r="L178" s="96"/>
      <c r="M178" s="96"/>
      <c r="N178" s="33"/>
    </row>
    <row r="179" spans="1:20" s="34" customFormat="1" ht="15.75" customHeight="1" x14ac:dyDescent="0.3">
      <c r="A179" s="100" t="s">
        <v>377</v>
      </c>
      <c r="B179" s="102"/>
      <c r="C179" s="39" t="s">
        <v>364</v>
      </c>
      <c r="D179" s="70">
        <f t="shared" si="14"/>
        <v>533.89440000000002</v>
      </c>
      <c r="E179" s="39">
        <v>0</v>
      </c>
      <c r="F179" s="39">
        <f t="shared" si="11"/>
        <v>533.89440000000002</v>
      </c>
      <c r="G179" s="39">
        <v>0</v>
      </c>
      <c r="H179" s="39">
        <f t="shared" si="12"/>
        <v>800.84159999999997</v>
      </c>
      <c r="I179" s="33"/>
      <c r="L179" s="96"/>
      <c r="M179" s="96"/>
      <c r="N179" s="33"/>
      <c r="T179" s="18"/>
    </row>
    <row r="180" spans="1:20" s="34" customFormat="1" ht="15.75" customHeight="1" x14ac:dyDescent="0.3">
      <c r="A180" s="100" t="s">
        <v>378</v>
      </c>
      <c r="B180" s="102"/>
      <c r="C180" s="39" t="s">
        <v>364</v>
      </c>
      <c r="D180" s="70">
        <f t="shared" si="14"/>
        <v>533.89440000000002</v>
      </c>
      <c r="E180" s="39">
        <v>0</v>
      </c>
      <c r="F180" s="39">
        <f t="shared" si="11"/>
        <v>533.89440000000002</v>
      </c>
      <c r="G180" s="39">
        <v>0</v>
      </c>
      <c r="H180" s="39">
        <f t="shared" si="12"/>
        <v>800.84159999999997</v>
      </c>
      <c r="I180" s="33"/>
      <c r="L180" s="96"/>
      <c r="M180" s="96"/>
      <c r="N180" s="33"/>
    </row>
    <row r="181" spans="1:20" s="34" customFormat="1" ht="15.75" customHeight="1" x14ac:dyDescent="0.3">
      <c r="A181" s="100" t="s">
        <v>379</v>
      </c>
      <c r="B181" s="102"/>
      <c r="C181" s="39" t="s">
        <v>364</v>
      </c>
      <c r="D181" s="70">
        <f t="shared" si="14"/>
        <v>533.89440000000002</v>
      </c>
      <c r="E181" s="39">
        <v>0</v>
      </c>
      <c r="F181" s="39">
        <f t="shared" si="11"/>
        <v>533.89440000000002</v>
      </c>
      <c r="G181" s="39">
        <v>0</v>
      </c>
      <c r="H181" s="39">
        <f t="shared" si="12"/>
        <v>800.84159999999997</v>
      </c>
      <c r="I181" s="33"/>
      <c r="L181" s="96"/>
      <c r="M181" s="96"/>
      <c r="N181" s="33"/>
    </row>
    <row r="182" spans="1:20" s="34" customFormat="1" ht="15.75" customHeight="1" x14ac:dyDescent="0.3">
      <c r="A182" s="100" t="s">
        <v>380</v>
      </c>
      <c r="B182" s="102"/>
      <c r="C182" s="39" t="s">
        <v>364</v>
      </c>
      <c r="D182" s="70">
        <f t="shared" si="14"/>
        <v>533.89440000000002</v>
      </c>
      <c r="E182" s="39">
        <v>0</v>
      </c>
      <c r="F182" s="39">
        <f t="shared" si="11"/>
        <v>533.89440000000002</v>
      </c>
      <c r="G182" s="39">
        <v>0</v>
      </c>
      <c r="H182" s="39">
        <f t="shared" si="12"/>
        <v>800.84159999999997</v>
      </c>
      <c r="I182" s="33"/>
      <c r="L182" s="96"/>
      <c r="M182" s="96"/>
      <c r="N182" s="33"/>
      <c r="T182" s="18"/>
    </row>
    <row r="183" spans="1:20" s="34" customFormat="1" ht="15.75" customHeight="1" x14ac:dyDescent="0.3">
      <c r="A183" s="100" t="s">
        <v>381</v>
      </c>
      <c r="B183" s="102"/>
      <c r="C183" s="39" t="s">
        <v>364</v>
      </c>
      <c r="D183" s="70">
        <f t="shared" si="14"/>
        <v>533.89440000000002</v>
      </c>
      <c r="E183" s="39">
        <v>0</v>
      </c>
      <c r="F183" s="39">
        <f t="shared" si="11"/>
        <v>533.89440000000002</v>
      </c>
      <c r="G183" s="39">
        <v>0</v>
      </c>
      <c r="H183" s="39">
        <f t="shared" si="12"/>
        <v>800.84159999999997</v>
      </c>
      <c r="I183" s="33"/>
      <c r="L183" s="96"/>
      <c r="M183" s="96"/>
      <c r="N183" s="33"/>
      <c r="T183" s="18"/>
    </row>
    <row r="184" spans="1:20" s="34" customFormat="1" ht="15.75" customHeight="1" x14ac:dyDescent="0.3">
      <c r="A184" s="100" t="s">
        <v>382</v>
      </c>
      <c r="B184" s="102"/>
      <c r="C184" s="100" t="s">
        <v>365</v>
      </c>
      <c r="D184" s="101"/>
      <c r="E184" s="101"/>
      <c r="F184" s="101"/>
      <c r="G184" s="101"/>
      <c r="H184" s="102"/>
      <c r="I184" s="33"/>
      <c r="L184" s="96"/>
      <c r="M184" s="96"/>
      <c r="N184" s="33"/>
    </row>
    <row r="185" spans="1:20" s="34" customFormat="1" ht="15.75" customHeight="1" x14ac:dyDescent="0.3">
      <c r="A185" s="166" t="s">
        <v>419</v>
      </c>
      <c r="B185" s="166"/>
      <c r="C185" s="166"/>
      <c r="D185" s="166"/>
      <c r="E185" s="166"/>
      <c r="F185" s="166"/>
      <c r="G185" s="166"/>
      <c r="H185" s="166"/>
      <c r="J185" s="33"/>
    </row>
    <row r="186" spans="1:20" s="34" customFormat="1" ht="15.75" customHeight="1" x14ac:dyDescent="0.3">
      <c r="A186" s="95" t="s">
        <v>354</v>
      </c>
      <c r="B186" s="95"/>
      <c r="C186" s="39" t="s">
        <v>364</v>
      </c>
      <c r="D186" s="70">
        <f>(46.62)*10.764</f>
        <v>501.81767999999994</v>
      </c>
      <c r="E186" s="39">
        <v>0</v>
      </c>
      <c r="F186" s="39">
        <f>D186+E186</f>
        <v>501.81767999999994</v>
      </c>
      <c r="G186" s="39">
        <v>0</v>
      </c>
      <c r="H186" s="39">
        <f>F186*(($H$157)+1)+(IF(G186&lt;101,G186,IF(G186&lt;201,G186/2,IF(G186&lt;=301,G186/3,G186/4))))</f>
        <v>752.72651999999994</v>
      </c>
      <c r="I186" s="33"/>
      <c r="L186" s="96"/>
      <c r="M186" s="96"/>
      <c r="N186" s="33"/>
    </row>
    <row r="187" spans="1:20" s="34" customFormat="1" ht="15.75" customHeight="1" x14ac:dyDescent="0.3">
      <c r="A187" s="95" t="s">
        <v>355</v>
      </c>
      <c r="B187" s="95"/>
      <c r="C187" s="39" t="s">
        <v>364</v>
      </c>
      <c r="D187" s="70">
        <f>(46.62)*10.764</f>
        <v>501.81767999999994</v>
      </c>
      <c r="E187" s="39">
        <v>0</v>
      </c>
      <c r="F187" s="39">
        <f>D187+E187</f>
        <v>501.81767999999994</v>
      </c>
      <c r="G187" s="39">
        <v>0</v>
      </c>
      <c r="H187" s="39">
        <f>F187*(($H$157)+1)+(IF(G187&lt;101,G187,IF(G187&lt;201,G187/2,IF(G187&lt;=301,G187/3,G187/4))))</f>
        <v>752.72651999999994</v>
      </c>
      <c r="I187" s="33"/>
      <c r="L187" s="96"/>
      <c r="M187" s="96"/>
      <c r="N187" s="33"/>
    </row>
    <row r="188" spans="1:20" s="34" customFormat="1" ht="15.75" customHeight="1" x14ac:dyDescent="0.3">
      <c r="A188" s="95" t="s">
        <v>356</v>
      </c>
      <c r="B188" s="95"/>
      <c r="C188" s="39" t="s">
        <v>364</v>
      </c>
      <c r="D188" s="70">
        <f>(46.62)*10.764</f>
        <v>501.81767999999994</v>
      </c>
      <c r="E188" s="39">
        <v>0</v>
      </c>
      <c r="F188" s="39">
        <f>D188+E188</f>
        <v>501.81767999999994</v>
      </c>
      <c r="G188" s="39">
        <v>0</v>
      </c>
      <c r="H188" s="39">
        <f>F188*(($H$157)+1)+(IF(G188&lt;101,G188,IF(G188&lt;201,G188/2,IF(G188&lt;=301,G188/3,G188/4))))</f>
        <v>752.72651999999994</v>
      </c>
      <c r="I188" s="33"/>
      <c r="L188" s="96"/>
      <c r="M188" s="96"/>
      <c r="N188" s="33"/>
    </row>
    <row r="189" spans="1:20" s="34" customFormat="1" ht="15.75" customHeight="1" x14ac:dyDescent="0.3">
      <c r="A189" s="95" t="s">
        <v>357</v>
      </c>
      <c r="B189" s="95"/>
      <c r="C189" s="39" t="s">
        <v>363</v>
      </c>
      <c r="D189" s="70">
        <f>(29.86)*10.764</f>
        <v>321.41303999999997</v>
      </c>
      <c r="E189" s="39">
        <v>0</v>
      </c>
      <c r="F189" s="39">
        <f t="shared" ref="F189:F210" si="15">D189+E189</f>
        <v>321.41303999999997</v>
      </c>
      <c r="G189" s="39">
        <v>0</v>
      </c>
      <c r="H189" s="39">
        <f t="shared" ref="H189:H210" si="16">F189*(($H$157)+1)+(IF(G189&lt;101,G189,IF(G189&lt;201,G189/2,IF(G189&lt;=301,G189/3,G189/4))))</f>
        <v>482.11955999999998</v>
      </c>
      <c r="I189" s="33"/>
      <c r="L189" s="96"/>
      <c r="M189" s="96"/>
      <c r="N189" s="33"/>
      <c r="T189" s="18"/>
    </row>
    <row r="190" spans="1:20" s="34" customFormat="1" ht="15.75" customHeight="1" x14ac:dyDescent="0.3">
      <c r="A190" s="95" t="s">
        <v>358</v>
      </c>
      <c r="B190" s="95"/>
      <c r="C190" s="39" t="s">
        <v>363</v>
      </c>
      <c r="D190" s="70">
        <f>(29.86)*10.764</f>
        <v>321.41303999999997</v>
      </c>
      <c r="E190" s="39">
        <v>0</v>
      </c>
      <c r="F190" s="39">
        <f t="shared" si="15"/>
        <v>321.41303999999997</v>
      </c>
      <c r="G190" s="39">
        <v>0</v>
      </c>
      <c r="H190" s="39">
        <f t="shared" si="16"/>
        <v>482.11955999999998</v>
      </c>
      <c r="I190" s="33"/>
      <c r="L190" s="96"/>
      <c r="M190" s="96"/>
      <c r="N190" s="33"/>
    </row>
    <row r="191" spans="1:20" s="34" customFormat="1" ht="15.75" customHeight="1" x14ac:dyDescent="0.3">
      <c r="A191" s="95" t="s">
        <v>359</v>
      </c>
      <c r="B191" s="95"/>
      <c r="C191" s="39" t="s">
        <v>364</v>
      </c>
      <c r="D191" s="70">
        <f>(46.62)*10.764</f>
        <v>501.81767999999994</v>
      </c>
      <c r="E191" s="39">
        <v>0</v>
      </c>
      <c r="F191" s="39">
        <f t="shared" si="15"/>
        <v>501.81767999999994</v>
      </c>
      <c r="G191" s="39">
        <v>0</v>
      </c>
      <c r="H191" s="39">
        <f t="shared" si="16"/>
        <v>752.72651999999994</v>
      </c>
      <c r="I191" s="33"/>
      <c r="L191" s="96"/>
      <c r="M191" s="96"/>
      <c r="N191" s="33"/>
    </row>
    <row r="192" spans="1:20" s="34" customFormat="1" ht="15.75" customHeight="1" x14ac:dyDescent="0.3">
      <c r="A192" s="95" t="s">
        <v>360</v>
      </c>
      <c r="B192" s="95"/>
      <c r="C192" s="39" t="s">
        <v>364</v>
      </c>
      <c r="D192" s="70">
        <f>(46.62)*10.764</f>
        <v>501.81767999999994</v>
      </c>
      <c r="E192" s="39">
        <v>0</v>
      </c>
      <c r="F192" s="39">
        <f t="shared" si="15"/>
        <v>501.81767999999994</v>
      </c>
      <c r="G192" s="39">
        <v>0</v>
      </c>
      <c r="H192" s="39">
        <f t="shared" si="16"/>
        <v>752.72651999999994</v>
      </c>
      <c r="I192" s="33"/>
      <c r="L192" s="96"/>
      <c r="M192" s="96"/>
      <c r="N192" s="33"/>
      <c r="T192" s="18"/>
    </row>
    <row r="193" spans="1:20" s="34" customFormat="1" ht="15.75" customHeight="1" x14ac:dyDescent="0.3">
      <c r="A193" s="95" t="s">
        <v>361</v>
      </c>
      <c r="B193" s="95"/>
      <c r="C193" s="39" t="s">
        <v>363</v>
      </c>
      <c r="D193" s="70">
        <f>(38.1)*10.764</f>
        <v>410.10840000000002</v>
      </c>
      <c r="E193" s="39">
        <v>0</v>
      </c>
      <c r="F193" s="39">
        <f t="shared" si="15"/>
        <v>410.10840000000002</v>
      </c>
      <c r="G193" s="39">
        <v>0</v>
      </c>
      <c r="H193" s="39">
        <f t="shared" si="16"/>
        <v>615.1626</v>
      </c>
      <c r="I193" s="33">
        <f>1.15*0.6+3*4.6+2.1*2.65+2.75*2.8+1.35*2.2+1.35*2.2+2.35*0.9</f>
        <v>35.81</v>
      </c>
      <c r="L193" s="96"/>
      <c r="M193" s="96"/>
      <c r="N193" s="33"/>
    </row>
    <row r="194" spans="1:20" s="34" customFormat="1" ht="15.75" customHeight="1" x14ac:dyDescent="0.3">
      <c r="A194" s="95" t="s">
        <v>362</v>
      </c>
      <c r="B194" s="95"/>
      <c r="C194" s="39" t="s">
        <v>364</v>
      </c>
      <c r="D194" s="70">
        <f>(46.62)*10.764</f>
        <v>501.81767999999994</v>
      </c>
      <c r="E194" s="39">
        <v>0</v>
      </c>
      <c r="F194" s="39">
        <f t="shared" si="15"/>
        <v>501.81767999999994</v>
      </c>
      <c r="G194" s="39">
        <v>0</v>
      </c>
      <c r="H194" s="39">
        <f t="shared" si="16"/>
        <v>752.72651999999994</v>
      </c>
      <c r="I194" s="33"/>
      <c r="L194" s="96"/>
      <c r="M194" s="96"/>
      <c r="N194" s="33"/>
    </row>
    <row r="195" spans="1:20" s="34" customFormat="1" ht="15.75" customHeight="1" x14ac:dyDescent="0.3">
      <c r="A195" s="95" t="s">
        <v>366</v>
      </c>
      <c r="B195" s="95"/>
      <c r="C195" s="39" t="s">
        <v>363</v>
      </c>
      <c r="D195" s="70">
        <f t="shared" ref="D195:D201" si="17">(29.86)*10.764</f>
        <v>321.41303999999997</v>
      </c>
      <c r="E195" s="39">
        <v>0</v>
      </c>
      <c r="F195" s="39">
        <f t="shared" si="15"/>
        <v>321.41303999999997</v>
      </c>
      <c r="G195" s="39">
        <v>0</v>
      </c>
      <c r="H195" s="39">
        <f t="shared" si="16"/>
        <v>482.11955999999998</v>
      </c>
      <c r="I195" s="33"/>
      <c r="L195" s="96"/>
      <c r="M195" s="96"/>
      <c r="N195" s="33"/>
      <c r="T195" s="18"/>
    </row>
    <row r="196" spans="1:20" s="34" customFormat="1" ht="15.75" customHeight="1" x14ac:dyDescent="0.3">
      <c r="A196" s="100" t="s">
        <v>367</v>
      </c>
      <c r="B196" s="102"/>
      <c r="C196" s="39" t="s">
        <v>363</v>
      </c>
      <c r="D196" s="70">
        <f t="shared" si="17"/>
        <v>321.41303999999997</v>
      </c>
      <c r="E196" s="39">
        <v>0</v>
      </c>
      <c r="F196" s="39">
        <f t="shared" si="15"/>
        <v>321.41303999999997</v>
      </c>
      <c r="G196" s="39">
        <v>0</v>
      </c>
      <c r="H196" s="39">
        <f t="shared" si="16"/>
        <v>482.11955999999998</v>
      </c>
      <c r="I196" s="33"/>
      <c r="L196" s="96"/>
      <c r="M196" s="96"/>
      <c r="N196" s="33"/>
    </row>
    <row r="197" spans="1:20" s="34" customFormat="1" ht="15.75" customHeight="1" x14ac:dyDescent="0.3">
      <c r="A197" s="100" t="s">
        <v>368</v>
      </c>
      <c r="B197" s="102"/>
      <c r="C197" s="39" t="s">
        <v>363</v>
      </c>
      <c r="D197" s="70">
        <f t="shared" si="17"/>
        <v>321.41303999999997</v>
      </c>
      <c r="E197" s="39">
        <v>0</v>
      </c>
      <c r="F197" s="39">
        <f t="shared" si="15"/>
        <v>321.41303999999997</v>
      </c>
      <c r="G197" s="39">
        <v>0</v>
      </c>
      <c r="H197" s="39">
        <f t="shared" si="16"/>
        <v>482.11955999999998</v>
      </c>
      <c r="I197" s="33"/>
      <c r="L197" s="96"/>
      <c r="M197" s="96"/>
      <c r="N197" s="33"/>
    </row>
    <row r="198" spans="1:20" s="34" customFormat="1" ht="15.75" customHeight="1" x14ac:dyDescent="0.3">
      <c r="A198" s="100" t="s">
        <v>369</v>
      </c>
      <c r="B198" s="102"/>
      <c r="C198" s="39" t="s">
        <v>363</v>
      </c>
      <c r="D198" s="70">
        <f t="shared" si="17"/>
        <v>321.41303999999997</v>
      </c>
      <c r="E198" s="39">
        <v>0</v>
      </c>
      <c r="F198" s="39">
        <f t="shared" si="15"/>
        <v>321.41303999999997</v>
      </c>
      <c r="G198" s="39">
        <v>0</v>
      </c>
      <c r="H198" s="39">
        <f t="shared" si="16"/>
        <v>482.11955999999998</v>
      </c>
      <c r="I198" s="33"/>
      <c r="L198" s="96"/>
      <c r="M198" s="96"/>
      <c r="N198" s="33"/>
      <c r="T198" s="18"/>
    </row>
    <row r="199" spans="1:20" s="34" customFormat="1" ht="15.75" customHeight="1" x14ac:dyDescent="0.3">
      <c r="A199" s="100" t="s">
        <v>370</v>
      </c>
      <c r="B199" s="102"/>
      <c r="C199" s="39" t="s">
        <v>363</v>
      </c>
      <c r="D199" s="70">
        <f t="shared" si="17"/>
        <v>321.41303999999997</v>
      </c>
      <c r="E199" s="39">
        <v>0</v>
      </c>
      <c r="F199" s="39">
        <f t="shared" si="15"/>
        <v>321.41303999999997</v>
      </c>
      <c r="G199" s="39">
        <v>0</v>
      </c>
      <c r="H199" s="39">
        <f t="shared" si="16"/>
        <v>482.11955999999998</v>
      </c>
      <c r="I199" s="33"/>
      <c r="L199" s="96"/>
      <c r="M199" s="96"/>
      <c r="N199" s="33"/>
      <c r="T199" s="18"/>
    </row>
    <row r="200" spans="1:20" s="34" customFormat="1" ht="15.75" customHeight="1" x14ac:dyDescent="0.3">
      <c r="A200" s="100" t="s">
        <v>371</v>
      </c>
      <c r="B200" s="102"/>
      <c r="C200" s="39" t="s">
        <v>363</v>
      </c>
      <c r="D200" s="70">
        <f t="shared" si="17"/>
        <v>321.41303999999997</v>
      </c>
      <c r="E200" s="39">
        <v>0</v>
      </c>
      <c r="F200" s="39">
        <f t="shared" si="15"/>
        <v>321.41303999999997</v>
      </c>
      <c r="G200" s="39">
        <v>0</v>
      </c>
      <c r="H200" s="39">
        <f t="shared" si="16"/>
        <v>482.11955999999998</v>
      </c>
      <c r="I200" s="33"/>
      <c r="L200" s="96"/>
      <c r="M200" s="96"/>
      <c r="N200" s="33"/>
    </row>
    <row r="201" spans="1:20" s="34" customFormat="1" ht="15.75" customHeight="1" x14ac:dyDescent="0.3">
      <c r="A201" s="100" t="s">
        <v>372</v>
      </c>
      <c r="B201" s="102"/>
      <c r="C201" s="39" t="s">
        <v>363</v>
      </c>
      <c r="D201" s="70">
        <f t="shared" si="17"/>
        <v>321.41303999999997</v>
      </c>
      <c r="E201" s="39">
        <v>0</v>
      </c>
      <c r="F201" s="39">
        <f t="shared" si="15"/>
        <v>321.41303999999997</v>
      </c>
      <c r="G201" s="39">
        <v>0</v>
      </c>
      <c r="H201" s="39">
        <f t="shared" si="16"/>
        <v>482.11955999999998</v>
      </c>
      <c r="I201" s="33"/>
      <c r="L201" s="96"/>
      <c r="M201" s="96"/>
      <c r="N201" s="33"/>
    </row>
    <row r="202" spans="1:20" s="34" customFormat="1" ht="15.75" customHeight="1" x14ac:dyDescent="0.3">
      <c r="A202" s="100" t="s">
        <v>373</v>
      </c>
      <c r="B202" s="102"/>
      <c r="C202" s="100" t="s">
        <v>416</v>
      </c>
      <c r="D202" s="101"/>
      <c r="E202" s="101"/>
      <c r="F202" s="101"/>
      <c r="G202" s="101"/>
      <c r="H202" s="102"/>
      <c r="I202" s="33"/>
      <c r="L202" s="96"/>
      <c r="M202" s="96"/>
      <c r="N202" s="33"/>
      <c r="T202" s="18"/>
    </row>
    <row r="203" spans="1:20" s="34" customFormat="1" ht="15.75" customHeight="1" x14ac:dyDescent="0.3">
      <c r="A203" s="100" t="s">
        <v>374</v>
      </c>
      <c r="B203" s="102"/>
      <c r="C203" s="100" t="s">
        <v>416</v>
      </c>
      <c r="D203" s="101"/>
      <c r="E203" s="101"/>
      <c r="F203" s="101"/>
      <c r="G203" s="101"/>
      <c r="H203" s="102"/>
      <c r="I203" s="33"/>
      <c r="L203" s="96"/>
      <c r="M203" s="96"/>
      <c r="N203" s="33"/>
    </row>
    <row r="204" spans="1:20" s="34" customFormat="1" ht="15.75" customHeight="1" x14ac:dyDescent="0.3">
      <c r="A204" s="100" t="s">
        <v>376</v>
      </c>
      <c r="B204" s="102"/>
      <c r="C204" s="39" t="s">
        <v>364</v>
      </c>
      <c r="D204" s="70">
        <f>(49.6)*10.764</f>
        <v>533.89440000000002</v>
      </c>
      <c r="E204" s="39">
        <v>0</v>
      </c>
      <c r="F204" s="39">
        <f t="shared" si="15"/>
        <v>533.89440000000002</v>
      </c>
      <c r="G204" s="39">
        <v>0</v>
      </c>
      <c r="H204" s="39">
        <f t="shared" si="16"/>
        <v>800.84159999999997</v>
      </c>
      <c r="I204" s="33"/>
      <c r="L204" s="96"/>
      <c r="M204" s="96"/>
      <c r="N204" s="33"/>
    </row>
    <row r="205" spans="1:20" s="34" customFormat="1" ht="15.75" customHeight="1" x14ac:dyDescent="0.3">
      <c r="A205" s="100" t="s">
        <v>377</v>
      </c>
      <c r="B205" s="102"/>
      <c r="C205" s="39" t="s">
        <v>364</v>
      </c>
      <c r="D205" s="70">
        <f>(49.6)*10.764</f>
        <v>533.89440000000002</v>
      </c>
      <c r="E205" s="39">
        <v>0</v>
      </c>
      <c r="F205" s="39">
        <f t="shared" si="15"/>
        <v>533.89440000000002</v>
      </c>
      <c r="G205" s="39">
        <v>0</v>
      </c>
      <c r="H205" s="39">
        <f t="shared" si="16"/>
        <v>800.84159999999997</v>
      </c>
      <c r="I205" s="33"/>
      <c r="L205" s="96"/>
      <c r="M205" s="96"/>
      <c r="N205" s="33"/>
      <c r="T205" s="18"/>
    </row>
    <row r="206" spans="1:20" s="34" customFormat="1" ht="15.75" customHeight="1" x14ac:dyDescent="0.3">
      <c r="A206" s="100" t="s">
        <v>378</v>
      </c>
      <c r="B206" s="102"/>
      <c r="C206" s="39" t="s">
        <v>364</v>
      </c>
      <c r="D206" s="70">
        <f>(49.6)*10.764</f>
        <v>533.89440000000002</v>
      </c>
      <c r="E206" s="39">
        <v>0</v>
      </c>
      <c r="F206" s="39">
        <f t="shared" si="15"/>
        <v>533.89440000000002</v>
      </c>
      <c r="G206" s="39">
        <v>0</v>
      </c>
      <c r="H206" s="39">
        <f t="shared" si="16"/>
        <v>800.84159999999997</v>
      </c>
      <c r="I206" s="33"/>
      <c r="L206" s="96"/>
      <c r="M206" s="96"/>
      <c r="N206" s="33"/>
    </row>
    <row r="207" spans="1:20" s="34" customFormat="1" ht="15.75" customHeight="1" x14ac:dyDescent="0.3">
      <c r="A207" s="100" t="s">
        <v>379</v>
      </c>
      <c r="B207" s="102"/>
      <c r="C207" s="100" t="s">
        <v>417</v>
      </c>
      <c r="D207" s="101"/>
      <c r="E207" s="101"/>
      <c r="F207" s="101"/>
      <c r="G207" s="101"/>
      <c r="H207" s="102"/>
      <c r="I207" s="33"/>
      <c r="L207" s="96"/>
      <c r="M207" s="96"/>
      <c r="N207" s="33"/>
    </row>
    <row r="208" spans="1:20" s="34" customFormat="1" ht="15.75" customHeight="1" x14ac:dyDescent="0.3">
      <c r="A208" s="100" t="s">
        <v>380</v>
      </c>
      <c r="B208" s="102"/>
      <c r="C208" s="100" t="s">
        <v>418</v>
      </c>
      <c r="D208" s="101"/>
      <c r="E208" s="101"/>
      <c r="F208" s="101"/>
      <c r="G208" s="101"/>
      <c r="H208" s="102"/>
      <c r="I208" s="33"/>
      <c r="L208" s="96"/>
      <c r="M208" s="96"/>
      <c r="N208" s="33"/>
      <c r="T208" s="18"/>
    </row>
    <row r="209" spans="1:20" s="34" customFormat="1" ht="15.75" customHeight="1" x14ac:dyDescent="0.3">
      <c r="A209" s="100" t="s">
        <v>381</v>
      </c>
      <c r="B209" s="102"/>
      <c r="C209" s="100" t="s">
        <v>418</v>
      </c>
      <c r="D209" s="101"/>
      <c r="E209" s="101"/>
      <c r="F209" s="101"/>
      <c r="G209" s="101"/>
      <c r="H209" s="102"/>
      <c r="I209" s="33"/>
      <c r="L209" s="96"/>
      <c r="M209" s="96"/>
      <c r="N209" s="33"/>
      <c r="T209" s="18"/>
    </row>
    <row r="210" spans="1:20" s="34" customFormat="1" ht="15.75" customHeight="1" x14ac:dyDescent="0.3">
      <c r="A210" s="100" t="s">
        <v>382</v>
      </c>
      <c r="B210" s="102"/>
      <c r="C210" s="39" t="s">
        <v>364</v>
      </c>
      <c r="D210" s="70">
        <f>(49.6)*10.764</f>
        <v>533.89440000000002</v>
      </c>
      <c r="E210" s="39">
        <v>0</v>
      </c>
      <c r="F210" s="39">
        <f t="shared" si="15"/>
        <v>533.89440000000002</v>
      </c>
      <c r="G210" s="39">
        <v>0</v>
      </c>
      <c r="H210" s="39">
        <f t="shared" si="16"/>
        <v>800.84159999999997</v>
      </c>
      <c r="I210" s="33"/>
      <c r="L210" s="96"/>
      <c r="M210" s="96"/>
      <c r="N210" s="33"/>
    </row>
    <row r="211" spans="1:20" s="34" customFormat="1" ht="15.75" customHeight="1" x14ac:dyDescent="0.3">
      <c r="A211" s="150" t="s">
        <v>414</v>
      </c>
      <c r="B211" s="151"/>
      <c r="C211" s="151"/>
      <c r="D211" s="151"/>
      <c r="E211" s="151"/>
      <c r="F211" s="151"/>
      <c r="G211" s="151"/>
      <c r="H211" s="152"/>
      <c r="J211" s="33"/>
    </row>
    <row r="212" spans="1:20" s="34" customFormat="1" ht="15.75" customHeight="1" x14ac:dyDescent="0.3">
      <c r="A212" s="100" t="s">
        <v>354</v>
      </c>
      <c r="B212" s="102"/>
      <c r="C212" s="39" t="s">
        <v>364</v>
      </c>
      <c r="D212" s="70">
        <f>(46.62)*10.764</f>
        <v>501.81767999999994</v>
      </c>
      <c r="E212" s="39">
        <v>0</v>
      </c>
      <c r="F212" s="39">
        <f>D212+E212</f>
        <v>501.81767999999994</v>
      </c>
      <c r="G212" s="39">
        <v>0</v>
      </c>
      <c r="H212" s="39">
        <f>F212*(($H$157)+1)+(IF(G212&lt;101,G212,IF(G212&lt;201,G212/2,IF(G212&lt;=301,G212/3,G212/4))))</f>
        <v>752.72651999999994</v>
      </c>
      <c r="I212" s="33">
        <f>3*4.6+2.1*2.05+2.75*2.8+2.9*3.2+1.35*2.2+1.35*2.2+0.7*0.9+2.35*0.9</f>
        <v>43.769999999999996</v>
      </c>
      <c r="L212" s="96"/>
      <c r="M212" s="96"/>
      <c r="N212" s="33"/>
    </row>
    <row r="213" spans="1:20" s="34" customFormat="1" ht="15.75" customHeight="1" x14ac:dyDescent="0.3">
      <c r="A213" s="100" t="s">
        <v>355</v>
      </c>
      <c r="B213" s="102"/>
      <c r="C213" s="39" t="s">
        <v>364</v>
      </c>
      <c r="D213" s="70">
        <f>(46.62)*10.764</f>
        <v>501.81767999999994</v>
      </c>
      <c r="E213" s="39">
        <v>0</v>
      </c>
      <c r="F213" s="39">
        <f>D213+E213</f>
        <v>501.81767999999994</v>
      </c>
      <c r="G213" s="39">
        <v>0</v>
      </c>
      <c r="H213" s="39">
        <f>F213*(($H$157)+1)+(IF(G213&lt;101,G213,IF(G213&lt;201,G213/2,IF(G213&lt;=301,G213/3,G213/4))))</f>
        <v>752.72651999999994</v>
      </c>
      <c r="I213" s="33"/>
      <c r="L213" s="96"/>
      <c r="M213" s="96"/>
      <c r="N213" s="33"/>
    </row>
    <row r="214" spans="1:20" s="34" customFormat="1" ht="15.75" customHeight="1" x14ac:dyDescent="0.3">
      <c r="A214" s="100" t="s">
        <v>356</v>
      </c>
      <c r="B214" s="102"/>
      <c r="C214" s="39" t="s">
        <v>364</v>
      </c>
      <c r="D214" s="70">
        <f>(46.62)*10.764</f>
        <v>501.81767999999994</v>
      </c>
      <c r="E214" s="39">
        <v>0</v>
      </c>
      <c r="F214" s="39">
        <f>D214+E214</f>
        <v>501.81767999999994</v>
      </c>
      <c r="G214" s="39">
        <v>0</v>
      </c>
      <c r="H214" s="39">
        <f>F214*(($H$157)+1)+(IF(G214&lt;101,G214,IF(G214&lt;201,G214/2,IF(G214&lt;=301,G214/3,G214/4))))</f>
        <v>752.72651999999994</v>
      </c>
      <c r="I214" s="33"/>
      <c r="L214" s="96"/>
      <c r="M214" s="96"/>
      <c r="N214" s="33"/>
    </row>
    <row r="215" spans="1:20" s="34" customFormat="1" ht="15.75" customHeight="1" x14ac:dyDescent="0.3">
      <c r="A215" s="100" t="s">
        <v>357</v>
      </c>
      <c r="B215" s="102"/>
      <c r="C215" s="39" t="s">
        <v>363</v>
      </c>
      <c r="D215" s="70">
        <f>(29.86)*10.764</f>
        <v>321.41303999999997</v>
      </c>
      <c r="E215" s="39">
        <v>0</v>
      </c>
      <c r="F215" s="39">
        <f t="shared" ref="F215:F236" si="18">D215+E215</f>
        <v>321.41303999999997</v>
      </c>
      <c r="G215" s="39">
        <v>0</v>
      </c>
      <c r="H215" s="39">
        <f t="shared" ref="H215:H236" si="19">F215*(($H$157)+1)+(IF(G215&lt;101,G215,IF(G215&lt;201,G215/2,IF(G215&lt;=301,G215/3,G215/4))))</f>
        <v>482.11955999999998</v>
      </c>
      <c r="I215" s="33"/>
      <c r="L215" s="96"/>
      <c r="M215" s="96"/>
      <c r="N215" s="33"/>
      <c r="T215" s="18"/>
    </row>
    <row r="216" spans="1:20" s="34" customFormat="1" ht="15.75" customHeight="1" x14ac:dyDescent="0.3">
      <c r="A216" s="100" t="s">
        <v>358</v>
      </c>
      <c r="B216" s="102"/>
      <c r="C216" s="39" t="s">
        <v>363</v>
      </c>
      <c r="D216" s="70">
        <f>(29.86)*10.764</f>
        <v>321.41303999999997</v>
      </c>
      <c r="E216" s="39">
        <v>0</v>
      </c>
      <c r="F216" s="39">
        <f t="shared" si="18"/>
        <v>321.41303999999997</v>
      </c>
      <c r="G216" s="39">
        <v>0</v>
      </c>
      <c r="H216" s="39">
        <f t="shared" si="19"/>
        <v>482.11955999999998</v>
      </c>
      <c r="I216" s="33"/>
      <c r="L216" s="96"/>
      <c r="M216" s="96"/>
      <c r="N216" s="33"/>
    </row>
    <row r="217" spans="1:20" s="34" customFormat="1" ht="15.75" customHeight="1" x14ac:dyDescent="0.3">
      <c r="A217" s="100" t="s">
        <v>359</v>
      </c>
      <c r="B217" s="102"/>
      <c r="C217" s="39" t="s">
        <v>364</v>
      </c>
      <c r="D217" s="70">
        <f>(46.62)*10.764</f>
        <v>501.81767999999994</v>
      </c>
      <c r="E217" s="39">
        <v>0</v>
      </c>
      <c r="F217" s="39">
        <f t="shared" si="18"/>
        <v>501.81767999999994</v>
      </c>
      <c r="G217" s="39">
        <v>0</v>
      </c>
      <c r="H217" s="39">
        <f t="shared" si="19"/>
        <v>752.72651999999994</v>
      </c>
      <c r="I217" s="33"/>
      <c r="L217" s="96"/>
      <c r="M217" s="96"/>
      <c r="N217" s="33"/>
    </row>
    <row r="218" spans="1:20" s="34" customFormat="1" ht="15.75" customHeight="1" x14ac:dyDescent="0.3">
      <c r="A218" s="100" t="s">
        <v>360</v>
      </c>
      <c r="B218" s="102"/>
      <c r="C218" s="39" t="s">
        <v>364</v>
      </c>
      <c r="D218" s="70">
        <f>(46.62)*10.764</f>
        <v>501.81767999999994</v>
      </c>
      <c r="E218" s="39">
        <v>0</v>
      </c>
      <c r="F218" s="39">
        <f t="shared" si="18"/>
        <v>501.81767999999994</v>
      </c>
      <c r="G218" s="39">
        <v>0</v>
      </c>
      <c r="H218" s="39">
        <f t="shared" si="19"/>
        <v>752.72651999999994</v>
      </c>
      <c r="I218" s="33"/>
      <c r="L218" s="96"/>
      <c r="M218" s="96"/>
      <c r="N218" s="33"/>
      <c r="T218" s="18"/>
    </row>
    <row r="219" spans="1:20" s="34" customFormat="1" ht="15.75" customHeight="1" x14ac:dyDescent="0.3">
      <c r="A219" s="100" t="s">
        <v>361</v>
      </c>
      <c r="B219" s="102"/>
      <c r="C219" s="39" t="s">
        <v>364</v>
      </c>
      <c r="D219" s="70">
        <f>(46.62)*10.764</f>
        <v>501.81767999999994</v>
      </c>
      <c r="E219" s="39">
        <v>0</v>
      </c>
      <c r="F219" s="39">
        <f t="shared" si="18"/>
        <v>501.81767999999994</v>
      </c>
      <c r="G219" s="39">
        <v>0</v>
      </c>
      <c r="H219" s="39">
        <f t="shared" si="19"/>
        <v>752.72651999999994</v>
      </c>
      <c r="I219" s="33"/>
      <c r="L219" s="96"/>
      <c r="M219" s="96"/>
      <c r="N219" s="33"/>
    </row>
    <row r="220" spans="1:20" s="34" customFormat="1" ht="15.75" customHeight="1" x14ac:dyDescent="0.3">
      <c r="A220" s="100" t="s">
        <v>362</v>
      </c>
      <c r="B220" s="102"/>
      <c r="C220" s="39" t="s">
        <v>364</v>
      </c>
      <c r="D220" s="70">
        <f>(46.62)*10.764</f>
        <v>501.81767999999994</v>
      </c>
      <c r="E220" s="39">
        <v>0</v>
      </c>
      <c r="F220" s="39">
        <f t="shared" si="18"/>
        <v>501.81767999999994</v>
      </c>
      <c r="G220" s="39">
        <v>0</v>
      </c>
      <c r="H220" s="39">
        <f t="shared" si="19"/>
        <v>752.72651999999994</v>
      </c>
      <c r="I220" s="33"/>
      <c r="L220" s="96"/>
      <c r="M220" s="96"/>
      <c r="N220" s="33"/>
    </row>
    <row r="221" spans="1:20" s="34" customFormat="1" ht="15.75" customHeight="1" x14ac:dyDescent="0.3">
      <c r="A221" s="100" t="s">
        <v>366</v>
      </c>
      <c r="B221" s="102"/>
      <c r="C221" s="39" t="s">
        <v>363</v>
      </c>
      <c r="D221" s="70">
        <f t="shared" ref="D221:D229" si="20">(29.86)*10.764</f>
        <v>321.41303999999997</v>
      </c>
      <c r="E221" s="39">
        <v>0</v>
      </c>
      <c r="F221" s="39">
        <f t="shared" si="18"/>
        <v>321.41303999999997</v>
      </c>
      <c r="G221" s="39">
        <v>0</v>
      </c>
      <c r="H221" s="39">
        <f t="shared" si="19"/>
        <v>482.11955999999998</v>
      </c>
      <c r="I221" s="33"/>
      <c r="L221" s="96"/>
      <c r="M221" s="96"/>
      <c r="N221" s="33"/>
      <c r="T221" s="18"/>
    </row>
    <row r="222" spans="1:20" s="34" customFormat="1" ht="15.75" customHeight="1" x14ac:dyDescent="0.3">
      <c r="A222" s="100" t="s">
        <v>367</v>
      </c>
      <c r="B222" s="102"/>
      <c r="C222" s="39" t="s">
        <v>363</v>
      </c>
      <c r="D222" s="70">
        <f t="shared" si="20"/>
        <v>321.41303999999997</v>
      </c>
      <c r="E222" s="39">
        <v>0</v>
      </c>
      <c r="F222" s="39">
        <f t="shared" si="18"/>
        <v>321.41303999999997</v>
      </c>
      <c r="G222" s="39">
        <v>0</v>
      </c>
      <c r="H222" s="39">
        <f t="shared" si="19"/>
        <v>482.11955999999998</v>
      </c>
      <c r="I222" s="33"/>
      <c r="L222" s="96"/>
      <c r="M222" s="96"/>
      <c r="N222" s="33"/>
    </row>
    <row r="223" spans="1:20" s="34" customFormat="1" ht="15.75" customHeight="1" x14ac:dyDescent="0.3">
      <c r="A223" s="100" t="s">
        <v>368</v>
      </c>
      <c r="B223" s="102"/>
      <c r="C223" s="39" t="s">
        <v>363</v>
      </c>
      <c r="D223" s="70">
        <f t="shared" si="20"/>
        <v>321.41303999999997</v>
      </c>
      <c r="E223" s="39">
        <v>0</v>
      </c>
      <c r="F223" s="39">
        <f t="shared" si="18"/>
        <v>321.41303999999997</v>
      </c>
      <c r="G223" s="39">
        <v>0</v>
      </c>
      <c r="H223" s="39">
        <f t="shared" si="19"/>
        <v>482.11955999999998</v>
      </c>
      <c r="I223" s="33"/>
      <c r="L223" s="96"/>
      <c r="M223" s="96"/>
      <c r="N223" s="33"/>
    </row>
    <row r="224" spans="1:20" s="34" customFormat="1" ht="15.75" customHeight="1" x14ac:dyDescent="0.3">
      <c r="A224" s="100" t="s">
        <v>369</v>
      </c>
      <c r="B224" s="102"/>
      <c r="C224" s="39" t="s">
        <v>363</v>
      </c>
      <c r="D224" s="70">
        <f t="shared" si="20"/>
        <v>321.41303999999997</v>
      </c>
      <c r="E224" s="39">
        <v>0</v>
      </c>
      <c r="F224" s="39">
        <f t="shared" si="18"/>
        <v>321.41303999999997</v>
      </c>
      <c r="G224" s="39">
        <v>0</v>
      </c>
      <c r="H224" s="39">
        <f t="shared" si="19"/>
        <v>482.11955999999998</v>
      </c>
      <c r="I224" s="33"/>
      <c r="L224" s="96"/>
      <c r="M224" s="96"/>
      <c r="N224" s="33"/>
      <c r="T224" s="18"/>
    </row>
    <row r="225" spans="1:20" s="34" customFormat="1" ht="15.75" customHeight="1" x14ac:dyDescent="0.3">
      <c r="A225" s="100" t="s">
        <v>370</v>
      </c>
      <c r="B225" s="102"/>
      <c r="C225" s="39" t="s">
        <v>363</v>
      </c>
      <c r="D225" s="70">
        <f t="shared" si="20"/>
        <v>321.41303999999997</v>
      </c>
      <c r="E225" s="39">
        <v>0</v>
      </c>
      <c r="F225" s="39">
        <f t="shared" si="18"/>
        <v>321.41303999999997</v>
      </c>
      <c r="G225" s="39">
        <v>0</v>
      </c>
      <c r="H225" s="39">
        <f t="shared" si="19"/>
        <v>482.11955999999998</v>
      </c>
      <c r="I225" s="33"/>
      <c r="L225" s="96"/>
      <c r="M225" s="96"/>
      <c r="N225" s="33"/>
      <c r="T225" s="18"/>
    </row>
    <row r="226" spans="1:20" s="34" customFormat="1" ht="15.75" customHeight="1" x14ac:dyDescent="0.3">
      <c r="A226" s="100" t="s">
        <v>371</v>
      </c>
      <c r="B226" s="102"/>
      <c r="C226" s="39" t="s">
        <v>363</v>
      </c>
      <c r="D226" s="70">
        <f t="shared" si="20"/>
        <v>321.41303999999997</v>
      </c>
      <c r="E226" s="39">
        <v>0</v>
      </c>
      <c r="F226" s="39">
        <f t="shared" si="18"/>
        <v>321.41303999999997</v>
      </c>
      <c r="G226" s="39">
        <v>0</v>
      </c>
      <c r="H226" s="39">
        <f t="shared" si="19"/>
        <v>482.11955999999998</v>
      </c>
      <c r="I226" s="33"/>
      <c r="L226" s="96"/>
      <c r="M226" s="96"/>
      <c r="N226" s="33"/>
    </row>
    <row r="227" spans="1:20" s="34" customFormat="1" ht="15.75" customHeight="1" x14ac:dyDescent="0.3">
      <c r="A227" s="100" t="s">
        <v>372</v>
      </c>
      <c r="B227" s="102"/>
      <c r="C227" s="39" t="s">
        <v>363</v>
      </c>
      <c r="D227" s="70">
        <f t="shared" si="20"/>
        <v>321.41303999999997</v>
      </c>
      <c r="E227" s="39">
        <v>0</v>
      </c>
      <c r="F227" s="39">
        <f t="shared" si="18"/>
        <v>321.41303999999997</v>
      </c>
      <c r="G227" s="39">
        <v>0</v>
      </c>
      <c r="H227" s="39">
        <f t="shared" si="19"/>
        <v>482.11955999999998</v>
      </c>
      <c r="I227" s="33"/>
      <c r="L227" s="96"/>
      <c r="M227" s="96"/>
      <c r="N227" s="33"/>
    </row>
    <row r="228" spans="1:20" s="34" customFormat="1" ht="15.75" customHeight="1" x14ac:dyDescent="0.3">
      <c r="A228" s="100" t="s">
        <v>373</v>
      </c>
      <c r="B228" s="102"/>
      <c r="C228" s="39" t="s">
        <v>363</v>
      </c>
      <c r="D228" s="70">
        <f t="shared" si="20"/>
        <v>321.41303999999997</v>
      </c>
      <c r="E228" s="39">
        <v>0</v>
      </c>
      <c r="F228" s="39">
        <f t="shared" si="18"/>
        <v>321.41303999999997</v>
      </c>
      <c r="G228" s="39">
        <v>0</v>
      </c>
      <c r="H228" s="39">
        <f t="shared" si="19"/>
        <v>482.11955999999998</v>
      </c>
      <c r="I228" s="33"/>
      <c r="L228" s="96"/>
      <c r="M228" s="96"/>
      <c r="N228" s="33"/>
      <c r="T228" s="18"/>
    </row>
    <row r="229" spans="1:20" s="34" customFormat="1" ht="15.75" customHeight="1" x14ac:dyDescent="0.3">
      <c r="A229" s="100" t="s">
        <v>374</v>
      </c>
      <c r="B229" s="102"/>
      <c r="C229" s="39" t="s">
        <v>363</v>
      </c>
      <c r="D229" s="70">
        <f t="shared" si="20"/>
        <v>321.41303999999997</v>
      </c>
      <c r="E229" s="39">
        <v>0</v>
      </c>
      <c r="F229" s="39">
        <f t="shared" si="18"/>
        <v>321.41303999999997</v>
      </c>
      <c r="G229" s="39">
        <v>0</v>
      </c>
      <c r="H229" s="39">
        <f t="shared" si="19"/>
        <v>482.11955999999998</v>
      </c>
      <c r="I229" s="33"/>
      <c r="L229" s="96"/>
      <c r="M229" s="96"/>
      <c r="N229" s="33"/>
    </row>
    <row r="230" spans="1:20" s="34" customFormat="1" ht="15.75" customHeight="1" x14ac:dyDescent="0.3">
      <c r="A230" s="100" t="s">
        <v>376</v>
      </c>
      <c r="B230" s="102"/>
      <c r="C230" s="39" t="s">
        <v>364</v>
      </c>
      <c r="D230" s="70">
        <f t="shared" ref="D230:D236" si="21">(49.6)*10.764</f>
        <v>533.89440000000002</v>
      </c>
      <c r="E230" s="39">
        <v>0</v>
      </c>
      <c r="F230" s="39">
        <f t="shared" si="18"/>
        <v>533.89440000000002</v>
      </c>
      <c r="G230" s="39">
        <v>0</v>
      </c>
      <c r="H230" s="39">
        <f t="shared" si="19"/>
        <v>800.84159999999997</v>
      </c>
      <c r="I230" s="33"/>
      <c r="L230" s="96"/>
      <c r="M230" s="96"/>
      <c r="N230" s="33"/>
    </row>
    <row r="231" spans="1:20" s="34" customFormat="1" ht="15.75" customHeight="1" x14ac:dyDescent="0.3">
      <c r="A231" s="100" t="s">
        <v>377</v>
      </c>
      <c r="B231" s="102"/>
      <c r="C231" s="39" t="s">
        <v>364</v>
      </c>
      <c r="D231" s="70">
        <f t="shared" si="21"/>
        <v>533.89440000000002</v>
      </c>
      <c r="E231" s="39">
        <v>0</v>
      </c>
      <c r="F231" s="39">
        <f t="shared" si="18"/>
        <v>533.89440000000002</v>
      </c>
      <c r="G231" s="39">
        <v>0</v>
      </c>
      <c r="H231" s="39">
        <f t="shared" si="19"/>
        <v>800.84159999999997</v>
      </c>
      <c r="I231" s="33"/>
      <c r="L231" s="96"/>
      <c r="M231" s="96"/>
      <c r="N231" s="33"/>
      <c r="T231" s="18"/>
    </row>
    <row r="232" spans="1:20" s="34" customFormat="1" ht="15.75" customHeight="1" x14ac:dyDescent="0.3">
      <c r="A232" s="100" t="s">
        <v>378</v>
      </c>
      <c r="B232" s="102"/>
      <c r="C232" s="39" t="s">
        <v>364</v>
      </c>
      <c r="D232" s="70">
        <f t="shared" si="21"/>
        <v>533.89440000000002</v>
      </c>
      <c r="E232" s="39">
        <v>0</v>
      </c>
      <c r="F232" s="39">
        <f t="shared" si="18"/>
        <v>533.89440000000002</v>
      </c>
      <c r="G232" s="39">
        <v>0</v>
      </c>
      <c r="H232" s="39">
        <f t="shared" si="19"/>
        <v>800.84159999999997</v>
      </c>
      <c r="I232" s="33"/>
      <c r="L232" s="96"/>
      <c r="M232" s="96"/>
      <c r="N232" s="33"/>
    </row>
    <row r="233" spans="1:20" s="34" customFormat="1" ht="15.75" customHeight="1" x14ac:dyDescent="0.3">
      <c r="A233" s="95" t="s">
        <v>379</v>
      </c>
      <c r="B233" s="95"/>
      <c r="C233" s="39" t="s">
        <v>364</v>
      </c>
      <c r="D233" s="70">
        <f t="shared" si="21"/>
        <v>533.89440000000002</v>
      </c>
      <c r="E233" s="39">
        <v>0</v>
      </c>
      <c r="F233" s="39">
        <f t="shared" si="18"/>
        <v>533.89440000000002</v>
      </c>
      <c r="G233" s="39">
        <v>0</v>
      </c>
      <c r="H233" s="39">
        <f t="shared" si="19"/>
        <v>800.84159999999997</v>
      </c>
      <c r="I233" s="33"/>
      <c r="L233" s="96"/>
      <c r="M233" s="96"/>
      <c r="N233" s="33"/>
    </row>
    <row r="234" spans="1:20" s="34" customFormat="1" ht="15.75" customHeight="1" x14ac:dyDescent="0.3">
      <c r="A234" s="95" t="s">
        <v>380</v>
      </c>
      <c r="B234" s="95"/>
      <c r="C234" s="39" t="s">
        <v>364</v>
      </c>
      <c r="D234" s="70">
        <f t="shared" si="21"/>
        <v>533.89440000000002</v>
      </c>
      <c r="E234" s="39">
        <v>0</v>
      </c>
      <c r="F234" s="39">
        <f t="shared" si="18"/>
        <v>533.89440000000002</v>
      </c>
      <c r="G234" s="39">
        <v>0</v>
      </c>
      <c r="H234" s="39">
        <f t="shared" si="19"/>
        <v>800.84159999999997</v>
      </c>
      <c r="I234" s="33"/>
      <c r="L234" s="96"/>
      <c r="M234" s="96"/>
      <c r="N234" s="33"/>
      <c r="T234" s="18"/>
    </row>
    <row r="235" spans="1:20" s="34" customFormat="1" ht="15.75" customHeight="1" x14ac:dyDescent="0.3">
      <c r="A235" s="95" t="s">
        <v>381</v>
      </c>
      <c r="B235" s="95"/>
      <c r="C235" s="39" t="s">
        <v>364</v>
      </c>
      <c r="D235" s="70">
        <f t="shared" si="21"/>
        <v>533.89440000000002</v>
      </c>
      <c r="E235" s="39">
        <v>0</v>
      </c>
      <c r="F235" s="39">
        <f t="shared" si="18"/>
        <v>533.89440000000002</v>
      </c>
      <c r="G235" s="39">
        <v>0</v>
      </c>
      <c r="H235" s="39">
        <f t="shared" si="19"/>
        <v>800.84159999999997</v>
      </c>
      <c r="I235" s="33"/>
      <c r="L235" s="96"/>
      <c r="M235" s="96"/>
      <c r="N235" s="33"/>
      <c r="T235" s="18"/>
    </row>
    <row r="236" spans="1:20" s="34" customFormat="1" ht="15.75" customHeight="1" x14ac:dyDescent="0.3">
      <c r="A236" s="95" t="s">
        <v>382</v>
      </c>
      <c r="B236" s="95"/>
      <c r="C236" s="39" t="s">
        <v>364</v>
      </c>
      <c r="D236" s="70">
        <f t="shared" si="21"/>
        <v>533.89440000000002</v>
      </c>
      <c r="E236" s="39">
        <v>0</v>
      </c>
      <c r="F236" s="39">
        <f t="shared" si="18"/>
        <v>533.89440000000002</v>
      </c>
      <c r="G236" s="39">
        <v>0</v>
      </c>
      <c r="H236" s="39">
        <f t="shared" si="19"/>
        <v>800.84159999999997</v>
      </c>
      <c r="I236" s="33"/>
      <c r="L236" s="96"/>
      <c r="M236" s="96"/>
      <c r="N236" s="33"/>
    </row>
    <row r="237" spans="1:20" s="34" customFormat="1" ht="15.75" customHeight="1" x14ac:dyDescent="0.3">
      <c r="A237" s="166" t="s">
        <v>415</v>
      </c>
      <c r="B237" s="166"/>
      <c r="C237" s="166"/>
      <c r="D237" s="166"/>
      <c r="E237" s="166"/>
      <c r="F237" s="166"/>
      <c r="G237" s="166"/>
      <c r="H237" s="166"/>
      <c r="J237" s="33"/>
    </row>
    <row r="238" spans="1:20" s="34" customFormat="1" ht="15.75" customHeight="1" x14ac:dyDescent="0.3">
      <c r="A238" s="95" t="s">
        <v>354</v>
      </c>
      <c r="B238" s="95"/>
      <c r="C238" s="95" t="s">
        <v>386</v>
      </c>
      <c r="D238" s="95"/>
      <c r="E238" s="95"/>
      <c r="F238" s="95"/>
      <c r="G238" s="95"/>
      <c r="H238" s="95"/>
      <c r="I238" s="33"/>
      <c r="L238" s="96"/>
      <c r="M238" s="96"/>
      <c r="N238" s="33"/>
    </row>
    <row r="239" spans="1:20" s="34" customFormat="1" ht="15.75" customHeight="1" x14ac:dyDescent="0.3">
      <c r="A239" s="95" t="s">
        <v>355</v>
      </c>
      <c r="B239" s="95"/>
      <c r="C239" s="39" t="s">
        <v>364</v>
      </c>
      <c r="D239" s="70">
        <f>(46.62)*10.764</f>
        <v>501.81767999999994</v>
      </c>
      <c r="E239" s="39">
        <v>0</v>
      </c>
      <c r="F239" s="39">
        <f>D239+E239</f>
        <v>501.81767999999994</v>
      </c>
      <c r="G239" s="39">
        <v>0</v>
      </c>
      <c r="H239" s="39">
        <f>F239*(($H$157)+1)+(IF(G239&lt;101,G239,IF(G239&lt;201,G239/2,IF(G239&lt;=301,G239/3,G239/4))))</f>
        <v>752.72651999999994</v>
      </c>
      <c r="I239" s="33"/>
      <c r="L239" s="96"/>
      <c r="M239" s="96"/>
      <c r="N239" s="33"/>
    </row>
    <row r="240" spans="1:20" s="34" customFormat="1" ht="15.75" customHeight="1" x14ac:dyDescent="0.3">
      <c r="A240" s="95" t="s">
        <v>356</v>
      </c>
      <c r="B240" s="95"/>
      <c r="C240" s="39" t="s">
        <v>364</v>
      </c>
      <c r="D240" s="70">
        <f>(46.62)*10.764</f>
        <v>501.81767999999994</v>
      </c>
      <c r="E240" s="39">
        <v>0</v>
      </c>
      <c r="F240" s="39">
        <f>D240+E240</f>
        <v>501.81767999999994</v>
      </c>
      <c r="G240" s="39">
        <v>0</v>
      </c>
      <c r="H240" s="39">
        <f>F240*(($H$157)+1)+(IF(G240&lt;101,G240,IF(G240&lt;201,G240/2,IF(G240&lt;=301,G240/3,G240/4))))</f>
        <v>752.72651999999994</v>
      </c>
      <c r="I240" s="33"/>
      <c r="L240" s="96"/>
      <c r="M240" s="96"/>
      <c r="N240" s="33"/>
    </row>
    <row r="241" spans="1:20" s="34" customFormat="1" ht="15.75" customHeight="1" x14ac:dyDescent="0.3">
      <c r="A241" s="95" t="s">
        <v>357</v>
      </c>
      <c r="B241" s="95"/>
      <c r="C241" s="39" t="s">
        <v>363</v>
      </c>
      <c r="D241" s="70">
        <f>(29.86)*10.764</f>
        <v>321.41303999999997</v>
      </c>
      <c r="E241" s="39">
        <v>0</v>
      </c>
      <c r="F241" s="39">
        <f t="shared" ref="F241:F262" si="22">D241+E241</f>
        <v>321.41303999999997</v>
      </c>
      <c r="G241" s="39">
        <v>0</v>
      </c>
      <c r="H241" s="39">
        <f t="shared" ref="H241:H262" si="23">F241*(($H$157)+1)+(IF(G241&lt;101,G241,IF(G241&lt;201,G241/2,IF(G241&lt;=301,G241/3,G241/4))))</f>
        <v>482.11955999999998</v>
      </c>
      <c r="I241" s="33"/>
      <c r="L241" s="96"/>
      <c r="M241" s="96"/>
      <c r="N241" s="33"/>
      <c r="T241" s="18"/>
    </row>
    <row r="242" spans="1:20" s="34" customFormat="1" ht="15.75" customHeight="1" x14ac:dyDescent="0.3">
      <c r="A242" s="95" t="s">
        <v>358</v>
      </c>
      <c r="B242" s="95"/>
      <c r="C242" s="39" t="s">
        <v>363</v>
      </c>
      <c r="D242" s="70">
        <f>(29.86)*10.764</f>
        <v>321.41303999999997</v>
      </c>
      <c r="E242" s="39">
        <v>0</v>
      </c>
      <c r="F242" s="39">
        <f t="shared" si="22"/>
        <v>321.41303999999997</v>
      </c>
      <c r="G242" s="39">
        <v>0</v>
      </c>
      <c r="H242" s="39">
        <f t="shared" si="23"/>
        <v>482.11955999999998</v>
      </c>
      <c r="I242" s="33"/>
      <c r="L242" s="96"/>
      <c r="M242" s="96"/>
      <c r="N242" s="33"/>
    </row>
    <row r="243" spans="1:20" s="34" customFormat="1" ht="15.75" customHeight="1" x14ac:dyDescent="0.3">
      <c r="A243" s="100" t="s">
        <v>359</v>
      </c>
      <c r="B243" s="102"/>
      <c r="C243" s="39" t="s">
        <v>364</v>
      </c>
      <c r="D243" s="70">
        <f>(46.62)*10.764</f>
        <v>501.81767999999994</v>
      </c>
      <c r="E243" s="39">
        <v>0</v>
      </c>
      <c r="F243" s="39">
        <f t="shared" si="22"/>
        <v>501.81767999999994</v>
      </c>
      <c r="G243" s="39">
        <v>0</v>
      </c>
      <c r="H243" s="39">
        <f t="shared" si="23"/>
        <v>752.72651999999994</v>
      </c>
      <c r="I243" s="33"/>
      <c r="L243" s="96"/>
      <c r="M243" s="96"/>
      <c r="N243" s="33"/>
    </row>
    <row r="244" spans="1:20" s="34" customFormat="1" ht="15.75" customHeight="1" x14ac:dyDescent="0.3">
      <c r="A244" s="100" t="s">
        <v>360</v>
      </c>
      <c r="B244" s="102"/>
      <c r="C244" s="39" t="s">
        <v>364</v>
      </c>
      <c r="D244" s="70">
        <f>(46.62)*10.764</f>
        <v>501.81767999999994</v>
      </c>
      <c r="E244" s="39">
        <v>0</v>
      </c>
      <c r="F244" s="39">
        <f t="shared" si="22"/>
        <v>501.81767999999994</v>
      </c>
      <c r="G244" s="39">
        <v>0</v>
      </c>
      <c r="H244" s="39">
        <f t="shared" si="23"/>
        <v>752.72651999999994</v>
      </c>
      <c r="I244" s="33"/>
      <c r="L244" s="96"/>
      <c r="M244" s="96"/>
      <c r="N244" s="33"/>
      <c r="T244" s="18"/>
    </row>
    <row r="245" spans="1:20" s="34" customFormat="1" ht="15.75" customHeight="1" x14ac:dyDescent="0.3">
      <c r="A245" s="100" t="s">
        <v>361</v>
      </c>
      <c r="B245" s="102"/>
      <c r="C245" s="39" t="s">
        <v>364</v>
      </c>
      <c r="D245" s="70">
        <f>(46.62)*10.764</f>
        <v>501.81767999999994</v>
      </c>
      <c r="E245" s="39">
        <v>0</v>
      </c>
      <c r="F245" s="39">
        <f t="shared" si="22"/>
        <v>501.81767999999994</v>
      </c>
      <c r="G245" s="39">
        <v>0</v>
      </c>
      <c r="H245" s="39">
        <f t="shared" si="23"/>
        <v>752.72651999999994</v>
      </c>
      <c r="I245" s="33"/>
      <c r="L245" s="96"/>
      <c r="M245" s="96"/>
      <c r="N245" s="33"/>
    </row>
    <row r="246" spans="1:20" s="34" customFormat="1" ht="15.75" customHeight="1" x14ac:dyDescent="0.3">
      <c r="A246" s="100" t="s">
        <v>362</v>
      </c>
      <c r="B246" s="102"/>
      <c r="C246" s="39" t="s">
        <v>364</v>
      </c>
      <c r="D246" s="70">
        <f>(46.62)*10.764</f>
        <v>501.81767999999994</v>
      </c>
      <c r="E246" s="39">
        <v>0</v>
      </c>
      <c r="F246" s="39">
        <f t="shared" si="22"/>
        <v>501.81767999999994</v>
      </c>
      <c r="G246" s="39">
        <v>0</v>
      </c>
      <c r="H246" s="39">
        <f t="shared" si="23"/>
        <v>752.72651999999994</v>
      </c>
      <c r="I246" s="33"/>
      <c r="L246" s="96"/>
      <c r="M246" s="96"/>
      <c r="N246" s="33"/>
    </row>
    <row r="247" spans="1:20" s="34" customFormat="1" ht="15.75" customHeight="1" x14ac:dyDescent="0.3">
      <c r="A247" s="100" t="s">
        <v>366</v>
      </c>
      <c r="B247" s="102"/>
      <c r="C247" s="39" t="s">
        <v>363</v>
      </c>
      <c r="D247" s="70">
        <f>(29.86)*10.764</f>
        <v>321.41303999999997</v>
      </c>
      <c r="E247" s="39">
        <v>0</v>
      </c>
      <c r="F247" s="39">
        <f t="shared" si="22"/>
        <v>321.41303999999997</v>
      </c>
      <c r="G247" s="39">
        <v>0</v>
      </c>
      <c r="H247" s="39">
        <f t="shared" si="23"/>
        <v>482.11955999999998</v>
      </c>
      <c r="I247" s="33"/>
      <c r="L247" s="96"/>
      <c r="M247" s="96"/>
      <c r="N247" s="33"/>
      <c r="T247" s="18"/>
    </row>
    <row r="248" spans="1:20" s="34" customFormat="1" ht="15.75" customHeight="1" x14ac:dyDescent="0.3">
      <c r="A248" s="100" t="s">
        <v>367</v>
      </c>
      <c r="B248" s="102"/>
      <c r="C248" s="39" t="s">
        <v>363</v>
      </c>
      <c r="D248" s="70">
        <f>(29.86)*10.764</f>
        <v>321.41303999999997</v>
      </c>
      <c r="E248" s="39">
        <v>0</v>
      </c>
      <c r="F248" s="39">
        <f t="shared" si="22"/>
        <v>321.41303999999997</v>
      </c>
      <c r="G248" s="39">
        <v>0</v>
      </c>
      <c r="H248" s="39">
        <f t="shared" si="23"/>
        <v>482.11955999999998</v>
      </c>
      <c r="I248" s="33"/>
      <c r="L248" s="96"/>
      <c r="M248" s="96"/>
      <c r="N248" s="33"/>
    </row>
    <row r="249" spans="1:20" s="34" customFormat="1" ht="15.75" customHeight="1" x14ac:dyDescent="0.3">
      <c r="A249" s="100" t="s">
        <v>368</v>
      </c>
      <c r="B249" s="102"/>
      <c r="C249" s="39" t="s">
        <v>363</v>
      </c>
      <c r="D249" s="70">
        <f>(29.86)*10.764</f>
        <v>321.41303999999997</v>
      </c>
      <c r="E249" s="39">
        <v>0</v>
      </c>
      <c r="F249" s="39">
        <f t="shared" si="22"/>
        <v>321.41303999999997</v>
      </c>
      <c r="G249" s="39">
        <v>0</v>
      </c>
      <c r="H249" s="39">
        <f t="shared" si="23"/>
        <v>482.11955999999998</v>
      </c>
      <c r="I249" s="33"/>
      <c r="L249" s="96"/>
      <c r="M249" s="96"/>
      <c r="N249" s="33"/>
    </row>
    <row r="250" spans="1:20" s="34" customFormat="1" ht="15.75" customHeight="1" x14ac:dyDescent="0.3">
      <c r="A250" s="100" t="s">
        <v>369</v>
      </c>
      <c r="B250" s="102"/>
      <c r="C250" s="100" t="s">
        <v>386</v>
      </c>
      <c r="D250" s="101"/>
      <c r="E250" s="101"/>
      <c r="F250" s="101"/>
      <c r="G250" s="101"/>
      <c r="H250" s="102"/>
      <c r="I250" s="33"/>
      <c r="L250" s="96"/>
      <c r="M250" s="96"/>
      <c r="N250" s="33"/>
      <c r="T250" s="18"/>
    </row>
    <row r="251" spans="1:20" s="34" customFormat="1" ht="15.75" customHeight="1" x14ac:dyDescent="0.3">
      <c r="A251" s="100" t="s">
        <v>370</v>
      </c>
      <c r="B251" s="102"/>
      <c r="C251" s="39" t="s">
        <v>363</v>
      </c>
      <c r="D251" s="70">
        <f>(29.86)*10.764</f>
        <v>321.41303999999997</v>
      </c>
      <c r="E251" s="39">
        <v>0</v>
      </c>
      <c r="F251" s="39">
        <f t="shared" si="22"/>
        <v>321.41303999999997</v>
      </c>
      <c r="G251" s="39">
        <v>0</v>
      </c>
      <c r="H251" s="39">
        <f t="shared" si="23"/>
        <v>482.11955999999998</v>
      </c>
      <c r="I251" s="33"/>
      <c r="L251" s="96"/>
      <c r="M251" s="96"/>
      <c r="N251" s="33"/>
      <c r="T251" s="18"/>
    </row>
    <row r="252" spans="1:20" s="34" customFormat="1" ht="15.75" customHeight="1" x14ac:dyDescent="0.3">
      <c r="A252" s="100" t="s">
        <v>371</v>
      </c>
      <c r="B252" s="102"/>
      <c r="C252" s="39" t="s">
        <v>363</v>
      </c>
      <c r="D252" s="70">
        <f>(29.86)*10.764</f>
        <v>321.41303999999997</v>
      </c>
      <c r="E252" s="39">
        <v>0</v>
      </c>
      <c r="F252" s="39">
        <f t="shared" si="22"/>
        <v>321.41303999999997</v>
      </c>
      <c r="G252" s="39">
        <v>0</v>
      </c>
      <c r="H252" s="39">
        <f t="shared" si="23"/>
        <v>482.11955999999998</v>
      </c>
      <c r="I252" s="33"/>
      <c r="L252" s="96"/>
      <c r="M252" s="96"/>
      <c r="N252" s="33"/>
    </row>
    <row r="253" spans="1:20" s="34" customFormat="1" ht="15.75" customHeight="1" x14ac:dyDescent="0.3">
      <c r="A253" s="100" t="s">
        <v>372</v>
      </c>
      <c r="B253" s="102"/>
      <c r="C253" s="39" t="s">
        <v>363</v>
      </c>
      <c r="D253" s="70">
        <f>(29.86)*10.764</f>
        <v>321.41303999999997</v>
      </c>
      <c r="E253" s="39">
        <v>0</v>
      </c>
      <c r="F253" s="39">
        <f t="shared" si="22"/>
        <v>321.41303999999997</v>
      </c>
      <c r="G253" s="39">
        <v>0</v>
      </c>
      <c r="H253" s="39">
        <f t="shared" si="23"/>
        <v>482.11955999999998</v>
      </c>
      <c r="I253" s="33"/>
      <c r="L253" s="96"/>
      <c r="M253" s="96"/>
      <c r="N253" s="33"/>
    </row>
    <row r="254" spans="1:20" s="34" customFormat="1" ht="15.75" customHeight="1" x14ac:dyDescent="0.3">
      <c r="A254" s="100" t="s">
        <v>373</v>
      </c>
      <c r="B254" s="102"/>
      <c r="C254" s="39" t="s">
        <v>363</v>
      </c>
      <c r="D254" s="70">
        <f>(29.86)*10.764</f>
        <v>321.41303999999997</v>
      </c>
      <c r="E254" s="39">
        <v>0</v>
      </c>
      <c r="F254" s="39">
        <f t="shared" si="22"/>
        <v>321.41303999999997</v>
      </c>
      <c r="G254" s="39">
        <v>0</v>
      </c>
      <c r="H254" s="39">
        <f t="shared" si="23"/>
        <v>482.11955999999998</v>
      </c>
      <c r="I254" s="33"/>
      <c r="L254" s="96"/>
      <c r="M254" s="96"/>
      <c r="N254" s="33"/>
      <c r="T254" s="18"/>
    </row>
    <row r="255" spans="1:20" s="34" customFormat="1" ht="15.75" customHeight="1" x14ac:dyDescent="0.3">
      <c r="A255" s="100" t="s">
        <v>374</v>
      </c>
      <c r="B255" s="102"/>
      <c r="C255" s="39" t="s">
        <v>363</v>
      </c>
      <c r="D255" s="70">
        <f>(29.86)*10.764</f>
        <v>321.41303999999997</v>
      </c>
      <c r="E255" s="39">
        <v>0</v>
      </c>
      <c r="F255" s="39">
        <f t="shared" si="22"/>
        <v>321.41303999999997</v>
      </c>
      <c r="G255" s="39">
        <v>0</v>
      </c>
      <c r="H255" s="39">
        <f t="shared" si="23"/>
        <v>482.11955999999998</v>
      </c>
      <c r="I255" s="33"/>
      <c r="L255" s="96"/>
      <c r="M255" s="96"/>
      <c r="N255" s="33"/>
    </row>
    <row r="256" spans="1:20" s="34" customFormat="1" ht="15.75" customHeight="1" x14ac:dyDescent="0.3">
      <c r="A256" s="100" t="s">
        <v>376</v>
      </c>
      <c r="B256" s="102"/>
      <c r="C256" s="39" t="s">
        <v>364</v>
      </c>
      <c r="D256" s="70">
        <f>(49.6)*10.764</f>
        <v>533.89440000000002</v>
      </c>
      <c r="E256" s="39">
        <v>0</v>
      </c>
      <c r="F256" s="39">
        <f t="shared" si="22"/>
        <v>533.89440000000002</v>
      </c>
      <c r="G256" s="39">
        <v>0</v>
      </c>
      <c r="H256" s="39">
        <f t="shared" si="23"/>
        <v>800.84159999999997</v>
      </c>
      <c r="I256" s="33"/>
      <c r="L256" s="96"/>
      <c r="M256" s="96"/>
      <c r="N256" s="33"/>
    </row>
    <row r="257" spans="1:20" s="34" customFormat="1" ht="15.75" customHeight="1" x14ac:dyDescent="0.3">
      <c r="A257" s="100" t="s">
        <v>377</v>
      </c>
      <c r="B257" s="102"/>
      <c r="C257" s="39" t="s">
        <v>364</v>
      </c>
      <c r="D257" s="70">
        <f>(49.6)*10.764</f>
        <v>533.89440000000002</v>
      </c>
      <c r="E257" s="39">
        <v>0</v>
      </c>
      <c r="F257" s="39">
        <f t="shared" si="22"/>
        <v>533.89440000000002</v>
      </c>
      <c r="G257" s="39">
        <v>0</v>
      </c>
      <c r="H257" s="39">
        <f t="shared" si="23"/>
        <v>800.84159999999997</v>
      </c>
      <c r="I257" s="33"/>
      <c r="L257" s="96"/>
      <c r="M257" s="96"/>
      <c r="N257" s="33"/>
      <c r="T257" s="18"/>
    </row>
    <row r="258" spans="1:20" s="34" customFormat="1" ht="15.75" customHeight="1" x14ac:dyDescent="0.3">
      <c r="A258" s="100" t="s">
        <v>378</v>
      </c>
      <c r="B258" s="102"/>
      <c r="C258" s="100" t="s">
        <v>386</v>
      </c>
      <c r="D258" s="101"/>
      <c r="E258" s="101"/>
      <c r="F258" s="101"/>
      <c r="G258" s="101"/>
      <c r="H258" s="102"/>
      <c r="I258" s="33"/>
      <c r="L258" s="96"/>
      <c r="M258" s="96"/>
      <c r="N258" s="33"/>
    </row>
    <row r="259" spans="1:20" s="34" customFormat="1" ht="15.75" customHeight="1" x14ac:dyDescent="0.3">
      <c r="A259" s="100" t="s">
        <v>379</v>
      </c>
      <c r="B259" s="102"/>
      <c r="C259" s="39" t="s">
        <v>364</v>
      </c>
      <c r="D259" s="70">
        <f>(49.6)*10.764</f>
        <v>533.89440000000002</v>
      </c>
      <c r="E259" s="39">
        <v>0</v>
      </c>
      <c r="F259" s="39">
        <f t="shared" si="22"/>
        <v>533.89440000000002</v>
      </c>
      <c r="G259" s="39">
        <v>0</v>
      </c>
      <c r="H259" s="39">
        <f t="shared" si="23"/>
        <v>800.84159999999997</v>
      </c>
      <c r="I259" s="33"/>
      <c r="L259" s="96"/>
      <c r="M259" s="96"/>
      <c r="N259" s="33"/>
    </row>
    <row r="260" spans="1:20" s="34" customFormat="1" ht="15.75" customHeight="1" x14ac:dyDescent="0.3">
      <c r="A260" s="100" t="s">
        <v>380</v>
      </c>
      <c r="B260" s="102"/>
      <c r="C260" s="39" t="s">
        <v>364</v>
      </c>
      <c r="D260" s="70">
        <f>(49.6)*10.764</f>
        <v>533.89440000000002</v>
      </c>
      <c r="E260" s="39">
        <v>0</v>
      </c>
      <c r="F260" s="39">
        <f t="shared" si="22"/>
        <v>533.89440000000002</v>
      </c>
      <c r="G260" s="39">
        <v>0</v>
      </c>
      <c r="H260" s="39">
        <f t="shared" si="23"/>
        <v>800.84159999999997</v>
      </c>
      <c r="I260" s="33"/>
      <c r="L260" s="96"/>
      <c r="M260" s="96"/>
      <c r="N260" s="33"/>
      <c r="T260" s="18"/>
    </row>
    <row r="261" spans="1:20" s="34" customFormat="1" ht="15.75" customHeight="1" x14ac:dyDescent="0.3">
      <c r="A261" s="100" t="s">
        <v>381</v>
      </c>
      <c r="B261" s="102"/>
      <c r="C261" s="39" t="s">
        <v>364</v>
      </c>
      <c r="D261" s="70">
        <f>(49.6)*10.764</f>
        <v>533.89440000000002</v>
      </c>
      <c r="E261" s="39">
        <v>0</v>
      </c>
      <c r="F261" s="39">
        <f t="shared" si="22"/>
        <v>533.89440000000002</v>
      </c>
      <c r="G261" s="39">
        <v>0</v>
      </c>
      <c r="H261" s="39">
        <f t="shared" si="23"/>
        <v>800.84159999999997</v>
      </c>
      <c r="I261" s="33"/>
      <c r="L261" s="96"/>
      <c r="M261" s="96"/>
      <c r="N261" s="33"/>
      <c r="T261" s="18"/>
    </row>
    <row r="262" spans="1:20" s="34" customFormat="1" ht="15.75" customHeight="1" x14ac:dyDescent="0.3">
      <c r="A262" s="100" t="s">
        <v>382</v>
      </c>
      <c r="B262" s="102"/>
      <c r="C262" s="39" t="s">
        <v>364</v>
      </c>
      <c r="D262" s="70">
        <f>(49.6)*10.764</f>
        <v>533.89440000000002</v>
      </c>
      <c r="E262" s="39">
        <v>0</v>
      </c>
      <c r="F262" s="39">
        <f t="shared" si="22"/>
        <v>533.89440000000002</v>
      </c>
      <c r="G262" s="39">
        <v>0</v>
      </c>
      <c r="H262" s="39">
        <f t="shared" si="23"/>
        <v>800.84159999999997</v>
      </c>
      <c r="I262" s="33"/>
      <c r="L262" s="96"/>
      <c r="M262" s="96"/>
      <c r="N262" s="33"/>
    </row>
    <row r="263" spans="1:20" s="34" customFormat="1" x14ac:dyDescent="0.3">
      <c r="A263" s="203" t="s">
        <v>336</v>
      </c>
      <c r="B263" s="204"/>
      <c r="C263" s="204"/>
      <c r="D263" s="204"/>
      <c r="E263" s="204"/>
      <c r="F263" s="204"/>
      <c r="G263" s="204"/>
      <c r="H263" s="205"/>
      <c r="J263" s="33"/>
    </row>
    <row r="264" spans="1:20" s="34" customFormat="1" x14ac:dyDescent="0.3">
      <c r="A264" s="177" t="s">
        <v>422</v>
      </c>
      <c r="B264" s="178"/>
      <c r="C264" s="178"/>
      <c r="D264" s="178"/>
      <c r="E264" s="178"/>
      <c r="F264" s="178"/>
      <c r="G264" s="178"/>
      <c r="H264" s="179"/>
      <c r="J264" s="70">
        <v>10.763999999999999</v>
      </c>
    </row>
    <row r="265" spans="1:20" s="34" customFormat="1" hidden="1" x14ac:dyDescent="0.3">
      <c r="A265" s="162" t="s">
        <v>353</v>
      </c>
      <c r="B265" s="162"/>
      <c r="C265" s="162"/>
      <c r="D265" s="162"/>
      <c r="E265" s="162"/>
      <c r="F265" s="162"/>
      <c r="G265" s="162"/>
      <c r="H265" s="162"/>
      <c r="J265" s="33"/>
    </row>
    <row r="266" spans="1:20" s="34" customFormat="1" ht="15.75" customHeight="1" x14ac:dyDescent="0.3">
      <c r="A266" s="162" t="s">
        <v>423</v>
      </c>
      <c r="B266" s="162"/>
      <c r="C266" s="162"/>
      <c r="D266" s="162"/>
      <c r="E266" s="162"/>
      <c r="F266" s="162"/>
      <c r="G266" s="162"/>
      <c r="H266" s="162"/>
      <c r="J266" s="33"/>
    </row>
    <row r="267" spans="1:20" s="34" customFormat="1" ht="15.75" customHeight="1" x14ac:dyDescent="0.3">
      <c r="A267" s="161" t="s">
        <v>354</v>
      </c>
      <c r="B267" s="161"/>
      <c r="C267" s="69" t="s">
        <v>363</v>
      </c>
      <c r="D267" s="70">
        <f>(29.86)*10.764</f>
        <v>321.41303999999997</v>
      </c>
      <c r="E267" s="69">
        <v>0</v>
      </c>
      <c r="F267" s="69">
        <f>D267+E267</f>
        <v>321.41303999999997</v>
      </c>
      <c r="G267" s="69">
        <v>0</v>
      </c>
      <c r="H267" s="69">
        <f>F267*(($H$157)+1)+(IF(G267&lt;101,G267,IF(G267&lt;201,G267/2,IF(G267&lt;=301,G267/3,G267/4))))</f>
        <v>482.11955999999998</v>
      </c>
      <c r="I267" s="33"/>
      <c r="J267" s="33">
        <f>3905000/H267</f>
        <v>8099.6506343779129</v>
      </c>
      <c r="L267" s="96"/>
      <c r="M267" s="96"/>
      <c r="N267" s="33"/>
    </row>
    <row r="268" spans="1:20" s="34" customFormat="1" ht="15.75" customHeight="1" x14ac:dyDescent="0.3">
      <c r="A268" s="161" t="s">
        <v>355</v>
      </c>
      <c r="B268" s="161"/>
      <c r="C268" s="69" t="s">
        <v>364</v>
      </c>
      <c r="D268" s="70">
        <f>(42.93)*10.764</f>
        <v>462.09851999999995</v>
      </c>
      <c r="E268" s="69">
        <v>0</v>
      </c>
      <c r="F268" s="69">
        <f>D268+E268</f>
        <v>462.09851999999995</v>
      </c>
      <c r="G268" s="69">
        <v>0</v>
      </c>
      <c r="H268" s="69">
        <f>F268*(($H$157)+1)+(IF(G268&lt;101,G268,IF(G268&lt;201,G268/2,IF(G268&lt;=301,G268/3,G268/4))))</f>
        <v>693.1477799999999</v>
      </c>
      <c r="I268" s="33"/>
      <c r="J268" s="33">
        <f>5614000/H268</f>
        <v>8099.2829552162757</v>
      </c>
      <c r="L268" s="96"/>
      <c r="M268" s="96"/>
      <c r="N268" s="33"/>
    </row>
    <row r="269" spans="1:20" s="34" customFormat="1" ht="15.75" customHeight="1" x14ac:dyDescent="0.3">
      <c r="A269" s="95" t="s">
        <v>356</v>
      </c>
      <c r="B269" s="95"/>
      <c r="C269" s="69" t="s">
        <v>364</v>
      </c>
      <c r="D269" s="70">
        <f>(42.93)*10.764</f>
        <v>462.09851999999995</v>
      </c>
      <c r="E269" s="39">
        <v>0</v>
      </c>
      <c r="F269" s="39">
        <f>D269+E269</f>
        <v>462.09851999999995</v>
      </c>
      <c r="G269" s="39">
        <v>0</v>
      </c>
      <c r="H269" s="39">
        <f>F269*(($H$157)+1)+(IF(G269&lt;101,G269,IF(G269&lt;201,G269/2,IF(G269&lt;=301,G269/3,G269/4))))</f>
        <v>693.1477799999999</v>
      </c>
      <c r="I269" s="33"/>
      <c r="L269" s="96"/>
      <c r="M269" s="96"/>
      <c r="N269" s="33"/>
    </row>
    <row r="270" spans="1:20" s="34" customFormat="1" ht="15.75" customHeight="1" x14ac:dyDescent="0.3">
      <c r="A270" s="95" t="s">
        <v>357</v>
      </c>
      <c r="B270" s="95"/>
      <c r="C270" s="69" t="s">
        <v>364</v>
      </c>
      <c r="D270" s="70">
        <f>(42.93)*10.764</f>
        <v>462.09851999999995</v>
      </c>
      <c r="E270" s="39">
        <v>0</v>
      </c>
      <c r="F270" s="39">
        <f t="shared" ref="F270:F275" si="24">D270+E270</f>
        <v>462.09851999999995</v>
      </c>
      <c r="G270" s="39">
        <v>0</v>
      </c>
      <c r="H270" s="39">
        <f t="shared" ref="H270:H275" si="25">F270*(($H$157)+1)+(IF(G270&lt;101,G270,IF(G270&lt;201,G270/2,IF(G270&lt;=301,G270/3,G270/4))))</f>
        <v>693.1477799999999</v>
      </c>
      <c r="I270" s="33"/>
      <c r="L270" s="96"/>
      <c r="M270" s="96"/>
      <c r="N270" s="33"/>
      <c r="T270" s="18"/>
    </row>
    <row r="271" spans="1:20" s="34" customFormat="1" ht="15.75" customHeight="1" x14ac:dyDescent="0.3">
      <c r="A271" s="95" t="s">
        <v>358</v>
      </c>
      <c r="B271" s="95"/>
      <c r="C271" s="69" t="s">
        <v>364</v>
      </c>
      <c r="D271" s="70">
        <f>(42.93)*10.764</f>
        <v>462.09851999999995</v>
      </c>
      <c r="E271" s="39">
        <v>0</v>
      </c>
      <c r="F271" s="39">
        <f t="shared" si="24"/>
        <v>462.09851999999995</v>
      </c>
      <c r="G271" s="39">
        <v>0</v>
      </c>
      <c r="H271" s="39">
        <f t="shared" si="25"/>
        <v>693.1477799999999</v>
      </c>
      <c r="I271" s="33"/>
      <c r="L271" s="96"/>
      <c r="M271" s="96"/>
      <c r="N271" s="33"/>
    </row>
    <row r="272" spans="1:20" s="34" customFormat="1" ht="15.75" customHeight="1" x14ac:dyDescent="0.3">
      <c r="A272" s="95" t="s">
        <v>359</v>
      </c>
      <c r="B272" s="95"/>
      <c r="C272" s="95" t="s">
        <v>365</v>
      </c>
      <c r="D272" s="95"/>
      <c r="E272" s="95"/>
      <c r="F272" s="95"/>
      <c r="G272" s="95"/>
      <c r="H272" s="95"/>
      <c r="I272" s="33"/>
      <c r="L272" s="96"/>
      <c r="M272" s="96"/>
      <c r="N272" s="33"/>
    </row>
    <row r="273" spans="1:20" s="34" customFormat="1" ht="15.75" customHeight="1" x14ac:dyDescent="0.3">
      <c r="A273" s="95" t="s">
        <v>360</v>
      </c>
      <c r="B273" s="95"/>
      <c r="C273" s="95" t="s">
        <v>365</v>
      </c>
      <c r="D273" s="95"/>
      <c r="E273" s="95"/>
      <c r="F273" s="95"/>
      <c r="G273" s="95"/>
      <c r="H273" s="95"/>
      <c r="I273" s="33"/>
      <c r="L273" s="96"/>
      <c r="M273" s="96"/>
      <c r="N273" s="33"/>
      <c r="T273" s="18"/>
    </row>
    <row r="274" spans="1:20" s="34" customFormat="1" ht="15.75" customHeight="1" x14ac:dyDescent="0.3">
      <c r="A274" s="95" t="s">
        <v>361</v>
      </c>
      <c r="B274" s="95"/>
      <c r="C274" s="95" t="s">
        <v>365</v>
      </c>
      <c r="D274" s="95"/>
      <c r="E274" s="95"/>
      <c r="F274" s="95"/>
      <c r="G274" s="95"/>
      <c r="H274" s="95"/>
      <c r="I274" s="33"/>
      <c r="L274" s="96"/>
      <c r="M274" s="96"/>
      <c r="N274" s="33"/>
    </row>
    <row r="275" spans="1:20" s="34" customFormat="1" ht="15.75" customHeight="1" x14ac:dyDescent="0.3">
      <c r="A275" s="95" t="s">
        <v>362</v>
      </c>
      <c r="B275" s="95"/>
      <c r="C275" s="39" t="s">
        <v>363</v>
      </c>
      <c r="D275" s="70">
        <f>(29.86)*10.764</f>
        <v>321.41303999999997</v>
      </c>
      <c r="E275" s="39">
        <v>0</v>
      </c>
      <c r="F275" s="39">
        <f t="shared" si="24"/>
        <v>321.41303999999997</v>
      </c>
      <c r="G275" s="39">
        <v>0</v>
      </c>
      <c r="H275" s="39">
        <f t="shared" si="25"/>
        <v>482.11955999999998</v>
      </c>
      <c r="I275" s="33"/>
      <c r="L275" s="96"/>
      <c r="M275" s="96"/>
      <c r="N275" s="33"/>
    </row>
    <row r="276" spans="1:20" s="34" customFormat="1" ht="15.75" customHeight="1" x14ac:dyDescent="0.3">
      <c r="A276" s="95" t="s">
        <v>366</v>
      </c>
      <c r="B276" s="95"/>
      <c r="C276" s="39" t="s">
        <v>363</v>
      </c>
      <c r="D276" s="70">
        <f>(29.86)*10.764</f>
        <v>321.41303999999997</v>
      </c>
      <c r="E276" s="39">
        <v>0</v>
      </c>
      <c r="F276" s="39">
        <f t="shared" ref="F276:F281" si="26">D276+E276</f>
        <v>321.41303999999997</v>
      </c>
      <c r="G276" s="39">
        <v>0</v>
      </c>
      <c r="H276" s="39">
        <f t="shared" ref="H276:H281" si="27">F276*(($H$157)+1)+(IF(G276&lt;101,G276,IF(G276&lt;201,G276/2,IF(G276&lt;=301,G276/3,G276/4))))</f>
        <v>482.11955999999998</v>
      </c>
      <c r="I276" s="33"/>
      <c r="J276" s="33">
        <f>4499000/H276</f>
        <v>9331.7101674945534</v>
      </c>
      <c r="L276" s="96"/>
      <c r="M276" s="96"/>
      <c r="N276" s="33"/>
      <c r="T276" s="18"/>
    </row>
    <row r="277" spans="1:20" s="34" customFormat="1" ht="15.75" customHeight="1" x14ac:dyDescent="0.3">
      <c r="A277" s="95" t="s">
        <v>367</v>
      </c>
      <c r="B277" s="95"/>
      <c r="C277" s="39" t="s">
        <v>363</v>
      </c>
      <c r="D277" s="70">
        <f>(29.86)*10.764</f>
        <v>321.41303999999997</v>
      </c>
      <c r="E277" s="39">
        <v>0</v>
      </c>
      <c r="F277" s="39">
        <f t="shared" si="26"/>
        <v>321.41303999999997</v>
      </c>
      <c r="G277" s="39">
        <v>0</v>
      </c>
      <c r="H277" s="39">
        <f t="shared" si="27"/>
        <v>482.11955999999998</v>
      </c>
      <c r="I277" s="33"/>
      <c r="L277" s="96"/>
      <c r="M277" s="96"/>
      <c r="N277" s="33"/>
    </row>
    <row r="278" spans="1:20" s="34" customFormat="1" ht="15.75" customHeight="1" x14ac:dyDescent="0.3">
      <c r="A278" s="95" t="s">
        <v>368</v>
      </c>
      <c r="B278" s="95"/>
      <c r="C278" s="39" t="s">
        <v>363</v>
      </c>
      <c r="D278" s="70">
        <f t="shared" ref="D278:D285" si="28">(29.86)*10.764</f>
        <v>321.41303999999997</v>
      </c>
      <c r="E278" s="39">
        <v>0</v>
      </c>
      <c r="F278" s="39">
        <f t="shared" si="26"/>
        <v>321.41303999999997</v>
      </c>
      <c r="G278" s="39">
        <v>0</v>
      </c>
      <c r="H278" s="39">
        <f t="shared" si="27"/>
        <v>482.11955999999998</v>
      </c>
      <c r="I278" s="33"/>
      <c r="L278" s="96"/>
      <c r="M278" s="96"/>
      <c r="N278" s="33"/>
    </row>
    <row r="279" spans="1:20" s="34" customFormat="1" ht="15.75" customHeight="1" x14ac:dyDescent="0.3">
      <c r="A279" s="95" t="s">
        <v>369</v>
      </c>
      <c r="B279" s="95"/>
      <c r="C279" s="39" t="s">
        <v>363</v>
      </c>
      <c r="D279" s="70">
        <f t="shared" si="28"/>
        <v>321.41303999999997</v>
      </c>
      <c r="E279" s="39">
        <v>0</v>
      </c>
      <c r="F279" s="39">
        <f t="shared" si="26"/>
        <v>321.41303999999997</v>
      </c>
      <c r="G279" s="39">
        <v>0</v>
      </c>
      <c r="H279" s="39">
        <f t="shared" si="27"/>
        <v>482.11955999999998</v>
      </c>
      <c r="I279" s="33"/>
      <c r="L279" s="96"/>
      <c r="M279" s="96"/>
      <c r="N279" s="33"/>
      <c r="T279" s="18"/>
    </row>
    <row r="280" spans="1:20" s="34" customFormat="1" ht="15.75" customHeight="1" x14ac:dyDescent="0.3">
      <c r="A280" s="95" t="s">
        <v>370</v>
      </c>
      <c r="B280" s="95"/>
      <c r="C280" s="39" t="s">
        <v>363</v>
      </c>
      <c r="D280" s="70">
        <f t="shared" si="28"/>
        <v>321.41303999999997</v>
      </c>
      <c r="E280" s="39">
        <v>0</v>
      </c>
      <c r="F280" s="39">
        <f t="shared" si="26"/>
        <v>321.41303999999997</v>
      </c>
      <c r="G280" s="39">
        <v>0</v>
      </c>
      <c r="H280" s="39">
        <f t="shared" si="27"/>
        <v>482.11955999999998</v>
      </c>
      <c r="I280" s="33"/>
      <c r="L280" s="96"/>
      <c r="M280" s="96"/>
      <c r="N280" s="33"/>
      <c r="T280" s="18"/>
    </row>
    <row r="281" spans="1:20" s="34" customFormat="1" ht="15.75" customHeight="1" x14ac:dyDescent="0.3">
      <c r="A281" s="95" t="s">
        <v>371</v>
      </c>
      <c r="B281" s="95"/>
      <c r="C281" s="39" t="s">
        <v>363</v>
      </c>
      <c r="D281" s="70">
        <f t="shared" si="28"/>
        <v>321.41303999999997</v>
      </c>
      <c r="E281" s="39">
        <v>0</v>
      </c>
      <c r="F281" s="39">
        <f t="shared" si="26"/>
        <v>321.41303999999997</v>
      </c>
      <c r="G281" s="39">
        <v>0</v>
      </c>
      <c r="H281" s="39">
        <f t="shared" si="27"/>
        <v>482.11955999999998</v>
      </c>
      <c r="I281" s="33"/>
      <c r="L281" s="96"/>
      <c r="M281" s="96"/>
      <c r="N281" s="33"/>
    </row>
    <row r="282" spans="1:20" s="34" customFormat="1" ht="15.75" customHeight="1" x14ac:dyDescent="0.3">
      <c r="A282" s="100" t="s">
        <v>372</v>
      </c>
      <c r="B282" s="102"/>
      <c r="C282" s="39" t="s">
        <v>363</v>
      </c>
      <c r="D282" s="70">
        <f t="shared" si="28"/>
        <v>321.41303999999997</v>
      </c>
      <c r="E282" s="39">
        <v>0</v>
      </c>
      <c r="F282" s="39">
        <f t="shared" ref="F282:F283" si="29">D282+E282</f>
        <v>321.41303999999997</v>
      </c>
      <c r="G282" s="39">
        <v>0</v>
      </c>
      <c r="H282" s="39">
        <f t="shared" ref="H282:H283" si="30">F282*(($H$157)+1)+(IF(G282&lt;101,G282,IF(G282&lt;201,G282/2,IF(G282&lt;=301,G282/3,G282/4))))</f>
        <v>482.11955999999998</v>
      </c>
      <c r="I282" s="33"/>
      <c r="L282" s="96"/>
      <c r="M282" s="96"/>
      <c r="N282" s="33"/>
    </row>
    <row r="283" spans="1:20" s="34" customFormat="1" ht="15.75" customHeight="1" x14ac:dyDescent="0.3">
      <c r="A283" s="100" t="s">
        <v>373</v>
      </c>
      <c r="B283" s="102"/>
      <c r="C283" s="39" t="s">
        <v>363</v>
      </c>
      <c r="D283" s="70">
        <f t="shared" si="28"/>
        <v>321.41303999999997</v>
      </c>
      <c r="E283" s="39">
        <v>0</v>
      </c>
      <c r="F283" s="39">
        <f t="shared" si="29"/>
        <v>321.41303999999997</v>
      </c>
      <c r="G283" s="39">
        <v>0</v>
      </c>
      <c r="H283" s="39">
        <f t="shared" si="30"/>
        <v>482.11955999999998</v>
      </c>
      <c r="I283" s="33"/>
      <c r="L283" s="96"/>
      <c r="M283" s="96"/>
      <c r="N283" s="33"/>
      <c r="T283" s="18"/>
    </row>
    <row r="284" spans="1:20" s="34" customFormat="1" ht="15.75" customHeight="1" x14ac:dyDescent="0.3">
      <c r="A284" s="100" t="s">
        <v>374</v>
      </c>
      <c r="B284" s="102"/>
      <c r="C284" s="39" t="s">
        <v>363</v>
      </c>
      <c r="D284" s="70">
        <f t="shared" si="28"/>
        <v>321.41303999999997</v>
      </c>
      <c r="E284" s="39">
        <v>0</v>
      </c>
      <c r="F284" s="39">
        <f t="shared" ref="F284:F294" si="31">D284+E284</f>
        <v>321.41303999999997</v>
      </c>
      <c r="G284" s="39">
        <v>0</v>
      </c>
      <c r="H284" s="39">
        <f t="shared" ref="H284:H294" si="32">F284*(($H$157)+1)+(IF(G284&lt;101,G284,IF(G284&lt;201,G284/2,IF(G284&lt;=301,G284/3,G284/4))))</f>
        <v>482.11955999999998</v>
      </c>
      <c r="I284" s="33"/>
      <c r="L284" s="96"/>
      <c r="M284" s="96"/>
      <c r="N284" s="33"/>
    </row>
    <row r="285" spans="1:20" s="34" customFormat="1" ht="15.75" customHeight="1" x14ac:dyDescent="0.3">
      <c r="A285" s="100" t="s">
        <v>375</v>
      </c>
      <c r="B285" s="102"/>
      <c r="C285" s="39" t="s">
        <v>363</v>
      </c>
      <c r="D285" s="70">
        <f t="shared" si="28"/>
        <v>321.41303999999997</v>
      </c>
      <c r="E285" s="39">
        <v>0</v>
      </c>
      <c r="F285" s="39">
        <f t="shared" si="31"/>
        <v>321.41303999999997</v>
      </c>
      <c r="G285" s="39">
        <v>0</v>
      </c>
      <c r="H285" s="39">
        <f t="shared" si="32"/>
        <v>482.11955999999998</v>
      </c>
      <c r="I285" s="33"/>
      <c r="L285" s="96"/>
      <c r="M285" s="96"/>
      <c r="N285" s="33"/>
      <c r="T285" s="18"/>
    </row>
    <row r="286" spans="1:20" s="34" customFormat="1" ht="15.75" customHeight="1" x14ac:dyDescent="0.3">
      <c r="A286" s="100" t="s">
        <v>376</v>
      </c>
      <c r="B286" s="102"/>
      <c r="C286" s="39" t="s">
        <v>364</v>
      </c>
      <c r="D286" s="70">
        <f>(42.93)*10.764</f>
        <v>462.09851999999995</v>
      </c>
      <c r="E286" s="39">
        <v>0</v>
      </c>
      <c r="F286" s="39">
        <f t="shared" si="31"/>
        <v>462.09851999999995</v>
      </c>
      <c r="G286" s="39">
        <v>0</v>
      </c>
      <c r="H286" s="39">
        <f t="shared" si="32"/>
        <v>693.1477799999999</v>
      </c>
      <c r="I286" s="33"/>
      <c r="J286" s="33">
        <f>6499000/H286</f>
        <v>9376.0669622284604</v>
      </c>
      <c r="L286" s="96"/>
      <c r="M286" s="96"/>
      <c r="N286" s="33"/>
    </row>
    <row r="287" spans="1:20" s="34" customFormat="1" ht="15.75" customHeight="1" x14ac:dyDescent="0.3">
      <c r="A287" s="100" t="s">
        <v>377</v>
      </c>
      <c r="B287" s="102"/>
      <c r="C287" s="39" t="s">
        <v>364</v>
      </c>
      <c r="D287" s="70">
        <f>(46.52)*10.764</f>
        <v>500.74128000000002</v>
      </c>
      <c r="E287" s="39">
        <v>0</v>
      </c>
      <c r="F287" s="39">
        <f t="shared" si="31"/>
        <v>500.74128000000002</v>
      </c>
      <c r="G287" s="39">
        <v>0</v>
      </c>
      <c r="H287" s="39">
        <f t="shared" si="32"/>
        <v>751.11192000000005</v>
      </c>
      <c r="I287" s="33"/>
      <c r="L287" s="96"/>
      <c r="M287" s="96"/>
      <c r="N287" s="33"/>
      <c r="T287" s="18"/>
    </row>
    <row r="288" spans="1:20" s="34" customFormat="1" ht="15.75" customHeight="1" x14ac:dyDescent="0.3">
      <c r="A288" s="100" t="s">
        <v>378</v>
      </c>
      <c r="B288" s="102"/>
      <c r="C288" s="39" t="s">
        <v>364</v>
      </c>
      <c r="D288" s="70">
        <f>(46.52)*10.764</f>
        <v>500.74128000000002</v>
      </c>
      <c r="E288" s="39">
        <v>0</v>
      </c>
      <c r="F288" s="39">
        <f t="shared" si="31"/>
        <v>500.74128000000002</v>
      </c>
      <c r="G288" s="39">
        <v>0</v>
      </c>
      <c r="H288" s="39">
        <f t="shared" si="32"/>
        <v>751.11192000000005</v>
      </c>
      <c r="I288" s="33"/>
      <c r="L288" s="96"/>
      <c r="M288" s="96"/>
      <c r="N288" s="33"/>
    </row>
    <row r="289" spans="1:20" s="34" customFormat="1" ht="15.75" customHeight="1" x14ac:dyDescent="0.3">
      <c r="A289" s="100" t="s">
        <v>379</v>
      </c>
      <c r="B289" s="102"/>
      <c r="C289" s="39" t="s">
        <v>363</v>
      </c>
      <c r="D289" s="70">
        <f t="shared" ref="D289:D292" si="33">(29.86)*10.764</f>
        <v>321.41303999999997</v>
      </c>
      <c r="E289" s="39">
        <v>0</v>
      </c>
      <c r="F289" s="39">
        <f t="shared" si="31"/>
        <v>321.41303999999997</v>
      </c>
      <c r="G289" s="39">
        <v>0</v>
      </c>
      <c r="H289" s="39">
        <f t="shared" si="32"/>
        <v>482.11955999999998</v>
      </c>
      <c r="I289" s="33"/>
      <c r="L289" s="96"/>
      <c r="M289" s="96"/>
      <c r="N289" s="33"/>
    </row>
    <row r="290" spans="1:20" s="34" customFormat="1" ht="15.75" customHeight="1" x14ac:dyDescent="0.3">
      <c r="A290" s="100" t="s">
        <v>380</v>
      </c>
      <c r="B290" s="102"/>
      <c r="C290" s="39" t="s">
        <v>363</v>
      </c>
      <c r="D290" s="70">
        <f t="shared" si="33"/>
        <v>321.41303999999997</v>
      </c>
      <c r="E290" s="39">
        <v>0</v>
      </c>
      <c r="F290" s="39">
        <f t="shared" si="31"/>
        <v>321.41303999999997</v>
      </c>
      <c r="G290" s="39">
        <v>0</v>
      </c>
      <c r="H290" s="39">
        <f t="shared" si="32"/>
        <v>482.11955999999998</v>
      </c>
      <c r="I290" s="33"/>
      <c r="L290" s="96"/>
      <c r="M290" s="96"/>
      <c r="N290" s="33"/>
      <c r="T290" s="18"/>
    </row>
    <row r="291" spans="1:20" s="34" customFormat="1" ht="15.75" customHeight="1" x14ac:dyDescent="0.3">
      <c r="A291" s="100" t="s">
        <v>381</v>
      </c>
      <c r="B291" s="102"/>
      <c r="C291" s="39" t="s">
        <v>363</v>
      </c>
      <c r="D291" s="70">
        <f t="shared" si="33"/>
        <v>321.41303999999997</v>
      </c>
      <c r="E291" s="39">
        <v>0</v>
      </c>
      <c r="F291" s="39">
        <f t="shared" si="31"/>
        <v>321.41303999999997</v>
      </c>
      <c r="G291" s="39">
        <v>0</v>
      </c>
      <c r="H291" s="39">
        <f t="shared" si="32"/>
        <v>482.11955999999998</v>
      </c>
      <c r="I291" s="33"/>
      <c r="L291" s="96"/>
      <c r="M291" s="96"/>
      <c r="N291" s="33"/>
      <c r="T291" s="18"/>
    </row>
    <row r="292" spans="1:20" s="34" customFormat="1" ht="15.75" customHeight="1" x14ac:dyDescent="0.3">
      <c r="A292" s="100" t="s">
        <v>382</v>
      </c>
      <c r="B292" s="102"/>
      <c r="C292" s="39" t="s">
        <v>363</v>
      </c>
      <c r="D292" s="70">
        <f t="shared" si="33"/>
        <v>321.41303999999997</v>
      </c>
      <c r="E292" s="39">
        <v>0</v>
      </c>
      <c r="F292" s="39">
        <f t="shared" si="31"/>
        <v>321.41303999999997</v>
      </c>
      <c r="G292" s="39">
        <v>0</v>
      </c>
      <c r="H292" s="39">
        <f t="shared" si="32"/>
        <v>482.11955999999998</v>
      </c>
      <c r="I292" s="33"/>
      <c r="L292" s="96"/>
      <c r="M292" s="96"/>
      <c r="N292" s="33"/>
    </row>
    <row r="293" spans="1:20" s="34" customFormat="1" ht="15.75" customHeight="1" x14ac:dyDescent="0.3">
      <c r="A293" s="100" t="s">
        <v>383</v>
      </c>
      <c r="B293" s="102"/>
      <c r="C293" s="39" t="s">
        <v>364</v>
      </c>
      <c r="D293" s="70">
        <f>(46.52)*10.764</f>
        <v>500.74128000000002</v>
      </c>
      <c r="E293" s="39">
        <v>0</v>
      </c>
      <c r="F293" s="39">
        <f t="shared" si="31"/>
        <v>500.74128000000002</v>
      </c>
      <c r="G293" s="39">
        <v>0</v>
      </c>
      <c r="H293" s="39">
        <f t="shared" si="32"/>
        <v>751.11192000000005</v>
      </c>
      <c r="I293" s="33"/>
      <c r="L293" s="96"/>
      <c r="M293" s="96"/>
      <c r="N293" s="33"/>
    </row>
    <row r="294" spans="1:20" s="34" customFormat="1" ht="15.75" customHeight="1" x14ac:dyDescent="0.3">
      <c r="A294" s="100" t="s">
        <v>384</v>
      </c>
      <c r="B294" s="102"/>
      <c r="C294" s="39" t="s">
        <v>364</v>
      </c>
      <c r="D294" s="70">
        <f>(46.52)*10.764</f>
        <v>500.74128000000002</v>
      </c>
      <c r="E294" s="39">
        <v>0</v>
      </c>
      <c r="F294" s="39">
        <f t="shared" si="31"/>
        <v>500.74128000000002</v>
      </c>
      <c r="G294" s="39">
        <v>0</v>
      </c>
      <c r="H294" s="39">
        <f t="shared" si="32"/>
        <v>751.11192000000005</v>
      </c>
      <c r="I294" s="33"/>
      <c r="L294" s="96"/>
      <c r="M294" s="96"/>
      <c r="N294" s="33"/>
      <c r="T294" s="18"/>
    </row>
    <row r="295" spans="1:20" s="34" customFormat="1" ht="15.75" customHeight="1" x14ac:dyDescent="0.3">
      <c r="A295" s="100" t="s">
        <v>385</v>
      </c>
      <c r="B295" s="102"/>
      <c r="C295" s="100" t="s">
        <v>365</v>
      </c>
      <c r="D295" s="101"/>
      <c r="E295" s="101"/>
      <c r="F295" s="101"/>
      <c r="G295" s="101"/>
      <c r="H295" s="102"/>
      <c r="I295" s="33"/>
      <c r="L295" s="96"/>
      <c r="M295" s="96"/>
      <c r="N295" s="33"/>
      <c r="T295" s="18"/>
    </row>
    <row r="296" spans="1:20" s="34" customFormat="1" ht="15.75" customHeight="1" x14ac:dyDescent="0.3">
      <c r="A296" s="162" t="s">
        <v>424</v>
      </c>
      <c r="B296" s="162"/>
      <c r="C296" s="162"/>
      <c r="D296" s="162"/>
      <c r="E296" s="162"/>
      <c r="F296" s="162"/>
      <c r="G296" s="162"/>
      <c r="H296" s="162"/>
      <c r="J296" s="33"/>
    </row>
    <row r="297" spans="1:20" s="34" customFormat="1" ht="15.75" customHeight="1" x14ac:dyDescent="0.3">
      <c r="A297" s="161" t="s">
        <v>354</v>
      </c>
      <c r="B297" s="161"/>
      <c r="C297" s="69" t="s">
        <v>363</v>
      </c>
      <c r="D297" s="70">
        <f>(29.86)*10.764</f>
        <v>321.41303999999997</v>
      </c>
      <c r="E297" s="69">
        <v>0</v>
      </c>
      <c r="F297" s="69">
        <f>D297+E297</f>
        <v>321.41303999999997</v>
      </c>
      <c r="G297" s="69">
        <v>0</v>
      </c>
      <c r="H297" s="69">
        <f>F297*(($H$157)+1)+(IF(G297&lt;101,G297,IF(G297&lt;201,G297/2,IF(G297&lt;=301,G297/3,G297/4))))</f>
        <v>482.11955999999998</v>
      </c>
      <c r="I297" s="33"/>
      <c r="J297" s="33">
        <f>3905000/H297</f>
        <v>8099.6506343779129</v>
      </c>
      <c r="L297" s="96"/>
      <c r="M297" s="96"/>
      <c r="N297" s="33"/>
    </row>
    <row r="298" spans="1:20" s="34" customFormat="1" ht="15.75" customHeight="1" x14ac:dyDescent="0.3">
      <c r="A298" s="161" t="s">
        <v>355</v>
      </c>
      <c r="B298" s="161"/>
      <c r="C298" s="69" t="s">
        <v>364</v>
      </c>
      <c r="D298" s="70">
        <f>(42.93)*10.764</f>
        <v>462.09851999999995</v>
      </c>
      <c r="E298" s="69">
        <v>0</v>
      </c>
      <c r="F298" s="69">
        <f>D298+E298</f>
        <v>462.09851999999995</v>
      </c>
      <c r="G298" s="69">
        <v>0</v>
      </c>
      <c r="H298" s="69">
        <f>F298*(($H$157)+1)+(IF(G298&lt;101,G298,IF(G298&lt;201,G298/2,IF(G298&lt;=301,G298/3,G298/4))))</f>
        <v>693.1477799999999</v>
      </c>
      <c r="I298" s="33"/>
      <c r="J298" s="33">
        <f>5614000/H298</f>
        <v>8099.2829552162757</v>
      </c>
      <c r="L298" s="96"/>
      <c r="M298" s="96"/>
      <c r="N298" s="33"/>
    </row>
    <row r="299" spans="1:20" s="34" customFormat="1" ht="15.75" customHeight="1" x14ac:dyDescent="0.3">
      <c r="A299" s="95" t="s">
        <v>356</v>
      </c>
      <c r="B299" s="95"/>
      <c r="C299" s="69" t="s">
        <v>364</v>
      </c>
      <c r="D299" s="70">
        <f>(42.93)*10.764</f>
        <v>462.09851999999995</v>
      </c>
      <c r="E299" s="39">
        <v>0</v>
      </c>
      <c r="F299" s="39">
        <f>D299+E299</f>
        <v>462.09851999999995</v>
      </c>
      <c r="G299" s="39">
        <v>0</v>
      </c>
      <c r="H299" s="39">
        <f>F299*(($H$157)+1)+(IF(G299&lt;101,G299,IF(G299&lt;201,G299/2,IF(G299&lt;=301,G299/3,G299/4))))</f>
        <v>693.1477799999999</v>
      </c>
      <c r="I299" s="33"/>
      <c r="L299" s="96"/>
      <c r="M299" s="96"/>
      <c r="N299" s="33"/>
    </row>
    <row r="300" spans="1:20" s="34" customFormat="1" ht="15.75" customHeight="1" x14ac:dyDescent="0.3">
      <c r="A300" s="95" t="s">
        <v>357</v>
      </c>
      <c r="B300" s="95"/>
      <c r="C300" s="97" t="s">
        <v>416</v>
      </c>
      <c r="D300" s="98"/>
      <c r="E300" s="98"/>
      <c r="F300" s="98"/>
      <c r="G300" s="98"/>
      <c r="H300" s="99"/>
      <c r="I300" s="33"/>
      <c r="L300" s="96"/>
      <c r="M300" s="96"/>
      <c r="N300" s="33"/>
      <c r="T300" s="18"/>
    </row>
    <row r="301" spans="1:20" s="34" customFormat="1" ht="15.75" customHeight="1" x14ac:dyDescent="0.3">
      <c r="A301" s="95" t="s">
        <v>358</v>
      </c>
      <c r="B301" s="95"/>
      <c r="C301" s="97" t="s">
        <v>416</v>
      </c>
      <c r="D301" s="98"/>
      <c r="E301" s="98"/>
      <c r="F301" s="98"/>
      <c r="G301" s="98"/>
      <c r="H301" s="99"/>
      <c r="I301" s="33"/>
      <c r="L301" s="96"/>
      <c r="M301" s="96"/>
      <c r="N301" s="33"/>
    </row>
    <row r="302" spans="1:20" s="34" customFormat="1" ht="15.75" customHeight="1" x14ac:dyDescent="0.3">
      <c r="A302" s="95" t="s">
        <v>359</v>
      </c>
      <c r="B302" s="95"/>
      <c r="C302" s="97" t="s">
        <v>418</v>
      </c>
      <c r="D302" s="98"/>
      <c r="E302" s="98"/>
      <c r="F302" s="98"/>
      <c r="G302" s="98"/>
      <c r="H302" s="99"/>
      <c r="I302" s="33"/>
      <c r="L302" s="96"/>
      <c r="M302" s="96"/>
      <c r="N302" s="33"/>
    </row>
    <row r="303" spans="1:20" s="34" customFormat="1" ht="15.75" customHeight="1" x14ac:dyDescent="0.3">
      <c r="A303" s="95" t="s">
        <v>360</v>
      </c>
      <c r="B303" s="95"/>
      <c r="C303" s="97" t="s">
        <v>418</v>
      </c>
      <c r="D303" s="98"/>
      <c r="E303" s="98"/>
      <c r="F303" s="98"/>
      <c r="G303" s="98"/>
      <c r="H303" s="99"/>
      <c r="I303" s="33"/>
      <c r="L303" s="96"/>
      <c r="M303" s="96"/>
      <c r="N303" s="33"/>
      <c r="T303" s="18"/>
    </row>
    <row r="304" spans="1:20" s="34" customFormat="1" ht="15.75" customHeight="1" x14ac:dyDescent="0.3">
      <c r="A304" s="95" t="s">
        <v>361</v>
      </c>
      <c r="B304" s="95"/>
      <c r="C304" s="39" t="s">
        <v>363</v>
      </c>
      <c r="D304" s="70">
        <f t="shared" ref="D304:D315" si="34">(29.86)*10.764</f>
        <v>321.41303999999997</v>
      </c>
      <c r="E304" s="39">
        <v>0</v>
      </c>
      <c r="F304" s="39">
        <f t="shared" ref="F304:F323" si="35">D304+E304</f>
        <v>321.41303999999997</v>
      </c>
      <c r="G304" s="39">
        <v>0</v>
      </c>
      <c r="H304" s="39">
        <f t="shared" ref="H304:H323" si="36">F304*(($H$157)+1)+(IF(G304&lt;101,G304,IF(G304&lt;201,G304/2,IF(G304&lt;=301,G304/3,G304/4))))</f>
        <v>482.11955999999998</v>
      </c>
      <c r="I304" s="33"/>
      <c r="L304" s="96"/>
      <c r="M304" s="96"/>
      <c r="N304" s="33"/>
    </row>
    <row r="305" spans="1:20" s="34" customFormat="1" ht="15.75" customHeight="1" x14ac:dyDescent="0.3">
      <c r="A305" s="95" t="s">
        <v>362</v>
      </c>
      <c r="B305" s="95"/>
      <c r="C305" s="39" t="s">
        <v>363</v>
      </c>
      <c r="D305" s="70">
        <f t="shared" si="34"/>
        <v>321.41303999999997</v>
      </c>
      <c r="E305" s="39">
        <v>0</v>
      </c>
      <c r="F305" s="39">
        <f t="shared" si="35"/>
        <v>321.41303999999997</v>
      </c>
      <c r="G305" s="39">
        <v>0</v>
      </c>
      <c r="H305" s="39">
        <f t="shared" si="36"/>
        <v>482.11955999999998</v>
      </c>
      <c r="I305" s="33"/>
      <c r="L305" s="96"/>
      <c r="M305" s="96"/>
      <c r="N305" s="33"/>
    </row>
    <row r="306" spans="1:20" s="34" customFormat="1" ht="15.75" customHeight="1" x14ac:dyDescent="0.3">
      <c r="A306" s="95" t="s">
        <v>366</v>
      </c>
      <c r="B306" s="95"/>
      <c r="C306" s="39" t="s">
        <v>363</v>
      </c>
      <c r="D306" s="70">
        <f t="shared" si="34"/>
        <v>321.41303999999997</v>
      </c>
      <c r="E306" s="39">
        <v>0</v>
      </c>
      <c r="F306" s="39">
        <f t="shared" si="35"/>
        <v>321.41303999999997</v>
      </c>
      <c r="G306" s="39">
        <v>0</v>
      </c>
      <c r="H306" s="39">
        <f t="shared" si="36"/>
        <v>482.11955999999998</v>
      </c>
      <c r="I306" s="33"/>
      <c r="J306" s="33">
        <f>4499000/H306</f>
        <v>9331.7101674945534</v>
      </c>
      <c r="L306" s="96"/>
      <c r="M306" s="96"/>
      <c r="N306" s="33"/>
      <c r="T306" s="18"/>
    </row>
    <row r="307" spans="1:20" s="34" customFormat="1" ht="15.75" customHeight="1" x14ac:dyDescent="0.3">
      <c r="A307" s="95" t="s">
        <v>367</v>
      </c>
      <c r="B307" s="95"/>
      <c r="C307" s="39" t="s">
        <v>363</v>
      </c>
      <c r="D307" s="70">
        <f t="shared" si="34"/>
        <v>321.41303999999997</v>
      </c>
      <c r="E307" s="39">
        <v>0</v>
      </c>
      <c r="F307" s="39">
        <f t="shared" si="35"/>
        <v>321.41303999999997</v>
      </c>
      <c r="G307" s="39">
        <v>0</v>
      </c>
      <c r="H307" s="39">
        <f t="shared" si="36"/>
        <v>482.11955999999998</v>
      </c>
      <c r="I307" s="33"/>
      <c r="L307" s="96"/>
      <c r="M307" s="96"/>
      <c r="N307" s="33"/>
    </row>
    <row r="308" spans="1:20" s="34" customFormat="1" ht="15.75" customHeight="1" x14ac:dyDescent="0.3">
      <c r="A308" s="95" t="s">
        <v>368</v>
      </c>
      <c r="B308" s="95"/>
      <c r="C308" s="39" t="s">
        <v>363</v>
      </c>
      <c r="D308" s="70">
        <f t="shared" si="34"/>
        <v>321.41303999999997</v>
      </c>
      <c r="E308" s="39">
        <v>0</v>
      </c>
      <c r="F308" s="39">
        <f t="shared" si="35"/>
        <v>321.41303999999997</v>
      </c>
      <c r="G308" s="39">
        <v>0</v>
      </c>
      <c r="H308" s="39">
        <f t="shared" si="36"/>
        <v>482.11955999999998</v>
      </c>
      <c r="I308" s="33"/>
      <c r="L308" s="96"/>
      <c r="M308" s="96"/>
      <c r="N308" s="33"/>
    </row>
    <row r="309" spans="1:20" s="34" customFormat="1" ht="15.75" customHeight="1" x14ac:dyDescent="0.3">
      <c r="A309" s="95" t="s">
        <v>369</v>
      </c>
      <c r="B309" s="95"/>
      <c r="C309" s="39" t="s">
        <v>363</v>
      </c>
      <c r="D309" s="70">
        <f t="shared" si="34"/>
        <v>321.41303999999997</v>
      </c>
      <c r="E309" s="39">
        <v>0</v>
      </c>
      <c r="F309" s="39">
        <f t="shared" si="35"/>
        <v>321.41303999999997</v>
      </c>
      <c r="G309" s="39">
        <v>0</v>
      </c>
      <c r="H309" s="39">
        <f t="shared" si="36"/>
        <v>482.11955999999998</v>
      </c>
      <c r="I309" s="33"/>
      <c r="L309" s="96"/>
      <c r="M309" s="96"/>
      <c r="N309" s="33"/>
      <c r="T309" s="18"/>
    </row>
    <row r="310" spans="1:20" s="34" customFormat="1" ht="15.75" customHeight="1" x14ac:dyDescent="0.3">
      <c r="A310" s="100" t="s">
        <v>370</v>
      </c>
      <c r="B310" s="102"/>
      <c r="C310" s="39" t="s">
        <v>363</v>
      </c>
      <c r="D310" s="70">
        <f t="shared" si="34"/>
        <v>321.41303999999997</v>
      </c>
      <c r="E310" s="39">
        <v>0</v>
      </c>
      <c r="F310" s="39">
        <f t="shared" si="35"/>
        <v>321.41303999999997</v>
      </c>
      <c r="G310" s="39">
        <v>0</v>
      </c>
      <c r="H310" s="39">
        <f t="shared" si="36"/>
        <v>482.11955999999998</v>
      </c>
      <c r="I310" s="33"/>
      <c r="L310" s="96"/>
      <c r="M310" s="96"/>
      <c r="N310" s="33"/>
      <c r="T310" s="18"/>
    </row>
    <row r="311" spans="1:20" s="34" customFormat="1" ht="15.75" customHeight="1" x14ac:dyDescent="0.3">
      <c r="A311" s="100" t="s">
        <v>371</v>
      </c>
      <c r="B311" s="102"/>
      <c r="C311" s="39" t="s">
        <v>363</v>
      </c>
      <c r="D311" s="70">
        <f t="shared" si="34"/>
        <v>321.41303999999997</v>
      </c>
      <c r="E311" s="39">
        <v>0</v>
      </c>
      <c r="F311" s="39">
        <f t="shared" si="35"/>
        <v>321.41303999999997</v>
      </c>
      <c r="G311" s="39">
        <v>0</v>
      </c>
      <c r="H311" s="39">
        <f t="shared" si="36"/>
        <v>482.11955999999998</v>
      </c>
      <c r="I311" s="33"/>
      <c r="L311" s="96"/>
      <c r="M311" s="96"/>
      <c r="N311" s="33"/>
    </row>
    <row r="312" spans="1:20" s="34" customFormat="1" ht="15.75" customHeight="1" x14ac:dyDescent="0.3">
      <c r="A312" s="100" t="s">
        <v>372</v>
      </c>
      <c r="B312" s="102"/>
      <c r="C312" s="39" t="s">
        <v>363</v>
      </c>
      <c r="D312" s="70">
        <f t="shared" si="34"/>
        <v>321.41303999999997</v>
      </c>
      <c r="E312" s="39">
        <v>0</v>
      </c>
      <c r="F312" s="39">
        <f t="shared" si="35"/>
        <v>321.41303999999997</v>
      </c>
      <c r="G312" s="39">
        <v>0</v>
      </c>
      <c r="H312" s="39">
        <f t="shared" si="36"/>
        <v>482.11955999999998</v>
      </c>
      <c r="I312" s="33"/>
      <c r="L312" s="96"/>
      <c r="M312" s="96"/>
      <c r="N312" s="33"/>
    </row>
    <row r="313" spans="1:20" s="34" customFormat="1" ht="15.75" customHeight="1" x14ac:dyDescent="0.3">
      <c r="A313" s="100" t="s">
        <v>373</v>
      </c>
      <c r="B313" s="102"/>
      <c r="C313" s="39" t="s">
        <v>363</v>
      </c>
      <c r="D313" s="70">
        <f t="shared" si="34"/>
        <v>321.41303999999997</v>
      </c>
      <c r="E313" s="39">
        <v>0</v>
      </c>
      <c r="F313" s="39">
        <f t="shared" si="35"/>
        <v>321.41303999999997</v>
      </c>
      <c r="G313" s="39">
        <v>0</v>
      </c>
      <c r="H313" s="39">
        <f t="shared" si="36"/>
        <v>482.11955999999998</v>
      </c>
      <c r="I313" s="33"/>
      <c r="L313" s="96"/>
      <c r="M313" s="96"/>
      <c r="N313" s="33"/>
      <c r="T313" s="18"/>
    </row>
    <row r="314" spans="1:20" s="34" customFormat="1" ht="15.75" customHeight="1" x14ac:dyDescent="0.3">
      <c r="A314" s="100" t="s">
        <v>374</v>
      </c>
      <c r="B314" s="102"/>
      <c r="C314" s="39" t="s">
        <v>363</v>
      </c>
      <c r="D314" s="70">
        <f t="shared" si="34"/>
        <v>321.41303999999997</v>
      </c>
      <c r="E314" s="39">
        <v>0</v>
      </c>
      <c r="F314" s="39">
        <f t="shared" si="35"/>
        <v>321.41303999999997</v>
      </c>
      <c r="G314" s="39">
        <v>0</v>
      </c>
      <c r="H314" s="39">
        <f t="shared" si="36"/>
        <v>482.11955999999998</v>
      </c>
      <c r="I314" s="33"/>
      <c r="L314" s="96"/>
      <c r="M314" s="96"/>
      <c r="N314" s="33"/>
    </row>
    <row r="315" spans="1:20" s="34" customFormat="1" ht="15.75" customHeight="1" x14ac:dyDescent="0.3">
      <c r="A315" s="100" t="s">
        <v>375</v>
      </c>
      <c r="B315" s="102"/>
      <c r="C315" s="39" t="s">
        <v>363</v>
      </c>
      <c r="D315" s="70">
        <f t="shared" si="34"/>
        <v>321.41303999999997</v>
      </c>
      <c r="E315" s="39">
        <v>0</v>
      </c>
      <c r="F315" s="39">
        <f t="shared" si="35"/>
        <v>321.41303999999997</v>
      </c>
      <c r="G315" s="39">
        <v>0</v>
      </c>
      <c r="H315" s="39">
        <f t="shared" si="36"/>
        <v>482.11955999999998</v>
      </c>
      <c r="I315" s="33"/>
      <c r="L315" s="96"/>
      <c r="M315" s="96"/>
      <c r="N315" s="33"/>
      <c r="T315" s="18"/>
    </row>
    <row r="316" spans="1:20" s="34" customFormat="1" ht="15.75" customHeight="1" x14ac:dyDescent="0.3">
      <c r="A316" s="100" t="s">
        <v>376</v>
      </c>
      <c r="B316" s="102"/>
      <c r="C316" s="39" t="s">
        <v>364</v>
      </c>
      <c r="D316" s="70">
        <f>(42.93)*10.764</f>
        <v>462.09851999999995</v>
      </c>
      <c r="E316" s="39">
        <v>0</v>
      </c>
      <c r="F316" s="39">
        <f t="shared" si="35"/>
        <v>462.09851999999995</v>
      </c>
      <c r="G316" s="39">
        <v>0</v>
      </c>
      <c r="H316" s="39">
        <f t="shared" si="36"/>
        <v>693.1477799999999</v>
      </c>
      <c r="I316" s="33"/>
      <c r="J316" s="33">
        <f>6499000/H316</f>
        <v>9376.0669622284604</v>
      </c>
      <c r="L316" s="96"/>
      <c r="M316" s="96"/>
      <c r="N316" s="33"/>
    </row>
    <row r="317" spans="1:20" s="34" customFormat="1" ht="15.75" customHeight="1" x14ac:dyDescent="0.3">
      <c r="A317" s="100" t="s">
        <v>377</v>
      </c>
      <c r="B317" s="102"/>
      <c r="C317" s="39" t="s">
        <v>364</v>
      </c>
      <c r="D317" s="70">
        <f>(46.52)*10.764</f>
        <v>500.74128000000002</v>
      </c>
      <c r="E317" s="39">
        <v>0</v>
      </c>
      <c r="F317" s="39">
        <f t="shared" si="35"/>
        <v>500.74128000000002</v>
      </c>
      <c r="G317" s="39">
        <v>0</v>
      </c>
      <c r="H317" s="39">
        <f t="shared" si="36"/>
        <v>751.11192000000005</v>
      </c>
      <c r="I317" s="33"/>
      <c r="L317" s="96"/>
      <c r="M317" s="96"/>
      <c r="N317" s="33"/>
      <c r="T317" s="18"/>
    </row>
    <row r="318" spans="1:20" s="34" customFormat="1" ht="15.75" customHeight="1" x14ac:dyDescent="0.3">
      <c r="A318" s="95" t="s">
        <v>378</v>
      </c>
      <c r="B318" s="95"/>
      <c r="C318" s="39" t="s">
        <v>364</v>
      </c>
      <c r="D318" s="70">
        <f>(46.52)*10.764</f>
        <v>500.74128000000002</v>
      </c>
      <c r="E318" s="39">
        <v>0</v>
      </c>
      <c r="F318" s="39">
        <f t="shared" si="35"/>
        <v>500.74128000000002</v>
      </c>
      <c r="G318" s="39">
        <v>0</v>
      </c>
      <c r="H318" s="39">
        <f t="shared" si="36"/>
        <v>751.11192000000005</v>
      </c>
      <c r="I318" s="33"/>
      <c r="L318" s="96"/>
      <c r="M318" s="96"/>
      <c r="N318" s="33"/>
    </row>
    <row r="319" spans="1:20" s="34" customFormat="1" ht="15.75" customHeight="1" x14ac:dyDescent="0.3">
      <c r="A319" s="95" t="s">
        <v>379</v>
      </c>
      <c r="B319" s="95"/>
      <c r="C319" s="39" t="s">
        <v>363</v>
      </c>
      <c r="D319" s="70">
        <f t="shared" ref="D319:D322" si="37">(29.86)*10.764</f>
        <v>321.41303999999997</v>
      </c>
      <c r="E319" s="39">
        <v>0</v>
      </c>
      <c r="F319" s="39">
        <f t="shared" si="35"/>
        <v>321.41303999999997</v>
      </c>
      <c r="G319" s="39">
        <v>0</v>
      </c>
      <c r="H319" s="39">
        <f t="shared" si="36"/>
        <v>482.11955999999998</v>
      </c>
      <c r="I319" s="33"/>
      <c r="L319" s="96"/>
      <c r="M319" s="96"/>
      <c r="N319" s="33"/>
    </row>
    <row r="320" spans="1:20" s="34" customFormat="1" ht="15.75" customHeight="1" x14ac:dyDescent="0.3">
      <c r="A320" s="95" t="s">
        <v>380</v>
      </c>
      <c r="B320" s="95"/>
      <c r="C320" s="39" t="s">
        <v>363</v>
      </c>
      <c r="D320" s="70">
        <f t="shared" si="37"/>
        <v>321.41303999999997</v>
      </c>
      <c r="E320" s="39">
        <v>0</v>
      </c>
      <c r="F320" s="39">
        <f t="shared" si="35"/>
        <v>321.41303999999997</v>
      </c>
      <c r="G320" s="39">
        <v>0</v>
      </c>
      <c r="H320" s="39">
        <f t="shared" si="36"/>
        <v>482.11955999999998</v>
      </c>
      <c r="I320" s="33"/>
      <c r="L320" s="96"/>
      <c r="M320" s="96"/>
      <c r="N320" s="33"/>
      <c r="T320" s="18"/>
    </row>
    <row r="321" spans="1:20" s="34" customFormat="1" ht="15.75" customHeight="1" x14ac:dyDescent="0.3">
      <c r="A321" s="95" t="s">
        <v>381</v>
      </c>
      <c r="B321" s="95"/>
      <c r="C321" s="39" t="s">
        <v>363</v>
      </c>
      <c r="D321" s="70">
        <f t="shared" si="37"/>
        <v>321.41303999999997</v>
      </c>
      <c r="E321" s="39">
        <v>0</v>
      </c>
      <c r="F321" s="39">
        <f t="shared" si="35"/>
        <v>321.41303999999997</v>
      </c>
      <c r="G321" s="39">
        <v>0</v>
      </c>
      <c r="H321" s="39">
        <f t="shared" si="36"/>
        <v>482.11955999999998</v>
      </c>
      <c r="I321" s="33"/>
      <c r="L321" s="96"/>
      <c r="M321" s="96"/>
      <c r="N321" s="33"/>
      <c r="T321" s="18"/>
    </row>
    <row r="322" spans="1:20" s="34" customFormat="1" ht="15.75" customHeight="1" x14ac:dyDescent="0.3">
      <c r="A322" s="95" t="s">
        <v>382</v>
      </c>
      <c r="B322" s="95"/>
      <c r="C322" s="39" t="s">
        <v>363</v>
      </c>
      <c r="D322" s="70">
        <f t="shared" si="37"/>
        <v>321.41303999999997</v>
      </c>
      <c r="E322" s="39">
        <v>0</v>
      </c>
      <c r="F322" s="39">
        <f t="shared" si="35"/>
        <v>321.41303999999997</v>
      </c>
      <c r="G322" s="39">
        <v>0</v>
      </c>
      <c r="H322" s="39">
        <f t="shared" si="36"/>
        <v>482.11955999999998</v>
      </c>
      <c r="I322" s="33"/>
      <c r="L322" s="96"/>
      <c r="M322" s="96"/>
      <c r="N322" s="33"/>
    </row>
    <row r="323" spans="1:20" s="34" customFormat="1" ht="15.75" customHeight="1" x14ac:dyDescent="0.3">
      <c r="A323" s="95" t="s">
        <v>383</v>
      </c>
      <c r="B323" s="95"/>
      <c r="C323" s="39" t="s">
        <v>364</v>
      </c>
      <c r="D323" s="70">
        <f>(46.52)*10.764</f>
        <v>500.74128000000002</v>
      </c>
      <c r="E323" s="39">
        <v>0</v>
      </c>
      <c r="F323" s="39">
        <f t="shared" si="35"/>
        <v>500.74128000000002</v>
      </c>
      <c r="G323" s="39">
        <v>0</v>
      </c>
      <c r="H323" s="39">
        <f t="shared" si="36"/>
        <v>751.11192000000005</v>
      </c>
      <c r="I323" s="33"/>
      <c r="L323" s="96"/>
      <c r="M323" s="96"/>
      <c r="N323" s="33"/>
    </row>
    <row r="324" spans="1:20" s="34" customFormat="1" ht="15.75" customHeight="1" x14ac:dyDescent="0.3">
      <c r="A324" s="95" t="s">
        <v>384</v>
      </c>
      <c r="B324" s="95"/>
      <c r="C324" s="95" t="s">
        <v>417</v>
      </c>
      <c r="D324" s="95"/>
      <c r="E324" s="95"/>
      <c r="F324" s="95"/>
      <c r="G324" s="95"/>
      <c r="H324" s="95"/>
      <c r="I324" s="33"/>
      <c r="L324" s="96"/>
      <c r="M324" s="96"/>
      <c r="N324" s="33"/>
      <c r="T324" s="18"/>
    </row>
    <row r="325" spans="1:20" s="34" customFormat="1" ht="15.75" customHeight="1" x14ac:dyDescent="0.3">
      <c r="A325" s="95" t="s">
        <v>385</v>
      </c>
      <c r="B325" s="95"/>
      <c r="C325" s="95" t="s">
        <v>417</v>
      </c>
      <c r="D325" s="95"/>
      <c r="E325" s="95"/>
      <c r="F325" s="95"/>
      <c r="G325" s="95"/>
      <c r="H325" s="95"/>
      <c r="I325" s="33"/>
      <c r="L325" s="96"/>
      <c r="M325" s="96"/>
      <c r="N325" s="33"/>
      <c r="T325" s="18"/>
    </row>
    <row r="326" spans="1:20" s="34" customFormat="1" ht="15.75" customHeight="1" x14ac:dyDescent="0.3">
      <c r="A326" s="166" t="s">
        <v>433</v>
      </c>
      <c r="B326" s="166"/>
      <c r="C326" s="166"/>
      <c r="D326" s="166"/>
      <c r="E326" s="166"/>
      <c r="F326" s="166"/>
      <c r="G326" s="166"/>
      <c r="H326" s="166"/>
      <c r="J326" s="33"/>
    </row>
    <row r="327" spans="1:20" s="34" customFormat="1" ht="15.75" customHeight="1" x14ac:dyDescent="0.3">
      <c r="A327" s="95" t="s">
        <v>354</v>
      </c>
      <c r="B327" s="95"/>
      <c r="C327" s="39" t="s">
        <v>363</v>
      </c>
      <c r="D327" s="70">
        <f>(29.86)*10.764</f>
        <v>321.41303999999997</v>
      </c>
      <c r="E327" s="39">
        <v>0</v>
      </c>
      <c r="F327" s="39">
        <f>D327+E327</f>
        <v>321.41303999999997</v>
      </c>
      <c r="G327" s="39">
        <v>0</v>
      </c>
      <c r="H327" s="39">
        <f>F327*(($H$157)+1)+(IF(G327&lt;101,G327,IF(G327&lt;201,G327/2,IF(G327&lt;=301,G327/3,G327/4))))</f>
        <v>482.11955999999998</v>
      </c>
      <c r="I327" s="33">
        <f>2.75*3.95+0.5*1+1.95*1.7+2.7*2.7+1.45*0.55+1.1*1.75+1.1*1.7+0.9*1.3</f>
        <v>27.730000000000004</v>
      </c>
      <c r="L327" s="96"/>
      <c r="M327" s="96"/>
      <c r="N327" s="33"/>
    </row>
    <row r="328" spans="1:20" s="34" customFormat="1" ht="15.75" customHeight="1" x14ac:dyDescent="0.3">
      <c r="A328" s="100" t="s">
        <v>355</v>
      </c>
      <c r="B328" s="102"/>
      <c r="C328" s="39" t="s">
        <v>364</v>
      </c>
      <c r="D328" s="70">
        <f>(42.93)*10.764</f>
        <v>462.09851999999995</v>
      </c>
      <c r="E328" s="39">
        <v>0</v>
      </c>
      <c r="F328" s="39">
        <f>D328+E328</f>
        <v>462.09851999999995</v>
      </c>
      <c r="G328" s="39">
        <v>0</v>
      </c>
      <c r="H328" s="39">
        <f>F328*(($H$157)+1)+(IF(G328&lt;101,G328,IF(G328&lt;201,G328/2,IF(G328&lt;=301,G328/3,G328/4))))</f>
        <v>693.1477799999999</v>
      </c>
      <c r="I328" s="33">
        <f>3*4.25+0.6*1+1.95*2+2.75*2.75+2.9*2.9+1.2*1.85+1.2*1.85+2.1*0.9</f>
        <v>39.552499999999995</v>
      </c>
      <c r="L328" s="96"/>
      <c r="M328" s="96"/>
      <c r="N328" s="33"/>
    </row>
    <row r="329" spans="1:20" s="34" customFormat="1" ht="15.75" customHeight="1" x14ac:dyDescent="0.3">
      <c r="A329" s="100" t="s">
        <v>356</v>
      </c>
      <c r="B329" s="102"/>
      <c r="C329" s="39" t="s">
        <v>364</v>
      </c>
      <c r="D329" s="70">
        <f>(42.93)*10.764</f>
        <v>462.09851999999995</v>
      </c>
      <c r="E329" s="39">
        <v>0</v>
      </c>
      <c r="F329" s="39">
        <f>D329+E329</f>
        <v>462.09851999999995</v>
      </c>
      <c r="G329" s="39">
        <v>0</v>
      </c>
      <c r="H329" s="39">
        <f>F329*(($H$157)+1)+(IF(G329&lt;101,G329,IF(G329&lt;201,G329/2,IF(G329&lt;=301,G329/3,G329/4))))</f>
        <v>693.1477799999999</v>
      </c>
      <c r="I329" s="33"/>
      <c r="L329" s="96"/>
      <c r="M329" s="96"/>
      <c r="N329" s="33"/>
    </row>
    <row r="330" spans="1:20" s="34" customFormat="1" ht="15.75" customHeight="1" x14ac:dyDescent="0.3">
      <c r="A330" s="100" t="s">
        <v>357</v>
      </c>
      <c r="B330" s="102"/>
      <c r="C330" s="39" t="s">
        <v>364</v>
      </c>
      <c r="D330" s="70">
        <f>(42.93)*10.764</f>
        <v>462.09851999999995</v>
      </c>
      <c r="E330" s="39">
        <v>0</v>
      </c>
      <c r="F330" s="39">
        <f t="shared" ref="F330:F332" si="38">D330+E330</f>
        <v>462.09851999999995</v>
      </c>
      <c r="G330" s="39">
        <v>0</v>
      </c>
      <c r="H330" s="39">
        <f t="shared" ref="H330:H332" si="39">F330*(($H$157)+1)+(IF(G330&lt;101,G330,IF(G330&lt;201,G330/2,IF(G330&lt;=301,G330/3,G330/4))))</f>
        <v>693.1477799999999</v>
      </c>
      <c r="I330" s="33"/>
      <c r="L330" s="96"/>
      <c r="M330" s="96"/>
      <c r="N330" s="33"/>
      <c r="T330" s="18"/>
    </row>
    <row r="331" spans="1:20" s="34" customFormat="1" ht="15.75" customHeight="1" x14ac:dyDescent="0.3">
      <c r="A331" s="100" t="s">
        <v>358</v>
      </c>
      <c r="B331" s="102"/>
      <c r="C331" s="39" t="s">
        <v>364</v>
      </c>
      <c r="D331" s="70">
        <f>(42.93)*10.764</f>
        <v>462.09851999999995</v>
      </c>
      <c r="E331" s="39">
        <v>0</v>
      </c>
      <c r="F331" s="39">
        <f t="shared" si="38"/>
        <v>462.09851999999995</v>
      </c>
      <c r="G331" s="39">
        <v>0</v>
      </c>
      <c r="H331" s="39">
        <f t="shared" si="39"/>
        <v>693.1477799999999</v>
      </c>
      <c r="I331" s="33"/>
      <c r="L331" s="96"/>
      <c r="M331" s="96"/>
      <c r="N331" s="33"/>
    </row>
    <row r="332" spans="1:20" s="34" customFormat="1" ht="15.75" customHeight="1" x14ac:dyDescent="0.3">
      <c r="A332" s="100" t="s">
        <v>359</v>
      </c>
      <c r="B332" s="102"/>
      <c r="C332" s="39" t="s">
        <v>364</v>
      </c>
      <c r="D332" s="70">
        <f>(42.93)*10.764</f>
        <v>462.09851999999995</v>
      </c>
      <c r="E332" s="39">
        <v>0</v>
      </c>
      <c r="F332" s="39">
        <f t="shared" si="38"/>
        <v>462.09851999999995</v>
      </c>
      <c r="G332" s="39">
        <v>0</v>
      </c>
      <c r="H332" s="39">
        <f t="shared" si="39"/>
        <v>693.1477799999999</v>
      </c>
      <c r="I332" s="33"/>
      <c r="L332" s="96"/>
      <c r="M332" s="96"/>
      <c r="N332" s="33"/>
    </row>
    <row r="333" spans="1:20" s="34" customFormat="1" ht="15.75" customHeight="1" x14ac:dyDescent="0.3">
      <c r="A333" s="100" t="s">
        <v>360</v>
      </c>
      <c r="B333" s="102"/>
      <c r="C333" s="39" t="s">
        <v>363</v>
      </c>
      <c r="D333" s="70">
        <f t="shared" ref="D333:D345" si="40">(29.86)*10.764</f>
        <v>321.41303999999997</v>
      </c>
      <c r="E333" s="39">
        <v>0</v>
      </c>
      <c r="F333" s="39">
        <f t="shared" ref="F333:F355" si="41">D333+E333</f>
        <v>321.41303999999997</v>
      </c>
      <c r="G333" s="39">
        <v>0</v>
      </c>
      <c r="H333" s="39">
        <f t="shared" ref="H333:H355" si="42">F333*(($H$157)+1)+(IF(G333&lt;101,G333,IF(G333&lt;201,G333/2,IF(G333&lt;=301,G333/3,G333/4))))</f>
        <v>482.11955999999998</v>
      </c>
      <c r="I333" s="33"/>
      <c r="L333" s="96"/>
      <c r="M333" s="96"/>
      <c r="N333" s="33"/>
      <c r="T333" s="18"/>
    </row>
    <row r="334" spans="1:20" s="34" customFormat="1" ht="15.75" customHeight="1" x14ac:dyDescent="0.3">
      <c r="A334" s="100" t="s">
        <v>361</v>
      </c>
      <c r="B334" s="102"/>
      <c r="C334" s="39" t="s">
        <v>363</v>
      </c>
      <c r="D334" s="70">
        <f t="shared" si="40"/>
        <v>321.41303999999997</v>
      </c>
      <c r="E334" s="39">
        <v>0</v>
      </c>
      <c r="F334" s="39">
        <f t="shared" si="41"/>
        <v>321.41303999999997</v>
      </c>
      <c r="G334" s="39">
        <v>0</v>
      </c>
      <c r="H334" s="39">
        <f t="shared" si="42"/>
        <v>482.11955999999998</v>
      </c>
      <c r="I334" s="33"/>
      <c r="L334" s="96"/>
      <c r="M334" s="96"/>
      <c r="N334" s="33"/>
    </row>
    <row r="335" spans="1:20" s="34" customFormat="1" ht="15.75" customHeight="1" x14ac:dyDescent="0.3">
      <c r="A335" s="100" t="s">
        <v>362</v>
      </c>
      <c r="B335" s="102"/>
      <c r="C335" s="39" t="s">
        <v>363</v>
      </c>
      <c r="D335" s="70">
        <f t="shared" si="40"/>
        <v>321.41303999999997</v>
      </c>
      <c r="E335" s="39">
        <v>0</v>
      </c>
      <c r="F335" s="39">
        <f t="shared" si="41"/>
        <v>321.41303999999997</v>
      </c>
      <c r="G335" s="39">
        <v>0</v>
      </c>
      <c r="H335" s="39">
        <f t="shared" si="42"/>
        <v>482.11955999999998</v>
      </c>
      <c r="I335" s="33"/>
      <c r="L335" s="96"/>
      <c r="M335" s="96"/>
      <c r="N335" s="33"/>
    </row>
    <row r="336" spans="1:20" s="34" customFormat="1" ht="15.75" customHeight="1" x14ac:dyDescent="0.3">
      <c r="A336" s="100" t="s">
        <v>366</v>
      </c>
      <c r="B336" s="102"/>
      <c r="C336" s="39" t="s">
        <v>363</v>
      </c>
      <c r="D336" s="70">
        <f t="shared" si="40"/>
        <v>321.41303999999997</v>
      </c>
      <c r="E336" s="39">
        <v>0</v>
      </c>
      <c r="F336" s="39">
        <f t="shared" si="41"/>
        <v>321.41303999999997</v>
      </c>
      <c r="G336" s="39">
        <v>0</v>
      </c>
      <c r="H336" s="39">
        <f t="shared" si="42"/>
        <v>482.11955999999998</v>
      </c>
      <c r="I336" s="103" t="s">
        <v>437</v>
      </c>
      <c r="J336" s="104"/>
      <c r="K336" s="104"/>
      <c r="L336" s="104"/>
      <c r="M336" s="104"/>
      <c r="N336" s="33"/>
      <c r="T336" s="18"/>
    </row>
    <row r="337" spans="1:20" s="34" customFormat="1" ht="15.75" customHeight="1" x14ac:dyDescent="0.3">
      <c r="A337" s="100" t="s">
        <v>367</v>
      </c>
      <c r="B337" s="102"/>
      <c r="C337" s="39" t="s">
        <v>363</v>
      </c>
      <c r="D337" s="70">
        <f t="shared" si="40"/>
        <v>321.41303999999997</v>
      </c>
      <c r="E337" s="39">
        <v>0</v>
      </c>
      <c r="F337" s="39">
        <f t="shared" si="41"/>
        <v>321.41303999999997</v>
      </c>
      <c r="G337" s="39">
        <v>0</v>
      </c>
      <c r="H337" s="39">
        <f t="shared" si="42"/>
        <v>482.11955999999998</v>
      </c>
      <c r="I337" s="33"/>
      <c r="L337" s="96"/>
      <c r="M337" s="96"/>
      <c r="N337" s="33"/>
    </row>
    <row r="338" spans="1:20" s="34" customFormat="1" ht="15.75" customHeight="1" x14ac:dyDescent="0.3">
      <c r="A338" s="100" t="s">
        <v>368</v>
      </c>
      <c r="B338" s="102"/>
      <c r="C338" s="39" t="s">
        <v>363</v>
      </c>
      <c r="D338" s="70">
        <f t="shared" si="40"/>
        <v>321.41303999999997</v>
      </c>
      <c r="E338" s="39">
        <v>0</v>
      </c>
      <c r="F338" s="39">
        <f t="shared" si="41"/>
        <v>321.41303999999997</v>
      </c>
      <c r="G338" s="39">
        <v>0</v>
      </c>
      <c r="H338" s="39">
        <f t="shared" si="42"/>
        <v>482.11955999999998</v>
      </c>
      <c r="I338" s="33"/>
      <c r="L338" s="96"/>
      <c r="M338" s="96"/>
      <c r="N338" s="33"/>
    </row>
    <row r="339" spans="1:20" s="34" customFormat="1" ht="15.75" customHeight="1" x14ac:dyDescent="0.3">
      <c r="A339" s="100" t="s">
        <v>369</v>
      </c>
      <c r="B339" s="102"/>
      <c r="C339" s="39" t="s">
        <v>363</v>
      </c>
      <c r="D339" s="70">
        <f t="shared" si="40"/>
        <v>321.41303999999997</v>
      </c>
      <c r="E339" s="39">
        <v>0</v>
      </c>
      <c r="F339" s="39">
        <f t="shared" si="41"/>
        <v>321.41303999999997</v>
      </c>
      <c r="G339" s="39">
        <v>0</v>
      </c>
      <c r="H339" s="39">
        <f t="shared" si="42"/>
        <v>482.11955999999998</v>
      </c>
      <c r="I339" s="33"/>
      <c r="L339" s="96"/>
      <c r="M339" s="96"/>
      <c r="N339" s="33"/>
      <c r="T339" s="18"/>
    </row>
    <row r="340" spans="1:20" s="34" customFormat="1" ht="15.75" customHeight="1" x14ac:dyDescent="0.3">
      <c r="A340" s="100" t="s">
        <v>370</v>
      </c>
      <c r="B340" s="102"/>
      <c r="C340" s="39" t="s">
        <v>363</v>
      </c>
      <c r="D340" s="70">
        <f t="shared" si="40"/>
        <v>321.41303999999997</v>
      </c>
      <c r="E340" s="39">
        <v>0</v>
      </c>
      <c r="F340" s="39">
        <f t="shared" si="41"/>
        <v>321.41303999999997</v>
      </c>
      <c r="G340" s="39">
        <v>0</v>
      </c>
      <c r="H340" s="39">
        <f t="shared" si="42"/>
        <v>482.11955999999998</v>
      </c>
      <c r="I340" s="33"/>
      <c r="L340" s="96"/>
      <c r="M340" s="96"/>
      <c r="N340" s="33"/>
      <c r="T340" s="18"/>
    </row>
    <row r="341" spans="1:20" s="34" customFormat="1" ht="15.75" customHeight="1" x14ac:dyDescent="0.3">
      <c r="A341" s="100" t="s">
        <v>371</v>
      </c>
      <c r="B341" s="102"/>
      <c r="C341" s="39" t="s">
        <v>363</v>
      </c>
      <c r="D341" s="70">
        <f t="shared" si="40"/>
        <v>321.41303999999997</v>
      </c>
      <c r="E341" s="39">
        <v>0</v>
      </c>
      <c r="F341" s="39">
        <f t="shared" si="41"/>
        <v>321.41303999999997</v>
      </c>
      <c r="G341" s="39">
        <v>0</v>
      </c>
      <c r="H341" s="39">
        <f t="shared" si="42"/>
        <v>482.11955999999998</v>
      </c>
      <c r="I341" s="33"/>
      <c r="L341" s="96"/>
      <c r="M341" s="96"/>
      <c r="N341" s="33"/>
    </row>
    <row r="342" spans="1:20" s="34" customFormat="1" ht="15.75" customHeight="1" x14ac:dyDescent="0.3">
      <c r="A342" s="100" t="s">
        <v>372</v>
      </c>
      <c r="B342" s="102"/>
      <c r="C342" s="39" t="s">
        <v>363</v>
      </c>
      <c r="D342" s="70">
        <f t="shared" si="40"/>
        <v>321.41303999999997</v>
      </c>
      <c r="E342" s="39">
        <v>0</v>
      </c>
      <c r="F342" s="39">
        <f t="shared" si="41"/>
        <v>321.41303999999997</v>
      </c>
      <c r="G342" s="39">
        <v>0</v>
      </c>
      <c r="H342" s="39">
        <f t="shared" si="42"/>
        <v>482.11955999999998</v>
      </c>
      <c r="I342" s="33"/>
      <c r="L342" s="96"/>
      <c r="M342" s="96"/>
      <c r="N342" s="33"/>
    </row>
    <row r="343" spans="1:20" s="34" customFormat="1" ht="15.75" customHeight="1" x14ac:dyDescent="0.3">
      <c r="A343" s="100" t="s">
        <v>373</v>
      </c>
      <c r="B343" s="102"/>
      <c r="C343" s="39" t="s">
        <v>363</v>
      </c>
      <c r="D343" s="70">
        <f t="shared" si="40"/>
        <v>321.41303999999997</v>
      </c>
      <c r="E343" s="39">
        <v>0</v>
      </c>
      <c r="F343" s="39">
        <f t="shared" si="41"/>
        <v>321.41303999999997</v>
      </c>
      <c r="G343" s="39">
        <v>0</v>
      </c>
      <c r="H343" s="39">
        <f t="shared" si="42"/>
        <v>482.11955999999998</v>
      </c>
      <c r="I343" s="33"/>
      <c r="L343" s="96"/>
      <c r="M343" s="96"/>
      <c r="N343" s="33"/>
      <c r="T343" s="18"/>
    </row>
    <row r="344" spans="1:20" s="34" customFormat="1" ht="15.75" customHeight="1" x14ac:dyDescent="0.3">
      <c r="A344" s="100" t="s">
        <v>374</v>
      </c>
      <c r="B344" s="102"/>
      <c r="C344" s="39" t="s">
        <v>363</v>
      </c>
      <c r="D344" s="70">
        <f t="shared" si="40"/>
        <v>321.41303999999997</v>
      </c>
      <c r="E344" s="39">
        <v>0</v>
      </c>
      <c r="F344" s="39">
        <f t="shared" si="41"/>
        <v>321.41303999999997</v>
      </c>
      <c r="G344" s="39">
        <v>0</v>
      </c>
      <c r="H344" s="39">
        <f t="shared" si="42"/>
        <v>482.11955999999998</v>
      </c>
      <c r="I344" s="33"/>
      <c r="L344" s="96"/>
      <c r="M344" s="96"/>
      <c r="N344" s="33"/>
    </row>
    <row r="345" spans="1:20" s="34" customFormat="1" ht="15.75" customHeight="1" x14ac:dyDescent="0.3">
      <c r="A345" s="100" t="s">
        <v>375</v>
      </c>
      <c r="B345" s="102"/>
      <c r="C345" s="39" t="s">
        <v>363</v>
      </c>
      <c r="D345" s="70">
        <f t="shared" si="40"/>
        <v>321.41303999999997</v>
      </c>
      <c r="E345" s="39">
        <v>0</v>
      </c>
      <c r="F345" s="39">
        <f t="shared" si="41"/>
        <v>321.41303999999997</v>
      </c>
      <c r="G345" s="39">
        <v>0</v>
      </c>
      <c r="H345" s="39">
        <f t="shared" si="42"/>
        <v>482.11955999999998</v>
      </c>
      <c r="I345" s="33"/>
      <c r="L345" s="96"/>
      <c r="M345" s="96"/>
      <c r="N345" s="33"/>
      <c r="T345" s="18"/>
    </row>
    <row r="346" spans="1:20" s="34" customFormat="1" ht="15.75" customHeight="1" x14ac:dyDescent="0.3">
      <c r="A346" s="100" t="s">
        <v>376</v>
      </c>
      <c r="B346" s="102"/>
      <c r="C346" s="39" t="s">
        <v>364</v>
      </c>
      <c r="D346" s="70">
        <f>(42.93)*10.764</f>
        <v>462.09851999999995</v>
      </c>
      <c r="E346" s="39">
        <v>0</v>
      </c>
      <c r="F346" s="39">
        <f t="shared" si="41"/>
        <v>462.09851999999995</v>
      </c>
      <c r="G346" s="39">
        <v>0</v>
      </c>
      <c r="H346" s="39">
        <f t="shared" si="42"/>
        <v>693.1477799999999</v>
      </c>
      <c r="I346" s="33"/>
      <c r="L346" s="96"/>
      <c r="M346" s="96"/>
      <c r="N346" s="33"/>
    </row>
    <row r="347" spans="1:20" s="34" customFormat="1" ht="15.75" customHeight="1" x14ac:dyDescent="0.3">
      <c r="A347" s="100" t="s">
        <v>377</v>
      </c>
      <c r="B347" s="102"/>
      <c r="C347" s="39" t="s">
        <v>364</v>
      </c>
      <c r="D347" s="70">
        <f>(46.52)*10.764</f>
        <v>500.74128000000002</v>
      </c>
      <c r="E347" s="39">
        <v>0</v>
      </c>
      <c r="F347" s="39">
        <f t="shared" si="41"/>
        <v>500.74128000000002</v>
      </c>
      <c r="G347" s="39">
        <v>0</v>
      </c>
      <c r="H347" s="39">
        <f t="shared" si="42"/>
        <v>751.11192000000005</v>
      </c>
      <c r="I347" s="33"/>
      <c r="L347" s="96"/>
      <c r="M347" s="96"/>
      <c r="N347" s="33"/>
      <c r="T347" s="18"/>
    </row>
    <row r="348" spans="1:20" s="34" customFormat="1" ht="15.75" customHeight="1" x14ac:dyDescent="0.3">
      <c r="A348" s="100" t="s">
        <v>378</v>
      </c>
      <c r="B348" s="102"/>
      <c r="C348" s="39" t="s">
        <v>364</v>
      </c>
      <c r="D348" s="70">
        <f>(46.52)*10.764</f>
        <v>500.74128000000002</v>
      </c>
      <c r="E348" s="39">
        <v>0</v>
      </c>
      <c r="F348" s="39">
        <f t="shared" si="41"/>
        <v>500.74128000000002</v>
      </c>
      <c r="G348" s="39">
        <v>0</v>
      </c>
      <c r="H348" s="39">
        <f t="shared" si="42"/>
        <v>751.11192000000005</v>
      </c>
      <c r="I348" s="33"/>
      <c r="L348" s="96"/>
      <c r="M348" s="96"/>
      <c r="N348" s="33"/>
    </row>
    <row r="349" spans="1:20" s="34" customFormat="1" ht="15.75" customHeight="1" x14ac:dyDescent="0.3">
      <c r="A349" s="100" t="s">
        <v>379</v>
      </c>
      <c r="B349" s="102"/>
      <c r="C349" s="39" t="s">
        <v>363</v>
      </c>
      <c r="D349" s="70">
        <f t="shared" ref="D349:D352" si="43">(29.86)*10.764</f>
        <v>321.41303999999997</v>
      </c>
      <c r="E349" s="39">
        <v>0</v>
      </c>
      <c r="F349" s="39">
        <f t="shared" si="41"/>
        <v>321.41303999999997</v>
      </c>
      <c r="G349" s="39">
        <v>0</v>
      </c>
      <c r="H349" s="39">
        <f t="shared" si="42"/>
        <v>482.11955999999998</v>
      </c>
      <c r="I349" s="33"/>
      <c r="L349" s="96"/>
      <c r="M349" s="96"/>
      <c r="N349" s="33"/>
    </row>
    <row r="350" spans="1:20" s="34" customFormat="1" ht="15.75" customHeight="1" x14ac:dyDescent="0.3">
      <c r="A350" s="100" t="s">
        <v>380</v>
      </c>
      <c r="B350" s="102"/>
      <c r="C350" s="39" t="s">
        <v>363</v>
      </c>
      <c r="D350" s="70">
        <f t="shared" si="43"/>
        <v>321.41303999999997</v>
      </c>
      <c r="E350" s="39">
        <v>0</v>
      </c>
      <c r="F350" s="39">
        <f t="shared" si="41"/>
        <v>321.41303999999997</v>
      </c>
      <c r="G350" s="39">
        <v>0</v>
      </c>
      <c r="H350" s="39">
        <f t="shared" si="42"/>
        <v>482.11955999999998</v>
      </c>
      <c r="I350" s="33"/>
      <c r="L350" s="96"/>
      <c r="M350" s="96"/>
      <c r="N350" s="33"/>
      <c r="T350" s="18"/>
    </row>
    <row r="351" spans="1:20" s="34" customFormat="1" ht="15.75" customHeight="1" x14ac:dyDescent="0.3">
      <c r="A351" s="100" t="s">
        <v>381</v>
      </c>
      <c r="B351" s="102"/>
      <c r="C351" s="39" t="s">
        <v>363</v>
      </c>
      <c r="D351" s="70">
        <f t="shared" si="43"/>
        <v>321.41303999999997</v>
      </c>
      <c r="E351" s="39">
        <v>0</v>
      </c>
      <c r="F351" s="39">
        <f t="shared" si="41"/>
        <v>321.41303999999997</v>
      </c>
      <c r="G351" s="39">
        <v>0</v>
      </c>
      <c r="H351" s="39">
        <f t="shared" si="42"/>
        <v>482.11955999999998</v>
      </c>
      <c r="I351" s="33"/>
      <c r="L351" s="96"/>
      <c r="M351" s="96"/>
      <c r="N351" s="33"/>
      <c r="T351" s="18"/>
    </row>
    <row r="352" spans="1:20" s="34" customFormat="1" ht="15.75" customHeight="1" x14ac:dyDescent="0.3">
      <c r="A352" s="100" t="s">
        <v>382</v>
      </c>
      <c r="B352" s="102"/>
      <c r="C352" s="39" t="s">
        <v>363</v>
      </c>
      <c r="D352" s="70">
        <f t="shared" si="43"/>
        <v>321.41303999999997</v>
      </c>
      <c r="E352" s="39">
        <v>0</v>
      </c>
      <c r="F352" s="39">
        <f t="shared" si="41"/>
        <v>321.41303999999997</v>
      </c>
      <c r="G352" s="39">
        <v>0</v>
      </c>
      <c r="H352" s="39">
        <f t="shared" si="42"/>
        <v>482.11955999999998</v>
      </c>
      <c r="I352" s="33"/>
      <c r="L352" s="96"/>
      <c r="M352" s="96"/>
      <c r="N352" s="33"/>
    </row>
    <row r="353" spans="1:20" s="34" customFormat="1" ht="15.75" customHeight="1" x14ac:dyDescent="0.3">
      <c r="A353" s="100" t="s">
        <v>383</v>
      </c>
      <c r="B353" s="102"/>
      <c r="C353" s="39" t="s">
        <v>364</v>
      </c>
      <c r="D353" s="70">
        <f>(46.52)*10.764</f>
        <v>500.74128000000002</v>
      </c>
      <c r="E353" s="39">
        <v>0</v>
      </c>
      <c r="F353" s="39">
        <f t="shared" si="41"/>
        <v>500.74128000000002</v>
      </c>
      <c r="G353" s="39">
        <v>0</v>
      </c>
      <c r="H353" s="39">
        <f t="shared" si="42"/>
        <v>751.11192000000005</v>
      </c>
      <c r="I353" s="33"/>
      <c r="L353" s="96"/>
      <c r="M353" s="96"/>
      <c r="N353" s="33"/>
    </row>
    <row r="354" spans="1:20" s="34" customFormat="1" ht="15.75" customHeight="1" x14ac:dyDescent="0.3">
      <c r="A354" s="100" t="s">
        <v>384</v>
      </c>
      <c r="B354" s="102"/>
      <c r="C354" s="39" t="s">
        <v>364</v>
      </c>
      <c r="D354" s="70">
        <f>(46.52)*10.764</f>
        <v>500.74128000000002</v>
      </c>
      <c r="E354" s="39">
        <v>0</v>
      </c>
      <c r="F354" s="39">
        <f t="shared" si="41"/>
        <v>500.74128000000002</v>
      </c>
      <c r="G354" s="39">
        <v>0</v>
      </c>
      <c r="H354" s="39">
        <f t="shared" si="42"/>
        <v>751.11192000000005</v>
      </c>
      <c r="I354" s="33"/>
      <c r="L354" s="96"/>
      <c r="M354" s="96"/>
      <c r="N354" s="33"/>
      <c r="T354" s="18"/>
    </row>
    <row r="355" spans="1:20" s="34" customFormat="1" ht="15.75" customHeight="1" x14ac:dyDescent="0.3">
      <c r="A355" s="100" t="s">
        <v>385</v>
      </c>
      <c r="B355" s="102"/>
      <c r="C355" s="39" t="s">
        <v>364</v>
      </c>
      <c r="D355" s="70">
        <f>(42.93)*10.764</f>
        <v>462.09851999999995</v>
      </c>
      <c r="E355" s="39">
        <v>0</v>
      </c>
      <c r="F355" s="39">
        <f t="shared" si="41"/>
        <v>462.09851999999995</v>
      </c>
      <c r="G355" s="39">
        <v>0</v>
      </c>
      <c r="H355" s="39">
        <f t="shared" si="42"/>
        <v>693.1477799999999</v>
      </c>
      <c r="I355" s="33"/>
      <c r="L355" s="96"/>
      <c r="M355" s="96"/>
      <c r="N355" s="33"/>
      <c r="T355" s="18"/>
    </row>
    <row r="356" spans="1:20" s="34" customFormat="1" ht="15.75" customHeight="1" x14ac:dyDescent="0.3">
      <c r="A356" s="166" t="s">
        <v>425</v>
      </c>
      <c r="B356" s="166"/>
      <c r="C356" s="166"/>
      <c r="D356" s="166"/>
      <c r="E356" s="166"/>
      <c r="F356" s="166"/>
      <c r="G356" s="166"/>
      <c r="H356" s="166"/>
      <c r="J356" s="33"/>
    </row>
    <row r="357" spans="1:20" s="34" customFormat="1" ht="15.75" customHeight="1" x14ac:dyDescent="0.3">
      <c r="A357" s="95" t="s">
        <v>354</v>
      </c>
      <c r="B357" s="95"/>
      <c r="C357" s="39" t="s">
        <v>363</v>
      </c>
      <c r="D357" s="70">
        <f>(29.86)*10.764</f>
        <v>321.41303999999997</v>
      </c>
      <c r="E357" s="39">
        <v>0</v>
      </c>
      <c r="F357" s="39">
        <f>D357+E357</f>
        <v>321.41303999999997</v>
      </c>
      <c r="G357" s="39">
        <v>0</v>
      </c>
      <c r="H357" s="39">
        <f>F357*(($H$157)+1)+(IF(G357&lt;101,G357,IF(G357&lt;201,G357/2,IF(G357&lt;=301,G357/3,G357/4))))</f>
        <v>482.11955999999998</v>
      </c>
      <c r="I357" s="33"/>
      <c r="L357" s="96"/>
      <c r="M357" s="96"/>
      <c r="N357" s="33"/>
    </row>
    <row r="358" spans="1:20" s="34" customFormat="1" ht="15.75" customHeight="1" x14ac:dyDescent="0.3">
      <c r="A358" s="95" t="s">
        <v>355</v>
      </c>
      <c r="B358" s="95"/>
      <c r="C358" s="39" t="s">
        <v>364</v>
      </c>
      <c r="D358" s="70">
        <f>(42.93)*10.764</f>
        <v>462.09851999999995</v>
      </c>
      <c r="E358" s="39">
        <v>0</v>
      </c>
      <c r="F358" s="39">
        <f>D358+E358</f>
        <v>462.09851999999995</v>
      </c>
      <c r="G358" s="39">
        <v>0</v>
      </c>
      <c r="H358" s="39">
        <f>F358*(($H$157)+1)+(IF(G358&lt;101,G358,IF(G358&lt;201,G358/2,IF(G358&lt;=301,G358/3,G358/4))))</f>
        <v>693.1477799999999</v>
      </c>
      <c r="I358" s="33"/>
      <c r="L358" s="96"/>
      <c r="M358" s="96"/>
      <c r="N358" s="33"/>
    </row>
    <row r="359" spans="1:20" s="34" customFormat="1" ht="15.75" customHeight="1" x14ac:dyDescent="0.3">
      <c r="A359" s="95" t="s">
        <v>356</v>
      </c>
      <c r="B359" s="95"/>
      <c r="C359" s="95" t="s">
        <v>386</v>
      </c>
      <c r="D359" s="95"/>
      <c r="E359" s="95"/>
      <c r="F359" s="95"/>
      <c r="G359" s="95"/>
      <c r="H359" s="95"/>
      <c r="I359" s="33"/>
      <c r="L359" s="96"/>
      <c r="M359" s="96"/>
      <c r="N359" s="33"/>
    </row>
    <row r="360" spans="1:20" s="34" customFormat="1" ht="15.75" customHeight="1" x14ac:dyDescent="0.3">
      <c r="A360" s="95" t="s">
        <v>357</v>
      </c>
      <c r="B360" s="95"/>
      <c r="C360" s="39" t="s">
        <v>364</v>
      </c>
      <c r="D360" s="70">
        <f>(42.93)*10.764</f>
        <v>462.09851999999995</v>
      </c>
      <c r="E360" s="39">
        <v>0</v>
      </c>
      <c r="F360" s="39">
        <f t="shared" ref="F360:F362" si="44">D360+E360</f>
        <v>462.09851999999995</v>
      </c>
      <c r="G360" s="39">
        <v>0</v>
      </c>
      <c r="H360" s="39">
        <f t="shared" ref="H360:H362" si="45">F360*(($H$157)+1)+(IF(G360&lt;101,G360,IF(G360&lt;201,G360/2,IF(G360&lt;=301,G360/3,G360/4))))</f>
        <v>693.1477799999999</v>
      </c>
      <c r="I360" s="33"/>
      <c r="L360" s="96"/>
      <c r="M360" s="96"/>
      <c r="N360" s="33"/>
      <c r="T360" s="18"/>
    </row>
    <row r="361" spans="1:20" s="34" customFormat="1" ht="15.75" customHeight="1" x14ac:dyDescent="0.3">
      <c r="A361" s="95" t="s">
        <v>358</v>
      </c>
      <c r="B361" s="95"/>
      <c r="C361" s="39" t="s">
        <v>364</v>
      </c>
      <c r="D361" s="70">
        <f>(42.93)*10.764</f>
        <v>462.09851999999995</v>
      </c>
      <c r="E361" s="39">
        <v>0</v>
      </c>
      <c r="F361" s="39">
        <f t="shared" si="44"/>
        <v>462.09851999999995</v>
      </c>
      <c r="G361" s="39">
        <v>0</v>
      </c>
      <c r="H361" s="39">
        <f t="shared" si="45"/>
        <v>693.1477799999999</v>
      </c>
      <c r="I361" s="33"/>
      <c r="L361" s="96"/>
      <c r="M361" s="96"/>
      <c r="N361" s="33"/>
    </row>
    <row r="362" spans="1:20" s="34" customFormat="1" ht="15.75" customHeight="1" x14ac:dyDescent="0.3">
      <c r="A362" s="95" t="s">
        <v>359</v>
      </c>
      <c r="B362" s="95"/>
      <c r="C362" s="39" t="s">
        <v>364</v>
      </c>
      <c r="D362" s="70">
        <f>(42.93)*10.764</f>
        <v>462.09851999999995</v>
      </c>
      <c r="E362" s="39">
        <v>0</v>
      </c>
      <c r="F362" s="39">
        <f t="shared" si="44"/>
        <v>462.09851999999995</v>
      </c>
      <c r="G362" s="39">
        <v>0</v>
      </c>
      <c r="H362" s="39">
        <f t="shared" si="45"/>
        <v>693.1477799999999</v>
      </c>
      <c r="I362" s="33"/>
      <c r="L362" s="96"/>
      <c r="M362" s="96"/>
      <c r="N362" s="33"/>
    </row>
    <row r="363" spans="1:20" s="34" customFormat="1" ht="15.75" customHeight="1" x14ac:dyDescent="0.3">
      <c r="A363" s="95" t="s">
        <v>360</v>
      </c>
      <c r="B363" s="95"/>
      <c r="C363" s="39" t="s">
        <v>363</v>
      </c>
      <c r="D363" s="70">
        <f t="shared" ref="D363:D367" si="46">(29.86)*10.764</f>
        <v>321.41303999999997</v>
      </c>
      <c r="E363" s="39">
        <v>0</v>
      </c>
      <c r="F363" s="39">
        <f>D363+E363</f>
        <v>321.41303999999997</v>
      </c>
      <c r="G363" s="39">
        <v>0</v>
      </c>
      <c r="H363" s="39">
        <f>F363*(($H$157)+1)+(IF(G363&lt;101,G363,IF(G363&lt;201,G363/2,IF(G363&lt;=301,G363/3,G363/4))))</f>
        <v>482.11955999999998</v>
      </c>
      <c r="I363" s="33"/>
      <c r="L363" s="96"/>
      <c r="M363" s="96"/>
      <c r="N363" s="33"/>
      <c r="T363" s="18"/>
    </row>
    <row r="364" spans="1:20" s="34" customFormat="1" ht="15.75" customHeight="1" x14ac:dyDescent="0.3">
      <c r="A364" s="95" t="s">
        <v>361</v>
      </c>
      <c r="B364" s="95"/>
      <c r="C364" s="39" t="s">
        <v>363</v>
      </c>
      <c r="D364" s="70">
        <f t="shared" si="46"/>
        <v>321.41303999999997</v>
      </c>
      <c r="E364" s="39">
        <v>0</v>
      </c>
      <c r="F364" s="39">
        <f>D364+E364</f>
        <v>321.41303999999997</v>
      </c>
      <c r="G364" s="39">
        <v>0</v>
      </c>
      <c r="H364" s="39">
        <f>F364*(($H$157)+1)+(IF(G364&lt;101,G364,IF(G364&lt;201,G364/2,IF(G364&lt;=301,G364/3,G364/4))))</f>
        <v>482.11955999999998</v>
      </c>
      <c r="I364" s="33"/>
      <c r="L364" s="96"/>
      <c r="M364" s="96"/>
      <c r="N364" s="33"/>
    </row>
    <row r="365" spans="1:20" s="34" customFormat="1" ht="15.75" customHeight="1" x14ac:dyDescent="0.3">
      <c r="A365" s="95" t="s">
        <v>362</v>
      </c>
      <c r="B365" s="95"/>
      <c r="C365" s="39" t="s">
        <v>363</v>
      </c>
      <c r="D365" s="70">
        <f t="shared" si="46"/>
        <v>321.41303999999997</v>
      </c>
      <c r="E365" s="39">
        <v>0</v>
      </c>
      <c r="F365" s="39">
        <f>D365+E365</f>
        <v>321.41303999999997</v>
      </c>
      <c r="G365" s="39">
        <v>0</v>
      </c>
      <c r="H365" s="39">
        <f>F365*(($H$157)+1)+(IF(G365&lt;101,G365,IF(G365&lt;201,G365/2,IF(G365&lt;=301,G365/3,G365/4))))</f>
        <v>482.11955999999998</v>
      </c>
      <c r="I365" s="33"/>
      <c r="L365" s="96"/>
      <c r="M365" s="96"/>
      <c r="N365" s="33"/>
    </row>
    <row r="366" spans="1:20" s="34" customFormat="1" ht="15.75" customHeight="1" x14ac:dyDescent="0.3">
      <c r="A366" s="95" t="s">
        <v>366</v>
      </c>
      <c r="B366" s="95"/>
      <c r="C366" s="39" t="s">
        <v>363</v>
      </c>
      <c r="D366" s="70">
        <f t="shared" si="46"/>
        <v>321.41303999999997</v>
      </c>
      <c r="E366" s="39">
        <v>0</v>
      </c>
      <c r="F366" s="39">
        <f>D366+E366</f>
        <v>321.41303999999997</v>
      </c>
      <c r="G366" s="39">
        <v>0</v>
      </c>
      <c r="H366" s="39">
        <f>F366*(($H$157)+1)+(IF(G366&lt;101,G366,IF(G366&lt;201,G366/2,IF(G366&lt;=301,G366/3,G366/4))))</f>
        <v>482.11955999999998</v>
      </c>
      <c r="I366" s="33"/>
      <c r="L366" s="96"/>
      <c r="M366" s="96"/>
      <c r="N366" s="33"/>
      <c r="T366" s="18"/>
    </row>
    <row r="367" spans="1:20" s="34" customFormat="1" ht="15.75" customHeight="1" x14ac:dyDescent="0.3">
      <c r="A367" s="100" t="s">
        <v>367</v>
      </c>
      <c r="B367" s="102"/>
      <c r="C367" s="39" t="s">
        <v>363</v>
      </c>
      <c r="D367" s="70">
        <f t="shared" si="46"/>
        <v>321.41303999999997</v>
      </c>
      <c r="E367" s="39">
        <v>0</v>
      </c>
      <c r="F367" s="39">
        <f>D367+E367</f>
        <v>321.41303999999997</v>
      </c>
      <c r="G367" s="39">
        <v>0</v>
      </c>
      <c r="H367" s="39">
        <f>F367*(($H$157)+1)+(IF(G367&lt;101,G367,IF(G367&lt;201,G367/2,IF(G367&lt;=301,G367/3,G367/4))))</f>
        <v>482.11955999999998</v>
      </c>
      <c r="I367" s="33"/>
      <c r="L367" s="96"/>
      <c r="M367" s="96"/>
      <c r="N367" s="33"/>
    </row>
    <row r="368" spans="1:20" s="34" customFormat="1" ht="15.75" customHeight="1" x14ac:dyDescent="0.3">
      <c r="A368" s="100" t="s">
        <v>368</v>
      </c>
      <c r="B368" s="102"/>
      <c r="C368" s="100" t="s">
        <v>386</v>
      </c>
      <c r="D368" s="101"/>
      <c r="E368" s="101"/>
      <c r="F368" s="101"/>
      <c r="G368" s="101"/>
      <c r="H368" s="102"/>
      <c r="I368" s="33"/>
      <c r="L368" s="96"/>
      <c r="M368" s="96"/>
      <c r="N368" s="33"/>
    </row>
    <row r="369" spans="1:20" s="34" customFormat="1" ht="15.75" customHeight="1" x14ac:dyDescent="0.3">
      <c r="A369" s="100" t="s">
        <v>369</v>
      </c>
      <c r="B369" s="102"/>
      <c r="C369" s="39" t="s">
        <v>363</v>
      </c>
      <c r="D369" s="70">
        <f t="shared" ref="D369:D375" si="47">(29.86)*10.764</f>
        <v>321.41303999999997</v>
      </c>
      <c r="E369" s="39">
        <v>0</v>
      </c>
      <c r="F369" s="39">
        <f t="shared" ref="F369:F376" si="48">D369+E369</f>
        <v>321.41303999999997</v>
      </c>
      <c r="G369" s="39">
        <v>0</v>
      </c>
      <c r="H369" s="39">
        <f t="shared" ref="H369:H376" si="49">F369*(($H$157)+1)+(IF(G369&lt;101,G369,IF(G369&lt;201,G369/2,IF(G369&lt;=301,G369/3,G369/4))))</f>
        <v>482.11955999999998</v>
      </c>
      <c r="I369" s="33"/>
      <c r="L369" s="96"/>
      <c r="M369" s="96"/>
      <c r="N369" s="33"/>
      <c r="T369" s="18"/>
    </row>
    <row r="370" spans="1:20" s="34" customFormat="1" ht="15.75" customHeight="1" x14ac:dyDescent="0.3">
      <c r="A370" s="100" t="s">
        <v>370</v>
      </c>
      <c r="B370" s="102"/>
      <c r="C370" s="39" t="s">
        <v>363</v>
      </c>
      <c r="D370" s="70">
        <f t="shared" si="47"/>
        <v>321.41303999999997</v>
      </c>
      <c r="E370" s="39">
        <v>0</v>
      </c>
      <c r="F370" s="39">
        <f t="shared" si="48"/>
        <v>321.41303999999997</v>
      </c>
      <c r="G370" s="39">
        <v>0</v>
      </c>
      <c r="H370" s="39">
        <f t="shared" si="49"/>
        <v>482.11955999999998</v>
      </c>
      <c r="I370" s="33"/>
      <c r="L370" s="96"/>
      <c r="M370" s="96"/>
      <c r="N370" s="33"/>
      <c r="T370" s="18"/>
    </row>
    <row r="371" spans="1:20" s="34" customFormat="1" ht="15.75" customHeight="1" x14ac:dyDescent="0.3">
      <c r="A371" s="100" t="s">
        <v>371</v>
      </c>
      <c r="B371" s="102"/>
      <c r="C371" s="39" t="s">
        <v>363</v>
      </c>
      <c r="D371" s="70">
        <f t="shared" si="47"/>
        <v>321.41303999999997</v>
      </c>
      <c r="E371" s="39">
        <v>0</v>
      </c>
      <c r="F371" s="39">
        <f t="shared" si="48"/>
        <v>321.41303999999997</v>
      </c>
      <c r="G371" s="39">
        <v>0</v>
      </c>
      <c r="H371" s="39">
        <f t="shared" si="49"/>
        <v>482.11955999999998</v>
      </c>
      <c r="I371" s="33"/>
      <c r="L371" s="96"/>
      <c r="M371" s="96"/>
      <c r="N371" s="33"/>
    </row>
    <row r="372" spans="1:20" s="34" customFormat="1" ht="15.75" customHeight="1" x14ac:dyDescent="0.3">
      <c r="A372" s="100" t="s">
        <v>372</v>
      </c>
      <c r="B372" s="102"/>
      <c r="C372" s="39" t="s">
        <v>363</v>
      </c>
      <c r="D372" s="70">
        <f t="shared" si="47"/>
        <v>321.41303999999997</v>
      </c>
      <c r="E372" s="39">
        <v>0</v>
      </c>
      <c r="F372" s="39">
        <f t="shared" si="48"/>
        <v>321.41303999999997</v>
      </c>
      <c r="G372" s="39">
        <v>0</v>
      </c>
      <c r="H372" s="39">
        <f t="shared" si="49"/>
        <v>482.11955999999998</v>
      </c>
      <c r="I372" s="33"/>
      <c r="L372" s="96"/>
      <c r="M372" s="96"/>
      <c r="N372" s="33"/>
    </row>
    <row r="373" spans="1:20" s="34" customFormat="1" ht="15.75" customHeight="1" x14ac:dyDescent="0.3">
      <c r="A373" s="100" t="s">
        <v>373</v>
      </c>
      <c r="B373" s="102"/>
      <c r="C373" s="39" t="s">
        <v>363</v>
      </c>
      <c r="D373" s="70">
        <f t="shared" si="47"/>
        <v>321.41303999999997</v>
      </c>
      <c r="E373" s="39">
        <v>0</v>
      </c>
      <c r="F373" s="39">
        <f t="shared" si="48"/>
        <v>321.41303999999997</v>
      </c>
      <c r="G373" s="39">
        <v>0</v>
      </c>
      <c r="H373" s="39">
        <f t="shared" si="49"/>
        <v>482.11955999999998</v>
      </c>
      <c r="I373" s="33"/>
      <c r="L373" s="96"/>
      <c r="M373" s="96"/>
      <c r="N373" s="33"/>
      <c r="T373" s="18"/>
    </row>
    <row r="374" spans="1:20" s="34" customFormat="1" ht="15.75" customHeight="1" x14ac:dyDescent="0.3">
      <c r="A374" s="100" t="s">
        <v>374</v>
      </c>
      <c r="B374" s="102"/>
      <c r="C374" s="39" t="s">
        <v>363</v>
      </c>
      <c r="D374" s="70">
        <f t="shared" si="47"/>
        <v>321.41303999999997</v>
      </c>
      <c r="E374" s="39">
        <v>0</v>
      </c>
      <c r="F374" s="39">
        <f t="shared" si="48"/>
        <v>321.41303999999997</v>
      </c>
      <c r="G374" s="39">
        <v>0</v>
      </c>
      <c r="H374" s="39">
        <f t="shared" si="49"/>
        <v>482.11955999999998</v>
      </c>
      <c r="I374" s="33"/>
      <c r="L374" s="96"/>
      <c r="M374" s="96"/>
      <c r="N374" s="33"/>
    </row>
    <row r="375" spans="1:20" s="34" customFormat="1" ht="15.75" customHeight="1" x14ac:dyDescent="0.3">
      <c r="A375" s="100" t="s">
        <v>375</v>
      </c>
      <c r="B375" s="102"/>
      <c r="C375" s="39" t="s">
        <v>363</v>
      </c>
      <c r="D375" s="70">
        <f t="shared" si="47"/>
        <v>321.41303999999997</v>
      </c>
      <c r="E375" s="39">
        <v>0</v>
      </c>
      <c r="F375" s="39">
        <f t="shared" si="48"/>
        <v>321.41303999999997</v>
      </c>
      <c r="G375" s="39">
        <v>0</v>
      </c>
      <c r="H375" s="39">
        <f t="shared" si="49"/>
        <v>482.11955999999998</v>
      </c>
      <c r="I375" s="33"/>
      <c r="L375" s="96"/>
      <c r="M375" s="96"/>
      <c r="N375" s="33"/>
      <c r="T375" s="18"/>
    </row>
    <row r="376" spans="1:20" s="34" customFormat="1" ht="15.75" customHeight="1" x14ac:dyDescent="0.3">
      <c r="A376" s="100" t="s">
        <v>376</v>
      </c>
      <c r="B376" s="102"/>
      <c r="C376" s="39" t="s">
        <v>364</v>
      </c>
      <c r="D376" s="70">
        <f>(42.93)*10.764</f>
        <v>462.09851999999995</v>
      </c>
      <c r="E376" s="39">
        <v>0</v>
      </c>
      <c r="F376" s="39">
        <f t="shared" si="48"/>
        <v>462.09851999999995</v>
      </c>
      <c r="G376" s="39">
        <v>0</v>
      </c>
      <c r="H376" s="39">
        <f t="shared" si="49"/>
        <v>693.1477799999999</v>
      </c>
      <c r="I376" s="33"/>
      <c r="L376" s="96"/>
      <c r="M376" s="96"/>
      <c r="N376" s="33"/>
    </row>
    <row r="377" spans="1:20" s="34" customFormat="1" ht="15.75" customHeight="1" x14ac:dyDescent="0.3">
      <c r="A377" s="100" t="s">
        <v>377</v>
      </c>
      <c r="B377" s="102"/>
      <c r="C377" s="100" t="s">
        <v>386</v>
      </c>
      <c r="D377" s="101"/>
      <c r="E377" s="101"/>
      <c r="F377" s="101"/>
      <c r="G377" s="101"/>
      <c r="H377" s="102"/>
      <c r="I377" s="33"/>
      <c r="L377" s="96"/>
      <c r="M377" s="96"/>
      <c r="N377" s="33"/>
      <c r="T377" s="18"/>
    </row>
    <row r="378" spans="1:20" s="34" customFormat="1" ht="15.75" customHeight="1" x14ac:dyDescent="0.3">
      <c r="A378" s="100" t="s">
        <v>378</v>
      </c>
      <c r="B378" s="102"/>
      <c r="C378" s="39" t="s">
        <v>364</v>
      </c>
      <c r="D378" s="70">
        <f>(46.52)*10.764</f>
        <v>500.74128000000002</v>
      </c>
      <c r="E378" s="39">
        <v>0</v>
      </c>
      <c r="F378" s="39">
        <f t="shared" ref="F378:F385" si="50">D378+E378</f>
        <v>500.74128000000002</v>
      </c>
      <c r="G378" s="39">
        <v>0</v>
      </c>
      <c r="H378" s="39">
        <f t="shared" ref="H378:H385" si="51">F378*(($H$157)+1)+(IF(G378&lt;101,G378,IF(G378&lt;201,G378/2,IF(G378&lt;=301,G378/3,G378/4))))</f>
        <v>751.11192000000005</v>
      </c>
      <c r="I378" s="33"/>
      <c r="L378" s="96"/>
      <c r="M378" s="96"/>
      <c r="N378" s="33"/>
    </row>
    <row r="379" spans="1:20" s="34" customFormat="1" ht="15.75" customHeight="1" x14ac:dyDescent="0.3">
      <c r="A379" s="100" t="s">
        <v>379</v>
      </c>
      <c r="B379" s="102"/>
      <c r="C379" s="39" t="s">
        <v>363</v>
      </c>
      <c r="D379" s="70">
        <f t="shared" ref="D379:D382" si="52">(29.86)*10.764</f>
        <v>321.41303999999997</v>
      </c>
      <c r="E379" s="39">
        <v>0</v>
      </c>
      <c r="F379" s="39">
        <f t="shared" si="50"/>
        <v>321.41303999999997</v>
      </c>
      <c r="G379" s="39">
        <v>0</v>
      </c>
      <c r="H379" s="39">
        <f t="shared" si="51"/>
        <v>482.11955999999998</v>
      </c>
      <c r="I379" s="33"/>
      <c r="L379" s="96"/>
      <c r="M379" s="96"/>
      <c r="N379" s="33"/>
    </row>
    <row r="380" spans="1:20" s="34" customFormat="1" ht="15.75" customHeight="1" x14ac:dyDescent="0.3">
      <c r="A380" s="100" t="s">
        <v>380</v>
      </c>
      <c r="B380" s="102"/>
      <c r="C380" s="39" t="s">
        <v>363</v>
      </c>
      <c r="D380" s="70">
        <f t="shared" si="52"/>
        <v>321.41303999999997</v>
      </c>
      <c r="E380" s="39">
        <v>0</v>
      </c>
      <c r="F380" s="39">
        <f t="shared" si="50"/>
        <v>321.41303999999997</v>
      </c>
      <c r="G380" s="39">
        <v>0</v>
      </c>
      <c r="H380" s="39">
        <f t="shared" si="51"/>
        <v>482.11955999999998</v>
      </c>
      <c r="I380" s="33"/>
      <c r="L380" s="96"/>
      <c r="M380" s="96"/>
      <c r="N380" s="33"/>
      <c r="T380" s="18"/>
    </row>
    <row r="381" spans="1:20" s="34" customFormat="1" ht="15.75" customHeight="1" x14ac:dyDescent="0.3">
      <c r="A381" s="100" t="s">
        <v>381</v>
      </c>
      <c r="B381" s="102"/>
      <c r="C381" s="39" t="s">
        <v>363</v>
      </c>
      <c r="D381" s="70">
        <f t="shared" si="52"/>
        <v>321.41303999999997</v>
      </c>
      <c r="E381" s="39">
        <v>0</v>
      </c>
      <c r="F381" s="39">
        <f t="shared" si="50"/>
        <v>321.41303999999997</v>
      </c>
      <c r="G381" s="39">
        <v>0</v>
      </c>
      <c r="H381" s="39">
        <f t="shared" si="51"/>
        <v>482.11955999999998</v>
      </c>
      <c r="I381" s="33"/>
      <c r="L381" s="96"/>
      <c r="M381" s="96"/>
      <c r="N381" s="33"/>
      <c r="T381" s="18"/>
    </row>
    <row r="382" spans="1:20" s="34" customFormat="1" ht="15.75" customHeight="1" x14ac:dyDescent="0.3">
      <c r="A382" s="100" t="s">
        <v>382</v>
      </c>
      <c r="B382" s="102"/>
      <c r="C382" s="39" t="s">
        <v>363</v>
      </c>
      <c r="D382" s="70">
        <f t="shared" si="52"/>
        <v>321.41303999999997</v>
      </c>
      <c r="E382" s="39">
        <v>0</v>
      </c>
      <c r="F382" s="39">
        <f t="shared" si="50"/>
        <v>321.41303999999997</v>
      </c>
      <c r="G382" s="39">
        <v>0</v>
      </c>
      <c r="H382" s="39">
        <f t="shared" si="51"/>
        <v>482.11955999999998</v>
      </c>
      <c r="I382" s="33"/>
      <c r="L382" s="96"/>
      <c r="M382" s="96"/>
      <c r="N382" s="33"/>
    </row>
    <row r="383" spans="1:20" s="34" customFormat="1" ht="15.75" customHeight="1" x14ac:dyDescent="0.3">
      <c r="A383" s="100" t="s">
        <v>383</v>
      </c>
      <c r="B383" s="102"/>
      <c r="C383" s="39" t="s">
        <v>364</v>
      </c>
      <c r="D383" s="70">
        <f>(46.52)*10.764</f>
        <v>500.74128000000002</v>
      </c>
      <c r="E383" s="39">
        <v>0</v>
      </c>
      <c r="F383" s="39">
        <f t="shared" si="50"/>
        <v>500.74128000000002</v>
      </c>
      <c r="G383" s="39">
        <v>0</v>
      </c>
      <c r="H383" s="39">
        <f t="shared" si="51"/>
        <v>751.11192000000005</v>
      </c>
      <c r="I383" s="33"/>
      <c r="L383" s="96"/>
      <c r="M383" s="96"/>
      <c r="N383" s="33"/>
    </row>
    <row r="384" spans="1:20" s="34" customFormat="1" ht="15.75" customHeight="1" x14ac:dyDescent="0.3">
      <c r="A384" s="100" t="s">
        <v>384</v>
      </c>
      <c r="B384" s="102"/>
      <c r="C384" s="39" t="s">
        <v>364</v>
      </c>
      <c r="D384" s="70">
        <f>(46.52)*10.764</f>
        <v>500.74128000000002</v>
      </c>
      <c r="E384" s="39">
        <v>0</v>
      </c>
      <c r="F384" s="39">
        <f t="shared" si="50"/>
        <v>500.74128000000002</v>
      </c>
      <c r="G384" s="39">
        <v>0</v>
      </c>
      <c r="H384" s="39">
        <f t="shared" si="51"/>
        <v>751.11192000000005</v>
      </c>
      <c r="I384" s="33"/>
      <c r="L384" s="96"/>
      <c r="M384" s="96"/>
      <c r="N384" s="33"/>
      <c r="T384" s="18"/>
    </row>
    <row r="385" spans="1:20" s="34" customFormat="1" ht="15.75" customHeight="1" x14ac:dyDescent="0.3">
      <c r="A385" s="100" t="s">
        <v>385</v>
      </c>
      <c r="B385" s="102"/>
      <c r="C385" s="39" t="s">
        <v>364</v>
      </c>
      <c r="D385" s="70">
        <f>(42.93)*10.764</f>
        <v>462.09851999999995</v>
      </c>
      <c r="E385" s="39">
        <v>0</v>
      </c>
      <c r="F385" s="39">
        <f t="shared" si="50"/>
        <v>462.09851999999995</v>
      </c>
      <c r="G385" s="39">
        <v>0</v>
      </c>
      <c r="H385" s="39">
        <f t="shared" si="51"/>
        <v>693.1477799999999</v>
      </c>
      <c r="I385" s="33">
        <f>4.25*3+0.6*1.15+2*1.95+2.75*2.75+2*2.9+0.6*0.9+1.85*1.2+1.85*1.2+2.1*0.9</f>
        <v>37.572499999999998</v>
      </c>
      <c r="L385" s="96"/>
      <c r="M385" s="96"/>
      <c r="N385" s="33"/>
      <c r="T385" s="18"/>
    </row>
    <row r="386" spans="1:20" s="34" customFormat="1" hidden="1" x14ac:dyDescent="0.3">
      <c r="A386" s="150" t="s">
        <v>115</v>
      </c>
      <c r="B386" s="151"/>
      <c r="C386" s="151"/>
      <c r="D386" s="151"/>
      <c r="E386" s="151"/>
      <c r="F386" s="151"/>
      <c r="G386" s="151"/>
      <c r="H386" s="152"/>
      <c r="J386" s="33"/>
    </row>
    <row r="387" spans="1:20" s="34" customFormat="1" ht="15.75" hidden="1" customHeight="1" x14ac:dyDescent="0.3">
      <c r="A387" s="100">
        <v>1</v>
      </c>
      <c r="B387" s="102"/>
      <c r="C387" s="39"/>
      <c r="D387" s="39"/>
      <c r="E387" s="39">
        <v>0</v>
      </c>
      <c r="F387" s="39">
        <f>D387+E387</f>
        <v>0</v>
      </c>
      <c r="G387" s="39">
        <v>0</v>
      </c>
      <c r="H387" s="39">
        <f>F387*(($H$157)+1)+(IF(G387&lt;101,G387,IF(G387&lt;201,G387/2,IF(G387&lt;=301,G387/3,G387/4))))</f>
        <v>0</v>
      </c>
      <c r="I387" s="33"/>
      <c r="L387" s="96"/>
      <c r="M387" s="96"/>
      <c r="N387" s="33"/>
    </row>
    <row r="388" spans="1:20" s="34" customFormat="1" ht="15.75" hidden="1" customHeight="1" x14ac:dyDescent="0.3">
      <c r="A388" s="100">
        <f>A387+1</f>
        <v>2</v>
      </c>
      <c r="B388" s="102"/>
      <c r="C388" s="39"/>
      <c r="D388" s="39"/>
      <c r="E388" s="39">
        <v>0</v>
      </c>
      <c r="F388" s="39">
        <f>D388+E388</f>
        <v>0</v>
      </c>
      <c r="G388" s="39">
        <v>0</v>
      </c>
      <c r="H388" s="39">
        <f>F388*(($H$157)+1)+(IF(G388&lt;101,G388,IF(G388&lt;201,G388/2,IF(G388&lt;=301,G388/3,G388/4))))</f>
        <v>0</v>
      </c>
      <c r="I388" s="33"/>
      <c r="L388" s="96"/>
      <c r="M388" s="96"/>
      <c r="N388" s="33"/>
    </row>
    <row r="389" spans="1:20" s="34" customFormat="1" ht="15.75" hidden="1" customHeight="1" x14ac:dyDescent="0.3">
      <c r="A389" s="100">
        <f>A388+1</f>
        <v>3</v>
      </c>
      <c r="B389" s="102"/>
      <c r="C389" s="39"/>
      <c r="D389" s="39"/>
      <c r="E389" s="39">
        <v>0</v>
      </c>
      <c r="F389" s="39">
        <f>D389+E389</f>
        <v>0</v>
      </c>
      <c r="G389" s="39">
        <v>0</v>
      </c>
      <c r="H389" s="39">
        <f>F389*(($H$157)+1)+(IF(G389&lt;101,G389,IF(G389&lt;201,G389/2,IF(G389&lt;=301,G389/3,G389/4))))</f>
        <v>0</v>
      </c>
      <c r="I389" s="33"/>
      <c r="L389" s="96"/>
      <c r="M389" s="96"/>
      <c r="N389" s="33"/>
    </row>
    <row r="390" spans="1:20" s="34" customFormat="1" ht="15.75" hidden="1" customHeight="1" x14ac:dyDescent="0.3">
      <c r="A390" s="100">
        <f>A389+1</f>
        <v>4</v>
      </c>
      <c r="B390" s="102"/>
      <c r="C390" s="39"/>
      <c r="D390" s="39"/>
      <c r="E390" s="39">
        <v>0</v>
      </c>
      <c r="F390" s="39">
        <f>D390+E390</f>
        <v>0</v>
      </c>
      <c r="G390" s="39">
        <v>0</v>
      </c>
      <c r="H390" s="39">
        <f>F390*(($H$157)+1)+(IF(G390&lt;101,G390,IF(G390&lt;201,G390/2,IF(G390&lt;=301,G390/3,G390/4))))</f>
        <v>0</v>
      </c>
      <c r="I390" s="33"/>
      <c r="L390" s="96"/>
      <c r="M390" s="96"/>
      <c r="N390" s="33"/>
      <c r="T390" s="18"/>
    </row>
    <row r="391" spans="1:20" s="34" customFormat="1" hidden="1" x14ac:dyDescent="0.3">
      <c r="A391" s="166" t="s">
        <v>116</v>
      </c>
      <c r="B391" s="166"/>
      <c r="C391" s="166"/>
      <c r="D391" s="166"/>
      <c r="E391" s="166"/>
      <c r="F391" s="166"/>
      <c r="G391" s="166"/>
      <c r="H391" s="166"/>
      <c r="I391" s="33"/>
      <c r="L391" s="96"/>
      <c r="M391" s="96"/>
    </row>
    <row r="392" spans="1:20" s="34" customFormat="1" hidden="1" x14ac:dyDescent="0.3">
      <c r="A392" s="95">
        <f>LEFT(A391,SUM(LEN(A391)-LEN(SUBSTITUTE(A391,{"0","1","2","3","4","5","6","7","8","9"},""))))*100+1</f>
        <v>201</v>
      </c>
      <c r="B392" s="95"/>
      <c r="C392" s="39"/>
      <c r="D392" s="39"/>
      <c r="E392" s="39">
        <v>0</v>
      </c>
      <c r="F392" s="39">
        <f>D392+E392</f>
        <v>0</v>
      </c>
      <c r="G392" s="39">
        <v>0</v>
      </c>
      <c r="H392" s="39">
        <f>F392*(($H$157)+1)+(IF(G392&lt;101,G392,IF(G392&lt;201,G392/2,IF(G392&lt;=301,G392/3,G392/4))))</f>
        <v>0</v>
      </c>
      <c r="I392" s="33"/>
      <c r="N392" s="33"/>
    </row>
    <row r="393" spans="1:20" s="34" customFormat="1" hidden="1" x14ac:dyDescent="0.3">
      <c r="A393" s="95">
        <f>A392+1</f>
        <v>202</v>
      </c>
      <c r="B393" s="95"/>
      <c r="C393" s="39"/>
      <c r="D393" s="39"/>
      <c r="E393" s="39">
        <v>0</v>
      </c>
      <c r="F393" s="39">
        <f>D393+E393</f>
        <v>0</v>
      </c>
      <c r="G393" s="39">
        <v>0</v>
      </c>
      <c r="H393" s="39">
        <f>F393*(($H$157)+1)+(IF(G393&lt;101,G393,IF(G393&lt;201,G393/2,IF(G393&lt;=301,G393/3,G393/4))))</f>
        <v>0</v>
      </c>
      <c r="I393" s="33"/>
      <c r="N393" s="33"/>
    </row>
    <row r="394" spans="1:20" s="34" customFormat="1" hidden="1" x14ac:dyDescent="0.3">
      <c r="A394" s="95">
        <f>A393+1</f>
        <v>203</v>
      </c>
      <c r="B394" s="95"/>
      <c r="C394" s="39"/>
      <c r="D394" s="39"/>
      <c r="E394" s="39">
        <v>0</v>
      </c>
      <c r="F394" s="39">
        <f>D394+E394</f>
        <v>0</v>
      </c>
      <c r="G394" s="39">
        <v>0</v>
      </c>
      <c r="H394" s="39">
        <f>F394*(($H$157)+1)+(IF(G394&lt;101,G394,IF(G394&lt;201,G394/2,IF(G394&lt;=301,G394/3,G394/4))))</f>
        <v>0</v>
      </c>
      <c r="I394" s="33"/>
      <c r="N394" s="33"/>
    </row>
    <row r="395" spans="1:20" s="34" customFormat="1" hidden="1" x14ac:dyDescent="0.3">
      <c r="A395" s="95">
        <f>A394+1</f>
        <v>204</v>
      </c>
      <c r="B395" s="95"/>
      <c r="C395" s="39"/>
      <c r="D395" s="39"/>
      <c r="E395" s="39">
        <v>0</v>
      </c>
      <c r="F395" s="39">
        <f>D395+E395</f>
        <v>0</v>
      </c>
      <c r="G395" s="39">
        <v>0</v>
      </c>
      <c r="H395" s="39">
        <f>F395*(($H$157)+1)+(IF(G395&lt;101,G395,IF(G395&lt;201,G395/2,IF(G395&lt;=301,G395/3,G395/4))))</f>
        <v>0</v>
      </c>
      <c r="I395" s="33"/>
      <c r="N395" s="33"/>
    </row>
    <row r="396" spans="1:20" s="34" customFormat="1" hidden="1" x14ac:dyDescent="0.3">
      <c r="A396" s="95">
        <f>A395+1</f>
        <v>205</v>
      </c>
      <c r="B396" s="95"/>
      <c r="C396" s="39"/>
      <c r="D396" s="39"/>
      <c r="E396" s="39">
        <v>0</v>
      </c>
      <c r="F396" s="39">
        <f>D396+E396</f>
        <v>0</v>
      </c>
      <c r="G396" s="39">
        <v>0</v>
      </c>
      <c r="H396" s="39">
        <f>F396*(($H$157)+1)+(IF(G396&lt;101,G396,IF(G396&lt;201,G396/2,IF(G396&lt;=301,G396/3,G396/4))))</f>
        <v>0</v>
      </c>
      <c r="I396" s="33"/>
      <c r="N396" s="33"/>
    </row>
    <row r="397" spans="1:20" s="34" customFormat="1" ht="15.75" hidden="1" customHeight="1" x14ac:dyDescent="0.3">
      <c r="A397" s="150" t="s">
        <v>148</v>
      </c>
      <c r="B397" s="151"/>
      <c r="C397" s="151"/>
      <c r="D397" s="151"/>
      <c r="E397" s="151"/>
      <c r="F397" s="151"/>
      <c r="G397" s="151"/>
      <c r="H397" s="152"/>
      <c r="I397" s="33"/>
    </row>
    <row r="398" spans="1:20" s="34" customFormat="1" ht="15.75" hidden="1" customHeight="1" x14ac:dyDescent="0.3">
      <c r="A398" s="100" t="str">
        <f ca="1">(SUMPRODUCT(MID(0&amp;(LEFT(A397,SUM(LEN(A397)-LEN(SUBSTITUTE(A397,{"0","1","2"},""))))), LARGE(INDEX(ISNUMBER(--MID((LEFT(A397,SUM(LEN(A397)-LEN(SUBSTITUTE(A397,{"0","1","2"},""))))), ROW(INDIRECT("1:"&amp;LEN((LEFT(A397,SUM(LEN(A397)-LEN(SUBSTITUTE(A397,{"0","1","2"},"")))))))), 1)) * ROW(INDIRECT("1:"&amp;LEN((LEFT(A397,SUM(LEN(A397)-LEN(SUBSTITUTE(A397,{"0","1","2"},"")))))))), 0), ROW(INDIRECT("1:"&amp;LEN((LEFT(A397,SUM(LEN(A397)-LEN(SUBSTITUTE(A397,{"0","1","2"},"")))))))))+1, 1) * 10^ROW(INDIRECT("1:"&amp;LEN((LEFT(A397,SUM(LEN(A397)-LEN(SUBSTITUTE(A397,{"0","1","2"},""))))))))/10))*100+1&amp;""&amp;" ,.., "&amp;""&amp;(SUMPRODUCT(MID(0&amp;(--TRIM(RIGHT(SUBSTITUTE(LEFT(A397,_xlfn.AGGREGATE(16,6,FIND({0,1,2,3,4,5,6,7,8,9},A397,ROW(INDIRECT("1:"&amp;LEN(A397)))),1))," ",REPT(" ",LEN(A397))),LEN(A397)))), LARGE(INDEX(ISNUMBER(--MID((--TRIM(RIGHT(SUBSTITUTE(LEFT(A397,_xlfn.AGGREGATE(16,6,FIND({0,1,2,3,4,5,6,7,8,9},A397,ROW(INDIRECT("1:"&amp;LEN(A397)))),1))," ",REPT(" ",LEN(A397))),LEN(A397)))), ROW(INDIRECT("1:"&amp;LEN((--TRIM(RIGHT(SUBSTITUTE(LEFT(A397,_xlfn.AGGREGATE(16,6,FIND({0,1,2,3,4,5,6,7,8,9},A397,ROW(INDIRECT("1:"&amp;LEN(A397)))),1))," ",REPT(" ",LEN(A397))),LEN(A397))))))), 1)) * ROW(INDIRECT("1:"&amp;LEN((--TRIM(RIGHT(SUBSTITUTE(LEFT(A397,_xlfn.AGGREGATE(16,6,FIND({0,1,2,3,4,5,6,7,8,9},A397,ROW(INDIRECT("1:"&amp;LEN(A397)))),1))," ",REPT(" ",LEN(A397))),LEN(A397))))))), 0), ROW(INDIRECT("1:"&amp;LEN((--TRIM(RIGHT(SUBSTITUTE(LEFT(A397,_xlfn.AGGREGATE(16,6,FIND({0,1,2,3,4,5,6,7,8,9},A397,ROW(INDIRECT("1:"&amp;LEN(A397)))),1))," ",REPT(" ",LEN(A397))),LEN(A397))))))))+1, 1) * 10^ROW(INDIRECT("1:"&amp;LEN((--TRIM(RIGHT(SUBSTITUTE(LEFT(A397,_xlfn.AGGREGATE(16,6,FIND({0,1,2,3,4,5,6,7,8,9},A397,ROW(INDIRECT("1:"&amp;LEN(A397)))),1))," ",REPT(" ",LEN(A397))),LEN(A397)))))))/10))*100+1</f>
        <v>301 ,.., 1501</v>
      </c>
      <c r="B398" s="102"/>
      <c r="C398" s="39"/>
      <c r="D398" s="39"/>
      <c r="E398" s="39">
        <v>0</v>
      </c>
      <c r="F398" s="39">
        <f>D398+E398</f>
        <v>0</v>
      </c>
      <c r="G398" s="39">
        <v>0</v>
      </c>
      <c r="H398" s="39">
        <f>F398*(($H$157)+1)+(IF(G398&lt;101,G398,IF(G398&lt;201,G398/2,IF(G398&lt;=301,G398/3,G398/4))))</f>
        <v>0</v>
      </c>
      <c r="I398" s="33"/>
    </row>
    <row r="399" spans="1:20" s="34" customFormat="1" ht="15.75" hidden="1" customHeight="1" x14ac:dyDescent="0.3">
      <c r="A399" s="100" t="str">
        <f ca="1">(SUMPRODUCT(MID(0&amp;(LEFT(A398,SUM(LEN(A398)-LEN(SUBSTITUTE(A398,{"0","1","2"},""))))), LARGE(INDEX(ISNUMBER(--MID((LEFT(A398,SUM(LEN(A398)-LEN(SUBSTITUTE(A398,{"0","1","2"},""))))), ROW(INDIRECT("1:"&amp;LEN((LEFT(A398,SUM(LEN(A398)-LEN(SUBSTITUTE(A398,{"0","1","2"},"")))))))), 1)) * ROW(INDIRECT("1:"&amp;LEN((LEFT(A398,SUM(LEN(A398)-LEN(SUBSTITUTE(A398,{"0","1","2"},"")))))))), 0), ROW(INDIRECT("1:"&amp;LEN((LEFT(A398,SUM(LEN(A398)-LEN(SUBSTITUTE(A398,{"0","1","2"},"")))))))))+1, 1) * 10^ROW(INDIRECT("1:"&amp;LEN((LEFT(A398,SUM(LEN(A398)-LEN(SUBSTITUTE(A398,{"0","1","2"},""))))))))/10))*1+1&amp;""&amp;" ,.., "&amp;""&amp;(SUMPRODUCT(MID(0&amp;(--TRIM(RIGHT(SUBSTITUTE(LEFT(A398,_xlfn.AGGREGATE(16,6,FIND({0,1,2,3,4,5,6,7,8,9},A398,ROW(INDIRECT("1:"&amp;LEN(A398)))),1))," ",REPT(" ",LEN(A398))),LEN(A398)))), LARGE(INDEX(ISNUMBER(--MID((--TRIM(RIGHT(SUBSTITUTE(LEFT(A398,_xlfn.AGGREGATE(16,6,FIND({0,1,2,3,4,5,6,7,8,9},A398,ROW(INDIRECT("1:"&amp;LEN(A398)))),1))," ",REPT(" ",LEN(A398))),LEN(A398)))), ROW(INDIRECT("1:"&amp;LEN((--TRIM(RIGHT(SUBSTITUTE(LEFT(A398,_xlfn.AGGREGATE(16,6,FIND({0,1,2,3,4,5,6,7,8,9},A398,ROW(INDIRECT("1:"&amp;LEN(A398)))),1))," ",REPT(" ",LEN(A398))),LEN(A398))))))), 1)) * ROW(INDIRECT("1:"&amp;LEN((--TRIM(RIGHT(SUBSTITUTE(LEFT(A398,_xlfn.AGGREGATE(16,6,FIND({0,1,2,3,4,5,6,7,8,9},A398,ROW(INDIRECT("1:"&amp;LEN(A398)))),1))," ",REPT(" ",LEN(A398))),LEN(A398))))))), 0), ROW(INDIRECT("1:"&amp;LEN((--TRIM(RIGHT(SUBSTITUTE(LEFT(A398,_xlfn.AGGREGATE(16,6,FIND({0,1,2,3,4,5,6,7,8,9},A398,ROW(INDIRECT("1:"&amp;LEN(A398)))),1))," ",REPT(" ",LEN(A398))),LEN(A398))))))))+1, 1) * 10^ROW(INDIRECT("1:"&amp;LEN((--TRIM(RIGHT(SUBSTITUTE(LEFT(A398,_xlfn.AGGREGATE(16,6,FIND({0,1,2,3,4,5,6,7,8,9},A398,ROW(INDIRECT("1:"&amp;LEN(A398)))),1))," ",REPT(" ",LEN(A398))),LEN(A398)))))))/10))*1+1</f>
        <v>302 ,.., 1502</v>
      </c>
      <c r="B399" s="102"/>
      <c r="C399" s="39"/>
      <c r="D399" s="39"/>
      <c r="E399" s="39">
        <v>0</v>
      </c>
      <c r="F399" s="39">
        <f>D399+E399</f>
        <v>0</v>
      </c>
      <c r="G399" s="39">
        <v>0</v>
      </c>
      <c r="H399" s="39">
        <f>F399*(($H$157)+1)+(IF(G399&lt;101,G399,IF(G399&lt;201,G399/2,IF(G399&lt;=301,G399/3,G399/4))))</f>
        <v>0</v>
      </c>
      <c r="I399" s="33"/>
    </row>
    <row r="400" spans="1:20" s="34" customFormat="1" ht="15.75" hidden="1" customHeight="1" x14ac:dyDescent="0.3">
      <c r="A400" s="100" t="str">
        <f ca="1">(SUMPRODUCT(MID(0&amp;(LEFT(A399,SUM(LEN(A399)-LEN(SUBSTITUTE(A399,{"0","1","2"},""))))), LARGE(INDEX(ISNUMBER(--MID((LEFT(A399,SUM(LEN(A399)-LEN(SUBSTITUTE(A399,{"0","1","2"},""))))), ROW(INDIRECT("1:"&amp;LEN((LEFT(A399,SUM(LEN(A399)-LEN(SUBSTITUTE(A399,{"0","1","2"},"")))))))), 1)) * ROW(INDIRECT("1:"&amp;LEN((LEFT(A399,SUM(LEN(A399)-LEN(SUBSTITUTE(A399,{"0","1","2"},"")))))))), 0), ROW(INDIRECT("1:"&amp;LEN((LEFT(A399,SUM(LEN(A399)-LEN(SUBSTITUTE(A399,{"0","1","2"},"")))))))))+1, 1) * 10^ROW(INDIRECT("1:"&amp;LEN((LEFT(A399,SUM(LEN(A399)-LEN(SUBSTITUTE(A399,{"0","1","2"},""))))))))/10))*1+1&amp;""&amp;" ,.., "&amp;""&amp;(SUMPRODUCT(MID(0&amp;(--TRIM(RIGHT(SUBSTITUTE(LEFT(A399,_xlfn.AGGREGATE(16,6,FIND({0,1,2,3,4,5,6,7,8,9},A399,ROW(INDIRECT("1:"&amp;LEN(A399)))),1))," ",REPT(" ",LEN(A399))),LEN(A399)))), LARGE(INDEX(ISNUMBER(--MID((--TRIM(RIGHT(SUBSTITUTE(LEFT(A399,_xlfn.AGGREGATE(16,6,FIND({0,1,2,3,4,5,6,7,8,9},A399,ROW(INDIRECT("1:"&amp;LEN(A399)))),1))," ",REPT(" ",LEN(A399))),LEN(A399)))), ROW(INDIRECT("1:"&amp;LEN((--TRIM(RIGHT(SUBSTITUTE(LEFT(A399,_xlfn.AGGREGATE(16,6,FIND({0,1,2,3,4,5,6,7,8,9},A399,ROW(INDIRECT("1:"&amp;LEN(A399)))),1))," ",REPT(" ",LEN(A399))),LEN(A399))))))), 1)) * ROW(INDIRECT("1:"&amp;LEN((--TRIM(RIGHT(SUBSTITUTE(LEFT(A399,_xlfn.AGGREGATE(16,6,FIND({0,1,2,3,4,5,6,7,8,9},A399,ROW(INDIRECT("1:"&amp;LEN(A399)))),1))," ",REPT(" ",LEN(A399))),LEN(A399))))))), 0), ROW(INDIRECT("1:"&amp;LEN((--TRIM(RIGHT(SUBSTITUTE(LEFT(A399,_xlfn.AGGREGATE(16,6,FIND({0,1,2,3,4,5,6,7,8,9},A399,ROW(INDIRECT("1:"&amp;LEN(A399)))),1))," ",REPT(" ",LEN(A399))),LEN(A399))))))))+1, 1) * 10^ROW(INDIRECT("1:"&amp;LEN((--TRIM(RIGHT(SUBSTITUTE(LEFT(A399,_xlfn.AGGREGATE(16,6,FIND({0,1,2,3,4,5,6,7,8,9},A399,ROW(INDIRECT("1:"&amp;LEN(A399)))),1))," ",REPT(" ",LEN(A399))),LEN(A399)))))))/10))*1+1</f>
        <v>303 ,.., 1503</v>
      </c>
      <c r="B400" s="102"/>
      <c r="C400" s="39"/>
      <c r="D400" s="39"/>
      <c r="E400" s="39">
        <v>0</v>
      </c>
      <c r="F400" s="39">
        <f>D400+E400</f>
        <v>0</v>
      </c>
      <c r="G400" s="39">
        <v>0</v>
      </c>
      <c r="H400" s="39">
        <f>F400*(($H$157)+1)+(IF(G400&lt;101,G400,IF(G400&lt;201,G400/2,IF(G400&lt;=301,G400/3,G400/4))))</f>
        <v>0</v>
      </c>
      <c r="I400" s="33"/>
    </row>
    <row r="401" spans="1:20" s="34" customFormat="1" ht="15.75" hidden="1" customHeight="1" x14ac:dyDescent="0.3">
      <c r="A401" s="100" t="str">
        <f ca="1">(SUMPRODUCT(MID(0&amp;(LEFT(A400,SUM(LEN(A400)-LEN(SUBSTITUTE(A400,{"0","1","2"},""))))), LARGE(INDEX(ISNUMBER(--MID((LEFT(A400,SUM(LEN(A400)-LEN(SUBSTITUTE(A400,{"0","1","2"},""))))), ROW(INDIRECT("1:"&amp;LEN((LEFT(A400,SUM(LEN(A400)-LEN(SUBSTITUTE(A400,{"0","1","2"},"")))))))), 1)) * ROW(INDIRECT("1:"&amp;LEN((LEFT(A400,SUM(LEN(A400)-LEN(SUBSTITUTE(A400,{"0","1","2"},"")))))))), 0), ROW(INDIRECT("1:"&amp;LEN((LEFT(A400,SUM(LEN(A400)-LEN(SUBSTITUTE(A400,{"0","1","2"},"")))))))))+1, 1) * 10^ROW(INDIRECT("1:"&amp;LEN((LEFT(A400,SUM(LEN(A400)-LEN(SUBSTITUTE(A400,{"0","1","2"},""))))))))/10))*1+1&amp;""&amp;" ,.., "&amp;""&amp;(SUMPRODUCT(MID(0&amp;(--TRIM(RIGHT(SUBSTITUTE(LEFT(A400,_xlfn.AGGREGATE(16,6,FIND({0,1,2,3,4,5,6,7,8,9},A400,ROW(INDIRECT("1:"&amp;LEN(A400)))),1))," ",REPT(" ",LEN(A400))),LEN(A400)))), LARGE(INDEX(ISNUMBER(--MID((--TRIM(RIGHT(SUBSTITUTE(LEFT(A400,_xlfn.AGGREGATE(16,6,FIND({0,1,2,3,4,5,6,7,8,9},A400,ROW(INDIRECT("1:"&amp;LEN(A400)))),1))," ",REPT(" ",LEN(A400))),LEN(A400)))), ROW(INDIRECT("1:"&amp;LEN((--TRIM(RIGHT(SUBSTITUTE(LEFT(A400,_xlfn.AGGREGATE(16,6,FIND({0,1,2,3,4,5,6,7,8,9},A400,ROW(INDIRECT("1:"&amp;LEN(A400)))),1))," ",REPT(" ",LEN(A400))),LEN(A400))))))), 1)) * ROW(INDIRECT("1:"&amp;LEN((--TRIM(RIGHT(SUBSTITUTE(LEFT(A400,_xlfn.AGGREGATE(16,6,FIND({0,1,2,3,4,5,6,7,8,9},A400,ROW(INDIRECT("1:"&amp;LEN(A400)))),1))," ",REPT(" ",LEN(A400))),LEN(A400))))))), 0), ROW(INDIRECT("1:"&amp;LEN((--TRIM(RIGHT(SUBSTITUTE(LEFT(A400,_xlfn.AGGREGATE(16,6,FIND({0,1,2,3,4,5,6,7,8,9},A400,ROW(INDIRECT("1:"&amp;LEN(A400)))),1))," ",REPT(" ",LEN(A400))),LEN(A400))))))))+1, 1) * 10^ROW(INDIRECT("1:"&amp;LEN((--TRIM(RIGHT(SUBSTITUTE(LEFT(A400,_xlfn.AGGREGATE(16,6,FIND({0,1,2,3,4,5,6,7,8,9},A400,ROW(INDIRECT("1:"&amp;LEN(A400)))),1))," ",REPT(" ",LEN(A400))),LEN(A400)))))))/10))*1+1</f>
        <v>304 ,.., 1504</v>
      </c>
      <c r="B401" s="102"/>
      <c r="C401" s="39"/>
      <c r="D401" s="39"/>
      <c r="E401" s="39">
        <v>0</v>
      </c>
      <c r="F401" s="39">
        <f>D401+E401</f>
        <v>0</v>
      </c>
      <c r="G401" s="39">
        <v>0</v>
      </c>
      <c r="H401" s="39">
        <f>F401*(($H$157)+1)+(IF(G401&lt;101,G401,IF(G401&lt;201,G401/2,IF(G401&lt;=301,G401/3,G401/4))))</f>
        <v>0</v>
      </c>
      <c r="I401" s="33"/>
    </row>
    <row r="402" spans="1:20" s="34" customFormat="1" ht="15.75" hidden="1" customHeight="1" x14ac:dyDescent="0.3">
      <c r="A402" s="100" t="str">
        <f ca="1">(SUMPRODUCT(MID(0&amp;(LEFT(A401,SUM(LEN(A401)-LEN(SUBSTITUTE(A401,{"0","1","2"},""))))), LARGE(INDEX(ISNUMBER(--MID((LEFT(A401,SUM(LEN(A401)-LEN(SUBSTITUTE(A401,{"0","1","2"},""))))), ROW(INDIRECT("1:"&amp;LEN((LEFT(A401,SUM(LEN(A401)-LEN(SUBSTITUTE(A401,{"0","1","2"},"")))))))), 1)) * ROW(INDIRECT("1:"&amp;LEN((LEFT(A401,SUM(LEN(A401)-LEN(SUBSTITUTE(A401,{"0","1","2"},"")))))))), 0), ROW(INDIRECT("1:"&amp;LEN((LEFT(A401,SUM(LEN(A401)-LEN(SUBSTITUTE(A401,{"0","1","2"},"")))))))))+1, 1) * 10^ROW(INDIRECT("1:"&amp;LEN((LEFT(A401,SUM(LEN(A401)-LEN(SUBSTITUTE(A401,{"0","1","2"},""))))))))/10))*1+1&amp;""&amp;" ,.., "&amp;""&amp;(SUMPRODUCT(MID(0&amp;(--TRIM(RIGHT(SUBSTITUTE(LEFT(A401,_xlfn.AGGREGATE(16,6,FIND({0,1,2,3,4,5,6,7,8,9},A401,ROW(INDIRECT("1:"&amp;LEN(A401)))),1))," ",REPT(" ",LEN(A401))),LEN(A401)))), LARGE(INDEX(ISNUMBER(--MID((--TRIM(RIGHT(SUBSTITUTE(LEFT(A401,_xlfn.AGGREGATE(16,6,FIND({0,1,2,3,4,5,6,7,8,9},A401,ROW(INDIRECT("1:"&amp;LEN(A401)))),1))," ",REPT(" ",LEN(A401))),LEN(A401)))), ROW(INDIRECT("1:"&amp;LEN((--TRIM(RIGHT(SUBSTITUTE(LEFT(A401,_xlfn.AGGREGATE(16,6,FIND({0,1,2,3,4,5,6,7,8,9},A401,ROW(INDIRECT("1:"&amp;LEN(A401)))),1))," ",REPT(" ",LEN(A401))),LEN(A401))))))), 1)) * ROW(INDIRECT("1:"&amp;LEN((--TRIM(RIGHT(SUBSTITUTE(LEFT(A401,_xlfn.AGGREGATE(16,6,FIND({0,1,2,3,4,5,6,7,8,9},A401,ROW(INDIRECT("1:"&amp;LEN(A401)))),1))," ",REPT(" ",LEN(A401))),LEN(A401))))))), 0), ROW(INDIRECT("1:"&amp;LEN((--TRIM(RIGHT(SUBSTITUTE(LEFT(A401,_xlfn.AGGREGATE(16,6,FIND({0,1,2,3,4,5,6,7,8,9},A401,ROW(INDIRECT("1:"&amp;LEN(A401)))),1))," ",REPT(" ",LEN(A401))),LEN(A401))))))))+1, 1) * 10^ROW(INDIRECT("1:"&amp;LEN((--TRIM(RIGHT(SUBSTITUTE(LEFT(A401,_xlfn.AGGREGATE(16,6,FIND({0,1,2,3,4,5,6,7,8,9},A401,ROW(INDIRECT("1:"&amp;LEN(A401)))),1))," ",REPT(" ",LEN(A401))),LEN(A401)))))))/10))*1+1</f>
        <v>305 ,.., 1505</v>
      </c>
      <c r="B402" s="102"/>
      <c r="C402" s="39"/>
      <c r="D402" s="39"/>
      <c r="E402" s="39">
        <v>0</v>
      </c>
      <c r="F402" s="39">
        <f>D402+E402</f>
        <v>0</v>
      </c>
      <c r="G402" s="39">
        <v>0</v>
      </c>
      <c r="H402" s="39">
        <f>F402*(($H$157)+1)+(IF(G402&lt;101,G402,IF(G402&lt;201,G402/2,IF(G402&lt;=301,G402/3,G402/4))))</f>
        <v>0</v>
      </c>
      <c r="I402" s="33"/>
    </row>
    <row r="403" spans="1:20" s="34" customFormat="1" hidden="1" x14ac:dyDescent="0.3">
      <c r="A403" s="150" t="s">
        <v>142</v>
      </c>
      <c r="B403" s="151"/>
      <c r="C403" s="151"/>
      <c r="D403" s="151"/>
      <c r="E403" s="151"/>
      <c r="F403" s="151"/>
      <c r="G403" s="151"/>
      <c r="H403" s="152"/>
      <c r="I403" s="33"/>
    </row>
    <row r="404" spans="1:20" s="34" customFormat="1" ht="15.75" hidden="1" customHeight="1" x14ac:dyDescent="0.3">
      <c r="A404" s="100" t="str">
        <f ca="1">(SUMPRODUCT(MID(0&amp;(LEFT(A403,SUM(LEN(A403)-LEN(SUBSTITUTE(A403,{"0","1","2"},""))))), LARGE(INDEX(ISNUMBER(--MID((LEFT(A403,SUM(LEN(A403)-LEN(SUBSTITUTE(A403,{"0","1","2"},""))))), ROW(INDIRECT("1:"&amp;LEN((LEFT(A403,SUM(LEN(A403)-LEN(SUBSTITUTE(A403,{"0","1","2"},"")))))))), 1)) * ROW(INDIRECT("1:"&amp;LEN((LEFT(A403,SUM(LEN(A403)-LEN(SUBSTITUTE(A403,{"0","1","2"},"")))))))), 0), ROW(INDIRECT("1:"&amp;LEN((LEFT(A403,SUM(LEN(A403)-LEN(SUBSTITUTE(A403,{"0","1","2"},"")))))))))+1, 1) * 10^ROW(INDIRECT("1:"&amp;LEN((LEFT(A403,SUM(LEN(A403)-LEN(SUBSTITUTE(A403,{"0","1","2"},""))))))))/10))*100+1&amp;""&amp;" to "&amp;""&amp;(SUMPRODUCT(MID(0&amp;(--TRIM(RIGHT(SUBSTITUTE(LEFT(A403,_xlfn.AGGREGATE(16,6,FIND({0,1,2,3,4,5,6,7,8,9},A403,ROW(INDIRECT("1:"&amp;LEN(A403)))),1))," ",REPT(" ",LEN(A403))),LEN(A403)))), LARGE(INDEX(ISNUMBER(--MID((--TRIM(RIGHT(SUBSTITUTE(LEFT(A403,_xlfn.AGGREGATE(16,6,FIND({0,1,2,3,4,5,6,7,8,9},A403,ROW(INDIRECT("1:"&amp;LEN(A403)))),1))," ",REPT(" ",LEN(A403))),LEN(A403)))), ROW(INDIRECT("1:"&amp;LEN((--TRIM(RIGHT(SUBSTITUTE(LEFT(A403,_xlfn.AGGREGATE(16,6,FIND({0,1,2,3,4,5,6,7,8,9},A403,ROW(INDIRECT("1:"&amp;LEN(A403)))),1))," ",REPT(" ",LEN(A403))),LEN(A403))))))), 1)) * ROW(INDIRECT("1:"&amp;LEN((--TRIM(RIGHT(SUBSTITUTE(LEFT(A403,_xlfn.AGGREGATE(16,6,FIND({0,1,2,3,4,5,6,7,8,9},A403,ROW(INDIRECT("1:"&amp;LEN(A403)))),1))," ",REPT(" ",LEN(A403))),LEN(A403))))))), 0), ROW(INDIRECT("1:"&amp;LEN((--TRIM(RIGHT(SUBSTITUTE(LEFT(A403,_xlfn.AGGREGATE(16,6,FIND({0,1,2,3,4,5,6,7,8,9},A403,ROW(INDIRECT("1:"&amp;LEN(A403)))),1))," ",REPT(" ",LEN(A403))),LEN(A403))))))))+1, 1) * 10^ROW(INDIRECT("1:"&amp;LEN((--TRIM(RIGHT(SUBSTITUTE(LEFT(A403,_xlfn.AGGREGATE(16,6,FIND({0,1,2,3,4,5,6,7,8,9},A403,ROW(INDIRECT("1:"&amp;LEN(A403)))),1))," ",REPT(" ",LEN(A403))),LEN(A403)))))))/10))*100+1</f>
        <v>201 to 501</v>
      </c>
      <c r="B404" s="102"/>
      <c r="C404" s="39"/>
      <c r="D404" s="39"/>
      <c r="E404" s="39">
        <v>0</v>
      </c>
      <c r="F404" s="39">
        <f>D404+E404</f>
        <v>0</v>
      </c>
      <c r="G404" s="39">
        <v>0</v>
      </c>
      <c r="H404" s="39">
        <f>F404*(($H$157)+1)+(IF(G404&lt;101,G404,IF(G404&lt;201,G404/2,IF(G404&lt;=301,G404/3,G404/4))))</f>
        <v>0</v>
      </c>
      <c r="I404" s="33"/>
    </row>
    <row r="405" spans="1:20" s="34" customFormat="1" ht="15.75" hidden="1" customHeight="1" x14ac:dyDescent="0.3">
      <c r="A405" s="100" t="str">
        <f ca="1">(SUMPRODUCT(MID(0&amp;(LEFT(A404,SUM(LEN(A404)-LEN(SUBSTITUTE(A404,{"0","1","2"},""))))), LARGE(INDEX(ISNUMBER(--MID((LEFT(A404,SUM(LEN(A404)-LEN(SUBSTITUTE(A404,{"0","1","2"},""))))), ROW(INDIRECT("1:"&amp;LEN((LEFT(A404,SUM(LEN(A404)-LEN(SUBSTITUTE(A404,{"0","1","2"},"")))))))), 1)) * ROW(INDIRECT("1:"&amp;LEN((LEFT(A404,SUM(LEN(A404)-LEN(SUBSTITUTE(A404,{"0","1","2"},"")))))))), 0), ROW(INDIRECT("1:"&amp;LEN((LEFT(A404,SUM(LEN(A404)-LEN(SUBSTITUTE(A404,{"0","1","2"},"")))))))))+1, 1) * 10^ROW(INDIRECT("1:"&amp;LEN((LEFT(A404,SUM(LEN(A404)-LEN(SUBSTITUTE(A404,{"0","1","2"},""))))))))/10))*1+1&amp;""&amp;" to "&amp;""&amp;(SUMPRODUCT(MID(0&amp;(--TRIM(RIGHT(SUBSTITUTE(LEFT(A404,_xlfn.AGGREGATE(16,6,FIND({0,1,2,3,4,5,6,7,8,9},A404,ROW(INDIRECT("1:"&amp;LEN(A404)))),1))," ",REPT(" ",LEN(A404))),LEN(A404)))), LARGE(INDEX(ISNUMBER(--MID((--TRIM(RIGHT(SUBSTITUTE(LEFT(A404,_xlfn.AGGREGATE(16,6,FIND({0,1,2,3,4,5,6,7,8,9},A404,ROW(INDIRECT("1:"&amp;LEN(A404)))),1))," ",REPT(" ",LEN(A404))),LEN(A404)))), ROW(INDIRECT("1:"&amp;LEN((--TRIM(RIGHT(SUBSTITUTE(LEFT(A404,_xlfn.AGGREGATE(16,6,FIND({0,1,2,3,4,5,6,7,8,9},A404,ROW(INDIRECT("1:"&amp;LEN(A404)))),1))," ",REPT(" ",LEN(A404))),LEN(A404))))))), 1)) * ROW(INDIRECT("1:"&amp;LEN((--TRIM(RIGHT(SUBSTITUTE(LEFT(A404,_xlfn.AGGREGATE(16,6,FIND({0,1,2,3,4,5,6,7,8,9},A404,ROW(INDIRECT("1:"&amp;LEN(A404)))),1))," ",REPT(" ",LEN(A404))),LEN(A404))))))), 0), ROW(INDIRECT("1:"&amp;LEN((--TRIM(RIGHT(SUBSTITUTE(LEFT(A404,_xlfn.AGGREGATE(16,6,FIND({0,1,2,3,4,5,6,7,8,9},A404,ROW(INDIRECT("1:"&amp;LEN(A404)))),1))," ",REPT(" ",LEN(A404))),LEN(A404))))))))+1, 1) * 10^ROW(INDIRECT("1:"&amp;LEN((--TRIM(RIGHT(SUBSTITUTE(LEFT(A404,_xlfn.AGGREGATE(16,6,FIND({0,1,2,3,4,5,6,7,8,9},A404,ROW(INDIRECT("1:"&amp;LEN(A404)))),1))," ",REPT(" ",LEN(A404))),LEN(A404)))))))/10))*1+1</f>
        <v>202 to 502</v>
      </c>
      <c r="B405" s="102"/>
      <c r="C405" s="39"/>
      <c r="D405" s="39"/>
      <c r="E405" s="39">
        <v>0</v>
      </c>
      <c r="F405" s="39">
        <f>D405+E405</f>
        <v>0</v>
      </c>
      <c r="G405" s="39">
        <v>0</v>
      </c>
      <c r="H405" s="39">
        <f>F405*(($H$157)+1)+(IF(G405&lt;101,G405,IF(G405&lt;201,G405/2,IF(G405&lt;=301,G405/3,G405/4))))</f>
        <v>0</v>
      </c>
      <c r="I405" s="33"/>
    </row>
    <row r="406" spans="1:20" s="34" customFormat="1" ht="15.75" hidden="1" customHeight="1" x14ac:dyDescent="0.3">
      <c r="A406" s="100" t="str">
        <f ca="1">(SUMPRODUCT(MID(0&amp;(LEFT(A405,SUM(LEN(A405)-LEN(SUBSTITUTE(A405,{"0","1","2"},""))))), LARGE(INDEX(ISNUMBER(--MID((LEFT(A405,SUM(LEN(A405)-LEN(SUBSTITUTE(A405,{"0","1","2"},""))))), ROW(INDIRECT("1:"&amp;LEN((LEFT(A405,SUM(LEN(A405)-LEN(SUBSTITUTE(A405,{"0","1","2"},"")))))))), 1)) * ROW(INDIRECT("1:"&amp;LEN((LEFT(A405,SUM(LEN(A405)-LEN(SUBSTITUTE(A405,{"0","1","2"},"")))))))), 0), ROW(INDIRECT("1:"&amp;LEN((LEFT(A405,SUM(LEN(A405)-LEN(SUBSTITUTE(A405,{"0","1","2"},"")))))))))+1, 1) * 10^ROW(INDIRECT("1:"&amp;LEN((LEFT(A405,SUM(LEN(A405)-LEN(SUBSTITUTE(A405,{"0","1","2"},""))))))))/10))*1+1&amp;""&amp;" to "&amp;""&amp;(SUMPRODUCT(MID(0&amp;(--TRIM(RIGHT(SUBSTITUTE(LEFT(A405,_xlfn.AGGREGATE(16,6,FIND({0,1,2,3,4,5,6,7,8,9},A405,ROW(INDIRECT("1:"&amp;LEN(A405)))),1))," ",REPT(" ",LEN(A405))),LEN(A405)))), LARGE(INDEX(ISNUMBER(--MID((--TRIM(RIGHT(SUBSTITUTE(LEFT(A405,_xlfn.AGGREGATE(16,6,FIND({0,1,2,3,4,5,6,7,8,9},A405,ROW(INDIRECT("1:"&amp;LEN(A405)))),1))," ",REPT(" ",LEN(A405))),LEN(A405)))), ROW(INDIRECT("1:"&amp;LEN((--TRIM(RIGHT(SUBSTITUTE(LEFT(A405,_xlfn.AGGREGATE(16,6,FIND({0,1,2,3,4,5,6,7,8,9},A405,ROW(INDIRECT("1:"&amp;LEN(A405)))),1))," ",REPT(" ",LEN(A405))),LEN(A405))))))), 1)) * ROW(INDIRECT("1:"&amp;LEN((--TRIM(RIGHT(SUBSTITUTE(LEFT(A405,_xlfn.AGGREGATE(16,6,FIND({0,1,2,3,4,5,6,7,8,9},A405,ROW(INDIRECT("1:"&amp;LEN(A405)))),1))," ",REPT(" ",LEN(A405))),LEN(A405))))))), 0), ROW(INDIRECT("1:"&amp;LEN((--TRIM(RIGHT(SUBSTITUTE(LEFT(A405,_xlfn.AGGREGATE(16,6,FIND({0,1,2,3,4,5,6,7,8,9},A405,ROW(INDIRECT("1:"&amp;LEN(A405)))),1))," ",REPT(" ",LEN(A405))),LEN(A405))))))))+1, 1) * 10^ROW(INDIRECT("1:"&amp;LEN((--TRIM(RIGHT(SUBSTITUTE(LEFT(A405,_xlfn.AGGREGATE(16,6,FIND({0,1,2,3,4,5,6,7,8,9},A405,ROW(INDIRECT("1:"&amp;LEN(A405)))),1))," ",REPT(" ",LEN(A405))),LEN(A405)))))))/10))*1+1</f>
        <v>203 to 503</v>
      </c>
      <c r="B406" s="102"/>
      <c r="C406" s="39"/>
      <c r="D406" s="39"/>
      <c r="E406" s="39">
        <v>0</v>
      </c>
      <c r="F406" s="39">
        <f>D406+E406</f>
        <v>0</v>
      </c>
      <c r="G406" s="39">
        <v>0</v>
      </c>
      <c r="H406" s="39">
        <f>F406*(($H$157)+1)+(IF(G406&lt;101,G406,IF(G406&lt;201,G406/2,IF(G406&lt;=301,G406/3,G406/4))))</f>
        <v>0</v>
      </c>
      <c r="I406" s="33"/>
    </row>
    <row r="407" spans="1:20" s="34" customFormat="1" ht="15.75" hidden="1" customHeight="1" x14ac:dyDescent="0.3">
      <c r="A407" s="100" t="str">
        <f ca="1">(SUMPRODUCT(MID(0&amp;(LEFT(A406,SUM(LEN(A406)-LEN(SUBSTITUTE(A406,{"0","1","2"},""))))), LARGE(INDEX(ISNUMBER(--MID((LEFT(A406,SUM(LEN(A406)-LEN(SUBSTITUTE(A406,{"0","1","2"},""))))), ROW(INDIRECT("1:"&amp;LEN((LEFT(A406,SUM(LEN(A406)-LEN(SUBSTITUTE(A406,{"0","1","2"},"")))))))), 1)) * ROW(INDIRECT("1:"&amp;LEN((LEFT(A406,SUM(LEN(A406)-LEN(SUBSTITUTE(A406,{"0","1","2"},"")))))))), 0), ROW(INDIRECT("1:"&amp;LEN((LEFT(A406,SUM(LEN(A406)-LEN(SUBSTITUTE(A406,{"0","1","2"},"")))))))))+1, 1) * 10^ROW(INDIRECT("1:"&amp;LEN((LEFT(A406,SUM(LEN(A406)-LEN(SUBSTITUTE(A406,{"0","1","2"},""))))))))/10))*1+1&amp;""&amp;" to "&amp;""&amp;(SUMPRODUCT(MID(0&amp;(--TRIM(RIGHT(SUBSTITUTE(LEFT(A406,_xlfn.AGGREGATE(16,6,FIND({0,1,2,3,4,5,6,7,8,9},A406,ROW(INDIRECT("1:"&amp;LEN(A406)))),1))," ",REPT(" ",LEN(A406))),LEN(A406)))), LARGE(INDEX(ISNUMBER(--MID((--TRIM(RIGHT(SUBSTITUTE(LEFT(A406,_xlfn.AGGREGATE(16,6,FIND({0,1,2,3,4,5,6,7,8,9},A406,ROW(INDIRECT("1:"&amp;LEN(A406)))),1))," ",REPT(" ",LEN(A406))),LEN(A406)))), ROW(INDIRECT("1:"&amp;LEN((--TRIM(RIGHT(SUBSTITUTE(LEFT(A406,_xlfn.AGGREGATE(16,6,FIND({0,1,2,3,4,5,6,7,8,9},A406,ROW(INDIRECT("1:"&amp;LEN(A406)))),1))," ",REPT(" ",LEN(A406))),LEN(A406))))))), 1)) * ROW(INDIRECT("1:"&amp;LEN((--TRIM(RIGHT(SUBSTITUTE(LEFT(A406,_xlfn.AGGREGATE(16,6,FIND({0,1,2,3,4,5,6,7,8,9},A406,ROW(INDIRECT("1:"&amp;LEN(A406)))),1))," ",REPT(" ",LEN(A406))),LEN(A406))))))), 0), ROW(INDIRECT("1:"&amp;LEN((--TRIM(RIGHT(SUBSTITUTE(LEFT(A406,_xlfn.AGGREGATE(16,6,FIND({0,1,2,3,4,5,6,7,8,9},A406,ROW(INDIRECT("1:"&amp;LEN(A406)))),1))," ",REPT(" ",LEN(A406))),LEN(A406))))))))+1, 1) * 10^ROW(INDIRECT("1:"&amp;LEN((--TRIM(RIGHT(SUBSTITUTE(LEFT(A406,_xlfn.AGGREGATE(16,6,FIND({0,1,2,3,4,5,6,7,8,9},A406,ROW(INDIRECT("1:"&amp;LEN(A406)))),1))," ",REPT(" ",LEN(A406))),LEN(A406)))))))/10))*1+1</f>
        <v>204 to 504</v>
      </c>
      <c r="B407" s="102"/>
      <c r="C407" s="39"/>
      <c r="D407" s="39"/>
      <c r="E407" s="39">
        <v>0</v>
      </c>
      <c r="F407" s="39">
        <f>D407+E407</f>
        <v>0</v>
      </c>
      <c r="G407" s="39">
        <v>0</v>
      </c>
      <c r="H407" s="39">
        <f>F407*(($H$157)+1)+(IF(G407&lt;101,G407,IF(G407&lt;201,G407/2,IF(G407&lt;=301,G407/3,G407/4))))</f>
        <v>0</v>
      </c>
      <c r="I407" s="33"/>
    </row>
    <row r="408" spans="1:20" s="34" customFormat="1" ht="15.75" hidden="1" customHeight="1" x14ac:dyDescent="0.3">
      <c r="A408" s="100" t="str">
        <f ca="1">(SUMPRODUCT(MID(0&amp;(LEFT(A407,SUM(LEN(A407)-LEN(SUBSTITUTE(A407,{"0","1","2"},""))))), LARGE(INDEX(ISNUMBER(--MID((LEFT(A407,SUM(LEN(A407)-LEN(SUBSTITUTE(A407,{"0","1","2"},""))))), ROW(INDIRECT("1:"&amp;LEN((LEFT(A407,SUM(LEN(A407)-LEN(SUBSTITUTE(A407,{"0","1","2"},"")))))))), 1)) * ROW(INDIRECT("1:"&amp;LEN((LEFT(A407,SUM(LEN(A407)-LEN(SUBSTITUTE(A407,{"0","1","2"},"")))))))), 0), ROW(INDIRECT("1:"&amp;LEN((LEFT(A407,SUM(LEN(A407)-LEN(SUBSTITUTE(A407,{"0","1","2"},"")))))))))+1, 1) * 10^ROW(INDIRECT("1:"&amp;LEN((LEFT(A407,SUM(LEN(A407)-LEN(SUBSTITUTE(A407,{"0","1","2"},""))))))))/10))*1+1&amp;""&amp;" to "&amp;""&amp;(SUMPRODUCT(MID(0&amp;(--TRIM(RIGHT(SUBSTITUTE(LEFT(A407,_xlfn.AGGREGATE(16,6,FIND({0,1,2,3,4,5,6,7,8,9},A407,ROW(INDIRECT("1:"&amp;LEN(A407)))),1))," ",REPT(" ",LEN(A407))),LEN(A407)))), LARGE(INDEX(ISNUMBER(--MID((--TRIM(RIGHT(SUBSTITUTE(LEFT(A407,_xlfn.AGGREGATE(16,6,FIND({0,1,2,3,4,5,6,7,8,9},A407,ROW(INDIRECT("1:"&amp;LEN(A407)))),1))," ",REPT(" ",LEN(A407))),LEN(A407)))), ROW(INDIRECT("1:"&amp;LEN((--TRIM(RIGHT(SUBSTITUTE(LEFT(A407,_xlfn.AGGREGATE(16,6,FIND({0,1,2,3,4,5,6,7,8,9},A407,ROW(INDIRECT("1:"&amp;LEN(A407)))),1))," ",REPT(" ",LEN(A407))),LEN(A407))))))), 1)) * ROW(INDIRECT("1:"&amp;LEN((--TRIM(RIGHT(SUBSTITUTE(LEFT(A407,_xlfn.AGGREGATE(16,6,FIND({0,1,2,3,4,5,6,7,8,9},A407,ROW(INDIRECT("1:"&amp;LEN(A407)))),1))," ",REPT(" ",LEN(A407))),LEN(A407))))))), 0), ROW(INDIRECT("1:"&amp;LEN((--TRIM(RIGHT(SUBSTITUTE(LEFT(A407,_xlfn.AGGREGATE(16,6,FIND({0,1,2,3,4,5,6,7,8,9},A407,ROW(INDIRECT("1:"&amp;LEN(A407)))),1))," ",REPT(" ",LEN(A407))),LEN(A407))))))))+1, 1) * 10^ROW(INDIRECT("1:"&amp;LEN((--TRIM(RIGHT(SUBSTITUTE(LEFT(A407,_xlfn.AGGREGATE(16,6,FIND({0,1,2,3,4,5,6,7,8,9},A407,ROW(INDIRECT("1:"&amp;LEN(A407)))),1))," ",REPT(" ",LEN(A407))),LEN(A407)))))))/10))*1+1</f>
        <v>205 to 505</v>
      </c>
      <c r="B408" s="102"/>
      <c r="C408" s="39"/>
      <c r="D408" s="39"/>
      <c r="E408" s="39">
        <v>0</v>
      </c>
      <c r="F408" s="39">
        <f>D408+E408</f>
        <v>0</v>
      </c>
      <c r="G408" s="39">
        <v>0</v>
      </c>
      <c r="H408" s="39">
        <f>F408*(($H$157)+1)+(IF(G408&lt;101,G408,IF(G408&lt;201,G408/2,IF(G408&lt;=301,G408/3,G408/4))))</f>
        <v>0</v>
      </c>
      <c r="I408" s="33"/>
    </row>
    <row r="409" spans="1:20" s="34" customFormat="1" hidden="1" x14ac:dyDescent="0.3">
      <c r="A409" s="150" t="s">
        <v>143</v>
      </c>
      <c r="B409" s="151"/>
      <c r="C409" s="151"/>
      <c r="D409" s="151"/>
      <c r="E409" s="151"/>
      <c r="F409" s="151"/>
      <c r="G409" s="151"/>
      <c r="H409" s="152"/>
      <c r="I409" s="33"/>
    </row>
    <row r="410" spans="1:20" s="34" customFormat="1" ht="15.75" hidden="1" customHeight="1" x14ac:dyDescent="0.3">
      <c r="A410" s="100" t="str">
        <f ca="1">(SUMPRODUCT(MID(0&amp;(LEFT(A409,SUM(LEN(A409)-LEN(SUBSTITUTE(A409,{"0","1","2"},""))))), LARGE(INDEX(ISNUMBER(--MID((LEFT(A409,SUM(LEN(A409)-LEN(SUBSTITUTE(A409,{"0","1","2"},""))))), ROW(INDIRECT("1:"&amp;LEN((LEFT(A409,SUM(LEN(A409)-LEN(SUBSTITUTE(A409,{"0","1","2"},"")))))))), 1)) * ROW(INDIRECT("1:"&amp;LEN((LEFT(A409,SUM(LEN(A409)-LEN(SUBSTITUTE(A409,{"0","1","2"},"")))))))), 0), ROW(INDIRECT("1:"&amp;LEN((LEFT(A409,SUM(LEN(A409)-LEN(SUBSTITUTE(A409,{"0","1","2"},"")))))))))+1, 1) * 10^ROW(INDIRECT("1:"&amp;LEN((LEFT(A409,SUM(LEN(A409)-LEN(SUBSTITUTE(A409,{"0","1","2"},""))))))))/10))*100+1&amp;""&amp;" &amp; "&amp;""&amp;(SUMPRODUCT(MID(0&amp;(--TRIM(RIGHT(SUBSTITUTE(LEFT(A409,_xlfn.AGGREGATE(16,6,FIND({0,1,2,3,4,5,6,7,8,9},A409,ROW(INDIRECT("1:"&amp;LEN(A409)))),1))," ",REPT(" ",LEN(A409))),LEN(A409)))), LARGE(INDEX(ISNUMBER(--MID((--TRIM(RIGHT(SUBSTITUTE(LEFT(A409,_xlfn.AGGREGATE(16,6,FIND({0,1,2,3,4,5,6,7,8,9},A409,ROW(INDIRECT("1:"&amp;LEN(A409)))),1))," ",REPT(" ",LEN(A409))),LEN(A409)))), ROW(INDIRECT("1:"&amp;LEN((--TRIM(RIGHT(SUBSTITUTE(LEFT(A409,_xlfn.AGGREGATE(16,6,FIND({0,1,2,3,4,5,6,7,8,9},A409,ROW(INDIRECT("1:"&amp;LEN(A409)))),1))," ",REPT(" ",LEN(A409))),LEN(A409))))))), 1)) * ROW(INDIRECT("1:"&amp;LEN((--TRIM(RIGHT(SUBSTITUTE(LEFT(A409,_xlfn.AGGREGATE(16,6,FIND({0,1,2,3,4,5,6,7,8,9},A409,ROW(INDIRECT("1:"&amp;LEN(A409)))),1))," ",REPT(" ",LEN(A409))),LEN(A409))))))), 0), ROW(INDIRECT("1:"&amp;LEN((--TRIM(RIGHT(SUBSTITUTE(LEFT(A409,_xlfn.AGGREGATE(16,6,FIND({0,1,2,3,4,5,6,7,8,9},A409,ROW(INDIRECT("1:"&amp;LEN(A409)))),1))," ",REPT(" ",LEN(A409))),LEN(A409))))))))+1, 1) * 10^ROW(INDIRECT("1:"&amp;LEN((--TRIM(RIGHT(SUBSTITUTE(LEFT(A409,_xlfn.AGGREGATE(16,6,FIND({0,1,2,3,4,5,6,7,8,9},A409,ROW(INDIRECT("1:"&amp;LEN(A409)))),1))," ",REPT(" ",LEN(A409))),LEN(A409)))))))/10))*100+1</f>
        <v>201 &amp; 501</v>
      </c>
      <c r="B410" s="102"/>
      <c r="C410" s="39"/>
      <c r="D410" s="39"/>
      <c r="E410" s="39">
        <v>0</v>
      </c>
      <c r="F410" s="39">
        <f>D410+E410</f>
        <v>0</v>
      </c>
      <c r="G410" s="39">
        <v>0</v>
      </c>
      <c r="H410" s="39">
        <f>F410*(($H$157)+1)+(IF(G410&lt;101,G410,IF(G410&lt;201,G410/2,IF(G410&lt;=301,G410/3,G410/4))))</f>
        <v>0</v>
      </c>
      <c r="I410" s="33"/>
    </row>
    <row r="411" spans="1:20" s="34" customFormat="1" ht="15.75" hidden="1" customHeight="1" x14ac:dyDescent="0.3">
      <c r="A411" s="100" t="str">
        <f ca="1">(SUMPRODUCT(MID(0&amp;(LEFT(A410,SUM(LEN(A410)-LEN(SUBSTITUTE(A410,{"0","1","2"},""))))), LARGE(INDEX(ISNUMBER(--MID((LEFT(A410,SUM(LEN(A410)-LEN(SUBSTITUTE(A410,{"0","1","2"},""))))), ROW(INDIRECT("1:"&amp;LEN((LEFT(A410,SUM(LEN(A410)-LEN(SUBSTITUTE(A410,{"0","1","2"},"")))))))), 1)) * ROW(INDIRECT("1:"&amp;LEN((LEFT(A410,SUM(LEN(A410)-LEN(SUBSTITUTE(A410,{"0","1","2"},"")))))))), 0), ROW(INDIRECT("1:"&amp;LEN((LEFT(A410,SUM(LEN(A410)-LEN(SUBSTITUTE(A410,{"0","1","2"},"")))))))))+1, 1) * 10^ROW(INDIRECT("1:"&amp;LEN((LEFT(A410,SUM(LEN(A410)-LEN(SUBSTITUTE(A410,{"0","1","2"},""))))))))/10))*1+1&amp;""&amp;" &amp; "&amp;""&amp;(SUMPRODUCT(MID(0&amp;(--TRIM(RIGHT(SUBSTITUTE(LEFT(A410,_xlfn.AGGREGATE(16,6,FIND({0,1,2,3,4,5,6,7,8,9},A410,ROW(INDIRECT("1:"&amp;LEN(A410)))),1))," ",REPT(" ",LEN(A410))),LEN(A410)))), LARGE(INDEX(ISNUMBER(--MID((--TRIM(RIGHT(SUBSTITUTE(LEFT(A410,_xlfn.AGGREGATE(16,6,FIND({0,1,2,3,4,5,6,7,8,9},A410,ROW(INDIRECT("1:"&amp;LEN(A410)))),1))," ",REPT(" ",LEN(A410))),LEN(A410)))), ROW(INDIRECT("1:"&amp;LEN((--TRIM(RIGHT(SUBSTITUTE(LEFT(A410,_xlfn.AGGREGATE(16,6,FIND({0,1,2,3,4,5,6,7,8,9},A410,ROW(INDIRECT("1:"&amp;LEN(A410)))),1))," ",REPT(" ",LEN(A410))),LEN(A410))))))), 1)) * ROW(INDIRECT("1:"&amp;LEN((--TRIM(RIGHT(SUBSTITUTE(LEFT(A410,_xlfn.AGGREGATE(16,6,FIND({0,1,2,3,4,5,6,7,8,9},A410,ROW(INDIRECT("1:"&amp;LEN(A410)))),1))," ",REPT(" ",LEN(A410))),LEN(A410))))))), 0), ROW(INDIRECT("1:"&amp;LEN((--TRIM(RIGHT(SUBSTITUTE(LEFT(A410,_xlfn.AGGREGATE(16,6,FIND({0,1,2,3,4,5,6,7,8,9},A410,ROW(INDIRECT("1:"&amp;LEN(A410)))),1))," ",REPT(" ",LEN(A410))),LEN(A410))))))))+1, 1) * 10^ROW(INDIRECT("1:"&amp;LEN((--TRIM(RIGHT(SUBSTITUTE(LEFT(A410,_xlfn.AGGREGATE(16,6,FIND({0,1,2,3,4,5,6,7,8,9},A410,ROW(INDIRECT("1:"&amp;LEN(A410)))),1))," ",REPT(" ",LEN(A410))),LEN(A410)))))))/10))*1+1</f>
        <v>202 &amp; 502</v>
      </c>
      <c r="B411" s="102"/>
      <c r="C411" s="39"/>
      <c r="D411" s="39"/>
      <c r="E411" s="39">
        <v>0</v>
      </c>
      <c r="F411" s="39">
        <f>D411+E411</f>
        <v>0</v>
      </c>
      <c r="G411" s="39">
        <v>0</v>
      </c>
      <c r="H411" s="39">
        <f>F411*(($H$157)+1)+(IF(G411&lt;101,G411,IF(G411&lt;201,G411/2,IF(G411&lt;=301,G411/3,G411/4))))</f>
        <v>0</v>
      </c>
      <c r="I411" s="33"/>
    </row>
    <row r="412" spans="1:20" s="34" customFormat="1" ht="15.75" hidden="1" customHeight="1" x14ac:dyDescent="0.3">
      <c r="A412" s="100" t="str">
        <f ca="1">(SUMPRODUCT(MID(0&amp;(LEFT(A411,SUM(LEN(A411)-LEN(SUBSTITUTE(A411,{"0","1","2"},""))))), LARGE(INDEX(ISNUMBER(--MID((LEFT(A411,SUM(LEN(A411)-LEN(SUBSTITUTE(A411,{"0","1","2"},""))))), ROW(INDIRECT("1:"&amp;LEN((LEFT(A411,SUM(LEN(A411)-LEN(SUBSTITUTE(A411,{"0","1","2"},"")))))))), 1)) * ROW(INDIRECT("1:"&amp;LEN((LEFT(A411,SUM(LEN(A411)-LEN(SUBSTITUTE(A411,{"0","1","2"},"")))))))), 0), ROW(INDIRECT("1:"&amp;LEN((LEFT(A411,SUM(LEN(A411)-LEN(SUBSTITUTE(A411,{"0","1","2"},"")))))))))+1, 1) * 10^ROW(INDIRECT("1:"&amp;LEN((LEFT(A411,SUM(LEN(A411)-LEN(SUBSTITUTE(A411,{"0","1","2"},""))))))))/10))*1+1&amp;""&amp;" &amp; "&amp;""&amp;(SUMPRODUCT(MID(0&amp;(--TRIM(RIGHT(SUBSTITUTE(LEFT(A411,_xlfn.AGGREGATE(16,6,FIND({0,1,2,3,4,5,6,7,8,9},A411,ROW(INDIRECT("1:"&amp;LEN(A411)))),1))," ",REPT(" ",LEN(A411))),LEN(A411)))), LARGE(INDEX(ISNUMBER(--MID((--TRIM(RIGHT(SUBSTITUTE(LEFT(A411,_xlfn.AGGREGATE(16,6,FIND({0,1,2,3,4,5,6,7,8,9},A411,ROW(INDIRECT("1:"&amp;LEN(A411)))),1))," ",REPT(" ",LEN(A411))),LEN(A411)))), ROW(INDIRECT("1:"&amp;LEN((--TRIM(RIGHT(SUBSTITUTE(LEFT(A411,_xlfn.AGGREGATE(16,6,FIND({0,1,2,3,4,5,6,7,8,9},A411,ROW(INDIRECT("1:"&amp;LEN(A411)))),1))," ",REPT(" ",LEN(A411))),LEN(A411))))))), 1)) * ROW(INDIRECT("1:"&amp;LEN((--TRIM(RIGHT(SUBSTITUTE(LEFT(A411,_xlfn.AGGREGATE(16,6,FIND({0,1,2,3,4,5,6,7,8,9},A411,ROW(INDIRECT("1:"&amp;LEN(A411)))),1))," ",REPT(" ",LEN(A411))),LEN(A411))))))), 0), ROW(INDIRECT("1:"&amp;LEN((--TRIM(RIGHT(SUBSTITUTE(LEFT(A411,_xlfn.AGGREGATE(16,6,FIND({0,1,2,3,4,5,6,7,8,9},A411,ROW(INDIRECT("1:"&amp;LEN(A411)))),1))," ",REPT(" ",LEN(A411))),LEN(A411))))))))+1, 1) * 10^ROW(INDIRECT("1:"&amp;LEN((--TRIM(RIGHT(SUBSTITUTE(LEFT(A411,_xlfn.AGGREGATE(16,6,FIND({0,1,2,3,4,5,6,7,8,9},A411,ROW(INDIRECT("1:"&amp;LEN(A411)))),1))," ",REPT(" ",LEN(A411))),LEN(A411)))))))/10))*1+1</f>
        <v>203 &amp; 503</v>
      </c>
      <c r="B412" s="102"/>
      <c r="C412" s="39"/>
      <c r="D412" s="39"/>
      <c r="E412" s="39">
        <v>0</v>
      </c>
      <c r="F412" s="39">
        <f>D412+E412</f>
        <v>0</v>
      </c>
      <c r="G412" s="39">
        <v>0</v>
      </c>
      <c r="H412" s="39">
        <f>F412*(($H$157)+1)+(IF(G412&lt;101,G412,IF(G412&lt;201,G412/2,IF(G412&lt;=301,G412/3,G412/4))))</f>
        <v>0</v>
      </c>
      <c r="I412" s="33"/>
    </row>
    <row r="413" spans="1:20" s="34" customFormat="1" ht="15.75" hidden="1" customHeight="1" x14ac:dyDescent="0.3">
      <c r="A413" s="100" t="str">
        <f ca="1">(SUMPRODUCT(MID(0&amp;(LEFT(A412,SUM(LEN(A412)-LEN(SUBSTITUTE(A412,{"0","1","2"},""))))), LARGE(INDEX(ISNUMBER(--MID((LEFT(A412,SUM(LEN(A412)-LEN(SUBSTITUTE(A412,{"0","1","2"},""))))), ROW(INDIRECT("1:"&amp;LEN((LEFT(A412,SUM(LEN(A412)-LEN(SUBSTITUTE(A412,{"0","1","2"},"")))))))), 1)) * ROW(INDIRECT("1:"&amp;LEN((LEFT(A412,SUM(LEN(A412)-LEN(SUBSTITUTE(A412,{"0","1","2"},"")))))))), 0), ROW(INDIRECT("1:"&amp;LEN((LEFT(A412,SUM(LEN(A412)-LEN(SUBSTITUTE(A412,{"0","1","2"},"")))))))))+1, 1) * 10^ROW(INDIRECT("1:"&amp;LEN((LEFT(A412,SUM(LEN(A412)-LEN(SUBSTITUTE(A412,{"0","1","2"},""))))))))/10))*1+1&amp;""&amp;" &amp; "&amp;""&amp;(SUMPRODUCT(MID(0&amp;(--TRIM(RIGHT(SUBSTITUTE(LEFT(A412,_xlfn.AGGREGATE(16,6,FIND({0,1,2,3,4,5,6,7,8,9},A412,ROW(INDIRECT("1:"&amp;LEN(A412)))),1))," ",REPT(" ",LEN(A412))),LEN(A412)))), LARGE(INDEX(ISNUMBER(--MID((--TRIM(RIGHT(SUBSTITUTE(LEFT(A412,_xlfn.AGGREGATE(16,6,FIND({0,1,2,3,4,5,6,7,8,9},A412,ROW(INDIRECT("1:"&amp;LEN(A412)))),1))," ",REPT(" ",LEN(A412))),LEN(A412)))), ROW(INDIRECT("1:"&amp;LEN((--TRIM(RIGHT(SUBSTITUTE(LEFT(A412,_xlfn.AGGREGATE(16,6,FIND({0,1,2,3,4,5,6,7,8,9},A412,ROW(INDIRECT("1:"&amp;LEN(A412)))),1))," ",REPT(" ",LEN(A412))),LEN(A412))))))), 1)) * ROW(INDIRECT("1:"&amp;LEN((--TRIM(RIGHT(SUBSTITUTE(LEFT(A412,_xlfn.AGGREGATE(16,6,FIND({0,1,2,3,4,5,6,7,8,9},A412,ROW(INDIRECT("1:"&amp;LEN(A412)))),1))," ",REPT(" ",LEN(A412))),LEN(A412))))))), 0), ROW(INDIRECT("1:"&amp;LEN((--TRIM(RIGHT(SUBSTITUTE(LEFT(A412,_xlfn.AGGREGATE(16,6,FIND({0,1,2,3,4,5,6,7,8,9},A412,ROW(INDIRECT("1:"&amp;LEN(A412)))),1))," ",REPT(" ",LEN(A412))),LEN(A412))))))))+1, 1) * 10^ROW(INDIRECT("1:"&amp;LEN((--TRIM(RIGHT(SUBSTITUTE(LEFT(A412,_xlfn.AGGREGATE(16,6,FIND({0,1,2,3,4,5,6,7,8,9},A412,ROW(INDIRECT("1:"&amp;LEN(A412)))),1))," ",REPT(" ",LEN(A412))),LEN(A412)))))))/10))*1+1</f>
        <v>204 &amp; 504</v>
      </c>
      <c r="B413" s="102"/>
      <c r="C413" s="39"/>
      <c r="D413" s="39"/>
      <c r="E413" s="39">
        <v>0</v>
      </c>
      <c r="F413" s="39">
        <f>D413+E413</f>
        <v>0</v>
      </c>
      <c r="G413" s="39">
        <v>0</v>
      </c>
      <c r="H413" s="39">
        <f>F413*(($H$157)+1)+(IF(G413&lt;101,G413,IF(G413&lt;201,G413/2,IF(G413&lt;=301,G413/3,G413/4))))</f>
        <v>0</v>
      </c>
      <c r="I413" s="33"/>
    </row>
    <row r="414" spans="1:20" s="34" customFormat="1" ht="15.75" hidden="1" customHeight="1" x14ac:dyDescent="0.3">
      <c r="A414" s="100" t="str">
        <f ca="1">(SUMPRODUCT(MID(0&amp;(LEFT(A413,SUM(LEN(A413)-LEN(SUBSTITUTE(A413,{"0","1","2"},""))))), LARGE(INDEX(ISNUMBER(--MID((LEFT(A413,SUM(LEN(A413)-LEN(SUBSTITUTE(A413,{"0","1","2"},""))))), ROW(INDIRECT("1:"&amp;LEN((LEFT(A413,SUM(LEN(A413)-LEN(SUBSTITUTE(A413,{"0","1","2"},"")))))))), 1)) * ROW(INDIRECT("1:"&amp;LEN((LEFT(A413,SUM(LEN(A413)-LEN(SUBSTITUTE(A413,{"0","1","2"},"")))))))), 0), ROW(INDIRECT("1:"&amp;LEN((LEFT(A413,SUM(LEN(A413)-LEN(SUBSTITUTE(A413,{"0","1","2"},"")))))))))+1, 1) * 10^ROW(INDIRECT("1:"&amp;LEN((LEFT(A413,SUM(LEN(A413)-LEN(SUBSTITUTE(A413,{"0","1","2"},""))))))))/10))*1+1&amp;""&amp;" &amp; "&amp;""&amp;(SUMPRODUCT(MID(0&amp;(--TRIM(RIGHT(SUBSTITUTE(LEFT(A413,_xlfn.AGGREGATE(16,6,FIND({0,1,2,3,4,5,6,7,8,9},A413,ROW(INDIRECT("1:"&amp;LEN(A413)))),1))," ",REPT(" ",LEN(A413))),LEN(A413)))), LARGE(INDEX(ISNUMBER(--MID((--TRIM(RIGHT(SUBSTITUTE(LEFT(A413,_xlfn.AGGREGATE(16,6,FIND({0,1,2,3,4,5,6,7,8,9},A413,ROW(INDIRECT("1:"&amp;LEN(A413)))),1))," ",REPT(" ",LEN(A413))),LEN(A413)))), ROW(INDIRECT("1:"&amp;LEN((--TRIM(RIGHT(SUBSTITUTE(LEFT(A413,_xlfn.AGGREGATE(16,6,FIND({0,1,2,3,4,5,6,7,8,9},A413,ROW(INDIRECT("1:"&amp;LEN(A413)))),1))," ",REPT(" ",LEN(A413))),LEN(A413))))))), 1)) * ROW(INDIRECT("1:"&amp;LEN((--TRIM(RIGHT(SUBSTITUTE(LEFT(A413,_xlfn.AGGREGATE(16,6,FIND({0,1,2,3,4,5,6,7,8,9},A413,ROW(INDIRECT("1:"&amp;LEN(A413)))),1))," ",REPT(" ",LEN(A413))),LEN(A413))))))), 0), ROW(INDIRECT("1:"&amp;LEN((--TRIM(RIGHT(SUBSTITUTE(LEFT(A413,_xlfn.AGGREGATE(16,6,FIND({0,1,2,3,4,5,6,7,8,9},A413,ROW(INDIRECT("1:"&amp;LEN(A413)))),1))," ",REPT(" ",LEN(A413))),LEN(A413))))))))+1, 1) * 10^ROW(INDIRECT("1:"&amp;LEN((--TRIM(RIGHT(SUBSTITUTE(LEFT(A413,_xlfn.AGGREGATE(16,6,FIND({0,1,2,3,4,5,6,7,8,9},A413,ROW(INDIRECT("1:"&amp;LEN(A413)))),1))," ",REPT(" ",LEN(A413))),LEN(A413)))))))/10))*1+1</f>
        <v>205 &amp; 505</v>
      </c>
      <c r="B414" s="102"/>
      <c r="C414" s="39"/>
      <c r="D414" s="39"/>
      <c r="E414" s="39">
        <v>0</v>
      </c>
      <c r="F414" s="39">
        <f>D414+E414</f>
        <v>0</v>
      </c>
      <c r="G414" s="39">
        <v>0</v>
      </c>
      <c r="H414" s="39">
        <f>F414*(($H$157)+1)+(IF(G414&lt;101,G414,IF(G414&lt;201,G414/2,IF(G414&lt;=301,G414/3,G414/4))))</f>
        <v>0</v>
      </c>
      <c r="I414" s="33"/>
    </row>
    <row r="415" spans="1:20" s="32" customFormat="1" x14ac:dyDescent="0.3">
      <c r="A415" s="202" t="s">
        <v>63</v>
      </c>
      <c r="B415" s="202"/>
      <c r="C415" s="202"/>
      <c r="D415" s="202"/>
      <c r="E415" s="202"/>
      <c r="F415" s="202"/>
      <c r="G415" s="202"/>
      <c r="H415" s="202"/>
      <c r="T415" s="34"/>
    </row>
    <row r="416" spans="1:20" s="32" customFormat="1" x14ac:dyDescent="0.3">
      <c r="A416" s="41" t="s">
        <v>152</v>
      </c>
      <c r="B416" s="195" t="s">
        <v>395</v>
      </c>
      <c r="C416" s="196"/>
      <c r="D416" s="196"/>
      <c r="E416" s="196"/>
      <c r="F416" s="196"/>
      <c r="G416" s="196"/>
      <c r="H416" s="197"/>
      <c r="T416" s="34"/>
    </row>
    <row r="417" spans="1:20" s="32" customFormat="1" x14ac:dyDescent="0.3">
      <c r="A417" s="41" t="s">
        <v>152</v>
      </c>
      <c r="B417" s="195" t="str">
        <f>(IF(H156="Saleable area Loading :","We have considered Saleable area of Flats as per our Calculation.","We considered Saleable area of Flat as per Builder area Sheet."))</f>
        <v>We have considered Saleable area of Flats as per our Calculation.</v>
      </c>
      <c r="C417" s="196"/>
      <c r="D417" s="196"/>
      <c r="E417" s="196"/>
      <c r="F417" s="196"/>
      <c r="G417" s="196"/>
      <c r="H417" s="197"/>
      <c r="T417" s="34"/>
    </row>
    <row r="418" spans="1:20" s="32" customFormat="1" x14ac:dyDescent="0.3">
      <c r="A418" s="41" t="s">
        <v>152</v>
      </c>
      <c r="B418" s="195" t="str">
        <f>(IF(H130="Saleable area Loading :","We have considered Saleable area of Commercial as per our Calculation.","We considered Saleable area of Commercial as per Builder area Sheet."))</f>
        <v>We have considered Saleable area of Commercial as per our Calculation.</v>
      </c>
      <c r="C418" s="196"/>
      <c r="D418" s="196"/>
      <c r="E418" s="196"/>
      <c r="F418" s="196"/>
      <c r="G418" s="196"/>
      <c r="H418" s="197"/>
      <c r="T418" s="34"/>
    </row>
    <row r="419" spans="1:20" s="32" customFormat="1" x14ac:dyDescent="0.3">
      <c r="A419" s="41" t="s">
        <v>152</v>
      </c>
      <c r="B419" s="195" t="s">
        <v>119</v>
      </c>
      <c r="C419" s="196"/>
      <c r="D419" s="196"/>
      <c r="E419" s="196"/>
      <c r="F419" s="196"/>
      <c r="G419" s="196"/>
      <c r="H419" s="197"/>
      <c r="T419" s="34"/>
    </row>
    <row r="420" spans="1:20" s="32" customFormat="1" x14ac:dyDescent="0.3">
      <c r="A420" s="41" t="s">
        <v>152</v>
      </c>
      <c r="B420" s="195" t="s">
        <v>389</v>
      </c>
      <c r="C420" s="196"/>
      <c r="D420" s="196"/>
      <c r="E420" s="196"/>
      <c r="F420" s="196"/>
      <c r="G420" s="196"/>
      <c r="H420" s="197"/>
      <c r="T420" s="34"/>
    </row>
    <row r="421" spans="1:20" s="32" customFormat="1" x14ac:dyDescent="0.3">
      <c r="A421" s="41" t="s">
        <v>152</v>
      </c>
      <c r="B421" s="195" t="s">
        <v>151</v>
      </c>
      <c r="C421" s="196"/>
      <c r="D421" s="196"/>
      <c r="E421" s="196"/>
      <c r="F421" s="196"/>
      <c r="G421" s="196"/>
      <c r="H421" s="197"/>
    </row>
    <row r="422" spans="1:20" s="32" customFormat="1" x14ac:dyDescent="0.3">
      <c r="A422" s="41" t="s">
        <v>152</v>
      </c>
      <c r="B422" s="195" t="s">
        <v>120</v>
      </c>
      <c r="C422" s="196"/>
      <c r="D422" s="196"/>
      <c r="E422" s="196"/>
      <c r="F422" s="196"/>
      <c r="G422" s="196"/>
      <c r="H422" s="197"/>
    </row>
    <row r="423" spans="1:20" s="32" customFormat="1" ht="34.5" customHeight="1" x14ac:dyDescent="0.3">
      <c r="A423" s="41" t="s">
        <v>152</v>
      </c>
      <c r="B423" s="155" t="s">
        <v>153</v>
      </c>
      <c r="C423" s="155"/>
      <c r="D423" s="155"/>
      <c r="E423" s="155"/>
      <c r="F423" s="155"/>
      <c r="G423" s="155"/>
      <c r="H423" s="155"/>
      <c r="I423" s="32">
        <v>467</v>
      </c>
    </row>
    <row r="424" spans="1:20" s="32" customFormat="1" x14ac:dyDescent="0.3">
      <c r="A424" s="41" t="s">
        <v>152</v>
      </c>
      <c r="B424" s="105" t="s">
        <v>121</v>
      </c>
      <c r="C424" s="105"/>
      <c r="D424" s="105"/>
      <c r="E424" s="105"/>
      <c r="F424" s="105"/>
      <c r="G424" s="105"/>
      <c r="H424" s="105"/>
      <c r="J424" s="32" t="s">
        <v>429</v>
      </c>
    </row>
    <row r="425" spans="1:20" s="32" customFormat="1" ht="32.25" hidden="1" customHeight="1" x14ac:dyDescent="0.3">
      <c r="A425" s="41" t="s">
        <v>152</v>
      </c>
      <c r="B425" s="153" t="s">
        <v>178</v>
      </c>
      <c r="C425" s="153"/>
      <c r="D425" s="153"/>
      <c r="E425" s="153"/>
      <c r="F425" s="153"/>
      <c r="G425" s="153"/>
      <c r="H425" s="153"/>
    </row>
    <row r="426" spans="1:20" s="32" customFormat="1" hidden="1" x14ac:dyDescent="0.3">
      <c r="A426" s="41" t="s">
        <v>152</v>
      </c>
      <c r="B426" s="153" t="s">
        <v>234</v>
      </c>
      <c r="C426" s="153"/>
      <c r="D426" s="153"/>
      <c r="E426" s="153"/>
      <c r="F426" s="153"/>
      <c r="G426" s="153"/>
      <c r="H426" s="153"/>
    </row>
    <row r="427" spans="1:20" s="32" customFormat="1" hidden="1" x14ac:dyDescent="0.3">
      <c r="A427" s="41" t="s">
        <v>152</v>
      </c>
      <c r="B427" s="105" t="s">
        <v>392</v>
      </c>
      <c r="C427" s="105"/>
      <c r="D427" s="105"/>
      <c r="E427" s="105"/>
      <c r="F427" s="105"/>
      <c r="G427" s="105"/>
      <c r="H427" s="105"/>
    </row>
    <row r="428" spans="1:20" s="32" customFormat="1" ht="30.9" customHeight="1" x14ac:dyDescent="0.3">
      <c r="A428" s="41" t="s">
        <v>152</v>
      </c>
      <c r="B428" s="105" t="s">
        <v>430</v>
      </c>
      <c r="C428" s="105"/>
      <c r="D428" s="105"/>
      <c r="E428" s="105"/>
      <c r="F428" s="105"/>
      <c r="G428" s="105"/>
      <c r="H428" s="105"/>
      <c r="N428" s="77"/>
    </row>
    <row r="429" spans="1:20" s="32" customFormat="1" x14ac:dyDescent="0.3">
      <c r="A429" s="41" t="s">
        <v>152</v>
      </c>
      <c r="B429" s="90" t="s">
        <v>431</v>
      </c>
      <c r="C429" s="91"/>
      <c r="D429" s="91"/>
      <c r="E429" s="91"/>
      <c r="F429" s="91"/>
      <c r="G429" s="91"/>
      <c r="H429" s="92"/>
    </row>
    <row r="430" spans="1:20" s="32" customFormat="1" ht="15.75" customHeight="1" x14ac:dyDescent="0.3">
      <c r="A430" s="81" t="s">
        <v>152</v>
      </c>
      <c r="B430" s="87" t="s">
        <v>438</v>
      </c>
      <c r="C430" s="88"/>
      <c r="D430" s="88"/>
      <c r="E430" s="88"/>
      <c r="F430" s="88"/>
      <c r="G430" s="88"/>
      <c r="H430" s="89"/>
    </row>
    <row r="431" spans="1:20" s="32" customFormat="1" ht="31.5" customHeight="1" x14ac:dyDescent="0.3">
      <c r="A431" s="82"/>
      <c r="B431" s="93" t="s">
        <v>432</v>
      </c>
      <c r="C431" s="93"/>
      <c r="D431" s="93"/>
      <c r="E431" s="94" t="s">
        <v>439</v>
      </c>
      <c r="F431" s="94"/>
      <c r="G431" s="94"/>
      <c r="H431" s="94"/>
    </row>
    <row r="432" spans="1:20" s="32" customFormat="1" ht="204" customHeight="1" x14ac:dyDescent="0.3">
      <c r="A432" s="83"/>
      <c r="B432" s="84" t="s">
        <v>434</v>
      </c>
      <c r="C432" s="85"/>
      <c r="D432" s="86"/>
      <c r="E432" s="84" t="s">
        <v>435</v>
      </c>
      <c r="F432" s="85"/>
      <c r="G432" s="85"/>
      <c r="H432" s="86"/>
      <c r="O432" s="77">
        <v>45632</v>
      </c>
    </row>
    <row r="433" spans="1:20" x14ac:dyDescent="0.3">
      <c r="A433" s="156" t="s">
        <v>56</v>
      </c>
      <c r="B433" s="156"/>
      <c r="C433" s="156"/>
      <c r="D433" s="156"/>
      <c r="E433" s="156"/>
      <c r="F433" s="156"/>
      <c r="G433" s="156"/>
      <c r="H433" s="156"/>
      <c r="T433" s="32"/>
    </row>
    <row r="434" spans="1:20" x14ac:dyDescent="0.3">
      <c r="A434" s="106" t="s">
        <v>57</v>
      </c>
      <c r="B434" s="106"/>
      <c r="C434" s="106"/>
      <c r="D434" s="106"/>
      <c r="E434" s="106"/>
      <c r="F434" s="106"/>
      <c r="G434" s="106"/>
      <c r="H434" s="106"/>
      <c r="T434" s="32"/>
    </row>
    <row r="435" spans="1:20" ht="15.75" customHeight="1" x14ac:dyDescent="0.3">
      <c r="A435" s="145" t="s">
        <v>58</v>
      </c>
      <c r="B435" s="145"/>
      <c r="C435" s="145"/>
      <c r="D435" s="145"/>
      <c r="E435" s="145"/>
      <c r="F435" s="145"/>
      <c r="G435" s="145"/>
      <c r="H435" s="145"/>
      <c r="T435" s="32"/>
    </row>
    <row r="436" spans="1:20" x14ac:dyDescent="0.3">
      <c r="A436" s="106" t="s">
        <v>59</v>
      </c>
      <c r="B436" s="106"/>
      <c r="C436" s="106"/>
      <c r="D436" s="106"/>
      <c r="E436" s="106"/>
      <c r="F436" s="106"/>
      <c r="G436" s="106"/>
      <c r="H436" s="106"/>
      <c r="T436" s="32"/>
    </row>
    <row r="437" spans="1:20" x14ac:dyDescent="0.3">
      <c r="A437" s="106" t="s">
        <v>60</v>
      </c>
      <c r="B437" s="106"/>
      <c r="C437" s="106"/>
      <c r="D437" s="106"/>
      <c r="E437" s="106"/>
      <c r="F437" s="106"/>
      <c r="G437" s="106"/>
      <c r="H437" s="106"/>
      <c r="T437" s="32"/>
    </row>
    <row r="438" spans="1:20" x14ac:dyDescent="0.3">
      <c r="A438" s="106" t="s">
        <v>122</v>
      </c>
      <c r="B438" s="106"/>
      <c r="C438" s="106"/>
      <c r="D438" s="106"/>
      <c r="E438" s="106"/>
      <c r="F438" s="106"/>
      <c r="G438" s="106"/>
      <c r="H438" s="106"/>
      <c r="T438" s="32"/>
    </row>
    <row r="439" spans="1:20" ht="33.9" customHeight="1" x14ac:dyDescent="0.3">
      <c r="A439" s="114" t="s">
        <v>123</v>
      </c>
      <c r="B439" s="114"/>
      <c r="C439" s="114"/>
      <c r="D439" s="114"/>
      <c r="E439" s="114"/>
      <c r="F439" s="114"/>
      <c r="G439" s="114"/>
      <c r="H439" s="114"/>
    </row>
    <row r="440" spans="1:20" x14ac:dyDescent="0.3">
      <c r="A440" s="164" t="s">
        <v>72</v>
      </c>
      <c r="B440" s="164"/>
      <c r="C440" s="164" t="s">
        <v>352</v>
      </c>
      <c r="D440" s="164"/>
      <c r="E440" s="164" t="s">
        <v>102</v>
      </c>
      <c r="F440" s="164"/>
      <c r="G440" s="164" t="s">
        <v>440</v>
      </c>
      <c r="H440" s="164"/>
    </row>
    <row r="441" spans="1:20" x14ac:dyDescent="0.3">
      <c r="A441" s="163" t="s">
        <v>74</v>
      </c>
      <c r="B441" s="163"/>
      <c r="C441" s="163"/>
      <c r="D441" s="163"/>
      <c r="E441" s="163"/>
      <c r="F441" s="163"/>
      <c r="G441" s="163"/>
      <c r="H441" s="163"/>
    </row>
    <row r="442" spans="1:20" x14ac:dyDescent="0.3">
      <c r="A442" s="163"/>
      <c r="B442" s="163"/>
      <c r="C442" s="163"/>
      <c r="D442" s="163"/>
      <c r="E442" s="163"/>
      <c r="F442" s="163"/>
      <c r="G442" s="163"/>
      <c r="H442" s="163"/>
    </row>
    <row r="443" spans="1:20" x14ac:dyDescent="0.3">
      <c r="A443" s="163"/>
      <c r="B443" s="163"/>
      <c r="C443" s="163"/>
      <c r="D443" s="163"/>
      <c r="E443" s="163"/>
      <c r="F443" s="163"/>
      <c r="G443" s="163"/>
      <c r="H443" s="163"/>
    </row>
    <row r="444" spans="1:20" x14ac:dyDescent="0.3">
      <c r="A444" s="163"/>
      <c r="B444" s="163"/>
      <c r="C444" s="163"/>
      <c r="D444" s="163"/>
      <c r="E444" s="163"/>
      <c r="F444" s="163"/>
      <c r="G444" s="163"/>
      <c r="H444" s="163"/>
    </row>
    <row r="445" spans="1:20" x14ac:dyDescent="0.3">
      <c r="A445" s="35" t="s">
        <v>61</v>
      </c>
      <c r="B445" s="36"/>
      <c r="C445" s="36"/>
      <c r="D445" s="35" t="str">
        <f>E9</f>
        <v>Codename Lottery</v>
      </c>
      <c r="F445" s="36"/>
      <c r="G445" s="36"/>
      <c r="H445" s="36"/>
    </row>
    <row r="446" spans="1:20" x14ac:dyDescent="0.3">
      <c r="A446" s="36"/>
      <c r="B446" s="36"/>
      <c r="C446" s="36"/>
      <c r="D446" s="36"/>
      <c r="E446" s="36"/>
      <c r="F446" s="36"/>
      <c r="G446" s="36"/>
      <c r="H446" s="36"/>
    </row>
    <row r="447" spans="1:20" x14ac:dyDescent="0.3">
      <c r="A447" s="36"/>
      <c r="B447" s="36"/>
      <c r="C447" s="36"/>
      <c r="D447" s="36"/>
      <c r="E447" s="36"/>
      <c r="F447" s="36"/>
      <c r="G447" s="36"/>
      <c r="H447" s="36"/>
    </row>
    <row r="448" spans="1:20" ht="15" customHeight="1" x14ac:dyDescent="0.3"/>
    <row r="483" spans="1:1" hidden="1" x14ac:dyDescent="0.3"/>
    <row r="484" spans="1:1" hidden="1" x14ac:dyDescent="0.3"/>
    <row r="485" spans="1:1" hidden="1" x14ac:dyDescent="0.3"/>
    <row r="486" spans="1:1" hidden="1" x14ac:dyDescent="0.3"/>
    <row r="487" spans="1:1" hidden="1" x14ac:dyDescent="0.3"/>
    <row r="488" spans="1:1" x14ac:dyDescent="0.3">
      <c r="A488" s="38" t="s">
        <v>162</v>
      </c>
    </row>
    <row r="530" spans="1:1" x14ac:dyDescent="0.3">
      <c r="A530" s="38" t="s">
        <v>62</v>
      </c>
    </row>
  </sheetData>
  <mergeCells count="856">
    <mergeCell ref="E432:H432"/>
    <mergeCell ref="A260:B260"/>
    <mergeCell ref="L260:M260"/>
    <mergeCell ref="A261:B261"/>
    <mergeCell ref="L261:M261"/>
    <mergeCell ref="A262:B262"/>
    <mergeCell ref="L262:M262"/>
    <mergeCell ref="C165:H165"/>
    <mergeCell ref="C175:H175"/>
    <mergeCell ref="C184:H184"/>
    <mergeCell ref="C238:H238"/>
    <mergeCell ref="C250:H250"/>
    <mergeCell ref="C258:H258"/>
    <mergeCell ref="A254:B254"/>
    <mergeCell ref="L254:M254"/>
    <mergeCell ref="A255:B255"/>
    <mergeCell ref="L255:M255"/>
    <mergeCell ref="A256:B256"/>
    <mergeCell ref="L256:M256"/>
    <mergeCell ref="A257:B257"/>
    <mergeCell ref="L257:M257"/>
    <mergeCell ref="A258:B258"/>
    <mergeCell ref="L258:M258"/>
    <mergeCell ref="A250:B250"/>
    <mergeCell ref="L250:M250"/>
    <mergeCell ref="A251:B251"/>
    <mergeCell ref="L251:M251"/>
    <mergeCell ref="A252:B252"/>
    <mergeCell ref="L252:M252"/>
    <mergeCell ref="A253:B253"/>
    <mergeCell ref="L253:M253"/>
    <mergeCell ref="A259:B259"/>
    <mergeCell ref="L259:M259"/>
    <mergeCell ref="A245:B245"/>
    <mergeCell ref="L245:M245"/>
    <mergeCell ref="A246:B246"/>
    <mergeCell ref="L246:M246"/>
    <mergeCell ref="A247:B247"/>
    <mergeCell ref="L247:M247"/>
    <mergeCell ref="A248:B248"/>
    <mergeCell ref="L248:M248"/>
    <mergeCell ref="A249:B249"/>
    <mergeCell ref="L249:M249"/>
    <mergeCell ref="L240:M240"/>
    <mergeCell ref="A241:B241"/>
    <mergeCell ref="L241:M241"/>
    <mergeCell ref="A242:B242"/>
    <mergeCell ref="L242:M242"/>
    <mergeCell ref="A243:B243"/>
    <mergeCell ref="L243:M243"/>
    <mergeCell ref="A244:B244"/>
    <mergeCell ref="L244:M244"/>
    <mergeCell ref="L234:M234"/>
    <mergeCell ref="A235:B235"/>
    <mergeCell ref="L235:M235"/>
    <mergeCell ref="A236:B236"/>
    <mergeCell ref="L236:M236"/>
    <mergeCell ref="A237:H237"/>
    <mergeCell ref="A238:B238"/>
    <mergeCell ref="L238:M238"/>
    <mergeCell ref="A239:B239"/>
    <mergeCell ref="L239:M239"/>
    <mergeCell ref="L229:M229"/>
    <mergeCell ref="A230:B230"/>
    <mergeCell ref="L230:M230"/>
    <mergeCell ref="A231:B231"/>
    <mergeCell ref="L231:M231"/>
    <mergeCell ref="A232:B232"/>
    <mergeCell ref="L232:M232"/>
    <mergeCell ref="A233:B233"/>
    <mergeCell ref="L233:M233"/>
    <mergeCell ref="L224:M224"/>
    <mergeCell ref="A225:B225"/>
    <mergeCell ref="L225:M225"/>
    <mergeCell ref="A226:B226"/>
    <mergeCell ref="L226:M226"/>
    <mergeCell ref="A227:B227"/>
    <mergeCell ref="L227:M227"/>
    <mergeCell ref="A228:B228"/>
    <mergeCell ref="L228:M228"/>
    <mergeCell ref="L219:M219"/>
    <mergeCell ref="A220:B220"/>
    <mergeCell ref="L220:M220"/>
    <mergeCell ref="A221:B221"/>
    <mergeCell ref="L221:M221"/>
    <mergeCell ref="A222:B222"/>
    <mergeCell ref="L222:M222"/>
    <mergeCell ref="A223:B223"/>
    <mergeCell ref="L223:M223"/>
    <mergeCell ref="L214:M214"/>
    <mergeCell ref="A215:B215"/>
    <mergeCell ref="L215:M215"/>
    <mergeCell ref="A216:B216"/>
    <mergeCell ref="L216:M216"/>
    <mergeCell ref="A217:B217"/>
    <mergeCell ref="L217:M217"/>
    <mergeCell ref="A218:B218"/>
    <mergeCell ref="L218:M218"/>
    <mergeCell ref="A214:B214"/>
    <mergeCell ref="L209:M209"/>
    <mergeCell ref="A210:B210"/>
    <mergeCell ref="L210:M210"/>
    <mergeCell ref="A211:H211"/>
    <mergeCell ref="A212:B212"/>
    <mergeCell ref="L212:M212"/>
    <mergeCell ref="A213:B213"/>
    <mergeCell ref="L213:M213"/>
    <mergeCell ref="C209:H209"/>
    <mergeCell ref="L204:M204"/>
    <mergeCell ref="A205:B205"/>
    <mergeCell ref="L205:M205"/>
    <mergeCell ref="A206:B206"/>
    <mergeCell ref="L206:M206"/>
    <mergeCell ref="A207:B207"/>
    <mergeCell ref="L207:M207"/>
    <mergeCell ref="A208:B208"/>
    <mergeCell ref="L208:M208"/>
    <mergeCell ref="C207:H207"/>
    <mergeCell ref="C208:H208"/>
    <mergeCell ref="L199:M199"/>
    <mergeCell ref="A200:B200"/>
    <mergeCell ref="L200:M200"/>
    <mergeCell ref="A201:B201"/>
    <mergeCell ref="L201:M201"/>
    <mergeCell ref="A202:B202"/>
    <mergeCell ref="L202:M202"/>
    <mergeCell ref="A203:B203"/>
    <mergeCell ref="L203:M203"/>
    <mergeCell ref="C202:H202"/>
    <mergeCell ref="C203:H203"/>
    <mergeCell ref="L194:M194"/>
    <mergeCell ref="A195:B195"/>
    <mergeCell ref="L195:M195"/>
    <mergeCell ref="A196:B196"/>
    <mergeCell ref="L196:M196"/>
    <mergeCell ref="A197:B197"/>
    <mergeCell ref="L197:M197"/>
    <mergeCell ref="A198:B198"/>
    <mergeCell ref="L198:M198"/>
    <mergeCell ref="L189:M189"/>
    <mergeCell ref="A190:B190"/>
    <mergeCell ref="L190:M190"/>
    <mergeCell ref="A191:B191"/>
    <mergeCell ref="L191:M191"/>
    <mergeCell ref="A192:B192"/>
    <mergeCell ref="L192:M192"/>
    <mergeCell ref="A193:B193"/>
    <mergeCell ref="L193:M193"/>
    <mergeCell ref="L186:M186"/>
    <mergeCell ref="A187:B187"/>
    <mergeCell ref="L187:M187"/>
    <mergeCell ref="A185:H185"/>
    <mergeCell ref="A188:B188"/>
    <mergeCell ref="L188:M188"/>
    <mergeCell ref="A180:B180"/>
    <mergeCell ref="L180:M180"/>
    <mergeCell ref="A181:B181"/>
    <mergeCell ref="L181:M181"/>
    <mergeCell ref="A182:B182"/>
    <mergeCell ref="L182:M182"/>
    <mergeCell ref="A183:B183"/>
    <mergeCell ref="L183:M183"/>
    <mergeCell ref="A184:B184"/>
    <mergeCell ref="L184:M184"/>
    <mergeCell ref="L176:M176"/>
    <mergeCell ref="A177:B177"/>
    <mergeCell ref="L177:M177"/>
    <mergeCell ref="A178:B178"/>
    <mergeCell ref="L178:M178"/>
    <mergeCell ref="A179:B179"/>
    <mergeCell ref="L179:M179"/>
    <mergeCell ref="A171:B171"/>
    <mergeCell ref="L171:M171"/>
    <mergeCell ref="A172:B172"/>
    <mergeCell ref="L172:M172"/>
    <mergeCell ref="A173:B173"/>
    <mergeCell ref="L173:M173"/>
    <mergeCell ref="A174:B174"/>
    <mergeCell ref="L174:M174"/>
    <mergeCell ref="A175:B175"/>
    <mergeCell ref="L175:M175"/>
    <mergeCell ref="L165:M165"/>
    <mergeCell ref="L166:M166"/>
    <mergeCell ref="A167:B167"/>
    <mergeCell ref="L167:M167"/>
    <mergeCell ref="A168:B168"/>
    <mergeCell ref="L168:M168"/>
    <mergeCell ref="A169:B169"/>
    <mergeCell ref="L169:M169"/>
    <mergeCell ref="A170:B170"/>
    <mergeCell ref="L170:M170"/>
    <mergeCell ref="L138:M138"/>
    <mergeCell ref="A139:B139"/>
    <mergeCell ref="L139:M139"/>
    <mergeCell ref="L161:M161"/>
    <mergeCell ref="A162:B162"/>
    <mergeCell ref="L162:M162"/>
    <mergeCell ref="A163:B163"/>
    <mergeCell ref="L163:M163"/>
    <mergeCell ref="A164:B164"/>
    <mergeCell ref="L164:M164"/>
    <mergeCell ref="L160:M160"/>
    <mergeCell ref="A149:B149"/>
    <mergeCell ref="L149:M149"/>
    <mergeCell ref="A150:B150"/>
    <mergeCell ref="L150:M150"/>
    <mergeCell ref="A151:B151"/>
    <mergeCell ref="L151:M151"/>
    <mergeCell ref="A152:B152"/>
    <mergeCell ref="L152:M152"/>
    <mergeCell ref="A153:B153"/>
    <mergeCell ref="L153:M153"/>
    <mergeCell ref="A158:H158"/>
    <mergeCell ref="L140:M140"/>
    <mergeCell ref="A141:B141"/>
    <mergeCell ref="L141:M141"/>
    <mergeCell ref="A142:B142"/>
    <mergeCell ref="L142:M142"/>
    <mergeCell ref="A143:B143"/>
    <mergeCell ref="L143:M143"/>
    <mergeCell ref="L144:M144"/>
    <mergeCell ref="L154:M154"/>
    <mergeCell ref="L145:M145"/>
    <mergeCell ref="A146:B146"/>
    <mergeCell ref="L146:M146"/>
    <mergeCell ref="A147:B147"/>
    <mergeCell ref="L147:M147"/>
    <mergeCell ref="A148:B148"/>
    <mergeCell ref="L148:M148"/>
    <mergeCell ref="A77:B77"/>
    <mergeCell ref="C77:H77"/>
    <mergeCell ref="A79:B79"/>
    <mergeCell ref="C79:H79"/>
    <mergeCell ref="A80:B80"/>
    <mergeCell ref="E80:F80"/>
    <mergeCell ref="G80:H80"/>
    <mergeCell ref="A81:B81"/>
    <mergeCell ref="E81:F90"/>
    <mergeCell ref="G81:H90"/>
    <mergeCell ref="A82:B82"/>
    <mergeCell ref="A83:B83"/>
    <mergeCell ref="A84:B84"/>
    <mergeCell ref="A85:B85"/>
    <mergeCell ref="A86:B86"/>
    <mergeCell ref="A87:B87"/>
    <mergeCell ref="A140:B140"/>
    <mergeCell ref="B427:H427"/>
    <mergeCell ref="A88:B88"/>
    <mergeCell ref="A89:B89"/>
    <mergeCell ref="A90:B90"/>
    <mergeCell ref="A53:B53"/>
    <mergeCell ref="C53:E53"/>
    <mergeCell ref="G53:H53"/>
    <mergeCell ref="A54:B54"/>
    <mergeCell ref="C54:E54"/>
    <mergeCell ref="G54:H54"/>
    <mergeCell ref="D68:H68"/>
    <mergeCell ref="A68:C69"/>
    <mergeCell ref="G55:H55"/>
    <mergeCell ref="A145:B145"/>
    <mergeCell ref="A124:B124"/>
    <mergeCell ref="C124:D124"/>
    <mergeCell ref="E124:F124"/>
    <mergeCell ref="G124:H124"/>
    <mergeCell ref="A159:H159"/>
    <mergeCell ref="A160:B160"/>
    <mergeCell ref="A132:H132"/>
    <mergeCell ref="A138:B138"/>
    <mergeCell ref="A165:B165"/>
    <mergeCell ref="L385:M385"/>
    <mergeCell ref="C359:H359"/>
    <mergeCell ref="C368:H368"/>
    <mergeCell ref="C377:H377"/>
    <mergeCell ref="A380:B380"/>
    <mergeCell ref="L380:M380"/>
    <mergeCell ref="A381:B381"/>
    <mergeCell ref="L381:M381"/>
    <mergeCell ref="A382:B382"/>
    <mergeCell ref="L382:M382"/>
    <mergeCell ref="A383:B383"/>
    <mergeCell ref="L383:M383"/>
    <mergeCell ref="A384:B384"/>
    <mergeCell ref="L384:M384"/>
    <mergeCell ref="A375:B375"/>
    <mergeCell ref="L375:M375"/>
    <mergeCell ref="A376:B376"/>
    <mergeCell ref="L376:M376"/>
    <mergeCell ref="L378:M378"/>
    <mergeCell ref="L379:M379"/>
    <mergeCell ref="A370:B370"/>
    <mergeCell ref="L370:M370"/>
    <mergeCell ref="A371:B371"/>
    <mergeCell ref="L371:M371"/>
    <mergeCell ref="L377:M377"/>
    <mergeCell ref="L361:M361"/>
    <mergeCell ref="A362:B362"/>
    <mergeCell ref="L362:M362"/>
    <mergeCell ref="A363:B363"/>
    <mergeCell ref="L363:M363"/>
    <mergeCell ref="A364:B364"/>
    <mergeCell ref="L364:M364"/>
    <mergeCell ref="A365:B365"/>
    <mergeCell ref="L365:M365"/>
    <mergeCell ref="A372:B372"/>
    <mergeCell ref="L372:M372"/>
    <mergeCell ref="A373:B373"/>
    <mergeCell ref="L373:M373"/>
    <mergeCell ref="A374:B374"/>
    <mergeCell ref="L374:M374"/>
    <mergeCell ref="L366:M366"/>
    <mergeCell ref="A367:B367"/>
    <mergeCell ref="L367:M367"/>
    <mergeCell ref="A368:B368"/>
    <mergeCell ref="L368:M368"/>
    <mergeCell ref="A369:B369"/>
    <mergeCell ref="L369:M369"/>
    <mergeCell ref="L355:M355"/>
    <mergeCell ref="A356:H356"/>
    <mergeCell ref="A357:B357"/>
    <mergeCell ref="L357:M357"/>
    <mergeCell ref="A358:B358"/>
    <mergeCell ref="L358:M358"/>
    <mergeCell ref="A359:B359"/>
    <mergeCell ref="L359:M359"/>
    <mergeCell ref="A360:B360"/>
    <mergeCell ref="L360:M360"/>
    <mergeCell ref="L351:M351"/>
    <mergeCell ref="A352:B352"/>
    <mergeCell ref="L352:M352"/>
    <mergeCell ref="A353:B353"/>
    <mergeCell ref="L353:M353"/>
    <mergeCell ref="A354:B354"/>
    <mergeCell ref="L354:M354"/>
    <mergeCell ref="A346:B346"/>
    <mergeCell ref="L346:M346"/>
    <mergeCell ref="A347:B347"/>
    <mergeCell ref="L347:M347"/>
    <mergeCell ref="A348:B348"/>
    <mergeCell ref="L348:M348"/>
    <mergeCell ref="A349:B349"/>
    <mergeCell ref="L349:M349"/>
    <mergeCell ref="A350:B350"/>
    <mergeCell ref="L350:M350"/>
    <mergeCell ref="L342:M342"/>
    <mergeCell ref="A343:B343"/>
    <mergeCell ref="L343:M343"/>
    <mergeCell ref="A344:B344"/>
    <mergeCell ref="L344:M344"/>
    <mergeCell ref="A345:B345"/>
    <mergeCell ref="L345:M345"/>
    <mergeCell ref="A337:B337"/>
    <mergeCell ref="L337:M337"/>
    <mergeCell ref="A338:B338"/>
    <mergeCell ref="L338:M338"/>
    <mergeCell ref="A339:B339"/>
    <mergeCell ref="L339:M339"/>
    <mergeCell ref="A340:B340"/>
    <mergeCell ref="L340:M340"/>
    <mergeCell ref="A341:B341"/>
    <mergeCell ref="L341:M341"/>
    <mergeCell ref="L334:M334"/>
    <mergeCell ref="A335:B335"/>
    <mergeCell ref="L335:M335"/>
    <mergeCell ref="A336:B336"/>
    <mergeCell ref="A329:B329"/>
    <mergeCell ref="L329:M329"/>
    <mergeCell ref="A330:B330"/>
    <mergeCell ref="L330:M330"/>
    <mergeCell ref="A331:B331"/>
    <mergeCell ref="L331:M331"/>
    <mergeCell ref="A332:B332"/>
    <mergeCell ref="L332:M332"/>
    <mergeCell ref="L295:M295"/>
    <mergeCell ref="A326:H326"/>
    <mergeCell ref="A327:B327"/>
    <mergeCell ref="L327:M327"/>
    <mergeCell ref="A328:B328"/>
    <mergeCell ref="L328:M328"/>
    <mergeCell ref="A333:B333"/>
    <mergeCell ref="L333:M333"/>
    <mergeCell ref="A297:B297"/>
    <mergeCell ref="L297:M297"/>
    <mergeCell ref="A298:B298"/>
    <mergeCell ref="L298:M298"/>
    <mergeCell ref="A299:B299"/>
    <mergeCell ref="L299:M299"/>
    <mergeCell ref="A300:B300"/>
    <mergeCell ref="L300:M300"/>
    <mergeCell ref="A301:B301"/>
    <mergeCell ref="L301:M301"/>
    <mergeCell ref="A302:B302"/>
    <mergeCell ref="L302:M302"/>
    <mergeCell ref="A303:B303"/>
    <mergeCell ref="L303:M303"/>
    <mergeCell ref="A304:B304"/>
    <mergeCell ref="L304:M304"/>
    <mergeCell ref="L290:M290"/>
    <mergeCell ref="A291:B291"/>
    <mergeCell ref="L291:M291"/>
    <mergeCell ref="A292:B292"/>
    <mergeCell ref="L292:M292"/>
    <mergeCell ref="A293:B293"/>
    <mergeCell ref="L293:M293"/>
    <mergeCell ref="A294:B294"/>
    <mergeCell ref="L294:M294"/>
    <mergeCell ref="L285:M285"/>
    <mergeCell ref="A286:B286"/>
    <mergeCell ref="L286:M286"/>
    <mergeCell ref="A287:B287"/>
    <mergeCell ref="L287:M287"/>
    <mergeCell ref="A288:B288"/>
    <mergeCell ref="L288:M288"/>
    <mergeCell ref="A289:B289"/>
    <mergeCell ref="L289:M289"/>
    <mergeCell ref="L280:M280"/>
    <mergeCell ref="A281:B281"/>
    <mergeCell ref="L281:M281"/>
    <mergeCell ref="A282:B282"/>
    <mergeCell ref="L282:M282"/>
    <mergeCell ref="A283:B283"/>
    <mergeCell ref="L283:M283"/>
    <mergeCell ref="A284:B284"/>
    <mergeCell ref="L284:M284"/>
    <mergeCell ref="L278:M278"/>
    <mergeCell ref="A279:B279"/>
    <mergeCell ref="L279:M279"/>
    <mergeCell ref="C274:H274"/>
    <mergeCell ref="A271:B271"/>
    <mergeCell ref="L271:M271"/>
    <mergeCell ref="A272:B272"/>
    <mergeCell ref="L272:M272"/>
    <mergeCell ref="A273:B273"/>
    <mergeCell ref="L273:M273"/>
    <mergeCell ref="A274:B274"/>
    <mergeCell ref="L274:M274"/>
    <mergeCell ref="A275:B275"/>
    <mergeCell ref="L275:M275"/>
    <mergeCell ref="L267:M267"/>
    <mergeCell ref="A268:B268"/>
    <mergeCell ref="L268:M268"/>
    <mergeCell ref="A269:B269"/>
    <mergeCell ref="L269:M269"/>
    <mergeCell ref="A276:B276"/>
    <mergeCell ref="L276:M276"/>
    <mergeCell ref="A277:B277"/>
    <mergeCell ref="L277:M277"/>
    <mergeCell ref="A270:B270"/>
    <mergeCell ref="L270:M270"/>
    <mergeCell ref="B424:H424"/>
    <mergeCell ref="B422:H422"/>
    <mergeCell ref="B418:H418"/>
    <mergeCell ref="A412:B412"/>
    <mergeCell ref="A409:H409"/>
    <mergeCell ref="A263:H263"/>
    <mergeCell ref="A264:H264"/>
    <mergeCell ref="A265:H265"/>
    <mergeCell ref="A266:H266"/>
    <mergeCell ref="A267:B267"/>
    <mergeCell ref="A278:B278"/>
    <mergeCell ref="A280:B280"/>
    <mergeCell ref="A285:B285"/>
    <mergeCell ref="A290:B290"/>
    <mergeCell ref="A295:B295"/>
    <mergeCell ref="A334:B334"/>
    <mergeCell ref="A342:B342"/>
    <mergeCell ref="A351:B351"/>
    <mergeCell ref="A355:B355"/>
    <mergeCell ref="A361:B361"/>
    <mergeCell ref="A366:B366"/>
    <mergeCell ref="A378:B378"/>
    <mergeCell ref="A385:B385"/>
    <mergeCell ref="A414:B414"/>
    <mergeCell ref="A413:B413"/>
    <mergeCell ref="B416:H416"/>
    <mergeCell ref="B417:H417"/>
    <mergeCell ref="B419:H419"/>
    <mergeCell ref="B420:H420"/>
    <mergeCell ref="A415:H415"/>
    <mergeCell ref="A407:B407"/>
    <mergeCell ref="A408:B408"/>
    <mergeCell ref="A406:B406"/>
    <mergeCell ref="A127:B127"/>
    <mergeCell ref="C127:D127"/>
    <mergeCell ref="E127:F127"/>
    <mergeCell ref="A410:B410"/>
    <mergeCell ref="A411:B411"/>
    <mergeCell ref="A379:B379"/>
    <mergeCell ref="A144:B144"/>
    <mergeCell ref="A154:B154"/>
    <mergeCell ref="A161:B161"/>
    <mergeCell ref="A166:B166"/>
    <mergeCell ref="A176:B176"/>
    <mergeCell ref="A186:B186"/>
    <mergeCell ref="A189:B189"/>
    <mergeCell ref="A194:B194"/>
    <mergeCell ref="A199:B199"/>
    <mergeCell ref="A204:B204"/>
    <mergeCell ref="A209:B209"/>
    <mergeCell ref="A219:B219"/>
    <mergeCell ref="A224:B224"/>
    <mergeCell ref="A229:B229"/>
    <mergeCell ref="A234:B234"/>
    <mergeCell ref="A240:B240"/>
    <mergeCell ref="A305:B305"/>
    <mergeCell ref="A377:B377"/>
    <mergeCell ref="C50:H50"/>
    <mergeCell ref="B421:H421"/>
    <mergeCell ref="F107:H107"/>
    <mergeCell ref="A107:E107"/>
    <mergeCell ref="D130:D131"/>
    <mergeCell ref="A109:E109"/>
    <mergeCell ref="A108:E108"/>
    <mergeCell ref="A105:E105"/>
    <mergeCell ref="F109:H109"/>
    <mergeCell ref="G130:G131"/>
    <mergeCell ref="A405:B405"/>
    <mergeCell ref="A97:B97"/>
    <mergeCell ref="A93:B93"/>
    <mergeCell ref="A91:B91"/>
    <mergeCell ref="C91:H91"/>
    <mergeCell ref="A99:B99"/>
    <mergeCell ref="A72:C72"/>
    <mergeCell ref="D72:H72"/>
    <mergeCell ref="C93:H93"/>
    <mergeCell ref="A96:B96"/>
    <mergeCell ref="A98:B98"/>
    <mergeCell ref="E94:F94"/>
    <mergeCell ref="A73:C73"/>
    <mergeCell ref="D73:H73"/>
    <mergeCell ref="L391:M391"/>
    <mergeCell ref="A396:B396"/>
    <mergeCell ref="A393:B393"/>
    <mergeCell ref="A394:B394"/>
    <mergeCell ref="A404:B404"/>
    <mergeCell ref="A41:B41"/>
    <mergeCell ref="C41:H41"/>
    <mergeCell ref="F130:F131"/>
    <mergeCell ref="C120:D120"/>
    <mergeCell ref="E120:F120"/>
    <mergeCell ref="B130:B131"/>
    <mergeCell ref="A130:A131"/>
    <mergeCell ref="C156:C157"/>
    <mergeCell ref="G156:G157"/>
    <mergeCell ref="L390:M390"/>
    <mergeCell ref="L387:M387"/>
    <mergeCell ref="A388:B388"/>
    <mergeCell ref="G127:H127"/>
    <mergeCell ref="L388:M388"/>
    <mergeCell ref="A389:B389"/>
    <mergeCell ref="L389:M389"/>
    <mergeCell ref="C58:H58"/>
    <mergeCell ref="A390:B390"/>
    <mergeCell ref="A94:B94"/>
    <mergeCell ref="C40:H40"/>
    <mergeCell ref="A47:D47"/>
    <mergeCell ref="L137:M137"/>
    <mergeCell ref="L136:M136"/>
    <mergeCell ref="L135:M135"/>
    <mergeCell ref="L134:M134"/>
    <mergeCell ref="A102:B102"/>
    <mergeCell ref="C125:D125"/>
    <mergeCell ref="E125:F125"/>
    <mergeCell ref="G125:H125"/>
    <mergeCell ref="A106:E106"/>
    <mergeCell ref="A133:H133"/>
    <mergeCell ref="E130:E131"/>
    <mergeCell ref="A48:D48"/>
    <mergeCell ref="A49:H49"/>
    <mergeCell ref="D67:H67"/>
    <mergeCell ref="A67:C67"/>
    <mergeCell ref="A101:B101"/>
    <mergeCell ref="A46:D46"/>
    <mergeCell ref="A50:B50"/>
    <mergeCell ref="E95:F104"/>
    <mergeCell ref="G95:H104"/>
    <mergeCell ref="A103:B103"/>
    <mergeCell ref="A104:B104"/>
    <mergeCell ref="A39:H39"/>
    <mergeCell ref="A38:B38"/>
    <mergeCell ref="C38:E38"/>
    <mergeCell ref="A43:D43"/>
    <mergeCell ref="E43:H43"/>
    <mergeCell ref="A42:H42"/>
    <mergeCell ref="A70:C70"/>
    <mergeCell ref="A71:C71"/>
    <mergeCell ref="D70:H70"/>
    <mergeCell ref="D71:H71"/>
    <mergeCell ref="A45:D45"/>
    <mergeCell ref="E45:H45"/>
    <mergeCell ref="E46:H46"/>
    <mergeCell ref="E47:H47"/>
    <mergeCell ref="E48:H48"/>
    <mergeCell ref="C60:H60"/>
    <mergeCell ref="A40:B40"/>
    <mergeCell ref="F38:H38"/>
    <mergeCell ref="A51:B51"/>
    <mergeCell ref="C51:E51"/>
    <mergeCell ref="G51:H51"/>
    <mergeCell ref="A65:C65"/>
    <mergeCell ref="A66:C66"/>
    <mergeCell ref="D66:H66"/>
    <mergeCell ref="E28:H28"/>
    <mergeCell ref="A30:D30"/>
    <mergeCell ref="E30:H30"/>
    <mergeCell ref="A27:D27"/>
    <mergeCell ref="E27:H27"/>
    <mergeCell ref="A31:D31"/>
    <mergeCell ref="E31:H31"/>
    <mergeCell ref="A28:D28"/>
    <mergeCell ref="A37:B37"/>
    <mergeCell ref="C37:E37"/>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E21:F21"/>
    <mergeCell ref="G21:H21"/>
    <mergeCell ref="A22:B22"/>
    <mergeCell ref="C22:D22"/>
    <mergeCell ref="E22:F22"/>
    <mergeCell ref="G22:H22"/>
    <mergeCell ref="A23:B23"/>
    <mergeCell ref="C23:D23"/>
    <mergeCell ref="E23:F23"/>
    <mergeCell ref="G23:H23"/>
    <mergeCell ref="E15:H15"/>
    <mergeCell ref="A16:D16"/>
    <mergeCell ref="A12:D12"/>
    <mergeCell ref="E12:H12"/>
    <mergeCell ref="A24:D25"/>
    <mergeCell ref="E24:H25"/>
    <mergeCell ref="E16:H16"/>
    <mergeCell ref="A17:B17"/>
    <mergeCell ref="C17:H17"/>
    <mergeCell ref="C18:H18"/>
    <mergeCell ref="A19:B19"/>
    <mergeCell ref="C19:H19"/>
    <mergeCell ref="A14:D14"/>
    <mergeCell ref="E14:H14"/>
    <mergeCell ref="A13:D13"/>
    <mergeCell ref="E13:H13"/>
    <mergeCell ref="A18:B18"/>
    <mergeCell ref="A15:D15"/>
    <mergeCell ref="A20:B20"/>
    <mergeCell ref="C20:D20"/>
    <mergeCell ref="E20:F20"/>
    <mergeCell ref="G20:H20"/>
    <mergeCell ref="A21:B21"/>
    <mergeCell ref="C21:D21"/>
    <mergeCell ref="A1:H1"/>
    <mergeCell ref="A2:H2"/>
    <mergeCell ref="A3:D3"/>
    <mergeCell ref="E3:H3"/>
    <mergeCell ref="A5:D5"/>
    <mergeCell ref="A9:D9"/>
    <mergeCell ref="E9:H9"/>
    <mergeCell ref="A11:D11"/>
    <mergeCell ref="E11:H11"/>
    <mergeCell ref="E5:H5"/>
    <mergeCell ref="A6:D6"/>
    <mergeCell ref="E6:H6"/>
    <mergeCell ref="A7:D7"/>
    <mergeCell ref="E7:H7"/>
    <mergeCell ref="A8:D8"/>
    <mergeCell ref="E8:H8"/>
    <mergeCell ref="A4:D4"/>
    <mergeCell ref="E4:H4"/>
    <mergeCell ref="A10:D10"/>
    <mergeCell ref="E10:H10"/>
    <mergeCell ref="A441:H444"/>
    <mergeCell ref="A440:B440"/>
    <mergeCell ref="E440:F440"/>
    <mergeCell ref="C440:D440"/>
    <mergeCell ref="G440:H440"/>
    <mergeCell ref="A118:H118"/>
    <mergeCell ref="A116:E116"/>
    <mergeCell ref="F116:H116"/>
    <mergeCell ref="A117:E117"/>
    <mergeCell ref="F117:H117"/>
    <mergeCell ref="A391:H391"/>
    <mergeCell ref="A125:B125"/>
    <mergeCell ref="A400:B400"/>
    <mergeCell ref="A436:H436"/>
    <mergeCell ref="A122:H122"/>
    <mergeCell ref="A439:H439"/>
    <mergeCell ref="A437:H437"/>
    <mergeCell ref="B426:H426"/>
    <mergeCell ref="A126:B126"/>
    <mergeCell ref="E126:F126"/>
    <mergeCell ref="G126:H126"/>
    <mergeCell ref="A433:H433"/>
    <mergeCell ref="G123:H123"/>
    <mergeCell ref="A402:B402"/>
    <mergeCell ref="A64:H64"/>
    <mergeCell ref="A399:B399"/>
    <mergeCell ref="A129:H129"/>
    <mergeCell ref="G119:H119"/>
    <mergeCell ref="A114:E114"/>
    <mergeCell ref="A135:B135"/>
    <mergeCell ref="C130:C131"/>
    <mergeCell ref="B156:B157"/>
    <mergeCell ref="F105:H105"/>
    <mergeCell ref="F110:H110"/>
    <mergeCell ref="A387:B387"/>
    <mergeCell ref="A137:B137"/>
    <mergeCell ref="A136:B136"/>
    <mergeCell ref="A111:E111"/>
    <mergeCell ref="F111:H111"/>
    <mergeCell ref="A113:E113"/>
    <mergeCell ref="F108:H108"/>
    <mergeCell ref="A112:E112"/>
    <mergeCell ref="A155:H155"/>
    <mergeCell ref="E123:F123"/>
    <mergeCell ref="A128:H128"/>
    <mergeCell ref="A156:A157"/>
    <mergeCell ref="A296:H296"/>
    <mergeCell ref="A395:B395"/>
    <mergeCell ref="A438:H438"/>
    <mergeCell ref="A435:H435"/>
    <mergeCell ref="A392:B392"/>
    <mergeCell ref="A123:B123"/>
    <mergeCell ref="D156:D157"/>
    <mergeCell ref="E156:E157"/>
    <mergeCell ref="F106:H106"/>
    <mergeCell ref="G120:H120"/>
    <mergeCell ref="F112:H112"/>
    <mergeCell ref="C119:D119"/>
    <mergeCell ref="C126:D126"/>
    <mergeCell ref="A386:H386"/>
    <mergeCell ref="A401:B401"/>
    <mergeCell ref="A434:H434"/>
    <mergeCell ref="F156:F157"/>
    <mergeCell ref="A398:B398"/>
    <mergeCell ref="A134:B134"/>
    <mergeCell ref="B425:H425"/>
    <mergeCell ref="A403:H403"/>
    <mergeCell ref="A397:H397"/>
    <mergeCell ref="C121:D121"/>
    <mergeCell ref="E121:F121"/>
    <mergeCell ref="G121:H121"/>
    <mergeCell ref="B423:H423"/>
    <mergeCell ref="I16:P16"/>
    <mergeCell ref="F115:H115"/>
    <mergeCell ref="F113:H113"/>
    <mergeCell ref="E44:H44"/>
    <mergeCell ref="A57:B58"/>
    <mergeCell ref="C57:E57"/>
    <mergeCell ref="G57:H57"/>
    <mergeCell ref="A59:B60"/>
    <mergeCell ref="C59:E59"/>
    <mergeCell ref="G59:H59"/>
    <mergeCell ref="A61:B62"/>
    <mergeCell ref="C61:E61"/>
    <mergeCell ref="G61:H61"/>
    <mergeCell ref="F35:H35"/>
    <mergeCell ref="F36:H36"/>
    <mergeCell ref="A26:D26"/>
    <mergeCell ref="E26:H26"/>
    <mergeCell ref="A63:B63"/>
    <mergeCell ref="C63:E63"/>
    <mergeCell ref="D65:H65"/>
    <mergeCell ref="F114:H114"/>
    <mergeCell ref="D74:H74"/>
    <mergeCell ref="A75:C75"/>
    <mergeCell ref="G63:H63"/>
    <mergeCell ref="B428:H428"/>
    <mergeCell ref="A44:D44"/>
    <mergeCell ref="A100:B100"/>
    <mergeCell ref="G52:H52"/>
    <mergeCell ref="A55:B56"/>
    <mergeCell ref="C62:E62"/>
    <mergeCell ref="G62:H62"/>
    <mergeCell ref="C56:H56"/>
    <mergeCell ref="E119:F119"/>
    <mergeCell ref="A119:B119"/>
    <mergeCell ref="C123:D123"/>
    <mergeCell ref="A76:C76"/>
    <mergeCell ref="D76:H76"/>
    <mergeCell ref="A74:C74"/>
    <mergeCell ref="D75:H75"/>
    <mergeCell ref="A95:B95"/>
    <mergeCell ref="G94:H94"/>
    <mergeCell ref="A110:E110"/>
    <mergeCell ref="A115:E115"/>
    <mergeCell ref="A121:B121"/>
    <mergeCell ref="C55:E55"/>
    <mergeCell ref="D69:H69"/>
    <mergeCell ref="C52:E52"/>
    <mergeCell ref="A52:B52"/>
    <mergeCell ref="L305:M305"/>
    <mergeCell ref="A306:B306"/>
    <mergeCell ref="L306:M306"/>
    <mergeCell ref="A307:B307"/>
    <mergeCell ref="L307:M307"/>
    <mergeCell ref="A308:B308"/>
    <mergeCell ref="L308:M308"/>
    <mergeCell ref="A309:B309"/>
    <mergeCell ref="L309:M309"/>
    <mergeCell ref="I336:M336"/>
    <mergeCell ref="A324:B324"/>
    <mergeCell ref="L324:M324"/>
    <mergeCell ref="A310:B310"/>
    <mergeCell ref="L310:M310"/>
    <mergeCell ref="A311:B311"/>
    <mergeCell ref="L311:M311"/>
    <mergeCell ref="A312:B312"/>
    <mergeCell ref="L312:M312"/>
    <mergeCell ref="A313:B313"/>
    <mergeCell ref="L313:M313"/>
    <mergeCell ref="L314:M314"/>
    <mergeCell ref="L322:M322"/>
    <mergeCell ref="A323:B323"/>
    <mergeCell ref="L323:M323"/>
    <mergeCell ref="A314:B314"/>
    <mergeCell ref="A315:B315"/>
    <mergeCell ref="L315:M315"/>
    <mergeCell ref="A316:B316"/>
    <mergeCell ref="L316:M316"/>
    <mergeCell ref="A317:B317"/>
    <mergeCell ref="L317:M317"/>
    <mergeCell ref="A318:B318"/>
    <mergeCell ref="L318:M318"/>
    <mergeCell ref="A430:A432"/>
    <mergeCell ref="B432:D432"/>
    <mergeCell ref="B430:H430"/>
    <mergeCell ref="B429:H429"/>
    <mergeCell ref="B431:D431"/>
    <mergeCell ref="E431:H431"/>
    <mergeCell ref="A325:B325"/>
    <mergeCell ref="L325:M325"/>
    <mergeCell ref="C272:H272"/>
    <mergeCell ref="C273:H273"/>
    <mergeCell ref="C300:H300"/>
    <mergeCell ref="C301:H301"/>
    <mergeCell ref="C302:H302"/>
    <mergeCell ref="C303:H303"/>
    <mergeCell ref="C324:H324"/>
    <mergeCell ref="C325:H325"/>
    <mergeCell ref="C295:H295"/>
    <mergeCell ref="A319:B319"/>
    <mergeCell ref="L319:M319"/>
    <mergeCell ref="A320:B320"/>
    <mergeCell ref="L320:M320"/>
    <mergeCell ref="A321:B321"/>
    <mergeCell ref="L321:M321"/>
    <mergeCell ref="A322:B322"/>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8:B18" xr:uid="{00000000-0002-0000-0000-000001000000}">
      <formula1>"CTS No,Survey No,Plot No,Gut No,FP No,"</formula1>
    </dataValidation>
    <dataValidation type="list" allowBlank="1" showInputMessage="1" showErrorMessage="1" sqref="G21:H21" xr:uid="{00000000-0002-0000-0000-000002000000}">
      <formula1>$S$14:$W$14</formula1>
    </dataValidation>
    <dataValidation type="list" allowBlank="1" showInputMessage="1" showErrorMessage="1" sqref="E130:E131" xr:uid="{00000000-0002-0000-0000-000003000000}">
      <formula1>"Attached Loft area,Attached Otla area,Attached Mezzanine area"</formula1>
    </dataValidation>
    <dataValidation type="list" allowBlank="1" showInputMessage="1" showErrorMessage="1" sqref="G440:H440" xr:uid="{00000000-0002-0000-0000-000004000000}">
      <formula1>"Kunal Kadam,Pranita Mhatre,Shruti Fule,Pooja Kawale,Neha Dhokale,Shruti Tathare, Hitakshi Mhatre, Sachin Sawant"</formula1>
    </dataValidation>
    <dataValidation type="list" allowBlank="1" showInputMessage="1" showErrorMessage="1" sqref="F105:H105" xr:uid="{00000000-0002-0000-0000-000005000000}">
      <formula1>"On Saleable Area,On Builtup Area,On Carpet Area,On Plot Area"</formula1>
    </dataValidation>
    <dataValidation type="list" allowBlank="1" showInputMessage="1" showErrorMessage="1" sqref="F116:H116" xr:uid="{00000000-0002-0000-0000-000006000000}">
      <formula1>OFFSET($S$105,1,MATCH($G21,$S$105:$W$105,0)-1,15,1)</formula1>
    </dataValidation>
    <dataValidation type="list" allowBlank="1" showInputMessage="1" showErrorMessage="1" sqref="B130:B131" xr:uid="{00000000-0002-0000-0000-000007000000}">
      <formula1>"Shop No. (Sale Plan),Sale / Rehab,Sale / Mhada"</formula1>
    </dataValidation>
    <dataValidation type="list" allowBlank="1" showInputMessage="1" showErrorMessage="1" sqref="B156:B157" xr:uid="{00000000-0002-0000-0000-000008000000}">
      <formula1>"Flat No. (Sale Plan),Sale / Rehab,Sale / Mhada"</formula1>
    </dataValidation>
    <dataValidation type="list" allowBlank="1" showInputMessage="1" showErrorMessage="1" sqref="C22:D22" xr:uid="{00000000-0002-0000-0000-000009000000}">
      <formula1>OFFSET($S$14,1,MATCH($G21,$S$14:$W$14,0)-1,15,1)</formula1>
    </dataValidation>
    <dataValidation type="list" allowBlank="1" showInputMessage="1" showErrorMessage="1" sqref="Y14" xr:uid="{00000000-0002-0000-0000-00000A000000}">
      <formula1>$D$5:$H$5</formula1>
    </dataValidation>
    <dataValidation type="list" allowBlank="1" showInputMessage="1" showErrorMessage="1" sqref="E156:E157" xr:uid="{00000000-0002-0000-0000-00000B000000}">
      <formula1>"Fungible area,Balcony Area,Chajja Area,Cornice Area,AP Area,WS Area"</formula1>
    </dataValidation>
    <dataValidation type="list" allowBlank="1" showInputMessage="1" showErrorMessage="1" sqref="H157 H131"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50:H50" xr:uid="{00000000-0002-0000-0000-00000E000000}">
      <formula1>OFFSET($S$50,1,MATCH($G21,$S$50:$W$50,0)-1,15,1)</formula1>
    </dataValidation>
    <dataValidation type="whole" allowBlank="1" showInputMessage="1" showErrorMessage="1" sqref="C100 C86" xr:uid="{00000000-0002-0000-0000-00000F000000}">
      <formula1>0</formula1>
      <formula2>H78</formula2>
    </dataValidation>
    <dataValidation type="list" allowBlank="1" showInputMessage="1" showErrorMessage="1" sqref="H130 H156" xr:uid="{00000000-0002-0000-0000-000010000000}">
      <formula1>"Saleable area Loading :,Builder Saleable Area"</formula1>
    </dataValidation>
    <dataValidation type="list" allowBlank="1" showInputMessage="1" showErrorMessage="1" sqref="D156:D157 D130:D131" xr:uid="{00000000-0002-0000-0000-000011000000}">
      <formula1>"Carpet area,RERA Carpet area"</formula1>
    </dataValidation>
  </dataValidations>
  <hyperlinks>
    <hyperlink ref="C41"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04" max="16383" man="1"/>
    <brk id="444" max="16383" man="1"/>
    <brk id="487" max="16383" man="1"/>
    <brk id="52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22" zoomScale="85" zoomScaleNormal="85" workbookViewId="0">
      <selection activeCell="G9" sqref="G9"/>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17" t="s">
        <v>103</v>
      </c>
      <c r="C3" s="217"/>
      <c r="D3" s="217"/>
      <c r="E3" s="217"/>
      <c r="F3" s="217"/>
      <c r="G3" s="217"/>
      <c r="H3" s="217"/>
    </row>
    <row r="4" spans="1:9" x14ac:dyDescent="0.3">
      <c r="A4" s="2"/>
      <c r="B4" s="3" t="s">
        <v>104</v>
      </c>
      <c r="C4" s="3" t="s">
        <v>105</v>
      </c>
      <c r="D4" s="3" t="s">
        <v>64</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6"/>
      <c r="C4" s="46" t="s">
        <v>11</v>
      </c>
      <c r="D4" s="47" t="s">
        <v>179</v>
      </c>
      <c r="E4" s="47" t="s">
        <v>189</v>
      </c>
      <c r="F4" s="47" t="s">
        <v>171</v>
      </c>
      <c r="G4" s="47" t="s">
        <v>194</v>
      </c>
      <c r="H4" s="47" t="s">
        <v>212</v>
      </c>
      <c r="J4" t="s">
        <v>194</v>
      </c>
      <c r="K4" t="s">
        <v>210</v>
      </c>
    </row>
    <row r="5" spans="2:11" x14ac:dyDescent="0.3">
      <c r="B5" s="46"/>
      <c r="C5" s="46"/>
      <c r="D5" s="47" t="s">
        <v>180</v>
      </c>
      <c r="E5" s="47" t="s">
        <v>187</v>
      </c>
      <c r="F5" s="47" t="s">
        <v>209</v>
      </c>
      <c r="G5" s="47" t="s">
        <v>195</v>
      </c>
      <c r="H5" s="47" t="s">
        <v>213</v>
      </c>
    </row>
    <row r="6" spans="2:11" x14ac:dyDescent="0.3">
      <c r="B6" s="46"/>
      <c r="C6" s="46"/>
      <c r="D6" s="47" t="s">
        <v>181</v>
      </c>
      <c r="E6" s="47" t="s">
        <v>188</v>
      </c>
      <c r="F6" s="47" t="s">
        <v>210</v>
      </c>
      <c r="G6" s="47" t="s">
        <v>196</v>
      </c>
      <c r="H6" s="47" t="s">
        <v>226</v>
      </c>
    </row>
    <row r="7" spans="2:11" x14ac:dyDescent="0.3">
      <c r="B7" s="46"/>
      <c r="C7" s="46"/>
      <c r="D7" s="47" t="s">
        <v>182</v>
      </c>
      <c r="E7" s="47" t="s">
        <v>190</v>
      </c>
      <c r="F7" s="47" t="s">
        <v>211</v>
      </c>
      <c r="G7" s="47" t="s">
        <v>197</v>
      </c>
      <c r="H7" s="47" t="s">
        <v>214</v>
      </c>
    </row>
    <row r="8" spans="2:11" x14ac:dyDescent="0.3">
      <c r="B8" s="46"/>
      <c r="C8" s="46"/>
      <c r="D8" s="47" t="s">
        <v>183</v>
      </c>
      <c r="E8" s="47" t="s">
        <v>191</v>
      </c>
      <c r="F8" s="47"/>
      <c r="G8" s="47" t="s">
        <v>198</v>
      </c>
      <c r="H8" s="47" t="s">
        <v>215</v>
      </c>
    </row>
    <row r="9" spans="2:11" x14ac:dyDescent="0.3">
      <c r="B9" s="46"/>
      <c r="C9" s="46"/>
      <c r="D9" s="47" t="s">
        <v>184</v>
      </c>
      <c r="E9" s="47" t="s">
        <v>189</v>
      </c>
      <c r="F9" s="47"/>
      <c r="G9" s="47" t="s">
        <v>199</v>
      </c>
      <c r="H9" s="47" t="s">
        <v>216</v>
      </c>
    </row>
    <row r="10" spans="2:11" x14ac:dyDescent="0.3">
      <c r="B10" s="46"/>
      <c r="C10" s="46"/>
      <c r="D10" s="47" t="s">
        <v>185</v>
      </c>
      <c r="E10" s="47" t="s">
        <v>192</v>
      </c>
      <c r="F10" s="47"/>
      <c r="G10" s="47" t="s">
        <v>200</v>
      </c>
      <c r="H10" s="47" t="s">
        <v>217</v>
      </c>
    </row>
    <row r="11" spans="2:11" x14ac:dyDescent="0.3">
      <c r="B11" s="46"/>
      <c r="C11" s="46"/>
      <c r="D11" s="47" t="s">
        <v>186</v>
      </c>
      <c r="E11" s="47" t="s">
        <v>193</v>
      </c>
      <c r="F11" s="47"/>
      <c r="G11" s="47" t="s">
        <v>201</v>
      </c>
      <c r="H11" s="47" t="s">
        <v>218</v>
      </c>
    </row>
    <row r="12" spans="2:11" x14ac:dyDescent="0.3">
      <c r="B12" s="46"/>
      <c r="C12" s="46"/>
      <c r="D12" s="47"/>
      <c r="E12" s="47"/>
      <c r="F12" s="47"/>
      <c r="G12" s="47" t="s">
        <v>202</v>
      </c>
      <c r="H12" s="47" t="s">
        <v>219</v>
      </c>
    </row>
    <row r="13" spans="2:11" x14ac:dyDescent="0.3">
      <c r="B13" s="46"/>
      <c r="C13" s="46"/>
      <c r="D13" s="47"/>
      <c r="E13" s="47"/>
      <c r="F13" s="47"/>
      <c r="G13" s="47" t="s">
        <v>203</v>
      </c>
      <c r="H13" s="47" t="s">
        <v>220</v>
      </c>
    </row>
    <row r="14" spans="2:11" x14ac:dyDescent="0.3">
      <c r="B14" s="46"/>
      <c r="C14" s="46"/>
      <c r="D14" s="47"/>
      <c r="E14" s="47"/>
      <c r="F14" s="47"/>
      <c r="G14" s="47" t="s">
        <v>204</v>
      </c>
      <c r="H14" s="47" t="s">
        <v>221</v>
      </c>
    </row>
    <row r="15" spans="2:11" x14ac:dyDescent="0.3">
      <c r="B15" s="46"/>
      <c r="C15" s="46"/>
      <c r="D15" s="47"/>
      <c r="E15" s="47"/>
      <c r="F15" s="47"/>
      <c r="G15" s="47" t="s">
        <v>205</v>
      </c>
      <c r="H15" s="47" t="s">
        <v>222</v>
      </c>
    </row>
    <row r="16" spans="2:11" x14ac:dyDescent="0.3">
      <c r="B16" s="46"/>
      <c r="C16" s="46"/>
      <c r="D16" s="47"/>
      <c r="E16" s="47"/>
      <c r="F16" s="47"/>
      <c r="G16" s="47" t="s">
        <v>206</v>
      </c>
      <c r="H16" s="47" t="s">
        <v>223</v>
      </c>
    </row>
    <row r="17" spans="2:8" x14ac:dyDescent="0.3">
      <c r="B17" s="46"/>
      <c r="C17" s="46"/>
      <c r="D17" s="47"/>
      <c r="E17" s="47"/>
      <c r="F17" s="47"/>
      <c r="G17" s="47" t="s">
        <v>207</v>
      </c>
      <c r="H17" s="47" t="s">
        <v>224</v>
      </c>
    </row>
    <row r="18" spans="2:8" x14ac:dyDescent="0.3">
      <c r="B18" s="46"/>
      <c r="C18" s="46"/>
      <c r="D18" s="47"/>
      <c r="E18" s="47"/>
      <c r="F18" s="47"/>
      <c r="G18" s="47" t="s">
        <v>208</v>
      </c>
      <c r="H18" s="47" t="s">
        <v>225</v>
      </c>
    </row>
    <row r="24" spans="2:8" x14ac:dyDescent="0.3">
      <c r="C24" t="s">
        <v>168</v>
      </c>
    </row>
    <row r="25" spans="2:8" x14ac:dyDescent="0.3">
      <c r="C25" t="s">
        <v>227</v>
      </c>
    </row>
    <row r="26" spans="2:8" x14ac:dyDescent="0.3">
      <c r="C26" t="s">
        <v>228</v>
      </c>
    </row>
    <row r="27" spans="2:8" x14ac:dyDescent="0.3">
      <c r="C27" t="s">
        <v>229</v>
      </c>
    </row>
    <row r="28" spans="2:8" x14ac:dyDescent="0.3">
      <c r="C28" t="s">
        <v>230</v>
      </c>
    </row>
    <row r="29" spans="2:8" x14ac:dyDescent="0.3">
      <c r="C29" t="s">
        <v>231</v>
      </c>
    </row>
    <row r="30" spans="2:8" x14ac:dyDescent="0.3">
      <c r="C30" t="s">
        <v>168</v>
      </c>
    </row>
    <row r="33" spans="3:11" x14ac:dyDescent="0.3">
      <c r="J33">
        <v>1</v>
      </c>
      <c r="K33">
        <v>2</v>
      </c>
    </row>
    <row r="34" spans="3:11" x14ac:dyDescent="0.3">
      <c r="C34" s="48" t="s">
        <v>238</v>
      </c>
      <c r="D34" s="47" t="s">
        <v>236</v>
      </c>
      <c r="E34" s="47" t="s">
        <v>241</v>
      </c>
      <c r="F34" s="47" t="s">
        <v>239</v>
      </c>
      <c r="G34" s="47" t="s">
        <v>240</v>
      </c>
      <c r="H34" s="47" t="s">
        <v>242</v>
      </c>
      <c r="J34" t="s">
        <v>194</v>
      </c>
      <c r="K34" t="s">
        <v>210</v>
      </c>
    </row>
    <row r="35" spans="3:11" x14ac:dyDescent="0.3">
      <c r="C35" s="46" t="s">
        <v>237</v>
      </c>
      <c r="D35" s="47" t="s">
        <v>169</v>
      </c>
      <c r="E35" s="47" t="s">
        <v>246</v>
      </c>
      <c r="F35" s="47" t="s">
        <v>248</v>
      </c>
      <c r="G35" s="47" t="s">
        <v>250</v>
      </c>
      <c r="H35" s="47"/>
    </row>
    <row r="36" spans="3:11" x14ac:dyDescent="0.3">
      <c r="C36" s="46"/>
      <c r="D36" s="47" t="s">
        <v>243</v>
      </c>
      <c r="E36" s="47" t="s">
        <v>247</v>
      </c>
      <c r="F36" s="47" t="s">
        <v>249</v>
      </c>
      <c r="G36" s="47" t="s">
        <v>251</v>
      </c>
      <c r="H36" s="47"/>
    </row>
    <row r="37" spans="3:11" x14ac:dyDescent="0.3">
      <c r="C37" s="46"/>
      <c r="D37" s="47" t="s">
        <v>244</v>
      </c>
      <c r="E37" s="47"/>
      <c r="F37" s="47"/>
      <c r="G37" s="47" t="s">
        <v>252</v>
      </c>
      <c r="H37" s="47"/>
    </row>
    <row r="38" spans="3:11" x14ac:dyDescent="0.3">
      <c r="C38" s="46"/>
      <c r="D38" s="47" t="s">
        <v>245</v>
      </c>
      <c r="E38" s="47"/>
      <c r="F38" s="47"/>
      <c r="G38" s="47" t="s">
        <v>252</v>
      </c>
      <c r="H38" s="47"/>
    </row>
    <row r="39" spans="3:11" x14ac:dyDescent="0.3">
      <c r="C39" s="46"/>
      <c r="D39" s="47"/>
      <c r="E39" s="47"/>
      <c r="F39" s="47"/>
      <c r="G39" s="47" t="s">
        <v>253</v>
      </c>
      <c r="H39" s="47"/>
    </row>
    <row r="40" spans="3:11" x14ac:dyDescent="0.3">
      <c r="C40" s="46"/>
      <c r="D40" s="47"/>
      <c r="E40" s="47"/>
      <c r="F40" s="47"/>
      <c r="G40" s="47" t="s">
        <v>254</v>
      </c>
      <c r="H40" s="47"/>
    </row>
    <row r="41" spans="3:11" x14ac:dyDescent="0.3">
      <c r="C41" s="46"/>
      <c r="D41" s="47"/>
      <c r="E41" s="47"/>
      <c r="F41" s="47"/>
      <c r="G41" s="47"/>
      <c r="H41" s="47"/>
    </row>
    <row r="43" spans="3:11" x14ac:dyDescent="0.3">
      <c r="C43" t="s">
        <v>255</v>
      </c>
    </row>
    <row r="44" spans="3:11" x14ac:dyDescent="0.3">
      <c r="C44" t="s">
        <v>171</v>
      </c>
      <c r="D44" t="s">
        <v>256</v>
      </c>
    </row>
    <row r="45" spans="3:11" x14ac:dyDescent="0.3">
      <c r="D45" t="s">
        <v>257</v>
      </c>
    </row>
    <row r="46" spans="3:11" x14ac:dyDescent="0.3">
      <c r="D46" t="s">
        <v>258</v>
      </c>
    </row>
    <row r="47" spans="3:11" x14ac:dyDescent="0.3">
      <c r="D47" t="s">
        <v>259</v>
      </c>
    </row>
    <row r="48" spans="3:11" x14ac:dyDescent="0.3">
      <c r="D48" t="s">
        <v>260</v>
      </c>
    </row>
    <row r="49" spans="3:4" x14ac:dyDescent="0.3">
      <c r="C49" t="s">
        <v>179</v>
      </c>
      <c r="D49" t="s">
        <v>261</v>
      </c>
    </row>
    <row r="50" spans="3:4" x14ac:dyDescent="0.3">
      <c r="D50" t="s">
        <v>262</v>
      </c>
    </row>
    <row r="51" spans="3:4" x14ac:dyDescent="0.3">
      <c r="D51" t="s">
        <v>263</v>
      </c>
    </row>
    <row r="52" spans="3:4" x14ac:dyDescent="0.3">
      <c r="D52" t="s">
        <v>266</v>
      </c>
    </row>
    <row r="53" spans="3:4" x14ac:dyDescent="0.3">
      <c r="D53" t="s">
        <v>264</v>
      </c>
    </row>
    <row r="54" spans="3:4" x14ac:dyDescent="0.3">
      <c r="D54" t="s">
        <v>265</v>
      </c>
    </row>
    <row r="55" spans="3:4" x14ac:dyDescent="0.3">
      <c r="D55" t="s">
        <v>267</v>
      </c>
    </row>
    <row r="56" spans="3:4" x14ac:dyDescent="0.3">
      <c r="D56" t="s">
        <v>268</v>
      </c>
    </row>
    <row r="57" spans="3:4" x14ac:dyDescent="0.3">
      <c r="D57" t="s">
        <v>269</v>
      </c>
    </row>
    <row r="58" spans="3:4" x14ac:dyDescent="0.3">
      <c r="D58" t="s">
        <v>271</v>
      </c>
    </row>
    <row r="59" spans="3:4" x14ac:dyDescent="0.3">
      <c r="D59" t="s">
        <v>280</v>
      </c>
    </row>
    <row r="60" spans="3:4" x14ac:dyDescent="0.3">
      <c r="C60" t="s">
        <v>194</v>
      </c>
      <c r="D60" t="s">
        <v>272</v>
      </c>
    </row>
    <row r="61" spans="3:4" x14ac:dyDescent="0.3">
      <c r="D61" t="s">
        <v>270</v>
      </c>
    </row>
    <row r="62" spans="3:4" x14ac:dyDescent="0.3">
      <c r="D62" t="s">
        <v>260</v>
      </c>
    </row>
    <row r="63" spans="3:4" x14ac:dyDescent="0.3">
      <c r="D63" t="s">
        <v>273</v>
      </c>
    </row>
    <row r="64" spans="3:4" x14ac:dyDescent="0.3">
      <c r="D64" t="s">
        <v>274</v>
      </c>
    </row>
    <row r="65" spans="3:4" x14ac:dyDescent="0.3">
      <c r="D65" t="s">
        <v>275</v>
      </c>
    </row>
    <row r="66" spans="3:4" x14ac:dyDescent="0.3">
      <c r="D66" t="s">
        <v>276</v>
      </c>
    </row>
    <row r="67" spans="3:4" x14ac:dyDescent="0.3">
      <c r="C67" t="s">
        <v>189</v>
      </c>
      <c r="D67" t="s">
        <v>277</v>
      </c>
    </row>
    <row r="68" spans="3:4" x14ac:dyDescent="0.3">
      <c r="D68" t="s">
        <v>278</v>
      </c>
    </row>
    <row r="69" spans="3:4" x14ac:dyDescent="0.3">
      <c r="D69" t="s">
        <v>279</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19" workbookViewId="0">
      <selection activeCell="E24" sqref="E24"/>
    </sheetView>
  </sheetViews>
  <sheetFormatPr defaultRowHeight="14.4" x14ac:dyDescent="0.3"/>
  <cols>
    <col min="2" max="2" width="3" bestFit="1" customWidth="1"/>
    <col min="3" max="3" width="130" customWidth="1"/>
  </cols>
  <sheetData>
    <row r="2" spans="2:3" ht="15" customHeight="1" x14ac:dyDescent="0.3">
      <c r="B2" s="49">
        <v>1</v>
      </c>
      <c r="C2" s="51" t="s">
        <v>286</v>
      </c>
    </row>
    <row r="3" spans="2:3" x14ac:dyDescent="0.3">
      <c r="B3" s="49">
        <v>2</v>
      </c>
      <c r="C3" s="50" t="s">
        <v>287</v>
      </c>
    </row>
    <row r="4" spans="2:3" x14ac:dyDescent="0.3">
      <c r="B4" s="49">
        <v>3</v>
      </c>
      <c r="C4" s="49" t="s">
        <v>288</v>
      </c>
    </row>
    <row r="5" spans="2:3" x14ac:dyDescent="0.3">
      <c r="B5" s="49">
        <v>4</v>
      </c>
      <c r="C5" s="50" t="s">
        <v>289</v>
      </c>
    </row>
    <row r="6" spans="2:3" x14ac:dyDescent="0.3">
      <c r="B6" s="49">
        <v>5</v>
      </c>
      <c r="C6" s="49" t="s">
        <v>290</v>
      </c>
    </row>
    <row r="7" spans="2:3" ht="28.8" x14ac:dyDescent="0.3">
      <c r="B7" s="49">
        <v>6</v>
      </c>
      <c r="C7" s="50" t="s">
        <v>291</v>
      </c>
    </row>
    <row r="8" spans="2:3" ht="72" x14ac:dyDescent="0.3">
      <c r="B8" s="49">
        <v>7</v>
      </c>
      <c r="C8" s="50" t="s">
        <v>292</v>
      </c>
    </row>
    <row r="9" spans="2:3" x14ac:dyDescent="0.3">
      <c r="B9" s="49">
        <v>8</v>
      </c>
      <c r="C9" s="49" t="s">
        <v>293</v>
      </c>
    </row>
    <row r="10" spans="2:3" x14ac:dyDescent="0.3">
      <c r="B10" s="49">
        <v>9</v>
      </c>
      <c r="C10" s="49" t="s">
        <v>294</v>
      </c>
    </row>
    <row r="11" spans="2:3" x14ac:dyDescent="0.3">
      <c r="B11" s="49">
        <v>10</v>
      </c>
      <c r="C11" s="49" t="s">
        <v>295</v>
      </c>
    </row>
    <row r="12" spans="2:3" x14ac:dyDescent="0.3">
      <c r="B12" s="49">
        <v>11</v>
      </c>
      <c r="C12" s="49" t="s">
        <v>296</v>
      </c>
    </row>
    <row r="13" spans="2:3" x14ac:dyDescent="0.3">
      <c r="B13" s="49">
        <v>12</v>
      </c>
      <c r="C13" s="49" t="s">
        <v>297</v>
      </c>
    </row>
    <row r="14" spans="2:3" x14ac:dyDescent="0.3">
      <c r="B14" s="49">
        <v>13</v>
      </c>
      <c r="C14" s="49" t="s">
        <v>298</v>
      </c>
    </row>
    <row r="15" spans="2:3" x14ac:dyDescent="0.3">
      <c r="B15" s="49">
        <v>14</v>
      </c>
      <c r="C15" s="49" t="s">
        <v>288</v>
      </c>
    </row>
    <row r="16" spans="2:3" x14ac:dyDescent="0.3">
      <c r="B16" s="49">
        <v>15</v>
      </c>
      <c r="C16" s="49" t="s">
        <v>300</v>
      </c>
    </row>
    <row r="17" spans="2:3" ht="31.5" customHeight="1" x14ac:dyDescent="0.3">
      <c r="B17" s="52">
        <v>16</v>
      </c>
      <c r="C17" s="54" t="s">
        <v>301</v>
      </c>
    </row>
    <row r="18" spans="2:3" x14ac:dyDescent="0.3">
      <c r="B18" s="53">
        <v>17</v>
      </c>
      <c r="C18" s="54" t="s">
        <v>302</v>
      </c>
    </row>
    <row r="19" spans="2:3" x14ac:dyDescent="0.3">
      <c r="B19" s="52">
        <v>18</v>
      </c>
      <c r="C19" s="49" t="s">
        <v>303</v>
      </c>
    </row>
    <row r="20" spans="2:3" x14ac:dyDescent="0.3">
      <c r="B20" s="53">
        <v>19</v>
      </c>
      <c r="C20" s="49" t="s">
        <v>304</v>
      </c>
    </row>
    <row r="21" spans="2:3" x14ac:dyDescent="0.3">
      <c r="B21" s="49">
        <v>20</v>
      </c>
      <c r="C21" s="49" t="s">
        <v>305</v>
      </c>
    </row>
    <row r="22" spans="2:3" x14ac:dyDescent="0.3">
      <c r="B22" s="53">
        <v>21</v>
      </c>
      <c r="C22" s="49" t="s">
        <v>303</v>
      </c>
    </row>
    <row r="23" spans="2:3" s="62" customFormat="1" ht="29.25" customHeight="1" x14ac:dyDescent="0.3">
      <c r="B23" s="61">
        <v>22</v>
      </c>
      <c r="C23" s="51" t="s">
        <v>332</v>
      </c>
    </row>
    <row r="24" spans="2:3" s="62" customFormat="1" ht="30.75" customHeight="1" x14ac:dyDescent="0.3">
      <c r="B24" s="63">
        <v>23</v>
      </c>
      <c r="C24" s="51" t="s">
        <v>333</v>
      </c>
    </row>
    <row r="25" spans="2:3" x14ac:dyDescent="0.3">
      <c r="B25" s="49">
        <v>24</v>
      </c>
      <c r="C25" s="49"/>
    </row>
    <row r="26" spans="2:3" x14ac:dyDescent="0.3">
      <c r="B26" s="53">
        <v>25</v>
      </c>
      <c r="C26" s="4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activeCell="G36" sqref="G36"/>
    </sheetView>
  </sheetViews>
  <sheetFormatPr defaultColWidth="9.109375" defaultRowHeight="14.4" x14ac:dyDescent="0.3"/>
  <cols>
    <col min="1" max="1" width="9.109375" style="46"/>
    <col min="2" max="2" width="12.33203125" style="46" customWidth="1"/>
    <col min="3" max="16384" width="9.109375" style="46"/>
  </cols>
  <sheetData>
    <row r="2" spans="1:12" x14ac:dyDescent="0.3">
      <c r="B2" s="55" t="s">
        <v>306</v>
      </c>
      <c r="C2" s="218"/>
      <c r="D2" s="218"/>
    </row>
    <row r="3" spans="1:12" x14ac:dyDescent="0.3">
      <c r="D3" s="56"/>
      <c r="E3" s="56"/>
      <c r="F3" s="56"/>
      <c r="G3" s="56"/>
      <c r="H3" s="56"/>
      <c r="I3" s="56"/>
    </row>
    <row r="4" spans="1:12" x14ac:dyDescent="0.3">
      <c r="A4" s="55" t="s">
        <v>64</v>
      </c>
      <c r="B4" s="57" t="s">
        <v>307</v>
      </c>
      <c r="C4" s="219" t="s">
        <v>308</v>
      </c>
      <c r="D4" s="219"/>
      <c r="E4" s="219"/>
      <c r="F4" s="57"/>
      <c r="G4" s="220" t="s">
        <v>309</v>
      </c>
      <c r="H4" s="220"/>
      <c r="I4" s="220"/>
      <c r="J4" s="221" t="s">
        <v>310</v>
      </c>
      <c r="K4" s="221"/>
      <c r="L4" s="221"/>
    </row>
    <row r="5" spans="1:12" x14ac:dyDescent="0.3">
      <c r="A5" s="55"/>
      <c r="B5" s="57"/>
      <c r="C5" s="57" t="s">
        <v>311</v>
      </c>
      <c r="D5" s="57" t="s">
        <v>312</v>
      </c>
      <c r="E5" s="57" t="s">
        <v>313</v>
      </c>
      <c r="F5" s="57"/>
      <c r="G5" s="57" t="s">
        <v>311</v>
      </c>
      <c r="H5" s="57" t="s">
        <v>312</v>
      </c>
      <c r="I5" s="57" t="s">
        <v>313</v>
      </c>
      <c r="J5" s="57" t="s">
        <v>311</v>
      </c>
      <c r="K5" s="57" t="s">
        <v>312</v>
      </c>
      <c r="L5" s="57" t="s">
        <v>313</v>
      </c>
    </row>
    <row r="6" spans="1:12" x14ac:dyDescent="0.3">
      <c r="B6" s="47" t="s">
        <v>314</v>
      </c>
      <c r="C6" s="47"/>
      <c r="D6" s="47"/>
      <c r="E6" s="47">
        <f>C6*D6</f>
        <v>0</v>
      </c>
      <c r="F6" s="47" t="s">
        <v>331</v>
      </c>
      <c r="G6" s="47"/>
      <c r="H6" s="47"/>
      <c r="I6" s="47">
        <f>G6*H6</f>
        <v>0</v>
      </c>
      <c r="J6" s="47"/>
      <c r="K6" s="47"/>
      <c r="L6" s="47">
        <f>J6*K6</f>
        <v>0</v>
      </c>
    </row>
    <row r="7" spans="1:12" x14ac:dyDescent="0.3">
      <c r="B7" s="47"/>
      <c r="C7" s="47"/>
      <c r="D7" s="47"/>
      <c r="E7" s="47">
        <f t="shared" ref="E7:E41" si="0">C7*D7</f>
        <v>0</v>
      </c>
      <c r="F7" s="47" t="s">
        <v>331</v>
      </c>
      <c r="G7" s="47"/>
      <c r="H7" s="47"/>
      <c r="I7" s="47">
        <f t="shared" ref="I7:I35" si="1">G7*H7</f>
        <v>0</v>
      </c>
      <c r="J7" s="47"/>
      <c r="K7" s="47"/>
      <c r="L7" s="47">
        <f t="shared" ref="L7:L35" si="2">J7*K7</f>
        <v>0</v>
      </c>
    </row>
    <row r="8" spans="1:12" x14ac:dyDescent="0.3">
      <c r="B8" s="47"/>
      <c r="C8" s="47"/>
      <c r="D8" s="47"/>
      <c r="E8" s="47">
        <f t="shared" si="0"/>
        <v>0</v>
      </c>
      <c r="F8" s="47"/>
      <c r="G8" s="47"/>
      <c r="H8" s="47"/>
      <c r="I8" s="47">
        <f t="shared" si="1"/>
        <v>0</v>
      </c>
      <c r="J8" s="47"/>
      <c r="K8" s="47"/>
      <c r="L8" s="47">
        <f t="shared" si="2"/>
        <v>0</v>
      </c>
    </row>
    <row r="9" spans="1:12" x14ac:dyDescent="0.3">
      <c r="B9" s="47"/>
      <c r="C9" s="47"/>
      <c r="D9" s="47"/>
      <c r="E9" s="47">
        <f t="shared" si="0"/>
        <v>0</v>
      </c>
      <c r="F9" s="47" t="s">
        <v>315</v>
      </c>
      <c r="G9" s="47"/>
      <c r="H9" s="47"/>
      <c r="I9" s="47">
        <f t="shared" si="1"/>
        <v>0</v>
      </c>
      <c r="J9" s="47"/>
      <c r="K9" s="47"/>
      <c r="L9" s="47">
        <f t="shared" si="2"/>
        <v>0</v>
      </c>
    </row>
    <row r="10" spans="1:12" x14ac:dyDescent="0.3">
      <c r="B10" s="47" t="s">
        <v>316</v>
      </c>
      <c r="C10" s="47"/>
      <c r="D10" s="47"/>
      <c r="E10" s="47">
        <f t="shared" si="0"/>
        <v>0</v>
      </c>
      <c r="F10" s="47" t="s">
        <v>315</v>
      </c>
      <c r="G10" s="47"/>
      <c r="H10" s="47"/>
      <c r="I10" s="47">
        <f t="shared" si="1"/>
        <v>0</v>
      </c>
      <c r="J10" s="47"/>
      <c r="K10" s="47"/>
      <c r="L10" s="47">
        <f t="shared" si="2"/>
        <v>0</v>
      </c>
    </row>
    <row r="11" spans="1:12" x14ac:dyDescent="0.3">
      <c r="B11" s="47"/>
      <c r="C11" s="47"/>
      <c r="D11" s="47"/>
      <c r="E11" s="47">
        <f t="shared" si="0"/>
        <v>0</v>
      </c>
      <c r="F11" s="47" t="s">
        <v>317</v>
      </c>
      <c r="G11" s="47"/>
      <c r="H11" s="47"/>
      <c r="I11" s="47">
        <f t="shared" si="1"/>
        <v>0</v>
      </c>
      <c r="J11" s="47"/>
      <c r="K11" s="47"/>
      <c r="L11" s="47">
        <f t="shared" si="2"/>
        <v>0</v>
      </c>
    </row>
    <row r="12" spans="1:12" x14ac:dyDescent="0.3">
      <c r="B12" s="47"/>
      <c r="C12" s="47"/>
      <c r="D12" s="47"/>
      <c r="E12" s="47">
        <f t="shared" si="0"/>
        <v>0</v>
      </c>
      <c r="F12" s="47"/>
      <c r="G12" s="47"/>
      <c r="H12" s="47"/>
      <c r="I12" s="47">
        <f t="shared" si="1"/>
        <v>0</v>
      </c>
      <c r="J12" s="47"/>
      <c r="K12" s="47"/>
      <c r="L12" s="47">
        <f t="shared" si="2"/>
        <v>0</v>
      </c>
    </row>
    <row r="13" spans="1:12" x14ac:dyDescent="0.3">
      <c r="B13" s="47"/>
      <c r="C13" s="47"/>
      <c r="D13" s="47"/>
      <c r="E13" s="47">
        <f t="shared" si="0"/>
        <v>0</v>
      </c>
      <c r="F13" s="47"/>
      <c r="G13" s="47"/>
      <c r="H13" s="47"/>
      <c r="I13" s="47">
        <f t="shared" si="1"/>
        <v>0</v>
      </c>
      <c r="J13" s="47"/>
      <c r="K13" s="47"/>
      <c r="L13" s="47">
        <f t="shared" si="2"/>
        <v>0</v>
      </c>
    </row>
    <row r="14" spans="1:12" x14ac:dyDescent="0.3">
      <c r="B14" s="47" t="s">
        <v>318</v>
      </c>
      <c r="C14" s="47"/>
      <c r="D14" s="47"/>
      <c r="E14" s="47">
        <f t="shared" si="0"/>
        <v>0</v>
      </c>
      <c r="F14" s="47" t="s">
        <v>315</v>
      </c>
      <c r="G14" s="47"/>
      <c r="H14" s="47"/>
      <c r="I14" s="47">
        <f t="shared" si="1"/>
        <v>0</v>
      </c>
      <c r="J14" s="47"/>
      <c r="K14" s="47"/>
      <c r="L14" s="47">
        <f t="shared" si="2"/>
        <v>0</v>
      </c>
    </row>
    <row r="15" spans="1:12" x14ac:dyDescent="0.3">
      <c r="B15" s="47"/>
      <c r="C15" s="47"/>
      <c r="D15" s="47"/>
      <c r="E15" s="47">
        <f t="shared" si="0"/>
        <v>0</v>
      </c>
      <c r="F15" s="47" t="s">
        <v>317</v>
      </c>
      <c r="G15" s="47"/>
      <c r="H15" s="47"/>
      <c r="I15" s="47">
        <f t="shared" si="1"/>
        <v>0</v>
      </c>
      <c r="J15" s="47"/>
      <c r="K15" s="47"/>
      <c r="L15" s="47">
        <f t="shared" si="2"/>
        <v>0</v>
      </c>
    </row>
    <row r="16" spans="1:12" x14ac:dyDescent="0.3">
      <c r="B16" s="47"/>
      <c r="C16" s="47"/>
      <c r="D16" s="47"/>
      <c r="E16" s="47">
        <f t="shared" si="0"/>
        <v>0</v>
      </c>
      <c r="F16" s="47"/>
      <c r="G16" s="47"/>
      <c r="H16" s="47"/>
      <c r="I16" s="47">
        <f t="shared" si="1"/>
        <v>0</v>
      </c>
      <c r="J16" s="47"/>
      <c r="K16" s="47"/>
      <c r="L16" s="47">
        <f t="shared" si="2"/>
        <v>0</v>
      </c>
    </row>
    <row r="17" spans="2:12" x14ac:dyDescent="0.3">
      <c r="B17" s="47"/>
      <c r="C17" s="47"/>
      <c r="D17" s="47"/>
      <c r="E17" s="47">
        <f t="shared" si="0"/>
        <v>0</v>
      </c>
      <c r="F17" s="47"/>
      <c r="G17" s="47"/>
      <c r="H17" s="47"/>
      <c r="I17" s="47">
        <f t="shared" si="1"/>
        <v>0</v>
      </c>
      <c r="J17" s="47"/>
      <c r="K17" s="47"/>
      <c r="L17" s="47">
        <f t="shared" si="2"/>
        <v>0</v>
      </c>
    </row>
    <row r="18" spans="2:12" x14ac:dyDescent="0.3">
      <c r="B18" s="47" t="s">
        <v>319</v>
      </c>
      <c r="C18" s="47"/>
      <c r="D18" s="47"/>
      <c r="E18" s="47">
        <f t="shared" si="0"/>
        <v>0</v>
      </c>
      <c r="F18" s="47" t="s">
        <v>315</v>
      </c>
      <c r="G18" s="47"/>
      <c r="H18" s="47"/>
      <c r="I18" s="47">
        <f t="shared" si="1"/>
        <v>0</v>
      </c>
      <c r="J18" s="47"/>
      <c r="K18" s="47"/>
      <c r="L18" s="47">
        <f t="shared" si="2"/>
        <v>0</v>
      </c>
    </row>
    <row r="19" spans="2:12" x14ac:dyDescent="0.3">
      <c r="B19" s="47"/>
      <c r="C19" s="47"/>
      <c r="D19" s="47"/>
      <c r="E19" s="47">
        <f t="shared" si="0"/>
        <v>0</v>
      </c>
      <c r="F19" s="47" t="s">
        <v>317</v>
      </c>
      <c r="G19" s="47"/>
      <c r="H19" s="47"/>
      <c r="I19" s="47">
        <f t="shared" si="1"/>
        <v>0</v>
      </c>
      <c r="J19" s="47"/>
      <c r="K19" s="47"/>
      <c r="L19" s="47">
        <f t="shared" si="2"/>
        <v>0</v>
      </c>
    </row>
    <row r="20" spans="2:12" x14ac:dyDescent="0.3">
      <c r="B20" s="47"/>
      <c r="C20" s="47"/>
      <c r="D20" s="47"/>
      <c r="E20" s="47">
        <f t="shared" si="0"/>
        <v>0</v>
      </c>
      <c r="F20" s="47"/>
      <c r="G20" s="47"/>
      <c r="H20" s="47"/>
      <c r="I20" s="47">
        <f t="shared" si="1"/>
        <v>0</v>
      </c>
      <c r="J20" s="47"/>
      <c r="K20" s="47"/>
      <c r="L20" s="47">
        <f t="shared" si="2"/>
        <v>0</v>
      </c>
    </row>
    <row r="21" spans="2:12" x14ac:dyDescent="0.3">
      <c r="B21" s="47" t="s">
        <v>320</v>
      </c>
      <c r="C21" s="47"/>
      <c r="D21" s="47"/>
      <c r="E21" s="47">
        <f t="shared" si="0"/>
        <v>0</v>
      </c>
      <c r="F21" s="47" t="s">
        <v>315</v>
      </c>
      <c r="G21" s="47"/>
      <c r="H21" s="47"/>
      <c r="I21" s="47">
        <f t="shared" si="1"/>
        <v>0</v>
      </c>
      <c r="J21" s="47"/>
      <c r="K21" s="47"/>
      <c r="L21" s="47">
        <f t="shared" si="2"/>
        <v>0</v>
      </c>
    </row>
    <row r="22" spans="2:12" x14ac:dyDescent="0.3">
      <c r="B22" s="47"/>
      <c r="C22" s="47"/>
      <c r="D22" s="47"/>
      <c r="E22" s="47">
        <f t="shared" si="0"/>
        <v>0</v>
      </c>
      <c r="F22" s="47" t="s">
        <v>317</v>
      </c>
      <c r="G22" s="47"/>
      <c r="H22" s="47"/>
      <c r="I22" s="47">
        <f t="shared" si="1"/>
        <v>0</v>
      </c>
      <c r="J22" s="47"/>
      <c r="K22" s="47"/>
      <c r="L22" s="47">
        <f t="shared" si="2"/>
        <v>0</v>
      </c>
    </row>
    <row r="23" spans="2:12" x14ac:dyDescent="0.3">
      <c r="B23" s="47"/>
      <c r="C23" s="47"/>
      <c r="D23" s="47"/>
      <c r="E23" s="47">
        <f t="shared" si="0"/>
        <v>0</v>
      </c>
      <c r="F23" s="47"/>
      <c r="G23" s="47"/>
      <c r="H23" s="47"/>
      <c r="I23" s="47">
        <f t="shared" si="1"/>
        <v>0</v>
      </c>
      <c r="J23" s="47"/>
      <c r="K23" s="47"/>
      <c r="L23" s="47">
        <f t="shared" si="2"/>
        <v>0</v>
      </c>
    </row>
    <row r="24" spans="2:12" x14ac:dyDescent="0.3">
      <c r="B24" s="47" t="s">
        <v>321</v>
      </c>
      <c r="C24" s="47"/>
      <c r="D24" s="47"/>
      <c r="E24" s="47">
        <f t="shared" si="0"/>
        <v>0</v>
      </c>
      <c r="F24" s="47" t="s">
        <v>322</v>
      </c>
      <c r="G24" s="47"/>
      <c r="H24" s="47"/>
      <c r="I24" s="47">
        <f t="shared" si="1"/>
        <v>0</v>
      </c>
      <c r="J24" s="47"/>
      <c r="K24" s="47"/>
      <c r="L24" s="47">
        <f t="shared" si="2"/>
        <v>0</v>
      </c>
    </row>
    <row r="25" spans="2:12" x14ac:dyDescent="0.3">
      <c r="B25" s="47"/>
      <c r="C25" s="47"/>
      <c r="D25" s="47"/>
      <c r="E25" s="47">
        <f t="shared" ref="E25:E27" si="3">C25*D25</f>
        <v>0</v>
      </c>
      <c r="F25" s="47" t="s">
        <v>322</v>
      </c>
      <c r="G25" s="47"/>
      <c r="H25" s="47"/>
      <c r="I25" s="47">
        <f t="shared" ref="I25:I27" si="4">G25*H25</f>
        <v>0</v>
      </c>
      <c r="J25" s="47"/>
      <c r="K25" s="47"/>
      <c r="L25" s="47">
        <f t="shared" ref="L25:L27" si="5">J25*K25</f>
        <v>0</v>
      </c>
    </row>
    <row r="26" spans="2:12" x14ac:dyDescent="0.3">
      <c r="B26" s="47"/>
      <c r="C26" s="47"/>
      <c r="D26" s="47"/>
      <c r="E26" s="47">
        <f t="shared" si="3"/>
        <v>0</v>
      </c>
      <c r="F26" s="47" t="s">
        <v>322</v>
      </c>
      <c r="G26" s="47"/>
      <c r="H26" s="47"/>
      <c r="I26" s="47">
        <f t="shared" si="4"/>
        <v>0</v>
      </c>
      <c r="J26" s="47"/>
      <c r="K26" s="47"/>
      <c r="L26" s="47">
        <f t="shared" si="5"/>
        <v>0</v>
      </c>
    </row>
    <row r="27" spans="2:12" x14ac:dyDescent="0.3">
      <c r="B27" s="47"/>
      <c r="C27" s="47"/>
      <c r="D27" s="47"/>
      <c r="E27" s="47">
        <f t="shared" si="3"/>
        <v>0</v>
      </c>
      <c r="F27" s="47" t="s">
        <v>322</v>
      </c>
      <c r="G27" s="47"/>
      <c r="H27" s="47"/>
      <c r="I27" s="47">
        <f t="shared" si="4"/>
        <v>0</v>
      </c>
      <c r="J27" s="47"/>
      <c r="K27" s="47"/>
      <c r="L27" s="47">
        <f t="shared" si="5"/>
        <v>0</v>
      </c>
    </row>
    <row r="28" spans="2:12" x14ac:dyDescent="0.3">
      <c r="B28" s="47" t="s">
        <v>323</v>
      </c>
      <c r="C28" s="47"/>
      <c r="D28" s="47"/>
      <c r="E28" s="47">
        <f t="shared" si="0"/>
        <v>0</v>
      </c>
      <c r="F28" s="47" t="s">
        <v>322</v>
      </c>
      <c r="G28" s="47"/>
      <c r="H28" s="47"/>
      <c r="I28" s="47">
        <f t="shared" si="1"/>
        <v>0</v>
      </c>
      <c r="J28" s="47"/>
      <c r="K28" s="47"/>
      <c r="L28" s="47">
        <f t="shared" si="2"/>
        <v>0</v>
      </c>
    </row>
    <row r="29" spans="2:12" x14ac:dyDescent="0.3">
      <c r="B29" s="47" t="s">
        <v>324</v>
      </c>
      <c r="C29" s="47"/>
      <c r="D29" s="47"/>
      <c r="E29" s="47">
        <f t="shared" si="0"/>
        <v>0</v>
      </c>
      <c r="F29" s="47" t="s">
        <v>322</v>
      </c>
      <c r="G29" s="47"/>
      <c r="H29" s="47"/>
      <c r="I29" s="47">
        <f t="shared" si="1"/>
        <v>0</v>
      </c>
      <c r="J29" s="47"/>
      <c r="K29" s="47"/>
      <c r="L29" s="47">
        <f t="shared" si="2"/>
        <v>0</v>
      </c>
    </row>
    <row r="30" spans="2:12" x14ac:dyDescent="0.3">
      <c r="B30" s="47" t="s">
        <v>328</v>
      </c>
      <c r="C30" s="47"/>
      <c r="D30" s="47"/>
      <c r="E30" s="47">
        <f t="shared" si="0"/>
        <v>0</v>
      </c>
      <c r="F30" s="47"/>
      <c r="G30" s="47"/>
      <c r="H30" s="47"/>
      <c r="I30" s="47">
        <f t="shared" si="1"/>
        <v>0</v>
      </c>
      <c r="J30" s="47"/>
      <c r="K30" s="47"/>
      <c r="L30" s="47">
        <f t="shared" si="2"/>
        <v>0</v>
      </c>
    </row>
    <row r="31" spans="2:12" x14ac:dyDescent="0.3">
      <c r="B31" s="47"/>
      <c r="C31" s="47"/>
      <c r="D31" s="47"/>
      <c r="E31" s="47">
        <f t="shared" ref="E31:E32" si="6">C31*D31</f>
        <v>0</v>
      </c>
      <c r="F31" s="47"/>
      <c r="G31" s="47"/>
      <c r="H31" s="47"/>
      <c r="I31" s="47">
        <f t="shared" ref="I31:I32" si="7">G31*H31</f>
        <v>0</v>
      </c>
      <c r="J31" s="47"/>
      <c r="K31" s="47"/>
      <c r="L31" s="47">
        <f t="shared" ref="L31:L32" si="8">J31*K31</f>
        <v>0</v>
      </c>
    </row>
    <row r="32" spans="2:12" x14ac:dyDescent="0.3">
      <c r="B32" s="47"/>
      <c r="C32" s="47"/>
      <c r="D32" s="47"/>
      <c r="E32" s="47">
        <f t="shared" si="6"/>
        <v>0</v>
      </c>
      <c r="F32" s="47"/>
      <c r="G32" s="47"/>
      <c r="H32" s="47"/>
      <c r="I32" s="47">
        <f t="shared" si="7"/>
        <v>0</v>
      </c>
      <c r="J32" s="47"/>
      <c r="K32" s="47"/>
      <c r="L32" s="47">
        <f t="shared" si="8"/>
        <v>0</v>
      </c>
    </row>
    <row r="33" spans="2:12" x14ac:dyDescent="0.3">
      <c r="B33" s="47" t="s">
        <v>325</v>
      </c>
      <c r="C33" s="47"/>
      <c r="D33" s="47"/>
      <c r="E33" s="47">
        <f t="shared" si="0"/>
        <v>0</v>
      </c>
      <c r="F33" s="47"/>
      <c r="G33" s="47"/>
      <c r="H33" s="47"/>
      <c r="I33" s="47">
        <f t="shared" si="1"/>
        <v>0</v>
      </c>
      <c r="J33" s="47"/>
      <c r="K33" s="47"/>
      <c r="L33" s="47">
        <f t="shared" si="2"/>
        <v>0</v>
      </c>
    </row>
    <row r="34" spans="2:12" x14ac:dyDescent="0.3">
      <c r="B34" s="47" t="s">
        <v>329</v>
      </c>
      <c r="C34" s="47"/>
      <c r="D34" s="47"/>
      <c r="E34" s="47">
        <f t="shared" si="0"/>
        <v>0</v>
      </c>
      <c r="F34" s="47"/>
      <c r="G34" s="47"/>
      <c r="H34" s="47"/>
      <c r="I34" s="47">
        <f t="shared" si="1"/>
        <v>0</v>
      </c>
      <c r="J34" s="47"/>
      <c r="K34" s="47"/>
      <c r="L34" s="47">
        <f t="shared" si="2"/>
        <v>0</v>
      </c>
    </row>
    <row r="35" spans="2:12" x14ac:dyDescent="0.3">
      <c r="B35" s="47" t="s">
        <v>326</v>
      </c>
      <c r="C35" s="47"/>
      <c r="D35" s="47"/>
      <c r="E35" s="47">
        <f t="shared" si="0"/>
        <v>0</v>
      </c>
      <c r="F35" s="47"/>
      <c r="G35" s="47"/>
      <c r="H35" s="47"/>
      <c r="I35" s="47">
        <f t="shared" si="1"/>
        <v>0</v>
      </c>
      <c r="J35" s="47"/>
      <c r="K35" s="47"/>
      <c r="L35" s="47">
        <f t="shared" si="2"/>
        <v>0</v>
      </c>
    </row>
    <row r="36" spans="2:12" x14ac:dyDescent="0.3">
      <c r="B36" s="47" t="s">
        <v>327</v>
      </c>
      <c r="C36" s="47"/>
      <c r="D36" s="47"/>
      <c r="E36" s="47">
        <f t="shared" si="0"/>
        <v>0</v>
      </c>
      <c r="F36" s="47"/>
      <c r="G36" s="47"/>
      <c r="H36" s="47"/>
      <c r="I36" s="47">
        <f>G36*H36</f>
        <v>0</v>
      </c>
      <c r="J36" s="47"/>
      <c r="K36" s="47"/>
      <c r="L36" s="47">
        <f>J36*K36</f>
        <v>0</v>
      </c>
    </row>
    <row r="37" spans="2:12" x14ac:dyDescent="0.3">
      <c r="B37" s="47"/>
      <c r="C37" s="47"/>
      <c r="D37" s="47"/>
      <c r="E37" s="47">
        <f t="shared" ref="E37:E38" si="9">C37*D37</f>
        <v>0</v>
      </c>
      <c r="F37" s="47"/>
      <c r="G37" s="47"/>
      <c r="H37" s="47"/>
      <c r="I37" s="47">
        <f t="shared" ref="I37:I38" si="10">G37*H37</f>
        <v>0</v>
      </c>
      <c r="J37" s="47"/>
      <c r="K37" s="47"/>
      <c r="L37" s="47">
        <f t="shared" ref="L37:L38" si="11">J37*K37</f>
        <v>0</v>
      </c>
    </row>
    <row r="38" spans="2:12" x14ac:dyDescent="0.3">
      <c r="B38" s="47" t="s">
        <v>330</v>
      </c>
      <c r="C38" s="47"/>
      <c r="D38" s="47"/>
      <c r="E38" s="47">
        <f t="shared" si="9"/>
        <v>0</v>
      </c>
      <c r="F38" s="47"/>
      <c r="G38" s="47"/>
      <c r="H38" s="47"/>
      <c r="I38" s="47">
        <f t="shared" si="10"/>
        <v>0</v>
      </c>
      <c r="J38" s="47"/>
      <c r="K38" s="47"/>
      <c r="L38" s="47">
        <f t="shared" si="11"/>
        <v>0</v>
      </c>
    </row>
    <row r="39" spans="2:12" x14ac:dyDescent="0.3">
      <c r="B39" s="47"/>
      <c r="C39" s="47"/>
      <c r="D39" s="47"/>
      <c r="E39" s="47">
        <f t="shared" si="0"/>
        <v>0</v>
      </c>
      <c r="F39" s="47"/>
      <c r="G39" s="47"/>
      <c r="H39" s="47"/>
      <c r="I39" s="47">
        <f>G39*H39</f>
        <v>0</v>
      </c>
      <c r="J39" s="47"/>
      <c r="K39" s="47"/>
      <c r="L39" s="47">
        <f>J39*K39</f>
        <v>0</v>
      </c>
    </row>
    <row r="40" spans="2:12" x14ac:dyDescent="0.3">
      <c r="B40" s="47"/>
      <c r="C40" s="47"/>
      <c r="D40" s="47"/>
      <c r="E40" s="47">
        <f t="shared" si="0"/>
        <v>0</v>
      </c>
      <c r="F40" s="47"/>
      <c r="G40" s="47"/>
      <c r="H40" s="47"/>
      <c r="I40" s="47">
        <f>G40*H40</f>
        <v>0</v>
      </c>
      <c r="J40" s="47"/>
      <c r="K40" s="47"/>
      <c r="L40" s="47">
        <f>J40*K40</f>
        <v>0</v>
      </c>
    </row>
    <row r="41" spans="2:12" x14ac:dyDescent="0.3">
      <c r="B41" s="47"/>
      <c r="C41" s="47"/>
      <c r="D41" s="47"/>
      <c r="E41" s="47">
        <f t="shared" si="0"/>
        <v>0</v>
      </c>
      <c r="F41" s="47"/>
      <c r="G41" s="47"/>
      <c r="H41" s="47"/>
      <c r="I41" s="47">
        <f>G41*H41</f>
        <v>0</v>
      </c>
      <c r="J41" s="47"/>
      <c r="K41" s="47"/>
      <c r="L41" s="47">
        <f>J41*K41</f>
        <v>0</v>
      </c>
    </row>
    <row r="42" spans="2:12" x14ac:dyDescent="0.3">
      <c r="B42" s="47" t="s">
        <v>149</v>
      </c>
      <c r="C42" s="47"/>
      <c r="D42" s="47">
        <f>E42*10.764</f>
        <v>0</v>
      </c>
      <c r="E42" s="60">
        <f>SUM(E6:E41)</f>
        <v>0</v>
      </c>
      <c r="F42" s="47"/>
      <c r="G42" s="47"/>
      <c r="H42" s="47">
        <f>I42*10.764</f>
        <v>0</v>
      </c>
      <c r="I42" s="59">
        <f>SUM(I6:I41)</f>
        <v>0</v>
      </c>
      <c r="J42" s="47"/>
      <c r="K42" s="47">
        <f>L42*10.764</f>
        <v>0</v>
      </c>
      <c r="L42" s="58">
        <f>SUM(L6:L41)</f>
        <v>0</v>
      </c>
    </row>
    <row r="44" spans="2:12" x14ac:dyDescent="0.3">
      <c r="D44" s="46">
        <f>D42+H42</f>
        <v>0</v>
      </c>
      <c r="E44" s="4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2025-09-10T10:44:26Z</cp:lastPrinted>
  <dcterms:created xsi:type="dcterms:W3CDTF">2019-07-16T09:29:46Z</dcterms:created>
  <dcterms:modified xsi:type="dcterms:W3CDTF">2025-09-10T10:45:36Z</dcterms:modified>
</cp:coreProperties>
</file>