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E3646CE6-AD52-4A03-8E2A-75D895AE7645}"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Report!$A$1:$H$425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9" i="1" l="1"/>
  <c r="F269" i="1" s="1"/>
  <c r="D268" i="1"/>
  <c r="F268" i="1" s="1"/>
  <c r="D267" i="1"/>
  <c r="F267" i="1" s="1"/>
  <c r="D266" i="1"/>
  <c r="F266" i="1" s="1"/>
  <c r="D253" i="1"/>
  <c r="F253" i="1" s="1"/>
  <c r="D252" i="1"/>
  <c r="F252" i="1" s="1"/>
  <c r="D251" i="1"/>
  <c r="F251" i="1" s="1"/>
  <c r="D250" i="1"/>
  <c r="F250" i="1" s="1"/>
  <c r="D231" i="1"/>
  <c r="D230" i="1"/>
  <c r="D229" i="1"/>
  <c r="D263" i="1"/>
  <c r="D262" i="1"/>
  <c r="D261" i="1"/>
  <c r="D274" i="1"/>
  <c r="F274" i="1" s="1"/>
  <c r="H274" i="1" s="1"/>
  <c r="D272" i="1"/>
  <c r="F272" i="1" s="1"/>
  <c r="H272" i="1" s="1"/>
  <c r="D271" i="1"/>
  <c r="F271" i="1" s="1"/>
  <c r="H271" i="1" s="1"/>
  <c r="D258" i="1"/>
  <c r="F258" i="1" s="1"/>
  <c r="H258" i="1" s="1"/>
  <c r="D256" i="1"/>
  <c r="F256" i="1" s="1"/>
  <c r="H256" i="1" s="1"/>
  <c r="D255" i="1"/>
  <c r="F255" i="1" s="1"/>
  <c r="H255" i="1" s="1"/>
  <c r="I171" i="1" l="1"/>
  <c r="K171" i="1" s="1"/>
  <c r="I172" i="1"/>
  <c r="I197" i="1"/>
  <c r="I169" i="1"/>
  <c r="K169" i="1" s="1"/>
  <c r="K214" i="1"/>
  <c r="I214" i="1"/>
  <c r="D247" i="1"/>
  <c r="D246" i="1"/>
  <c r="D245" i="1"/>
  <c r="D213" i="1"/>
  <c r="D212" i="1"/>
  <c r="D211" i="1"/>
  <c r="D225" i="1"/>
  <c r="D224" i="1"/>
  <c r="D222" i="1"/>
  <c r="D221" i="1"/>
  <c r="D219" i="1"/>
  <c r="D218" i="1"/>
  <c r="D217" i="1"/>
  <c r="D216" i="1"/>
  <c r="D205" i="1"/>
  <c r="D64" i="1"/>
  <c r="J57" i="1"/>
  <c r="I263" i="1" l="1"/>
  <c r="I231" i="1"/>
  <c r="C107" i="1"/>
  <c r="B108" i="1" s="1"/>
  <c r="J118" i="1" s="1"/>
  <c r="C93" i="1"/>
  <c r="B94" i="1" s="1"/>
  <c r="J168" i="1"/>
  <c r="H269" i="1"/>
  <c r="H267" i="1"/>
  <c r="H266" i="1"/>
  <c r="F263" i="1"/>
  <c r="H263" i="1" s="1"/>
  <c r="F262" i="1"/>
  <c r="H262" i="1" s="1"/>
  <c r="H253" i="1"/>
  <c r="H252" i="1"/>
  <c r="H251" i="1"/>
  <c r="H250" i="1"/>
  <c r="F247" i="1"/>
  <c r="H247" i="1" s="1"/>
  <c r="F246" i="1"/>
  <c r="H246" i="1" s="1"/>
  <c r="F245" i="1"/>
  <c r="D242" i="1"/>
  <c r="F242" i="1" s="1"/>
  <c r="H242" i="1" s="1"/>
  <c r="D240" i="1"/>
  <c r="F240" i="1" s="1"/>
  <c r="H240" i="1" s="1"/>
  <c r="D239" i="1"/>
  <c r="F239" i="1" s="1"/>
  <c r="H239" i="1" s="1"/>
  <c r="D237" i="1"/>
  <c r="F237" i="1" s="1"/>
  <c r="H237" i="1" s="1"/>
  <c r="D236" i="1"/>
  <c r="F236" i="1" s="1"/>
  <c r="H236" i="1" s="1"/>
  <c r="D235" i="1"/>
  <c r="F235" i="1" s="1"/>
  <c r="H235" i="1" s="1"/>
  <c r="D234" i="1"/>
  <c r="F234" i="1" s="1"/>
  <c r="H234" i="1" s="1"/>
  <c r="F225" i="1"/>
  <c r="H225" i="1" s="1"/>
  <c r="F224" i="1"/>
  <c r="H224" i="1" s="1"/>
  <c r="F221" i="1"/>
  <c r="H221" i="1" s="1"/>
  <c r="F219" i="1"/>
  <c r="H219" i="1" s="1"/>
  <c r="F218" i="1"/>
  <c r="H218" i="1" s="1"/>
  <c r="F217" i="1"/>
  <c r="H217" i="1" s="1"/>
  <c r="F216" i="1"/>
  <c r="H216" i="1" s="1"/>
  <c r="F213" i="1"/>
  <c r="H213" i="1" s="1"/>
  <c r="F212" i="1"/>
  <c r="H212" i="1" s="1"/>
  <c r="F211" i="1"/>
  <c r="D208" i="1"/>
  <c r="F208" i="1" s="1"/>
  <c r="H208" i="1" s="1"/>
  <c r="D207" i="1"/>
  <c r="F207" i="1" s="1"/>
  <c r="H207" i="1" s="1"/>
  <c r="F205" i="1"/>
  <c r="H205" i="1" s="1"/>
  <c r="L204" i="1" s="1"/>
  <c r="D204" i="1"/>
  <c r="F204" i="1" s="1"/>
  <c r="H204" i="1" s="1"/>
  <c r="D202" i="1"/>
  <c r="F202" i="1" s="1"/>
  <c r="H202" i="1" s="1"/>
  <c r="D201" i="1"/>
  <c r="F201" i="1" s="1"/>
  <c r="H201" i="1" s="1"/>
  <c r="D200" i="1"/>
  <c r="F200" i="1" s="1"/>
  <c r="H200" i="1" s="1"/>
  <c r="D199" i="1"/>
  <c r="F199" i="1" s="1"/>
  <c r="H199" i="1" s="1"/>
  <c r="D196" i="1"/>
  <c r="F196" i="1" s="1"/>
  <c r="H196" i="1" s="1"/>
  <c r="D195" i="1"/>
  <c r="D194" i="1"/>
  <c r="K195" i="1"/>
  <c r="J259" i="1"/>
  <c r="I259" i="1"/>
  <c r="J253" i="1"/>
  <c r="I253" i="1"/>
  <c r="J243" i="1"/>
  <c r="I243" i="1"/>
  <c r="K248" i="1"/>
  <c r="F222" i="1"/>
  <c r="H222" i="1" s="1"/>
  <c r="J234" i="1"/>
  <c r="I234" i="1"/>
  <c r="I266" i="1"/>
  <c r="J266" i="1"/>
  <c r="A272" i="1"/>
  <c r="A273" i="1" s="1"/>
  <c r="A274" i="1" s="1"/>
  <c r="J269" i="1"/>
  <c r="I269" i="1"/>
  <c r="H268" i="1"/>
  <c r="A267" i="1"/>
  <c r="A268" i="1" s="1"/>
  <c r="A269" i="1" s="1"/>
  <c r="A262" i="1"/>
  <c r="A263" i="1" s="1"/>
  <c r="A264" i="1" s="1"/>
  <c r="A256" i="1"/>
  <c r="A257" i="1" s="1"/>
  <c r="A258" i="1" s="1"/>
  <c r="A251" i="1"/>
  <c r="A252" i="1" s="1"/>
  <c r="A253" i="1" s="1"/>
  <c r="A246" i="1"/>
  <c r="A247" i="1" s="1"/>
  <c r="A248" i="1" s="1"/>
  <c r="A240" i="1"/>
  <c r="A241" i="1" s="1"/>
  <c r="A242" i="1" s="1"/>
  <c r="A235" i="1"/>
  <c r="A236" i="1" s="1"/>
  <c r="A237" i="1" s="1"/>
  <c r="J227" i="1"/>
  <c r="I227" i="1"/>
  <c r="J220" i="1"/>
  <c r="I220" i="1"/>
  <c r="J215" i="1"/>
  <c r="I215" i="1"/>
  <c r="J210" i="1"/>
  <c r="I210" i="1"/>
  <c r="J203" i="1"/>
  <c r="I203" i="1"/>
  <c r="J198" i="1"/>
  <c r="I198" i="1"/>
  <c r="J193" i="1"/>
  <c r="I193" i="1"/>
  <c r="H108" i="1"/>
  <c r="H94" i="1"/>
  <c r="C171" i="1" l="1"/>
  <c r="E171" i="1"/>
  <c r="E173" i="1"/>
  <c r="C173" i="1"/>
  <c r="H211" i="1"/>
  <c r="G171" i="1" s="1"/>
  <c r="F261" i="1"/>
  <c r="K269" i="1"/>
  <c r="K266" i="1"/>
  <c r="K253" i="1"/>
  <c r="K259" i="1"/>
  <c r="H245" i="1"/>
  <c r="G173" i="1" s="1"/>
  <c r="K234" i="1"/>
  <c r="K243" i="1"/>
  <c r="K198" i="1"/>
  <c r="J116" i="1"/>
  <c r="J110" i="1"/>
  <c r="D114" i="1"/>
  <c r="D119" i="1"/>
  <c r="D117" i="1"/>
  <c r="D115" i="1"/>
  <c r="D113" i="1"/>
  <c r="J111" i="1"/>
  <c r="J112" i="1"/>
  <c r="J107" i="1"/>
  <c r="J109" i="1" s="1"/>
  <c r="D120" i="1"/>
  <c r="D118" i="1"/>
  <c r="D116" i="1"/>
  <c r="J113" i="1"/>
  <c r="J115" i="1"/>
  <c r="J117" i="1"/>
  <c r="J98" i="1"/>
  <c r="D97" i="1" s="1"/>
  <c r="J96" i="1"/>
  <c r="J93" i="1"/>
  <c r="J95" i="1" s="1"/>
  <c r="D106" i="1"/>
  <c r="D104" i="1"/>
  <c r="D102" i="1"/>
  <c r="D100" i="1"/>
  <c r="D105" i="1"/>
  <c r="D103" i="1"/>
  <c r="D101" i="1"/>
  <c r="D99" i="1"/>
  <c r="J97" i="1"/>
  <c r="J99" i="1"/>
  <c r="J100" i="1" s="1"/>
  <c r="J105" i="1" s="1"/>
  <c r="J106" i="1" s="1"/>
  <c r="J101" i="1"/>
  <c r="J103" i="1"/>
  <c r="J102" i="1"/>
  <c r="J104" i="1"/>
  <c r="K193" i="1"/>
  <c r="K215" i="1"/>
  <c r="K227" i="1"/>
  <c r="K210" i="1"/>
  <c r="K203" i="1"/>
  <c r="K220" i="1"/>
  <c r="J43" i="1"/>
  <c r="J114" i="1" l="1"/>
  <c r="J119" i="1" s="1"/>
  <c r="J120" i="1" s="1"/>
  <c r="C112" i="1"/>
  <c r="E111" i="1" s="1"/>
  <c r="C111" i="1"/>
  <c r="D111" i="1" s="1"/>
  <c r="H261" i="1"/>
  <c r="G174" i="1" s="1"/>
  <c r="C174" i="1"/>
  <c r="E174" i="1"/>
  <c r="E97" i="1"/>
  <c r="D98" i="1"/>
  <c r="I94" i="1" s="1"/>
  <c r="G97" i="1"/>
  <c r="J94" i="1"/>
  <c r="J108" i="1" l="1"/>
  <c r="D112" i="1"/>
  <c r="I108" i="1" s="1"/>
  <c r="I109" i="1" s="1"/>
  <c r="G111" i="1"/>
  <c r="I95" i="1"/>
  <c r="I93" i="1" s="1"/>
  <c r="C95" i="1" s="1"/>
  <c r="I107" i="1" l="1"/>
  <c r="C109" i="1" s="1"/>
  <c r="B38" i="6" l="1"/>
  <c r="B39" i="6" s="1"/>
  <c r="B40" i="6" s="1"/>
  <c r="B41" i="6" s="1"/>
  <c r="B42" i="6" s="1"/>
  <c r="B43" i="6" s="1"/>
  <c r="B44" i="6" s="1"/>
  <c r="B45" i="6" s="1"/>
  <c r="B46" i="6" s="1"/>
  <c r="B47" i="6" s="1"/>
  <c r="B48" i="6" s="1"/>
  <c r="B49" i="6" s="1"/>
  <c r="B50" i="6" s="1"/>
  <c r="B51" i="6" s="1"/>
  <c r="F183" i="1" l="1"/>
  <c r="H183" i="1"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304" i="1"/>
  <c r="B278" i="1"/>
  <c r="B277" i="1"/>
  <c r="F231" i="1"/>
  <c r="H231" i="1" s="1"/>
  <c r="F230" i="1"/>
  <c r="H230" i="1" s="1"/>
  <c r="F229" i="1"/>
  <c r="A230" i="1"/>
  <c r="A231" i="1" s="1"/>
  <c r="A232" i="1" s="1"/>
  <c r="F195" i="1"/>
  <c r="H195" i="1" s="1"/>
  <c r="F194" i="1"/>
  <c r="F186" i="1"/>
  <c r="H186" i="1" s="1"/>
  <c r="F185" i="1"/>
  <c r="H185" i="1" s="1"/>
  <c r="F184" i="1"/>
  <c r="H184" i="1" s="1"/>
  <c r="A184" i="1"/>
  <c r="A185" i="1" s="1"/>
  <c r="A186" i="1" s="1"/>
  <c r="F161" i="1"/>
  <c r="C135" i="1"/>
  <c r="B80" i="1"/>
  <c r="D73" i="1"/>
  <c r="G52" i="1"/>
  <c r="G53" i="1" s="1"/>
  <c r="K55" i="1" s="1"/>
  <c r="C52" i="1"/>
  <c r="E45" i="1"/>
  <c r="E46" i="1" s="1"/>
  <c r="S34" i="1"/>
  <c r="E32" i="1"/>
  <c r="E29" i="1"/>
  <c r="E27" i="1"/>
  <c r="C17" i="1"/>
  <c r="I16" i="1"/>
  <c r="Z14" i="1"/>
  <c r="E3" i="1"/>
  <c r="B288" i="1" s="1"/>
  <c r="H80" i="1"/>
  <c r="H136" i="1"/>
  <c r="H122" i="1"/>
  <c r="E42" i="7" l="1"/>
  <c r="C170" i="1"/>
  <c r="E170" i="1"/>
  <c r="E172" i="1"/>
  <c r="C172" i="1"/>
  <c r="H229" i="1"/>
  <c r="G172" i="1" s="1"/>
  <c r="H194" i="1"/>
  <c r="G170" i="1" s="1"/>
  <c r="J87" i="1"/>
  <c r="J88" i="1"/>
  <c r="B136" i="1"/>
  <c r="J144" i="1" s="1"/>
  <c r="I42" i="7"/>
  <c r="H42" i="7" s="1"/>
  <c r="L42" i="7"/>
  <c r="K42" i="7" s="1"/>
  <c r="J121" i="1"/>
  <c r="J123" i="1" s="1"/>
  <c r="D130" i="1"/>
  <c r="D129" i="1"/>
  <c r="D134" i="1"/>
  <c r="D128" i="1"/>
  <c r="J124" i="1"/>
  <c r="D133" i="1"/>
  <c r="J126" i="1"/>
  <c r="C125" i="1" s="1"/>
  <c r="D127" i="1"/>
  <c r="D132" i="1"/>
  <c r="J125" i="1"/>
  <c r="D131" i="1"/>
  <c r="D88" i="1"/>
  <c r="J82" i="1"/>
  <c r="D87" i="1"/>
  <c r="D92" i="1"/>
  <c r="D86" i="1"/>
  <c r="D91" i="1"/>
  <c r="D85" i="1"/>
  <c r="J84" i="1"/>
  <c r="C83" i="1" s="1"/>
  <c r="D90" i="1"/>
  <c r="D89" i="1"/>
  <c r="J83" i="1"/>
  <c r="J79" i="1"/>
  <c r="J81" i="1" s="1"/>
  <c r="D145" i="1"/>
  <c r="J139" i="1"/>
  <c r="J135" i="1"/>
  <c r="J137" i="1" s="1"/>
  <c r="J138" i="1"/>
  <c r="D143" i="1"/>
  <c r="D148" i="1"/>
  <c r="D142" i="1"/>
  <c r="D147" i="1"/>
  <c r="D141" i="1"/>
  <c r="D144" i="1"/>
  <c r="J140" i="1"/>
  <c r="D139" i="1" s="1"/>
  <c r="D146" i="1"/>
  <c r="D42" i="7"/>
  <c r="L55" i="1"/>
  <c r="B122" i="1"/>
  <c r="J89" i="1"/>
  <c r="J90" i="1"/>
  <c r="I53" i="1"/>
  <c r="J85" i="1"/>
  <c r="J86" i="1" s="1"/>
  <c r="J91" i="1" s="1"/>
  <c r="J92" i="1" s="1"/>
  <c r="E175" i="1" l="1"/>
  <c r="E176" i="1" s="1"/>
  <c r="C175" i="1"/>
  <c r="C176" i="1" s="1"/>
  <c r="G175" i="1"/>
  <c r="G176" i="1" s="1"/>
  <c r="J146" i="1"/>
  <c r="J145" i="1"/>
  <c r="D44" i="7"/>
  <c r="E44" i="7"/>
  <c r="J143" i="1"/>
  <c r="J141" i="1"/>
  <c r="J142" i="1" s="1"/>
  <c r="J147" i="1" s="1"/>
  <c r="J148" i="1" s="1"/>
  <c r="G139" i="1" s="1"/>
  <c r="E83" i="1"/>
  <c r="D84" i="1"/>
  <c r="G83" i="1"/>
  <c r="D77" i="1" s="1"/>
  <c r="D83" i="1"/>
  <c r="D125" i="1"/>
  <c r="J130" i="1"/>
  <c r="J127" i="1"/>
  <c r="J132" i="1"/>
  <c r="J129" i="1"/>
  <c r="J131" i="1"/>
  <c r="J128" i="1" l="1"/>
  <c r="J133" i="1" s="1"/>
  <c r="J134" i="1" s="1"/>
  <c r="C126" i="1"/>
  <c r="G125" i="1" s="1"/>
  <c r="D140" i="1"/>
  <c r="I136" i="1" s="1"/>
  <c r="I137" i="1" s="1"/>
  <c r="J136" i="1"/>
  <c r="E139" i="1"/>
  <c r="I80" i="1"/>
  <c r="I81" i="1" s="1"/>
  <c r="J80" i="1"/>
  <c r="D78" i="1"/>
  <c r="F78" i="1"/>
  <c r="J122" i="1" l="1"/>
  <c r="E125" i="1"/>
  <c r="D126" i="1"/>
  <c r="I122" i="1" s="1"/>
  <c r="I123" i="1" s="1"/>
  <c r="I121" i="1" s="1"/>
  <c r="C123" i="1" s="1"/>
  <c r="I135" i="1"/>
  <c r="C137" i="1" s="1"/>
  <c r="I79" i="1"/>
  <c r="C8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F12" authorId="0" shapeId="0" xr:uid="{00000000-0006-0000-0000-000002000000}">
      <text>
        <r>
          <rPr>
            <b/>
            <sz val="9"/>
            <color indexed="81"/>
            <rFont val="Tahoma"/>
            <family val="2"/>
          </rPr>
          <t>Sachin:</t>
        </r>
        <r>
          <rPr>
            <sz val="9"/>
            <color indexed="81"/>
            <rFont val="Tahoma"/>
            <family val="2"/>
          </rPr>
          <t xml:space="preserve">
Building No. 
Tower No.
Wing 
Bunglow No., etc</t>
        </r>
      </text>
    </comment>
    <comment ref="E14" authorId="0" shapeId="0" xr:uid="{00000000-0006-0000-0000-000003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4000000}">
      <text>
        <r>
          <rPr>
            <b/>
            <sz val="9"/>
            <color indexed="81"/>
            <rFont val="Tahoma"/>
            <family val="2"/>
          </rPr>
          <t>SACHIN:</t>
        </r>
        <r>
          <rPr>
            <sz val="9"/>
            <color indexed="81"/>
            <rFont val="Tahoma"/>
            <family val="2"/>
          </rPr>
          <t xml:space="preserve">
Floor with height</t>
        </r>
      </text>
    </comment>
    <comment ref="C58" authorId="1" shapeId="0" xr:uid="{00000000-0006-0000-0000-000005000000}">
      <text>
        <r>
          <rPr>
            <b/>
            <sz val="9"/>
            <color indexed="81"/>
            <rFont val="Tahoma"/>
            <family val="2"/>
          </rPr>
          <t>SACHIN:</t>
        </r>
        <r>
          <rPr>
            <sz val="9"/>
            <color indexed="81"/>
            <rFont val="Tahoma"/>
            <family val="2"/>
          </rPr>
          <t xml:space="preserve">
Survey Nos.</t>
        </r>
      </text>
    </comment>
    <comment ref="D64"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54"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89"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<sst xmlns="http://schemas.openxmlformats.org/spreadsheetml/2006/main" count="870" uniqueCount="455">
  <si>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</si>
  <si>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</si>
  <si>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</si>
  <si>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</si>
  <si>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</si>
  <si>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</si>
  <si>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</si>
  <si>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</si>
  <si>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</si>
  <si>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</si>
  <si>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</si>
  <si>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</si>
  <si>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</si>
  <si>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</si>
  <si>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</si>
  <si>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</si>
  <si>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</si>
  <si>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</si>
  <si>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</si>
  <si>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</si>
  <si>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</si>
  <si>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</si>
  <si>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</si>
  <si>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</si>
  <si>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</si>
  <si>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</si>
  <si>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</si>
  <si>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</si>
  <si>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</si>
  <si>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</si>
  <si>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</si>
  <si>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</si>
  <si>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</si>
  <si>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</si>
  <si>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</si>
  <si>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</si>
  <si>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</si>
  <si>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</si>
  <si>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</si>
  <si>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</si>
  <si>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</si>
  <si>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</si>
  <si>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</si>
  <si>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</si>
  <si>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</si>
  <si>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</si>
  <si>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</si>
  <si>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</si>
  <si>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</si>
  <si>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</si>
  <si>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</si>
  <si>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</si>
  <si>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</si>
  <si>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</si>
  <si>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</si>
  <si>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</si>
  <si>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</si>
  <si>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</si>
  <si>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</si>
  <si>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</si>
  <si>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</si>
  <si>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</si>
  <si>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</si>
  <si>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</si>
  <si>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</si>
  <si>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</si>
  <si>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</si>
  <si>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</si>
  <si>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</si>
  <si>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</si>
  <si>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</si>
  <si>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</si>
  <si>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</si>
  <si>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</si>
  <si>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</si>
  <si>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</si>
  <si>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</si>
  <si>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</si>
  <si>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</si>
  <si>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</si>
  <si>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</si>
  <si>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</si>
  <si>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</si>
  <si>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</si>
  <si>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</si>
  <si>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</si>
  <si>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</si>
  <si>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</si>
  <si>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</si>
  <si>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</si>
  <si>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</si>
  <si>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</si>
  <si>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</si>
  <si>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</si>
  <si>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</si>
  <si>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</si>
  <si>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</si>
  <si>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</si>
  <si>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</si>
  <si>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</si>
  <si>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</si>
  <si>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</si>
  <si>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</si>
  <si>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</si>
  <si>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</si>
  <si>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</si>
  <si>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</si>
  <si>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</si>
  <si>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</si>
  <si>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</si>
  <si>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</si>
  <si>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</si>
  <si>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</si>
  <si>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</si>
  <si>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</si>
  <si>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</si>
  <si>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</si>
  <si>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</si>
  <si>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</si>
  <si>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</si>
  <si>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</si>
  <si>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</si>
  <si>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</si>
  <si>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</si>
  <si>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</si>
  <si>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</si>
  <si>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</si>
  <si>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</si>
  <si>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</si>
  <si>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</si>
  <si>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</si>
  <si>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</si>
  <si>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</si>
  <si>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</si>
  <si>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</si>
  <si>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</si>
  <si>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</si>
  <si>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</si>
  <si>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</si>
  <si>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</si>
  <si>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</si>
  <si>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</si>
  <si>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</si>
  <si>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</si>
  <si>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</si>
  <si>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</si>
  <si>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</si>
  <si>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</si>
  <si>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</si>
  <si>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</si>
  <si>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</si>
  <si>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</si>
  <si>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</si>
  <si>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</si>
  <si>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</si>
  <si>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</si>
  <si>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</si>
  <si>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</si>
  <si>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</si>
  <si>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</si>
  <si>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</si>
  <si>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</si>
  <si>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</si>
  <si>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</si>
  <si>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</si>
  <si>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</si>
  <si>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</si>
  <si>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</si>
  <si>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</si>
  <si>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</si>
  <si>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</si>
  <si>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</si>
  <si>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</si>
  <si>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</si>
  <si>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</si>
  <si>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</si>
  <si>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</si>
  <si>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</si>
  <si>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</si>
  <si>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</si>
  <si>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</si>
  <si>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</si>
  <si>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</si>
  <si>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</si>
  <si>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</si>
  <si>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</si>
  <si>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</si>
  <si>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</si>
  <si>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</si>
  <si>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</si>
  <si>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</si>
  <si>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</si>
  <si>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</si>
  <si>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</si>
  <si>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</si>
  <si>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</si>
  <si>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</si>
  <si>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</si>
  <si>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</si>
  <si>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</si>
  <si>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</si>
  <si>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</si>
  <si>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</si>
  <si>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</si>
  <si>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</si>
  <si>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</si>
  <si>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</si>
  <si>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</si>
  <si>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</si>
  <si>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</si>
  <si>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</si>
  <si>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</si>
  <si>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</si>
  <si>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</si>
  <si>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</si>
  <si>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</si>
  <si>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</si>
  <si>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</si>
  <si>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</si>
  <si>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</si>
  <si>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</si>
  <si>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</si>
  <si>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</si>
  <si>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</si>
  <si>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</si>
  <si>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</si>
  <si>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</si>
  <si>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</si>
  <si>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</si>
  <si>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</si>
  <si>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</si>
  <si>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</si>
  <si>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</si>
  <si>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</si>
  <si>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</si>
  <si>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</si>
  <si>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</si>
  <si>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</si>
  <si>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</si>
  <si>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</si>
  <si>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</si>
  <si>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</si>
  <si>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</si>
  <si>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</si>
  <si>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</si>
  <si>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</si>
  <si>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</si>
  <si>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</si>
  <si>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</si>
  <si>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</si>
  <si>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</si>
  <si>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</si>
  <si>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</si>
  <si>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</si>
  <si>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</si>
  <si>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</si>
  <si>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</si>
  <si>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</si>
  <si>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</si>
  <si>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</si>
  <si>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</si>
  <si>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</si>
  <si>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</si>
  <si>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</si>
  <si>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</si>
  <si>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</si>
  <si>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</si>
  <si>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</si>
  <si>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</si>
  <si>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</si>
  <si>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</si>
  <si>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</si>
  <si>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</si>
  <si>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</si>
  <si>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</si>
  <si>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</si>
  <si>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</si>
  <si>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</si>
  <si>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</si>
  <si>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</si>
  <si>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</si>
  <si>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</si>
  <si>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</si>
  <si>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</si>
  <si>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</si>
  <si>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</si>
  <si>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</si>
  <si>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</si>
  <si>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</si>
  <si>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</si>
  <si>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</si>
  <si>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</si>
  <si>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</si>
  <si>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</si>
  <si>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</si>
  <si>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</si>
  <si>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</si>
  <si>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</si>
  <si>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</si>
  <si>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</si>
  <si>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</si>
  <si>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</si>
  <si>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</si>
  <si>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</si>
  <si>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</si>
  <si>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</si>
  <si>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</si>
  <si>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</si>
  <si>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</si>
  <si>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</si>
  <si>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</si>
  <si>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</si>
  <si>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</si>
  <si>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</si>
  <si>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</si>
  <si>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</si>
  <si>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</si>
  <si>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</si>
  <si>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</si>
  <si>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</si>
  <si>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</si>
  <si>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</si>
  <si>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</si>
  <si>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</si>
  <si>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</si>
  <si>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</si>
  <si>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</si>
  <si>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</si>
  <si>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</si>
  <si>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</si>
  <si>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</si>
  <si>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</si>
  <si>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</si>
  <si>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</si>
  <si>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</si>
  <si>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</si>
  <si>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</si>
  <si>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</si>
  <si>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</si>
  <si>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</si>
  <si>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</si>
  <si>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</si>
  <si>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</si>
  <si>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</si>
  <si>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</si>
  <si>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</si>
  <si>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</si>
  <si>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</si>
  <si>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</si>
  <si>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</si>
  <si>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</si>
  <si>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</si>
  <si>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</si>
  <si>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</si>
  <si>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</si>
  <si>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</si>
  <si>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</si>
  <si>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</si>
  <si>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</si>
  <si>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</si>
  <si>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</si>
  <si>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</si>
  <si>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</si>
  <si>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</si>
  <si>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</si>
  <si>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</si>
  <si>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</si>
  <si>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</si>
  <si>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</si>
  <si>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Macrotech Developers Limited</t>
  </si>
  <si>
    <t>Survey No</t>
  </si>
  <si>
    <t>SIA/MH/MIS/63043/2021</t>
  </si>
  <si>
    <t>Total Built up Area = 1,71,486.98 sq.m</t>
  </si>
  <si>
    <t>Indoor Games, Swimming Pool, Multi Purpose Hall, Children Play Area,  Green Lawn, Library, Gymnasium, Meditation,  Box Office, Multi Purpose Court etc.</t>
  </si>
  <si>
    <t>Wing A</t>
  </si>
  <si>
    <t>2BHK</t>
  </si>
  <si>
    <t>Ground Floor For Residential, Society Office, Servant Room, Bus Riser Room, Panel Room &amp; ELV Room</t>
  </si>
  <si>
    <t>Society Office, Servant Room, Bus Riser Room, Panel Room &amp; ELV Room</t>
  </si>
  <si>
    <t>-</t>
  </si>
  <si>
    <t>https://www.opulis.in</t>
  </si>
  <si>
    <t>Wing B</t>
  </si>
  <si>
    <t xml:space="preserve">Wing C </t>
  </si>
  <si>
    <t>Ground Floor For Residential, Society Office, Meter Room &amp; Parking</t>
  </si>
  <si>
    <t>Society Office &amp; Meter Room</t>
  </si>
  <si>
    <t xml:space="preserve">Wing D </t>
  </si>
  <si>
    <t>Wing E</t>
  </si>
  <si>
    <t>Refuge Area</t>
  </si>
  <si>
    <t>3BHK</t>
  </si>
  <si>
    <t>2.5BHK</t>
  </si>
  <si>
    <t xml:space="preserve">Wing A </t>
  </si>
  <si>
    <t xml:space="preserve">Wing E </t>
  </si>
  <si>
    <t xml:space="preserve">Details of Residential in Building   </t>
  </si>
  <si>
    <t>We considered Gross carpet area = Net carpet + Balcony + Otla Area.</t>
  </si>
  <si>
    <t>12 MW Internal Road</t>
  </si>
  <si>
    <t>Wing A = Gr + 1st to 37th Floor</t>
  </si>
  <si>
    <t>Wing B = Gr + 1st to 37th Floor</t>
  </si>
  <si>
    <t>Wing D = Gr + 1st to 37th Floor</t>
  </si>
  <si>
    <t>Wing E = Gr + 1st to 37th Floor</t>
  </si>
  <si>
    <t>Opulis (Wing A to E)</t>
  </si>
  <si>
    <t>Mr. Rajendra Giri 9820248856</t>
  </si>
  <si>
    <t>Approved Plans, CC &amp; EC</t>
  </si>
  <si>
    <t>Wing A = P51700079271
Wing B = P51700079035
Wing C = P51700079032
Wing D = P51700079315
Wing E = P51700079291</t>
  </si>
  <si>
    <t>20/2A, 20/2B, 20/2C, 20/2D, 20/2E, 20/2F, 21/0, 22/0 &amp; 76/2</t>
  </si>
  <si>
    <t>https://maps.app.goo.gl/Yn5cRmKuCpd8BVML7</t>
  </si>
  <si>
    <t>Lodha Signet</t>
  </si>
  <si>
    <t>Internal Road/Lodha Signet</t>
  </si>
  <si>
    <t>Open Plot</t>
  </si>
  <si>
    <t>19.178417,73.089806</t>
  </si>
  <si>
    <t>5.8KM from Dombivli Railway Station</t>
  </si>
  <si>
    <t>Dombivli East</t>
  </si>
  <si>
    <t>Central Ave Road</t>
  </si>
  <si>
    <t>Kole</t>
  </si>
  <si>
    <t>05 Wings</t>
  </si>
  <si>
    <t>Cluster
 16.01</t>
  </si>
  <si>
    <t>Lodha Group</t>
  </si>
  <si>
    <t>24.00 M Wide Road</t>
  </si>
  <si>
    <t>6m Driveway/Cluster 16.02</t>
  </si>
  <si>
    <t xml:space="preserve">Ekatmikrut Nagarvasahat/Mauje Antarli,
Khoni, Hedutane, Kole, Gharivali, Katai &amp; Mangaon Tal. Kalyan &amp; Mauje Umbroli, Tal. Ambernath SSThane/4770
</t>
  </si>
  <si>
    <t>Ekatmikrut Nagarvasahat/Mau.Antarli,
Khoni &amp; Other/Sector "C, D, E, F, I1, I2, O &amp; P" SSThane/4770</t>
  </si>
  <si>
    <t>Sector P</t>
  </si>
  <si>
    <t>Building Type 
ASP1</t>
  </si>
  <si>
    <t xml:space="preserve">S .SIR </t>
  </si>
  <si>
    <t>Sector P (Cluster 16.01) - Wing A to E = Gr + 1st to 37th Floor</t>
  </si>
  <si>
    <t>Building Type 
ASP2</t>
  </si>
  <si>
    <t xml:space="preserve"> Wing 
A &amp; B</t>
  </si>
  <si>
    <t xml:space="preserve"> Wing 
C, D &amp; E</t>
  </si>
  <si>
    <t xml:space="preserve">Wing A to E = Gr + 1st to 37th Floor 
</t>
  </si>
  <si>
    <t>Approved Builtup area of Wing A to E (Sq.Mt)</t>
  </si>
  <si>
    <t>As per RERA - Wing A = 30/11/2030
                       Wing B = 31/05/2030
                       Wing C = 31/05/2030
                       Wing D = 30/11/2030
                       Wing E = 30/04/2031</t>
  </si>
  <si>
    <t>Wing C = Gr + 1st to 37th Floor</t>
  </si>
  <si>
    <r>
      <t xml:space="preserve">Proposed Amenities :                                                                                                                                                                                                                         </t>
    </r>
    <r>
      <rPr>
        <b/>
        <sz val="12"/>
        <rFont val="Times New Roman"/>
        <family val="1"/>
      </rPr>
      <t xml:space="preserve">                                               </t>
    </r>
  </si>
  <si>
    <r>
      <t xml:space="preserve">Flat No.
</t>
    </r>
    <r>
      <rPr>
        <b/>
        <sz val="11"/>
        <rFont val="Times New Roman"/>
        <family val="1"/>
      </rPr>
      <t>(Approved Plan)</t>
    </r>
  </si>
  <si>
    <t>3.5BHK</t>
  </si>
  <si>
    <t>Sector P (Cluster 16.01)</t>
  </si>
  <si>
    <t>Building Type ASP1</t>
  </si>
  <si>
    <t>Building Type ASP2</t>
  </si>
  <si>
    <t>8th Floor
13th, 18th, 23rd, 28th &amp; 33rd Floor (14th, 19th, 24th, 29th &amp; 34th Floor As per Builder) 
(Part Refuge Area)</t>
  </si>
  <si>
    <t>1st to 7th, 9th to 12th Floor 
14th to 17th (15th to 18th Floor As per Builder)
 19th to 22nd (20th to 23rd Floor As per Builder)
24th to 27th (25th to 28th Floor As per Builder)
29th to 32nd (30th to 33rd Floor As per Builder)
 34th to 37th Floor (35th to 38th Floor As per Builder)</t>
  </si>
  <si>
    <t>Flats - 737</t>
  </si>
  <si>
    <t>area building not mentioned therefore Valid upto Hide.</t>
  </si>
  <si>
    <t>8th Floor
13th, 18th, 23rd, 28th &amp; 33rd Floor (14th, 19th, 24th, 29th &amp; 34th Floor As per Builder)
 (Part Refuge Area)</t>
  </si>
  <si>
    <t>Fungible area</t>
  </si>
  <si>
    <t>Sector P (Cluster 16.01) - Building Type ASP1 &amp; ASP2</t>
  </si>
  <si>
    <t>Building Common Area Maintenance Deposit for 18 months*</t>
  </si>
  <si>
    <t>Federation Common Area Maintenance Deposit for 60 months*</t>
  </si>
  <si>
    <t>Gangaram parshuram Lambore</t>
  </si>
  <si>
    <t xml:space="preserve">Wing A &amp; B = Gr + 1st to 37th Floor </t>
  </si>
  <si>
    <t xml:space="preserve">Wing D &amp; E = Gr + 1st to 37th Floor </t>
  </si>
  <si>
    <t>Construction work is in process.</t>
  </si>
  <si>
    <t>rate 8500 by viraj &amp; bhargav on higher side for C WING 3BHK flat on 12/08/2025</t>
  </si>
  <si>
    <t>Recommended Rates of the Property have been revised on 12/08/2025.</t>
  </si>
  <si>
    <t>Sector P (Cluster 16.01) - Wing A &amp; B = Gr/St + 1st to 37th Floor (Total Ht = 116.75 Mtr.)
Sector P (Cluster 16.01) - Wing C, D &amp; E = Gr/St + 1st to 37th Floor (Total Ht = 116.75 Mtr.)</t>
  </si>
  <si>
    <t>MFS/51/2025/153</t>
  </si>
  <si>
    <t>We have updated Fire NOC (On 14/08/2025).</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</si>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</sst>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6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8" xfId="0" applyFont="1" applyBorder="1" applyProtection="1">
      <protection hidden="1"/>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7" xfId="1" applyFont="1" applyBorder="1"/>
    <xf numFmtId="0" fontId="18"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6" fillId="0" borderId="20" xfId="0" applyFont="1" applyBorder="1"/>
    <xf numFmtId="0" fontId="26"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9" fontId="17" fillId="0" borderId="11"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18" xfId="0" applyBorder="1"/>
    <xf numFmtId="0" fontId="0" fillId="0" borderId="5" xfId="0" applyBorder="1"/>
    <xf numFmtId="0" fontId="0" fillId="0" borderId="1" xfId="0" applyBorder="1" applyAlignment="1">
      <alignment vertical="top" wrapText="1"/>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12" fillId="0" borderId="1" xfId="1" applyFont="1" applyBorder="1"/>
    <xf numFmtId="0" fontId="7" fillId="0" borderId="1" xfId="1" applyFont="1" applyBorder="1"/>
    <xf numFmtId="0" fontId="0" fillId="0" borderId="5" xfId="0" applyBorder="1" applyAlignment="1">
      <alignment vertical="top"/>
    </xf>
    <xf numFmtId="0" fontId="0" fillId="0" borderId="18"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18" xfId="0" applyBorder="1" applyAlignment="1">
      <alignment vertical="top"/>
    </xf>
    <xf numFmtId="0" fontId="0" fillId="0" borderId="19" xfId="0" applyBorder="1" applyAlignment="1">
      <alignment vertical="top" wrapText="1"/>
    </xf>
    <xf numFmtId="0" fontId="0" fillId="0" borderId="23" xfId="0" applyBorder="1" applyAlignment="1">
      <alignment vertical="top"/>
    </xf>
    <xf numFmtId="0" fontId="0" fillId="0" borderId="24" xfId="0" applyBorder="1" applyAlignment="1">
      <alignment vertical="top" wrapText="1"/>
    </xf>
    <xf numFmtId="0" fontId="0" fillId="0" borderId="25" xfId="0" applyBorder="1" applyAlignment="1">
      <alignment vertical="top"/>
    </xf>
    <xf numFmtId="0" fontId="0" fillId="0" borderId="9" xfId="0" applyBorder="1" applyAlignment="1">
      <alignment vertical="top" wrapText="1"/>
    </xf>
    <xf numFmtId="0" fontId="0" fillId="0" borderId="9" xfId="0" applyBorder="1" applyAlignment="1">
      <alignment vertical="top"/>
    </xf>
    <xf numFmtId="0" fontId="0" fillId="0" borderId="24" xfId="0" applyBorder="1" applyAlignment="1">
      <alignment horizontal="left" wrapText="1"/>
    </xf>
    <xf numFmtId="0" fontId="0" fillId="0" borderId="11" xfId="0" applyBorder="1" applyAlignment="1">
      <alignment vertical="top"/>
    </xf>
    <xf numFmtId="0" fontId="0" fillId="0" borderId="11" xfId="0" applyBorder="1" applyAlignment="1">
      <alignment vertical="top" wrapText="1"/>
    </xf>
    <xf numFmtId="0" fontId="0" fillId="0" borderId="1" xfId="0" applyBorder="1" applyAlignment="1">
      <alignment vertical="top"/>
    </xf>
    <xf numFmtId="0" fontId="0" fillId="0" borderId="6" xfId="0" applyBorder="1" applyAlignment="1">
      <alignment wrapText="1"/>
    </xf>
    <xf numFmtId="0" fontId="7" fillId="0" borderId="0" xfId="1" applyFont="1" applyAlignment="1">
      <alignment wrapText="1"/>
    </xf>
    <xf numFmtId="1" fontId="7" fillId="0" borderId="0" xfId="1" applyNumberFormat="1" applyFont="1" applyAlignment="1">
      <alignment horizontal="left" vertical="center"/>
    </xf>
    <xf numFmtId="0" fontId="27" fillId="0" borderId="0" xfId="10"/>
    <xf numFmtId="1" fontId="7" fillId="0" borderId="1" xfId="1" applyNumberFormat="1" applyFont="1" applyBorder="1" applyAlignment="1">
      <alignment horizontal="center" vertical="center"/>
    </xf>
    <xf numFmtId="0" fontId="12" fillId="0" borderId="1" xfId="1" applyFont="1" applyBorder="1" applyAlignment="1" applyProtection="1">
      <alignment vertical="top" wrapText="1"/>
      <protection locked="0"/>
    </xf>
    <xf numFmtId="0" fontId="12" fillId="0" borderId="1" xfId="1" applyFont="1" applyBorder="1" applyAlignment="1" applyProtection="1">
      <alignment horizontal="center" vertical="center" wrapText="1"/>
      <protection locked="0"/>
    </xf>
    <xf numFmtId="0" fontId="13" fillId="0" borderId="0" xfId="1" applyFont="1"/>
    <xf numFmtId="9" fontId="12" fillId="0" borderId="1"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lignment horizontal="center" vertical="center"/>
    </xf>
    <xf numFmtId="1" fontId="12"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25" fillId="2" borderId="10" xfId="0" applyFont="1" applyFill="1" applyBorder="1"/>
    <xf numFmtId="0" fontId="26" fillId="0" borderId="6" xfId="0" applyFont="1" applyBorder="1"/>
    <xf numFmtId="1" fontId="12" fillId="0" borderId="1" xfId="1" applyNumberFormat="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12" fillId="0" borderId="5" xfId="1" applyNumberFormat="1" applyFont="1" applyBorder="1" applyAlignment="1" applyProtection="1">
      <alignment horizontal="center" vertical="center" wrapText="1"/>
      <protection locked="0"/>
    </xf>
    <xf numFmtId="1" fontId="12" fillId="0" borderId="16" xfId="1" applyNumberFormat="1" applyFont="1" applyBorder="1" applyAlignment="1" applyProtection="1">
      <alignment horizontal="center" vertical="center" wrapText="1"/>
      <protection locked="0"/>
    </xf>
    <xf numFmtId="1" fontId="12" fillId="0" borderId="6" xfId="1" applyNumberFormat="1" applyFont="1" applyBorder="1" applyAlignment="1" applyProtection="1">
      <alignment horizontal="center" vertical="center" wrapText="1"/>
      <protection locked="0"/>
    </xf>
    <xf numFmtId="1" fontId="6" fillId="0" borderId="5"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3" borderId="1" xfId="1" applyNumberFormat="1"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8" fillId="0" borderId="5" xfId="1" applyNumberFormat="1" applyFont="1" applyBorder="1" applyAlignment="1" applyProtection="1">
      <alignment horizontal="center" vertical="center" wrapText="1"/>
      <protection locked="0"/>
    </xf>
    <xf numFmtId="1" fontId="8" fillId="0" borderId="16" xfId="1" applyNumberFormat="1" applyFont="1" applyBorder="1" applyAlignment="1" applyProtection="1">
      <alignment horizontal="center" vertical="center" wrapText="1"/>
      <protection locked="0"/>
    </xf>
    <xf numFmtId="1" fontId="8" fillId="0" borderId="6"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6" fillId="0" borderId="3" xfId="0" applyNumberFormat="1" applyFont="1" applyBorder="1" applyAlignment="1" applyProtection="1">
      <alignment horizontal="center" vertical="center" wrapText="1"/>
      <protection locked="0"/>
    </xf>
    <xf numFmtId="1" fontId="12" fillId="0" borderId="3" xfId="0" applyNumberFormat="1" applyFont="1" applyBorder="1" applyAlignment="1" applyProtection="1">
      <alignment horizontal="center" vertical="center"/>
      <protection locked="0"/>
    </xf>
    <xf numFmtId="1" fontId="7" fillId="0" borderId="3" xfId="0" applyNumberFormat="1" applyFont="1" applyBorder="1" applyAlignment="1" applyProtection="1">
      <alignment horizontal="center" vertical="center"/>
      <protection locked="0"/>
    </xf>
    <xf numFmtId="1" fontId="8" fillId="0" borderId="3" xfId="1" applyNumberFormat="1" applyFont="1" applyBorder="1" applyAlignment="1" applyProtection="1">
      <alignment horizontal="center" vertical="top" wrapText="1"/>
      <protection locked="0"/>
    </xf>
    <xf numFmtId="1" fontId="8" fillId="0" borderId="11"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1" fontId="17" fillId="0" borderId="11" xfId="1"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1" xfId="1" applyNumberFormat="1" applyFont="1" applyBorder="1" applyAlignment="1" applyProtection="1">
      <alignment horizontal="center" vertical="top" wrapText="1"/>
      <protection locked="0"/>
    </xf>
    <xf numFmtId="1" fontId="32" fillId="0" borderId="3" xfId="1" applyNumberFormat="1" applyFont="1" applyBorder="1" applyAlignment="1" applyProtection="1">
      <alignment horizontal="center" vertical="top" wrapText="1"/>
      <protection locked="0"/>
    </xf>
    <xf numFmtId="1" fontId="32" fillId="0" borderId="11" xfId="1" applyNumberFormat="1" applyFont="1" applyBorder="1" applyAlignment="1" applyProtection="1">
      <alignment horizontal="center" vertical="top" wrapText="1"/>
      <protection locked="0"/>
    </xf>
    <xf numFmtId="1" fontId="13" fillId="0" borderId="30" xfId="0" applyNumberFormat="1" applyFont="1" applyBorder="1" applyAlignment="1" applyProtection="1">
      <alignment horizontal="center" vertical="center"/>
      <protection locked="0"/>
    </xf>
    <xf numFmtId="1" fontId="13" fillId="0" borderId="2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protection locked="0"/>
    </xf>
    <xf numFmtId="0" fontId="7" fillId="0" borderId="18"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5" xfId="1" applyFont="1" applyBorder="1" applyAlignment="1" applyProtection="1">
      <alignment horizontal="left" vertical="top" wrapText="1"/>
      <protection locked="0"/>
    </xf>
    <xf numFmtId="0" fontId="8" fillId="0" borderId="6"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4" fontId="8" fillId="0" borderId="5" xfId="1" applyNumberFormat="1" applyFont="1" applyBorder="1" applyAlignment="1" applyProtection="1">
      <alignment horizontal="left" vertical="top"/>
      <protection locked="0"/>
    </xf>
    <xf numFmtId="14" fontId="8" fillId="0" borderId="6" xfId="1" applyNumberFormat="1" applyFont="1" applyBorder="1" applyAlignment="1" applyProtection="1">
      <alignment horizontal="left" vertical="top"/>
      <protection locked="0"/>
    </xf>
    <xf numFmtId="0" fontId="12" fillId="0" borderId="12"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8" fillId="0" borderId="1" xfId="1" applyFont="1" applyBorder="1" applyAlignment="1" applyProtection="1">
      <alignment horizontal="center" vertical="top"/>
      <protection locked="0"/>
    </xf>
    <xf numFmtId="1" fontId="13" fillId="0" borderId="12" xfId="1" applyNumberFormat="1" applyFont="1" applyBorder="1" applyAlignment="1" applyProtection="1">
      <alignment horizontal="center" vertical="top" wrapText="1"/>
      <protection locked="0"/>
    </xf>
    <xf numFmtId="1" fontId="13" fillId="0" borderId="14" xfId="1" applyNumberFormat="1" applyFont="1" applyBorder="1" applyAlignment="1" applyProtection="1">
      <alignment horizontal="center" vertical="top" wrapText="1"/>
      <protection locked="0"/>
    </xf>
    <xf numFmtId="1" fontId="13" fillId="0" borderId="5" xfId="0" applyNumberFormat="1" applyFont="1" applyBorder="1" applyAlignment="1" applyProtection="1">
      <alignment vertical="top" wrapText="1"/>
      <protection locked="0"/>
    </xf>
    <xf numFmtId="1" fontId="13" fillId="0" borderId="16"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1" fontId="8" fillId="0" borderId="5" xfId="0" applyNumberFormat="1" applyFont="1" applyBorder="1" applyAlignment="1" applyProtection="1">
      <alignment vertical="top" wrapText="1"/>
      <protection locked="0"/>
    </xf>
    <xf numFmtId="1" fontId="8" fillId="0" borderId="16" xfId="0" applyNumberFormat="1" applyFont="1" applyBorder="1" applyAlignment="1" applyProtection="1">
      <alignment vertical="top" wrapText="1"/>
      <protection locked="0"/>
    </xf>
    <xf numFmtId="1" fontId="8" fillId="0" borderId="6" xfId="0" applyNumberFormat="1" applyFont="1" applyBorder="1" applyAlignment="1" applyProtection="1">
      <alignment vertical="top" wrapText="1"/>
      <protection locked="0"/>
    </xf>
    <xf numFmtId="1" fontId="17" fillId="0" borderId="5" xfId="0" applyNumberFormat="1" applyFont="1" applyBorder="1" applyAlignment="1" applyProtection="1">
      <alignment vertical="top" wrapText="1"/>
      <protection locked="0"/>
    </xf>
    <xf numFmtId="1" fontId="17" fillId="0" borderId="16" xfId="0" applyNumberFormat="1" applyFont="1" applyBorder="1" applyAlignment="1" applyProtection="1">
      <alignment vertical="top" wrapText="1"/>
      <protection locked="0"/>
    </xf>
    <xf numFmtId="1" fontId="17" fillId="0" borderId="6" xfId="0" applyNumberFormat="1" applyFont="1" applyBorder="1" applyAlignment="1" applyProtection="1">
      <alignment vertical="top" wrapText="1"/>
      <protection locked="0"/>
    </xf>
    <xf numFmtId="1" fontId="8" fillId="0" borderId="27" xfId="0" applyNumberFormat="1" applyFont="1" applyBorder="1" applyAlignment="1" applyProtection="1">
      <alignment horizontal="center" vertical="top" wrapText="1"/>
      <protection locked="0"/>
    </xf>
    <xf numFmtId="1" fontId="8" fillId="0" borderId="28" xfId="0" applyNumberFormat="1" applyFont="1" applyBorder="1" applyAlignment="1" applyProtection="1">
      <alignment horizontal="center" vertical="top" wrapText="1"/>
      <protection locked="0"/>
    </xf>
    <xf numFmtId="1" fontId="13" fillId="3" borderId="5" xfId="1" applyNumberFormat="1" applyFont="1" applyFill="1" applyBorder="1" applyAlignment="1" applyProtection="1">
      <alignment horizontal="center" vertical="top" wrapText="1"/>
      <protection locked="0"/>
    </xf>
    <xf numFmtId="1" fontId="13" fillId="3" borderId="16" xfId="1" applyNumberFormat="1" applyFont="1" applyFill="1" applyBorder="1" applyAlignment="1" applyProtection="1">
      <alignment horizontal="center" vertical="top" wrapText="1"/>
      <protection locked="0"/>
    </xf>
    <xf numFmtId="1" fontId="13" fillId="3" borderId="6" xfId="1" applyNumberFormat="1" applyFont="1" applyFill="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0" fillId="0" borderId="27" xfId="0" applyFont="1" applyBorder="1" applyAlignment="1" applyProtection="1">
      <alignment horizontal="center" vertical="center"/>
      <protection locked="0"/>
    </xf>
    <xf numFmtId="0" fontId="6"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2"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13" xfId="1" applyFont="1" applyBorder="1" applyAlignment="1" applyProtection="1">
      <alignment horizontal="left" vertical="top"/>
      <protection locked="0"/>
    </xf>
    <xf numFmtId="0" fontId="12" fillId="0" borderId="14"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15" xfId="1" applyFont="1" applyBorder="1" applyAlignment="1" applyProtection="1">
      <alignment horizontal="left" vertical="top"/>
      <protection locked="0"/>
    </xf>
    <xf numFmtId="0" fontId="12" fillId="0" borderId="3" xfId="1" applyFont="1" applyBorder="1" applyAlignment="1" applyProtection="1">
      <alignment horizontal="center" vertical="center" wrapText="1"/>
      <protection locked="0"/>
    </xf>
    <xf numFmtId="0" fontId="12" fillId="0" borderId="11" xfId="1" applyFont="1" applyBorder="1" applyAlignment="1" applyProtection="1">
      <alignment horizontal="center" vertical="center" wrapText="1"/>
      <protection locked="0"/>
    </xf>
    <xf numFmtId="0" fontId="12" fillId="0" borderId="1" xfId="1" applyFont="1" applyBorder="1" applyAlignment="1" applyProtection="1">
      <alignment horizontal="left"/>
      <protection locked="0"/>
    </xf>
    <xf numFmtId="164"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5" xfId="1" applyFont="1" applyBorder="1" applyAlignment="1" applyProtection="1">
      <alignment horizontal="center" vertical="top"/>
      <protection locked="0"/>
    </xf>
    <xf numFmtId="0" fontId="12" fillId="0" borderId="16" xfId="1" applyFont="1" applyBorder="1" applyAlignment="1" applyProtection="1">
      <alignment horizontal="center" vertical="top"/>
      <protection locked="0"/>
    </xf>
    <xf numFmtId="0" fontId="12" fillId="0" borderId="6"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8" fillId="0" borderId="1" xfId="1" applyFont="1" applyBorder="1" applyAlignment="1" applyProtection="1">
      <alignment horizontal="left" vertical="top" wrapText="1"/>
      <protection locked="0"/>
    </xf>
    <xf numFmtId="14" fontId="6" fillId="0" borderId="5" xfId="1" applyNumberFormat="1" applyFont="1" applyBorder="1" applyAlignment="1" applyProtection="1">
      <alignment horizontal="left" vertical="top" wrapText="1"/>
      <protection locked="0"/>
    </xf>
    <xf numFmtId="14" fontId="6" fillId="0" borderId="6" xfId="1" applyNumberFormat="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5" fillId="0" borderId="12" xfId="1" applyFont="1" applyBorder="1" applyAlignment="1" applyProtection="1">
      <alignment horizontal="left" vertical="top" wrapText="1"/>
      <protection locked="0"/>
    </xf>
    <xf numFmtId="0" fontId="15" fillId="0" borderId="13"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2" xfId="1" applyFont="1" applyBorder="1" applyAlignment="1" applyProtection="1">
      <alignment horizontal="center" vertical="top" wrapText="1"/>
      <protection locked="0"/>
    </xf>
    <xf numFmtId="0" fontId="6" fillId="0" borderId="17" xfId="1" applyFont="1" applyBorder="1" applyAlignment="1" applyProtection="1">
      <alignment horizontal="center" vertical="top" wrapText="1"/>
      <protection locked="0"/>
    </xf>
    <xf numFmtId="0" fontId="6" fillId="0" borderId="13" xfId="1" applyFont="1" applyBorder="1" applyAlignment="1" applyProtection="1">
      <alignment horizontal="center" vertical="top" wrapText="1"/>
      <protection locked="0"/>
    </xf>
    <xf numFmtId="0" fontId="6" fillId="0" borderId="14"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0" fontId="6" fillId="0" borderId="15"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0" fontId="13" fillId="0" borderId="5" xfId="1" applyFont="1" applyBorder="1" applyAlignment="1" applyProtection="1">
      <alignment horizontal="left" vertical="top"/>
      <protection locked="0"/>
    </xf>
    <xf numFmtId="0" fontId="13" fillId="0" borderId="16" xfId="1" applyFont="1" applyBorder="1" applyAlignment="1" applyProtection="1">
      <alignment horizontal="left" vertical="top"/>
      <protection locked="0"/>
    </xf>
    <xf numFmtId="0" fontId="13" fillId="0" borderId="6" xfId="1" applyFont="1" applyBorder="1" applyAlignment="1" applyProtection="1">
      <alignment horizontal="left" vertical="top"/>
      <protection locked="0"/>
    </xf>
    <xf numFmtId="14" fontId="12" fillId="0" borderId="5" xfId="1" applyNumberFormat="1" applyFont="1" applyBorder="1" applyAlignment="1" applyProtection="1">
      <alignment horizontal="left" vertical="top" wrapText="1"/>
      <protection locked="0"/>
    </xf>
    <xf numFmtId="14" fontId="12" fillId="0" borderId="6" xfId="1" applyNumberFormat="1" applyFont="1" applyBorder="1" applyAlignment="1" applyProtection="1">
      <alignment horizontal="left" vertical="top" wrapText="1"/>
      <protection locked="0"/>
    </xf>
    <xf numFmtId="0" fontId="6" fillId="0" borderId="5" xfId="1" applyFont="1" applyBorder="1" applyAlignment="1" applyProtection="1">
      <alignment vertical="top" wrapText="1"/>
      <protection locked="0"/>
    </xf>
    <xf numFmtId="0" fontId="6" fillId="0" borderId="16" xfId="1" applyFont="1" applyBorder="1" applyAlignment="1" applyProtection="1">
      <alignment vertical="top" wrapText="1"/>
      <protection locked="0"/>
    </xf>
    <xf numFmtId="0" fontId="6" fillId="0" borderId="6" xfId="1" applyFont="1" applyBorder="1" applyAlignment="1" applyProtection="1">
      <alignment vertical="top" wrapText="1"/>
      <protection locked="0"/>
    </xf>
    <xf numFmtId="0" fontId="6" fillId="0" borderId="12"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6" xfId="1" applyFont="1" applyBorder="1" applyAlignment="1" applyProtection="1">
      <alignment horizontal="left" vertical="top" wrapText="1"/>
      <protection locked="0"/>
    </xf>
    <xf numFmtId="1" fontId="31" fillId="0" borderId="3" xfId="1" applyNumberFormat="1" applyFont="1" applyBorder="1" applyAlignment="1" applyProtection="1">
      <alignment horizontal="center" vertical="top" wrapText="1"/>
      <protection locked="0"/>
    </xf>
    <xf numFmtId="1" fontId="31" fillId="0" borderId="11" xfId="1" applyNumberFormat="1" applyFont="1" applyBorder="1" applyAlignment="1" applyProtection="1">
      <alignment horizontal="center" vertical="top" wrapText="1"/>
      <protection locked="0"/>
    </xf>
    <xf numFmtId="2" fontId="12" fillId="0" borderId="1" xfId="1" applyNumberFormat="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2" fontId="6" fillId="0" borderId="1" xfId="1" applyNumberFormat="1" applyFont="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1" xfId="1" applyNumberFormat="1" applyFont="1" applyBorder="1" applyAlignment="1" applyProtection="1">
      <alignment horizontal="center" vertical="top" wrapText="1"/>
      <protection locked="0"/>
    </xf>
    <xf numFmtId="1" fontId="13" fillId="5" borderId="5" xfId="1" applyNumberFormat="1" applyFont="1" applyFill="1" applyBorder="1" applyAlignment="1" applyProtection="1">
      <alignment horizontal="center" vertical="top" wrapText="1"/>
      <protection locked="0"/>
    </xf>
    <xf numFmtId="1" fontId="13" fillId="5" borderId="16" xfId="1" applyNumberFormat="1" applyFont="1" applyFill="1" applyBorder="1" applyAlignment="1" applyProtection="1">
      <alignment horizontal="center" vertical="top" wrapText="1"/>
      <protection locked="0"/>
    </xf>
    <xf numFmtId="1" fontId="13" fillId="5" borderId="6" xfId="1" applyNumberFormat="1" applyFont="1" applyFill="1" applyBorder="1" applyAlignment="1" applyProtection="1">
      <alignment horizontal="center" vertical="top" wrapText="1"/>
      <protection locked="0"/>
    </xf>
    <xf numFmtId="1" fontId="10" fillId="0" borderId="27" xfId="0" applyNumberFormat="1" applyFont="1" applyBorder="1" applyAlignment="1" applyProtection="1">
      <alignment horizontal="center" vertical="top" wrapText="1"/>
      <protection locked="0"/>
    </xf>
    <xf numFmtId="1" fontId="8" fillId="0" borderId="26" xfId="0" applyNumberFormat="1" applyFont="1" applyBorder="1" applyAlignment="1" applyProtection="1">
      <alignment horizontal="center" vertical="center" wrapText="1"/>
      <protection locked="0"/>
    </xf>
    <xf numFmtId="1" fontId="8" fillId="0" borderId="27" xfId="0" applyNumberFormat="1" applyFont="1" applyBorder="1" applyAlignment="1" applyProtection="1">
      <alignment horizontal="center" vertical="center" wrapText="1"/>
      <protection locked="0"/>
    </xf>
    <xf numFmtId="1" fontId="8" fillId="3" borderId="5" xfId="1" applyNumberFormat="1" applyFont="1" applyFill="1" applyBorder="1" applyAlignment="1" applyProtection="1">
      <alignment horizontal="center" vertical="center" wrapText="1"/>
      <protection locked="0"/>
    </xf>
    <xf numFmtId="1" fontId="8" fillId="3" borderId="16" xfId="1" applyNumberFormat="1" applyFont="1" applyFill="1" applyBorder="1" applyAlignment="1" applyProtection="1">
      <alignment horizontal="center" vertical="center" wrapText="1"/>
      <protection locked="0"/>
    </xf>
    <xf numFmtId="1" fontId="8" fillId="3" borderId="6" xfId="1" applyNumberFormat="1" applyFont="1" applyFill="1" applyBorder="1" applyAlignment="1" applyProtection="1">
      <alignment horizontal="center" vertical="center" wrapText="1"/>
      <protection locked="0"/>
    </xf>
    <xf numFmtId="1" fontId="8" fillId="0" borderId="29" xfId="0" applyNumberFormat="1" applyFont="1" applyBorder="1" applyAlignment="1" applyProtection="1">
      <alignment horizontal="center" vertical="center" wrapText="1"/>
      <protection locked="0"/>
    </xf>
    <xf numFmtId="1" fontId="8" fillId="0" borderId="31" xfId="0" applyNumberFormat="1" applyFont="1" applyBorder="1" applyAlignment="1" applyProtection="1">
      <alignment horizontal="center" vertical="center" wrapText="1"/>
      <protection locked="0"/>
    </xf>
    <xf numFmtId="1" fontId="10" fillId="0" borderId="21" xfId="0" applyNumberFormat="1" applyFont="1" applyBorder="1" applyAlignment="1" applyProtection="1">
      <alignment horizontal="center" vertical="top" wrapText="1"/>
      <protection locked="0"/>
    </xf>
    <xf numFmtId="0" fontId="10" fillId="0" borderId="21" xfId="0" applyFont="1" applyBorder="1" applyAlignment="1" applyProtection="1">
      <alignment horizontal="center" vertical="top" wrapText="1"/>
      <protection locked="0"/>
    </xf>
    <xf numFmtId="1" fontId="8" fillId="0" borderId="21" xfId="0" applyNumberFormat="1" applyFont="1" applyBorder="1" applyAlignment="1" applyProtection="1">
      <alignment horizontal="center" vertical="top" wrapText="1"/>
      <protection locked="0"/>
    </xf>
    <xf numFmtId="1" fontId="8" fillId="0" borderId="22" xfId="0"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 Id="rId4" Type="http://schemas.openxmlformats.org/officeDocument/2006/relationships/image" Target="../media/image2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9</xdr:col>
      <xdr:colOff>14568</xdr:colOff>
      <xdr:row>12</xdr:row>
      <xdr:rowOff>527236</xdr:rowOff>
    </xdr:from>
    <xdr:to>
      <xdr:col>18</xdr:col>
      <xdr:colOff>566006</xdr:colOff>
      <xdr:row>22</xdr:row>
      <xdr:rowOff>67234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488892" y="3709707"/>
          <a:ext cx="7420643" cy="3170703"/>
        </a:xfrm>
        <a:prstGeom prst="rect">
          <a:avLst/>
        </a:prstGeom>
      </xdr:spPr>
    </xdr:pic>
    <xdr:clientData/>
  </xdr:twoCellAnchor>
  <xdr:twoCellAnchor>
    <xdr:from>
      <xdr:col>2</xdr:col>
      <xdr:colOff>439922</xdr:colOff>
      <xdr:row>352</xdr:row>
      <xdr:rowOff>87288</xdr:rowOff>
    </xdr:from>
    <xdr:to>
      <xdr:col>2</xdr:col>
      <xdr:colOff>669503</xdr:colOff>
      <xdr:row>353</xdr:row>
      <xdr:rowOff>112816</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rot="18021034">
          <a:off x="2004036" y="75875699"/>
          <a:ext cx="225553" cy="22958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0</xdr:col>
      <xdr:colOff>360219</xdr:colOff>
      <xdr:row>344</xdr:row>
      <xdr:rowOff>94384</xdr:rowOff>
    </xdr:from>
    <xdr:to>
      <xdr:col>7</xdr:col>
      <xdr:colOff>111907</xdr:colOff>
      <xdr:row>372</xdr:row>
      <xdr:rowOff>187191</xdr:rowOff>
    </xdr:to>
    <xdr:grpSp>
      <xdr:nvGrpSpPr>
        <xdr:cNvPr id="41" name="Group 40">
          <a:extLst>
            <a:ext uri="{FF2B5EF4-FFF2-40B4-BE49-F238E27FC236}">
              <a16:creationId xmlns:a16="http://schemas.microsoft.com/office/drawing/2014/main" id="{00000000-0008-0000-0000-000029000000}"/>
            </a:ext>
          </a:extLst>
        </xdr:cNvPr>
        <xdr:cNvGrpSpPr/>
      </xdr:nvGrpSpPr>
      <xdr:grpSpPr>
        <a:xfrm>
          <a:off x="360219" y="71890024"/>
          <a:ext cx="5512408" cy="5640167"/>
          <a:chOff x="342901" y="74171175"/>
          <a:chExt cx="5333338" cy="5685714"/>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390525" y="74171175"/>
            <a:ext cx="5285714" cy="5685714"/>
          </a:xfrm>
          <a:prstGeom prst="rect">
            <a:avLst/>
          </a:prstGeom>
          <a:ln>
            <a:solidFill>
              <a:schemeClr val="tx1"/>
            </a:solidFill>
          </a:ln>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rot="1715029">
            <a:off x="1953007" y="76390729"/>
            <a:ext cx="256928" cy="21285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7" name="Rectangle 6">
            <a:extLst>
              <a:ext uri="{FF2B5EF4-FFF2-40B4-BE49-F238E27FC236}">
                <a16:creationId xmlns:a16="http://schemas.microsoft.com/office/drawing/2014/main" id="{00000000-0008-0000-0000-000007000000}"/>
              </a:ext>
            </a:extLst>
          </xdr:cNvPr>
          <xdr:cNvSpPr/>
        </xdr:nvSpPr>
        <xdr:spPr>
          <a:xfrm rot="18021034">
            <a:off x="2403890" y="76103601"/>
            <a:ext cx="233281" cy="22958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9" name="Rectangle 8">
            <a:extLst>
              <a:ext uri="{FF2B5EF4-FFF2-40B4-BE49-F238E27FC236}">
                <a16:creationId xmlns:a16="http://schemas.microsoft.com/office/drawing/2014/main" id="{00000000-0008-0000-0000-000009000000}"/>
              </a:ext>
            </a:extLst>
          </xdr:cNvPr>
          <xdr:cNvSpPr/>
        </xdr:nvSpPr>
        <xdr:spPr>
          <a:xfrm rot="18021034">
            <a:off x="2276542" y="76335664"/>
            <a:ext cx="233281" cy="22958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0" name="Rectangle 9">
            <a:extLst>
              <a:ext uri="{FF2B5EF4-FFF2-40B4-BE49-F238E27FC236}">
                <a16:creationId xmlns:a16="http://schemas.microsoft.com/office/drawing/2014/main" id="{00000000-0008-0000-0000-00000A000000}"/>
              </a:ext>
            </a:extLst>
          </xdr:cNvPr>
          <xdr:cNvSpPr/>
        </xdr:nvSpPr>
        <xdr:spPr>
          <a:xfrm rot="18021034">
            <a:off x="1911999" y="76092145"/>
            <a:ext cx="174830" cy="22958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flipH="1" flipV="1">
            <a:off x="2514601" y="76466700"/>
            <a:ext cx="447674" cy="2762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Straight Arrow Connector 15">
            <a:extLst>
              <a:ext uri="{FF2B5EF4-FFF2-40B4-BE49-F238E27FC236}">
                <a16:creationId xmlns:a16="http://schemas.microsoft.com/office/drawing/2014/main" id="{00000000-0008-0000-0000-000010000000}"/>
              </a:ext>
            </a:extLst>
          </xdr:cNvPr>
          <xdr:cNvCxnSpPr/>
        </xdr:nvCxnSpPr>
        <xdr:spPr>
          <a:xfrm flipH="1" flipV="1">
            <a:off x="2019302" y="76619101"/>
            <a:ext cx="180973" cy="46672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Straight Arrow Connector 18">
            <a:extLst>
              <a:ext uri="{FF2B5EF4-FFF2-40B4-BE49-F238E27FC236}">
                <a16:creationId xmlns:a16="http://schemas.microsoft.com/office/drawing/2014/main" id="{00000000-0008-0000-0000-000013000000}"/>
              </a:ext>
            </a:extLst>
          </xdr:cNvPr>
          <xdr:cNvCxnSpPr>
            <a:endCxn id="6" idx="0"/>
          </xdr:cNvCxnSpPr>
        </xdr:nvCxnSpPr>
        <xdr:spPr>
          <a:xfrm>
            <a:off x="1552575" y="75399900"/>
            <a:ext cx="465179" cy="53258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Straight Arrow Connector 22">
            <a:extLst>
              <a:ext uri="{FF2B5EF4-FFF2-40B4-BE49-F238E27FC236}">
                <a16:creationId xmlns:a16="http://schemas.microsoft.com/office/drawing/2014/main" id="{00000000-0008-0000-0000-000017000000}"/>
              </a:ext>
            </a:extLst>
          </xdr:cNvPr>
          <xdr:cNvCxnSpPr/>
        </xdr:nvCxnSpPr>
        <xdr:spPr>
          <a:xfrm flipV="1">
            <a:off x="1104900" y="76285726"/>
            <a:ext cx="790578" cy="4762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Straight Arrow Connector 25">
            <a:extLst>
              <a:ext uri="{FF2B5EF4-FFF2-40B4-BE49-F238E27FC236}">
                <a16:creationId xmlns:a16="http://schemas.microsoft.com/office/drawing/2014/main" id="{00000000-0008-0000-0000-00001A000000}"/>
              </a:ext>
            </a:extLst>
          </xdr:cNvPr>
          <xdr:cNvCxnSpPr>
            <a:endCxn id="7" idx="2"/>
          </xdr:cNvCxnSpPr>
        </xdr:nvCxnSpPr>
        <xdr:spPr>
          <a:xfrm flipH="1">
            <a:off x="2619589" y="76190475"/>
            <a:ext cx="666537" cy="8591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0" name="Rectangle 29">
            <a:extLst>
              <a:ext uri="{FF2B5EF4-FFF2-40B4-BE49-F238E27FC236}">
                <a16:creationId xmlns:a16="http://schemas.microsoft.com/office/drawing/2014/main" id="{00000000-0008-0000-0000-00001E000000}"/>
              </a:ext>
            </a:extLst>
          </xdr:cNvPr>
          <xdr:cNvSpPr/>
        </xdr:nvSpPr>
        <xdr:spPr>
          <a:xfrm rot="1611002">
            <a:off x="1791623" y="75888268"/>
            <a:ext cx="872700" cy="770510"/>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3267076" y="76009500"/>
            <a:ext cx="8953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Wing A</a:t>
            </a:r>
          </a:p>
        </xdr:txBody>
      </xdr:sp>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2924176" y="76600050"/>
            <a:ext cx="8953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Wing B</a:t>
            </a:r>
          </a:p>
        </xdr:txBody>
      </xdr:sp>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1790701" y="77057250"/>
            <a:ext cx="8953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Wing C</a:t>
            </a:r>
          </a:p>
        </xdr:txBody>
      </xdr:sp>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962026" y="75047475"/>
            <a:ext cx="8953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Wing E</a:t>
            </a:r>
          </a:p>
        </xdr:txBody>
      </xdr:sp>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342901" y="76171425"/>
            <a:ext cx="8953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Wing D</a:t>
            </a:r>
          </a:p>
        </xdr:txBody>
      </xdr:sp>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742951" y="76619100"/>
            <a:ext cx="1400174"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chemeClr val="tx1"/>
                </a:solidFill>
                <a:latin typeface="Times New Roman" panose="02020603050405020304" pitchFamily="18" charset="0"/>
                <a:cs typeface="Times New Roman" panose="02020603050405020304" pitchFamily="18" charset="0"/>
              </a:rPr>
              <a:t>Cluster</a:t>
            </a:r>
            <a:r>
              <a:rPr lang="en-IN" sz="1600" b="1" baseline="0">
                <a:solidFill>
                  <a:schemeClr val="tx1"/>
                </a:solidFill>
                <a:latin typeface="Times New Roman" panose="02020603050405020304" pitchFamily="18" charset="0"/>
                <a:cs typeface="Times New Roman" panose="02020603050405020304" pitchFamily="18" charset="0"/>
              </a:rPr>
              <a:t> 16.01</a:t>
            </a:r>
            <a:endParaRPr lang="en-IN" sz="1600" b="1">
              <a:solidFill>
                <a:schemeClr val="tx1"/>
              </a:solidFill>
              <a:latin typeface="Times New Roman" panose="02020603050405020304" pitchFamily="18" charset="0"/>
              <a:cs typeface="Times New Roman" panose="02020603050405020304" pitchFamily="18" charset="0"/>
            </a:endParaRPr>
          </a:p>
        </xdr:txBody>
      </xdr:sp>
      <xdr:sp macro="" textlink="">
        <xdr:nvSpPr>
          <xdr:cNvPr id="25" name="Rectangle 24">
            <a:extLst>
              <a:ext uri="{FF2B5EF4-FFF2-40B4-BE49-F238E27FC236}">
                <a16:creationId xmlns:a16="http://schemas.microsoft.com/office/drawing/2014/main" id="{00000000-0008-0000-0000-000019000000}"/>
              </a:ext>
            </a:extLst>
          </xdr:cNvPr>
          <xdr:cNvSpPr/>
        </xdr:nvSpPr>
        <xdr:spPr>
          <a:xfrm rot="18021034">
            <a:off x="2019656" y="75900431"/>
            <a:ext cx="174830" cy="22958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9</xdr:col>
      <xdr:colOff>228858</xdr:colOff>
      <xdr:row>0</xdr:row>
      <xdr:rowOff>133350</xdr:rowOff>
    </xdr:from>
    <xdr:to>
      <xdr:col>18</xdr:col>
      <xdr:colOff>608140</xdr:colOff>
      <xdr:row>15</xdr:row>
      <xdr:rowOff>55706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8071108" y="133350"/>
          <a:ext cx="7586532" cy="4037156"/>
        </a:xfrm>
        <a:prstGeom prst="rect">
          <a:avLst/>
        </a:prstGeom>
      </xdr:spPr>
    </xdr:pic>
    <xdr:clientData/>
  </xdr:twoCellAnchor>
  <xdr:twoCellAnchor editAs="oneCell">
    <xdr:from>
      <xdr:col>1</xdr:col>
      <xdr:colOff>30389</xdr:colOff>
      <xdr:row>384</xdr:row>
      <xdr:rowOff>70995</xdr:rowOff>
    </xdr:from>
    <xdr:to>
      <xdr:col>6</xdr:col>
      <xdr:colOff>547967</xdr:colOff>
      <xdr:row>403</xdr:row>
      <xdr:rowOff>84136</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792389" y="86681820"/>
          <a:ext cx="4603803" cy="3813614"/>
        </a:xfrm>
        <a:prstGeom prst="rect">
          <a:avLst/>
        </a:prstGeom>
        <a:ln>
          <a:solidFill>
            <a:sysClr val="windowText" lastClr="000000"/>
          </a:solidFill>
        </a:ln>
      </xdr:spPr>
    </xdr:pic>
    <xdr:clientData/>
  </xdr:twoCellAnchor>
  <xdr:twoCellAnchor>
    <xdr:from>
      <xdr:col>0</xdr:col>
      <xdr:colOff>341721</xdr:colOff>
      <xdr:row>403</xdr:row>
      <xdr:rowOff>186114</xdr:rowOff>
    </xdr:from>
    <xdr:to>
      <xdr:col>7</xdr:col>
      <xdr:colOff>190501</xdr:colOff>
      <xdr:row>424</xdr:row>
      <xdr:rowOff>0</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341721" y="83670834"/>
          <a:ext cx="5609500" cy="3974406"/>
          <a:chOff x="599456" y="87754239"/>
          <a:chExt cx="4918694" cy="3626523"/>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599456" y="87754239"/>
            <a:ext cx="4918694" cy="3626523"/>
          </a:xfrm>
          <a:prstGeom prst="rect">
            <a:avLst/>
          </a:prstGeom>
          <a:ln>
            <a:solidFill>
              <a:sysClr val="windowText" lastClr="000000"/>
            </a:solidFill>
          </a:ln>
        </xdr:spPr>
      </xdr:pic>
      <xdr:sp macro="" textlink="">
        <xdr:nvSpPr>
          <xdr:cNvPr id="13" name="Rectangle 12">
            <a:extLst>
              <a:ext uri="{FF2B5EF4-FFF2-40B4-BE49-F238E27FC236}">
                <a16:creationId xmlns:a16="http://schemas.microsoft.com/office/drawing/2014/main" id="{00000000-0008-0000-0000-00000D000000}"/>
              </a:ext>
            </a:extLst>
          </xdr:cNvPr>
          <xdr:cNvSpPr/>
        </xdr:nvSpPr>
        <xdr:spPr>
          <a:xfrm rot="1360452">
            <a:off x="2410042" y="89784461"/>
            <a:ext cx="941036" cy="770283"/>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5" name="Rectangle 54">
            <a:extLst>
              <a:ext uri="{FF2B5EF4-FFF2-40B4-BE49-F238E27FC236}">
                <a16:creationId xmlns:a16="http://schemas.microsoft.com/office/drawing/2014/main" id="{00000000-0008-0000-0000-000037000000}"/>
              </a:ext>
            </a:extLst>
          </xdr:cNvPr>
          <xdr:cNvSpPr/>
        </xdr:nvSpPr>
        <xdr:spPr>
          <a:xfrm rot="1269706">
            <a:off x="2314326" y="89233072"/>
            <a:ext cx="1661247" cy="614334"/>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b="1">
                <a:solidFill>
                  <a:srgbClr val="FFFF00"/>
                </a:solidFill>
                <a:latin typeface="Times New Roman" panose="02020603050405020304" pitchFamily="18" charset="0"/>
                <a:cs typeface="Times New Roman" panose="02020603050405020304" pitchFamily="18" charset="0"/>
              </a:rPr>
              <a:t>Opulis </a:t>
            </a:r>
          </a:p>
          <a:p>
            <a:pPr algn="ctr"/>
            <a:r>
              <a:rPr lang="en-IN" b="1">
                <a:solidFill>
                  <a:srgbClr val="FFFF00"/>
                </a:solidFill>
                <a:latin typeface="Times New Roman" panose="02020603050405020304" pitchFamily="18" charset="0"/>
                <a:cs typeface="Times New Roman" panose="02020603050405020304" pitchFamily="18" charset="0"/>
              </a:rPr>
              <a:t>  (Wing A to E)</a:t>
            </a:r>
          </a:p>
        </xdr:txBody>
      </xdr:sp>
    </xdr:grpSp>
    <xdr:clientData/>
  </xdr:twoCellAnchor>
  <xdr:twoCellAnchor editAs="oneCell">
    <xdr:from>
      <xdr:col>11</xdr:col>
      <xdr:colOff>340379</xdr:colOff>
      <xdr:row>170</xdr:row>
      <xdr:rowOff>144276</xdr:rowOff>
    </xdr:from>
    <xdr:to>
      <xdr:col>19</xdr:col>
      <xdr:colOff>217106</xdr:colOff>
      <xdr:row>189</xdr:row>
      <xdr:rowOff>8699</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6"/>
        <a:stretch>
          <a:fillRect/>
        </a:stretch>
      </xdr:blipFill>
      <xdr:spPr>
        <a:xfrm>
          <a:off x="9331979" y="25185501"/>
          <a:ext cx="5963202" cy="2074225"/>
        </a:xfrm>
        <a:prstGeom prst="rect">
          <a:avLst/>
        </a:prstGeom>
      </xdr:spPr>
    </xdr:pic>
    <xdr:clientData/>
  </xdr:twoCellAnchor>
  <xdr:twoCellAnchor>
    <xdr:from>
      <xdr:col>9</xdr:col>
      <xdr:colOff>346710</xdr:colOff>
      <xdr:row>301</xdr:row>
      <xdr:rowOff>20320</xdr:rowOff>
    </xdr:from>
    <xdr:to>
      <xdr:col>17</xdr:col>
      <xdr:colOff>222081</xdr:colOff>
      <xdr:row>335</xdr:row>
      <xdr:rowOff>84366</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8058150" y="63304420"/>
          <a:ext cx="6321891" cy="6792506"/>
          <a:chOff x="95250" y="62547500"/>
          <a:chExt cx="6415871" cy="6750596"/>
        </a:xfrm>
      </xdr:grpSpPr>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522639" y="67138096"/>
            <a:ext cx="1618313" cy="2160000"/>
          </a:xfrm>
          <a:prstGeom prst="rect">
            <a:avLst/>
          </a:prstGeom>
          <a:ln>
            <a:solidFill>
              <a:schemeClr val="tx1"/>
            </a:solidFill>
          </a:ln>
        </xdr:spPr>
      </xdr:pic>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873348" y="64842798"/>
            <a:ext cx="2637773" cy="2160000"/>
          </a:xfrm>
          <a:prstGeom prst="rect">
            <a:avLst/>
          </a:prstGeom>
          <a:ln>
            <a:solidFill>
              <a:schemeClr val="tx1"/>
            </a:solid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873348" y="62547500"/>
            <a:ext cx="2637773" cy="2160000"/>
          </a:xfrm>
          <a:prstGeom prst="rect">
            <a:avLst/>
          </a:prstGeom>
          <a:ln>
            <a:solidFill>
              <a:schemeClr val="tx1"/>
            </a:solidFill>
          </a:ln>
        </xdr:spPr>
      </xdr:pic>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95251" y="62547500"/>
            <a:ext cx="3622566" cy="2160000"/>
          </a:xfrm>
          <a:prstGeom prst="rect">
            <a:avLst/>
          </a:prstGeom>
          <a:ln>
            <a:solidFill>
              <a:schemeClr val="tx1"/>
            </a:solidFill>
          </a:ln>
        </xdr:spPr>
      </xdr:pic>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95250" y="64842798"/>
            <a:ext cx="3622567" cy="2160000"/>
          </a:xfrm>
          <a:prstGeom prst="rect">
            <a:avLst/>
          </a:prstGeom>
          <a:ln>
            <a:solidFill>
              <a:schemeClr val="tx1"/>
            </a:solidFill>
          </a:ln>
        </xdr:spPr>
      </xdr:pic>
    </xdr:grpSp>
    <xdr:clientData/>
  </xdr:twoCellAnchor>
  <xdr:twoCellAnchor>
    <xdr:from>
      <xdr:col>0</xdr:col>
      <xdr:colOff>533400</xdr:colOff>
      <xdr:row>305</xdr:row>
      <xdr:rowOff>15240</xdr:rowOff>
    </xdr:from>
    <xdr:to>
      <xdr:col>7</xdr:col>
      <xdr:colOff>161196</xdr:colOff>
      <xdr:row>341</xdr:row>
      <xdr:rowOff>15596</xdr:rowOff>
    </xdr:to>
    <xdr:grpSp>
      <xdr:nvGrpSpPr>
        <xdr:cNvPr id="17" name="Group 16">
          <a:extLst>
            <a:ext uri="{FF2B5EF4-FFF2-40B4-BE49-F238E27FC236}">
              <a16:creationId xmlns:a16="http://schemas.microsoft.com/office/drawing/2014/main" id="{EDEE9644-D937-6E75-8C3A-B754B764535D}"/>
            </a:ext>
          </a:extLst>
        </xdr:cNvPr>
        <xdr:cNvGrpSpPr/>
      </xdr:nvGrpSpPr>
      <xdr:grpSpPr>
        <a:xfrm>
          <a:off x="533400" y="64084200"/>
          <a:ext cx="5388516" cy="7132676"/>
          <a:chOff x="287148" y="147120"/>
          <a:chExt cx="5388516" cy="7132676"/>
        </a:xfrm>
      </xdr:grpSpPr>
      <xdr:grpSp>
        <xdr:nvGrpSpPr>
          <xdr:cNvPr id="20" name="Group 19">
            <a:extLst>
              <a:ext uri="{FF2B5EF4-FFF2-40B4-BE49-F238E27FC236}">
                <a16:creationId xmlns:a16="http://schemas.microsoft.com/office/drawing/2014/main" id="{E9DC730A-E531-8732-B8E3-7BF14AF9240E}"/>
              </a:ext>
            </a:extLst>
          </xdr:cNvPr>
          <xdr:cNvGrpSpPr/>
        </xdr:nvGrpSpPr>
        <xdr:grpSpPr>
          <a:xfrm>
            <a:off x="287148" y="147120"/>
            <a:ext cx="5388516" cy="5186338"/>
            <a:chOff x="538386" y="147120"/>
            <a:chExt cx="5388516" cy="5186338"/>
          </a:xfrm>
        </xdr:grpSpPr>
        <xdr:pic>
          <xdr:nvPicPr>
            <xdr:cNvPr id="27" name="Picture 26">
              <a:extLst>
                <a:ext uri="{FF2B5EF4-FFF2-40B4-BE49-F238E27FC236}">
                  <a16:creationId xmlns:a16="http://schemas.microsoft.com/office/drawing/2014/main" id="{8BF5BE0D-BAFE-F06A-F8AD-D3484C6FE2C0}"/>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538386" y="147120"/>
              <a:ext cx="3357334" cy="2520000"/>
            </a:xfrm>
            <a:prstGeom prst="rect">
              <a:avLst/>
            </a:prstGeom>
            <a:ln>
              <a:solidFill>
                <a:schemeClr val="tx1"/>
              </a:solidFill>
            </a:ln>
          </xdr:spPr>
        </xdr:pic>
        <xdr:pic>
          <xdr:nvPicPr>
            <xdr:cNvPr id="28" name="Picture 27">
              <a:extLst>
                <a:ext uri="{FF2B5EF4-FFF2-40B4-BE49-F238E27FC236}">
                  <a16:creationId xmlns:a16="http://schemas.microsoft.com/office/drawing/2014/main" id="{E15DE528-D69B-638F-055C-585EB4D29881}"/>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2569568" y="2813458"/>
              <a:ext cx="3357334" cy="2520000"/>
            </a:xfrm>
            <a:prstGeom prst="rect">
              <a:avLst/>
            </a:prstGeom>
            <a:ln>
              <a:solidFill>
                <a:schemeClr val="tx1"/>
              </a:solidFill>
            </a:ln>
          </xdr:spPr>
        </xdr:pic>
        <xdr:pic>
          <xdr:nvPicPr>
            <xdr:cNvPr id="29" name="Picture 28">
              <a:extLst>
                <a:ext uri="{FF2B5EF4-FFF2-40B4-BE49-F238E27FC236}">
                  <a16:creationId xmlns:a16="http://schemas.microsoft.com/office/drawing/2014/main" id="{083B3873-BB9E-C0C8-2FD8-503D8E1B4E1A}"/>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4038871" y="147120"/>
              <a:ext cx="1888031" cy="2520000"/>
            </a:xfrm>
            <a:prstGeom prst="rect">
              <a:avLst/>
            </a:prstGeom>
            <a:ln>
              <a:solidFill>
                <a:schemeClr val="tx1"/>
              </a:solidFill>
            </a:ln>
          </xdr:spPr>
        </xdr:pic>
        <xdr:pic>
          <xdr:nvPicPr>
            <xdr:cNvPr id="32" name="Picture 31">
              <a:extLst>
                <a:ext uri="{FF2B5EF4-FFF2-40B4-BE49-F238E27FC236}">
                  <a16:creationId xmlns:a16="http://schemas.microsoft.com/office/drawing/2014/main" id="{73D3FEED-A813-4996-827C-928E0FBFF10C}"/>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538386" y="2813458"/>
              <a:ext cx="1888031" cy="2520000"/>
            </a:xfrm>
            <a:prstGeom prst="rect">
              <a:avLst/>
            </a:prstGeom>
            <a:ln>
              <a:solidFill>
                <a:schemeClr val="tx1"/>
              </a:solidFill>
            </a:ln>
          </xdr:spPr>
        </xdr:pic>
      </xdr:grpSp>
      <xdr:grpSp>
        <xdr:nvGrpSpPr>
          <xdr:cNvPr id="21" name="Group 20">
            <a:extLst>
              <a:ext uri="{FF2B5EF4-FFF2-40B4-BE49-F238E27FC236}">
                <a16:creationId xmlns:a16="http://schemas.microsoft.com/office/drawing/2014/main" id="{4AC72886-8655-3DAC-658E-445B273A7589}"/>
              </a:ext>
            </a:extLst>
          </xdr:cNvPr>
          <xdr:cNvGrpSpPr/>
        </xdr:nvGrpSpPr>
        <xdr:grpSpPr>
          <a:xfrm>
            <a:off x="1040281" y="5479796"/>
            <a:ext cx="3882251" cy="1800000"/>
            <a:chOff x="35911" y="5479796"/>
            <a:chExt cx="3882251" cy="1800000"/>
          </a:xfrm>
        </xdr:grpSpPr>
        <xdr:pic>
          <xdr:nvPicPr>
            <xdr:cNvPr id="22" name="Picture 21">
              <a:extLst>
                <a:ext uri="{FF2B5EF4-FFF2-40B4-BE49-F238E27FC236}">
                  <a16:creationId xmlns:a16="http://schemas.microsoft.com/office/drawing/2014/main" id="{653210EF-2314-ADB4-08A9-0D5B4AF9CAB9}"/>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35911" y="5479796"/>
              <a:ext cx="2390506" cy="1800000"/>
            </a:xfrm>
            <a:prstGeom prst="rect">
              <a:avLst/>
            </a:prstGeom>
            <a:ln>
              <a:solidFill>
                <a:schemeClr val="tx1"/>
              </a:solidFill>
            </a:ln>
          </xdr:spPr>
        </xdr:pic>
        <xdr:pic>
          <xdr:nvPicPr>
            <xdr:cNvPr id="24" name="Picture 23">
              <a:extLst>
                <a:ext uri="{FF2B5EF4-FFF2-40B4-BE49-F238E27FC236}">
                  <a16:creationId xmlns:a16="http://schemas.microsoft.com/office/drawing/2014/main" id="{DAAF5515-F0FA-6338-38C3-727945CBA03B}"/>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2569568" y="5479796"/>
              <a:ext cx="1348594"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0</xdr:col>
      <xdr:colOff>212911</xdr:colOff>
      <xdr:row>9</xdr:row>
      <xdr:rowOff>78442</xdr:rowOff>
    </xdr:from>
    <xdr:to>
      <xdr:col>5</xdr:col>
      <xdr:colOff>249060</xdr:colOff>
      <xdr:row>17</xdr:row>
      <xdr:rowOff>31023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12911" y="1804148"/>
          <a:ext cx="6087325" cy="1476581"/>
        </a:xfrm>
        <a:prstGeom prst="rect">
          <a:avLst/>
        </a:prstGeom>
      </xdr:spPr>
    </xdr:pic>
    <xdr:clientData/>
  </xdr:twoCellAnchor>
  <xdr:twoCellAnchor editAs="oneCell">
    <xdr:from>
      <xdr:col>5</xdr:col>
      <xdr:colOff>100853</xdr:colOff>
      <xdr:row>7</xdr:row>
      <xdr:rowOff>0</xdr:rowOff>
    </xdr:from>
    <xdr:to>
      <xdr:col>10</xdr:col>
      <xdr:colOff>308262</xdr:colOff>
      <xdr:row>19</xdr:row>
      <xdr:rowOff>76530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6152029" y="1344706"/>
          <a:ext cx="4734586" cy="2362530"/>
        </a:xfrm>
        <a:prstGeom prst="rect">
          <a:avLst/>
        </a:prstGeom>
      </xdr:spPr>
    </xdr:pic>
    <xdr:clientData/>
  </xdr:twoCellAnchor>
  <xdr:twoCellAnchor editAs="oneCell">
    <xdr:from>
      <xdr:col>1</xdr:col>
      <xdr:colOff>56029</xdr:colOff>
      <xdr:row>9</xdr:row>
      <xdr:rowOff>1</xdr:rowOff>
    </xdr:from>
    <xdr:to>
      <xdr:col>4</xdr:col>
      <xdr:colOff>322303</xdr:colOff>
      <xdr:row>26</xdr:row>
      <xdr:rowOff>124295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638735" y="1725707"/>
          <a:ext cx="4972744" cy="33627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aps.app.goo.gl/Yn5cRmKuCpd8BVML7" TargetMode="External"/><Relationship Id="rId1" Type="http://schemas.openxmlformats.org/officeDocument/2006/relationships/hyperlink" Target="https://www.opulis.in/"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84"/>
  <sheetViews>
    <sheetView tabSelected="1" view="pageBreakPreview" zoomScaleNormal="100" zoomScaleSheetLayoutView="100" zoomScalePageLayoutView="85" workbookViewId="0">
      <selection activeCell="I6" sqref="I6"/>
    </sheetView>
  </sheetViews>
  <sheetFormatPr defaultColWidth="9.21875" defaultRowHeight="15.6" x14ac:dyDescent="0.3"/>
  <cols>
    <col min="1" max="1" width="11.44140625" style="35" customWidth="1"/>
    <col min="2" max="2" width="12" style="35" customWidth="1"/>
    <col min="3" max="3" width="12.77734375" style="35" customWidth="1"/>
    <col min="4" max="4" width="13.77734375" style="35" customWidth="1"/>
    <col min="5" max="5" width="11.77734375" style="35" customWidth="1"/>
    <col min="6" max="6" width="11.21875" style="35" customWidth="1"/>
    <col min="7" max="8" width="11" style="35" customWidth="1"/>
    <col min="9" max="9" width="17.44140625" style="16" customWidth="1"/>
    <col min="10" max="10" width="11.44140625" style="16" customWidth="1"/>
    <col min="11" max="11" width="11.21875" style="16" bestFit="1" customWidth="1"/>
    <col min="12" max="12" width="13.77734375" style="16" bestFit="1" customWidth="1"/>
    <col min="13" max="13" width="11.77734375" style="16" customWidth="1"/>
    <col min="14" max="14" width="12.5546875" style="16" customWidth="1"/>
    <col min="15" max="15" width="12.21875" style="16" customWidth="1"/>
    <col min="16" max="16" width="11.77734375" style="16" customWidth="1"/>
    <col min="17" max="18" width="9.21875" style="16"/>
    <col min="19" max="19" width="10.77734375" style="16" bestFit="1" customWidth="1"/>
    <col min="20" max="20" width="10.77734375" style="16" customWidth="1"/>
    <col min="21" max="247" width="9.21875" style="16"/>
    <col min="248" max="248" width="8.77734375" style="16" customWidth="1"/>
    <col min="249" max="249" width="9.77734375" style="16" customWidth="1"/>
    <col min="250" max="250" width="14.44140625" style="16" customWidth="1"/>
    <col min="251" max="251" width="7.21875" style="16" customWidth="1"/>
    <col min="252" max="252" width="5.5546875" style="16" customWidth="1"/>
    <col min="253" max="253" width="9" style="16" customWidth="1"/>
    <col min="254" max="255" width="9.77734375" style="16" customWidth="1"/>
    <col min="256" max="256" width="11.21875" style="16" customWidth="1"/>
    <col min="257" max="257" width="2.77734375" style="16" customWidth="1"/>
    <col min="258" max="258" width="3.5546875" style="16" customWidth="1"/>
    <col min="259" max="503" width="9.21875" style="16"/>
    <col min="504" max="504" width="8.77734375" style="16" customWidth="1"/>
    <col min="505" max="505" width="9.77734375" style="16" customWidth="1"/>
    <col min="506" max="506" width="14.44140625" style="16" customWidth="1"/>
    <col min="507" max="507" width="7.21875" style="16" customWidth="1"/>
    <col min="508" max="508" width="5.5546875" style="16" customWidth="1"/>
    <col min="509" max="509" width="9" style="16" customWidth="1"/>
    <col min="510" max="511" width="9.77734375" style="16" customWidth="1"/>
    <col min="512" max="512" width="11.21875" style="16" customWidth="1"/>
    <col min="513" max="513" width="2.77734375" style="16" customWidth="1"/>
    <col min="514" max="514" width="3.5546875" style="16" customWidth="1"/>
    <col min="515" max="759" width="9.21875" style="16"/>
    <col min="760" max="760" width="8.77734375" style="16" customWidth="1"/>
    <col min="761" max="761" width="9.77734375" style="16" customWidth="1"/>
    <col min="762" max="762" width="14.44140625" style="16" customWidth="1"/>
    <col min="763" max="763" width="7.21875" style="16" customWidth="1"/>
    <col min="764" max="764" width="5.5546875" style="16" customWidth="1"/>
    <col min="765" max="765" width="9" style="16" customWidth="1"/>
    <col min="766" max="767" width="9.77734375" style="16" customWidth="1"/>
    <col min="768" max="768" width="11.21875" style="16" customWidth="1"/>
    <col min="769" max="769" width="2.77734375" style="16" customWidth="1"/>
    <col min="770" max="770" width="3.5546875" style="16" customWidth="1"/>
    <col min="771" max="1015" width="9.21875" style="16"/>
    <col min="1016" max="1016" width="8.77734375" style="16" customWidth="1"/>
    <col min="1017" max="1017" width="9.77734375" style="16" customWidth="1"/>
    <col min="1018" max="1018" width="14.44140625" style="16" customWidth="1"/>
    <col min="1019" max="1019" width="7.21875" style="16" customWidth="1"/>
    <col min="1020" max="1020" width="5.5546875" style="16" customWidth="1"/>
    <col min="1021" max="1021" width="9" style="16" customWidth="1"/>
    <col min="1022" max="1023" width="9.77734375" style="16" customWidth="1"/>
    <col min="1024" max="1024" width="11.21875" style="16" customWidth="1"/>
    <col min="1025" max="1025" width="2.77734375" style="16" customWidth="1"/>
    <col min="1026" max="1026" width="3.5546875" style="16" customWidth="1"/>
    <col min="1027" max="1271" width="9.21875" style="16"/>
    <col min="1272" max="1272" width="8.77734375" style="16" customWidth="1"/>
    <col min="1273" max="1273" width="9.77734375" style="16" customWidth="1"/>
    <col min="1274" max="1274" width="14.44140625" style="16" customWidth="1"/>
    <col min="1275" max="1275" width="7.21875" style="16" customWidth="1"/>
    <col min="1276" max="1276" width="5.5546875" style="16" customWidth="1"/>
    <col min="1277" max="1277" width="9" style="16" customWidth="1"/>
    <col min="1278" max="1279" width="9.77734375" style="16" customWidth="1"/>
    <col min="1280" max="1280" width="11.21875" style="16" customWidth="1"/>
    <col min="1281" max="1281" width="2.77734375" style="16" customWidth="1"/>
    <col min="1282" max="1282" width="3.5546875" style="16" customWidth="1"/>
    <col min="1283" max="1527" width="9.21875" style="16"/>
    <col min="1528" max="1528" width="8.77734375" style="16" customWidth="1"/>
    <col min="1529" max="1529" width="9.77734375" style="16" customWidth="1"/>
    <col min="1530" max="1530" width="14.44140625" style="16" customWidth="1"/>
    <col min="1531" max="1531" width="7.21875" style="16" customWidth="1"/>
    <col min="1532" max="1532" width="5.5546875" style="16" customWidth="1"/>
    <col min="1533" max="1533" width="9" style="16" customWidth="1"/>
    <col min="1534" max="1535" width="9.77734375" style="16" customWidth="1"/>
    <col min="1536" max="1536" width="11.21875" style="16" customWidth="1"/>
    <col min="1537" max="1537" width="2.77734375" style="16" customWidth="1"/>
    <col min="1538" max="1538" width="3.5546875" style="16" customWidth="1"/>
    <col min="1539" max="1783" width="9.21875" style="16"/>
    <col min="1784" max="1784" width="8.77734375" style="16" customWidth="1"/>
    <col min="1785" max="1785" width="9.77734375" style="16" customWidth="1"/>
    <col min="1786" max="1786" width="14.44140625" style="16" customWidth="1"/>
    <col min="1787" max="1787" width="7.21875" style="16" customWidth="1"/>
    <col min="1788" max="1788" width="5.5546875" style="16" customWidth="1"/>
    <col min="1789" max="1789" width="9" style="16" customWidth="1"/>
    <col min="1790" max="1791" width="9.77734375" style="16" customWidth="1"/>
    <col min="1792" max="1792" width="11.21875" style="16" customWidth="1"/>
    <col min="1793" max="1793" width="2.77734375" style="16" customWidth="1"/>
    <col min="1794" max="1794" width="3.5546875" style="16" customWidth="1"/>
    <col min="1795" max="2039" width="9.21875" style="16"/>
    <col min="2040" max="2040" width="8.77734375" style="16" customWidth="1"/>
    <col min="2041" max="2041" width="9.77734375" style="16" customWidth="1"/>
    <col min="2042" max="2042" width="14.44140625" style="16" customWidth="1"/>
    <col min="2043" max="2043" width="7.21875" style="16" customWidth="1"/>
    <col min="2044" max="2044" width="5.5546875" style="16" customWidth="1"/>
    <col min="2045" max="2045" width="9" style="16" customWidth="1"/>
    <col min="2046" max="2047" width="9.77734375" style="16" customWidth="1"/>
    <col min="2048" max="2048" width="11.21875" style="16" customWidth="1"/>
    <col min="2049" max="2049" width="2.77734375" style="16" customWidth="1"/>
    <col min="2050" max="2050" width="3.5546875" style="16" customWidth="1"/>
    <col min="2051" max="2295" width="9.21875" style="16"/>
    <col min="2296" max="2296" width="8.77734375" style="16" customWidth="1"/>
    <col min="2297" max="2297" width="9.77734375" style="16" customWidth="1"/>
    <col min="2298" max="2298" width="14.44140625" style="16" customWidth="1"/>
    <col min="2299" max="2299" width="7.21875" style="16" customWidth="1"/>
    <col min="2300" max="2300" width="5.5546875" style="16" customWidth="1"/>
    <col min="2301" max="2301" width="9" style="16" customWidth="1"/>
    <col min="2302" max="2303" width="9.77734375" style="16" customWidth="1"/>
    <col min="2304" max="2304" width="11.21875" style="16" customWidth="1"/>
    <col min="2305" max="2305" width="2.77734375" style="16" customWidth="1"/>
    <col min="2306" max="2306" width="3.5546875" style="16" customWidth="1"/>
    <col min="2307" max="2551" width="9.21875" style="16"/>
    <col min="2552" max="2552" width="8.77734375" style="16" customWidth="1"/>
    <col min="2553" max="2553" width="9.77734375" style="16" customWidth="1"/>
    <col min="2554" max="2554" width="14.44140625" style="16" customWidth="1"/>
    <col min="2555" max="2555" width="7.21875" style="16" customWidth="1"/>
    <col min="2556" max="2556" width="5.5546875" style="16" customWidth="1"/>
    <col min="2557" max="2557" width="9" style="16" customWidth="1"/>
    <col min="2558" max="2559" width="9.77734375" style="16" customWidth="1"/>
    <col min="2560" max="2560" width="11.21875" style="16" customWidth="1"/>
    <col min="2561" max="2561" width="2.77734375" style="16" customWidth="1"/>
    <col min="2562" max="2562" width="3.5546875" style="16" customWidth="1"/>
    <col min="2563" max="2807" width="9.21875" style="16"/>
    <col min="2808" max="2808" width="8.77734375" style="16" customWidth="1"/>
    <col min="2809" max="2809" width="9.77734375" style="16" customWidth="1"/>
    <col min="2810" max="2810" width="14.44140625" style="16" customWidth="1"/>
    <col min="2811" max="2811" width="7.21875" style="16" customWidth="1"/>
    <col min="2812" max="2812" width="5.5546875" style="16" customWidth="1"/>
    <col min="2813" max="2813" width="9" style="16" customWidth="1"/>
    <col min="2814" max="2815" width="9.77734375" style="16" customWidth="1"/>
    <col min="2816" max="2816" width="11.21875" style="16" customWidth="1"/>
    <col min="2817" max="2817" width="2.77734375" style="16" customWidth="1"/>
    <col min="2818" max="2818" width="3.5546875" style="16" customWidth="1"/>
    <col min="2819" max="3063" width="9.21875" style="16"/>
    <col min="3064" max="3064" width="8.77734375" style="16" customWidth="1"/>
    <col min="3065" max="3065" width="9.77734375" style="16" customWidth="1"/>
    <col min="3066" max="3066" width="14.44140625" style="16" customWidth="1"/>
    <col min="3067" max="3067" width="7.21875" style="16" customWidth="1"/>
    <col min="3068" max="3068" width="5.5546875" style="16" customWidth="1"/>
    <col min="3069" max="3069" width="9" style="16" customWidth="1"/>
    <col min="3070" max="3071" width="9.77734375" style="16" customWidth="1"/>
    <col min="3072" max="3072" width="11.21875" style="16" customWidth="1"/>
    <col min="3073" max="3073" width="2.77734375" style="16" customWidth="1"/>
    <col min="3074" max="3074" width="3.5546875" style="16" customWidth="1"/>
    <col min="3075" max="3319" width="9.21875" style="16"/>
    <col min="3320" max="3320" width="8.77734375" style="16" customWidth="1"/>
    <col min="3321" max="3321" width="9.77734375" style="16" customWidth="1"/>
    <col min="3322" max="3322" width="14.44140625" style="16" customWidth="1"/>
    <col min="3323" max="3323" width="7.21875" style="16" customWidth="1"/>
    <col min="3324" max="3324" width="5.5546875" style="16" customWidth="1"/>
    <col min="3325" max="3325" width="9" style="16" customWidth="1"/>
    <col min="3326" max="3327" width="9.77734375" style="16" customWidth="1"/>
    <col min="3328" max="3328" width="11.21875" style="16" customWidth="1"/>
    <col min="3329" max="3329" width="2.77734375" style="16" customWidth="1"/>
    <col min="3330" max="3330" width="3.5546875" style="16" customWidth="1"/>
    <col min="3331" max="3575" width="9.21875" style="16"/>
    <col min="3576" max="3576" width="8.77734375" style="16" customWidth="1"/>
    <col min="3577" max="3577" width="9.77734375" style="16" customWidth="1"/>
    <col min="3578" max="3578" width="14.44140625" style="16" customWidth="1"/>
    <col min="3579" max="3579" width="7.21875" style="16" customWidth="1"/>
    <col min="3580" max="3580" width="5.5546875" style="16" customWidth="1"/>
    <col min="3581" max="3581" width="9" style="16" customWidth="1"/>
    <col min="3582" max="3583" width="9.77734375" style="16" customWidth="1"/>
    <col min="3584" max="3584" width="11.21875" style="16" customWidth="1"/>
    <col min="3585" max="3585" width="2.77734375" style="16" customWidth="1"/>
    <col min="3586" max="3586" width="3.5546875" style="16" customWidth="1"/>
    <col min="3587" max="3831" width="9.21875" style="16"/>
    <col min="3832" max="3832" width="8.77734375" style="16" customWidth="1"/>
    <col min="3833" max="3833" width="9.77734375" style="16" customWidth="1"/>
    <col min="3834" max="3834" width="14.44140625" style="16" customWidth="1"/>
    <col min="3835" max="3835" width="7.21875" style="16" customWidth="1"/>
    <col min="3836" max="3836" width="5.5546875" style="16" customWidth="1"/>
    <col min="3837" max="3837" width="9" style="16" customWidth="1"/>
    <col min="3838" max="3839" width="9.77734375" style="16" customWidth="1"/>
    <col min="3840" max="3840" width="11.21875" style="16" customWidth="1"/>
    <col min="3841" max="3841" width="2.77734375" style="16" customWidth="1"/>
    <col min="3842" max="3842" width="3.5546875" style="16" customWidth="1"/>
    <col min="3843" max="4087" width="9.21875" style="16"/>
    <col min="4088" max="4088" width="8.77734375" style="16" customWidth="1"/>
    <col min="4089" max="4089" width="9.77734375" style="16" customWidth="1"/>
    <col min="4090" max="4090" width="14.44140625" style="16" customWidth="1"/>
    <col min="4091" max="4091" width="7.21875" style="16" customWidth="1"/>
    <col min="4092" max="4092" width="5.5546875" style="16" customWidth="1"/>
    <col min="4093" max="4093" width="9" style="16" customWidth="1"/>
    <col min="4094" max="4095" width="9.77734375" style="16" customWidth="1"/>
    <col min="4096" max="4096" width="11.21875" style="16" customWidth="1"/>
    <col min="4097" max="4097" width="2.77734375" style="16" customWidth="1"/>
    <col min="4098" max="4098" width="3.5546875" style="16" customWidth="1"/>
    <col min="4099" max="4343" width="9.21875" style="16"/>
    <col min="4344" max="4344" width="8.77734375" style="16" customWidth="1"/>
    <col min="4345" max="4345" width="9.77734375" style="16" customWidth="1"/>
    <col min="4346" max="4346" width="14.44140625" style="16" customWidth="1"/>
    <col min="4347" max="4347" width="7.21875" style="16" customWidth="1"/>
    <col min="4348" max="4348" width="5.5546875" style="16" customWidth="1"/>
    <col min="4349" max="4349" width="9" style="16" customWidth="1"/>
    <col min="4350" max="4351" width="9.77734375" style="16" customWidth="1"/>
    <col min="4352" max="4352" width="11.21875" style="16" customWidth="1"/>
    <col min="4353" max="4353" width="2.77734375" style="16" customWidth="1"/>
    <col min="4354" max="4354" width="3.5546875" style="16" customWidth="1"/>
    <col min="4355" max="4599" width="9.21875" style="16"/>
    <col min="4600" max="4600" width="8.77734375" style="16" customWidth="1"/>
    <col min="4601" max="4601" width="9.77734375" style="16" customWidth="1"/>
    <col min="4602" max="4602" width="14.44140625" style="16" customWidth="1"/>
    <col min="4603" max="4603" width="7.21875" style="16" customWidth="1"/>
    <col min="4604" max="4604" width="5.5546875" style="16" customWidth="1"/>
    <col min="4605" max="4605" width="9" style="16" customWidth="1"/>
    <col min="4606" max="4607" width="9.77734375" style="16" customWidth="1"/>
    <col min="4608" max="4608" width="11.21875" style="16" customWidth="1"/>
    <col min="4609" max="4609" width="2.77734375" style="16" customWidth="1"/>
    <col min="4610" max="4610" width="3.5546875" style="16" customWidth="1"/>
    <col min="4611" max="4855" width="9.21875" style="16"/>
    <col min="4856" max="4856" width="8.77734375" style="16" customWidth="1"/>
    <col min="4857" max="4857" width="9.77734375" style="16" customWidth="1"/>
    <col min="4858" max="4858" width="14.44140625" style="16" customWidth="1"/>
    <col min="4859" max="4859" width="7.21875" style="16" customWidth="1"/>
    <col min="4860" max="4860" width="5.5546875" style="16" customWidth="1"/>
    <col min="4861" max="4861" width="9" style="16" customWidth="1"/>
    <col min="4862" max="4863" width="9.77734375" style="16" customWidth="1"/>
    <col min="4864" max="4864" width="11.21875" style="16" customWidth="1"/>
    <col min="4865" max="4865" width="2.77734375" style="16" customWidth="1"/>
    <col min="4866" max="4866" width="3.5546875" style="16" customWidth="1"/>
    <col min="4867" max="5111" width="9.21875" style="16"/>
    <col min="5112" max="5112" width="8.77734375" style="16" customWidth="1"/>
    <col min="5113" max="5113" width="9.77734375" style="16" customWidth="1"/>
    <col min="5114" max="5114" width="14.44140625" style="16" customWidth="1"/>
    <col min="5115" max="5115" width="7.21875" style="16" customWidth="1"/>
    <col min="5116" max="5116" width="5.5546875" style="16" customWidth="1"/>
    <col min="5117" max="5117" width="9" style="16" customWidth="1"/>
    <col min="5118" max="5119" width="9.77734375" style="16" customWidth="1"/>
    <col min="5120" max="5120" width="11.21875" style="16" customWidth="1"/>
    <col min="5121" max="5121" width="2.77734375" style="16" customWidth="1"/>
    <col min="5122" max="5122" width="3.5546875" style="16" customWidth="1"/>
    <col min="5123" max="5367" width="9.21875" style="16"/>
    <col min="5368" max="5368" width="8.77734375" style="16" customWidth="1"/>
    <col min="5369" max="5369" width="9.77734375" style="16" customWidth="1"/>
    <col min="5370" max="5370" width="14.44140625" style="16" customWidth="1"/>
    <col min="5371" max="5371" width="7.21875" style="16" customWidth="1"/>
    <col min="5372" max="5372" width="5.5546875" style="16" customWidth="1"/>
    <col min="5373" max="5373" width="9" style="16" customWidth="1"/>
    <col min="5374" max="5375" width="9.77734375" style="16" customWidth="1"/>
    <col min="5376" max="5376" width="11.21875" style="16" customWidth="1"/>
    <col min="5377" max="5377" width="2.77734375" style="16" customWidth="1"/>
    <col min="5378" max="5378" width="3.5546875" style="16" customWidth="1"/>
    <col min="5379" max="5623" width="9.21875" style="16"/>
    <col min="5624" max="5624" width="8.77734375" style="16" customWidth="1"/>
    <col min="5625" max="5625" width="9.77734375" style="16" customWidth="1"/>
    <col min="5626" max="5626" width="14.44140625" style="16" customWidth="1"/>
    <col min="5627" max="5627" width="7.21875" style="16" customWidth="1"/>
    <col min="5628" max="5628" width="5.5546875" style="16" customWidth="1"/>
    <col min="5629" max="5629" width="9" style="16" customWidth="1"/>
    <col min="5630" max="5631" width="9.77734375" style="16" customWidth="1"/>
    <col min="5632" max="5632" width="11.21875" style="16" customWidth="1"/>
    <col min="5633" max="5633" width="2.77734375" style="16" customWidth="1"/>
    <col min="5634" max="5634" width="3.5546875" style="16" customWidth="1"/>
    <col min="5635" max="5879" width="9.21875" style="16"/>
    <col min="5880" max="5880" width="8.77734375" style="16" customWidth="1"/>
    <col min="5881" max="5881" width="9.77734375" style="16" customWidth="1"/>
    <col min="5882" max="5882" width="14.44140625" style="16" customWidth="1"/>
    <col min="5883" max="5883" width="7.21875" style="16" customWidth="1"/>
    <col min="5884" max="5884" width="5.5546875" style="16" customWidth="1"/>
    <col min="5885" max="5885" width="9" style="16" customWidth="1"/>
    <col min="5886" max="5887" width="9.77734375" style="16" customWidth="1"/>
    <col min="5888" max="5888" width="11.21875" style="16" customWidth="1"/>
    <col min="5889" max="5889" width="2.77734375" style="16" customWidth="1"/>
    <col min="5890" max="5890" width="3.5546875" style="16" customWidth="1"/>
    <col min="5891" max="6135" width="9.21875" style="16"/>
    <col min="6136" max="6136" width="8.77734375" style="16" customWidth="1"/>
    <col min="6137" max="6137" width="9.77734375" style="16" customWidth="1"/>
    <col min="6138" max="6138" width="14.44140625" style="16" customWidth="1"/>
    <col min="6139" max="6139" width="7.21875" style="16" customWidth="1"/>
    <col min="6140" max="6140" width="5.5546875" style="16" customWidth="1"/>
    <col min="6141" max="6141" width="9" style="16" customWidth="1"/>
    <col min="6142" max="6143" width="9.77734375" style="16" customWidth="1"/>
    <col min="6144" max="6144" width="11.21875" style="16" customWidth="1"/>
    <col min="6145" max="6145" width="2.77734375" style="16" customWidth="1"/>
    <col min="6146" max="6146" width="3.5546875" style="16" customWidth="1"/>
    <col min="6147" max="6391" width="9.21875" style="16"/>
    <col min="6392" max="6392" width="8.77734375" style="16" customWidth="1"/>
    <col min="6393" max="6393" width="9.77734375" style="16" customWidth="1"/>
    <col min="6394" max="6394" width="14.44140625" style="16" customWidth="1"/>
    <col min="6395" max="6395" width="7.21875" style="16" customWidth="1"/>
    <col min="6396" max="6396" width="5.5546875" style="16" customWidth="1"/>
    <col min="6397" max="6397" width="9" style="16" customWidth="1"/>
    <col min="6398" max="6399" width="9.77734375" style="16" customWidth="1"/>
    <col min="6400" max="6400" width="11.21875" style="16" customWidth="1"/>
    <col min="6401" max="6401" width="2.77734375" style="16" customWidth="1"/>
    <col min="6402" max="6402" width="3.5546875" style="16" customWidth="1"/>
    <col min="6403" max="6647" width="9.21875" style="16"/>
    <col min="6648" max="6648" width="8.77734375" style="16" customWidth="1"/>
    <col min="6649" max="6649" width="9.77734375" style="16" customWidth="1"/>
    <col min="6650" max="6650" width="14.44140625" style="16" customWidth="1"/>
    <col min="6651" max="6651" width="7.21875" style="16" customWidth="1"/>
    <col min="6652" max="6652" width="5.5546875" style="16" customWidth="1"/>
    <col min="6653" max="6653" width="9" style="16" customWidth="1"/>
    <col min="6654" max="6655" width="9.77734375" style="16" customWidth="1"/>
    <col min="6656" max="6656" width="11.21875" style="16" customWidth="1"/>
    <col min="6657" max="6657" width="2.77734375" style="16" customWidth="1"/>
    <col min="6658" max="6658" width="3.5546875" style="16" customWidth="1"/>
    <col min="6659" max="6903" width="9.21875" style="16"/>
    <col min="6904" max="6904" width="8.77734375" style="16" customWidth="1"/>
    <col min="6905" max="6905" width="9.77734375" style="16" customWidth="1"/>
    <col min="6906" max="6906" width="14.44140625" style="16" customWidth="1"/>
    <col min="6907" max="6907" width="7.21875" style="16" customWidth="1"/>
    <col min="6908" max="6908" width="5.5546875" style="16" customWidth="1"/>
    <col min="6909" max="6909" width="9" style="16" customWidth="1"/>
    <col min="6910" max="6911" width="9.77734375" style="16" customWidth="1"/>
    <col min="6912" max="6912" width="11.21875" style="16" customWidth="1"/>
    <col min="6913" max="6913" width="2.77734375" style="16" customWidth="1"/>
    <col min="6914" max="6914" width="3.5546875" style="16" customWidth="1"/>
    <col min="6915" max="7159" width="9.21875" style="16"/>
    <col min="7160" max="7160" width="8.77734375" style="16" customWidth="1"/>
    <col min="7161" max="7161" width="9.77734375" style="16" customWidth="1"/>
    <col min="7162" max="7162" width="14.44140625" style="16" customWidth="1"/>
    <col min="7163" max="7163" width="7.21875" style="16" customWidth="1"/>
    <col min="7164" max="7164" width="5.5546875" style="16" customWidth="1"/>
    <col min="7165" max="7165" width="9" style="16" customWidth="1"/>
    <col min="7166" max="7167" width="9.77734375" style="16" customWidth="1"/>
    <col min="7168" max="7168" width="11.21875" style="16" customWidth="1"/>
    <col min="7169" max="7169" width="2.77734375" style="16" customWidth="1"/>
    <col min="7170" max="7170" width="3.5546875" style="16" customWidth="1"/>
    <col min="7171" max="7415" width="9.21875" style="16"/>
    <col min="7416" max="7416" width="8.77734375" style="16" customWidth="1"/>
    <col min="7417" max="7417" width="9.77734375" style="16" customWidth="1"/>
    <col min="7418" max="7418" width="14.44140625" style="16" customWidth="1"/>
    <col min="7419" max="7419" width="7.21875" style="16" customWidth="1"/>
    <col min="7420" max="7420" width="5.5546875" style="16" customWidth="1"/>
    <col min="7421" max="7421" width="9" style="16" customWidth="1"/>
    <col min="7422" max="7423" width="9.77734375" style="16" customWidth="1"/>
    <col min="7424" max="7424" width="11.21875" style="16" customWidth="1"/>
    <col min="7425" max="7425" width="2.77734375" style="16" customWidth="1"/>
    <col min="7426" max="7426" width="3.5546875" style="16" customWidth="1"/>
    <col min="7427" max="7671" width="9.21875" style="16"/>
    <col min="7672" max="7672" width="8.77734375" style="16" customWidth="1"/>
    <col min="7673" max="7673" width="9.77734375" style="16" customWidth="1"/>
    <col min="7674" max="7674" width="14.44140625" style="16" customWidth="1"/>
    <col min="7675" max="7675" width="7.21875" style="16" customWidth="1"/>
    <col min="7676" max="7676" width="5.5546875" style="16" customWidth="1"/>
    <col min="7677" max="7677" width="9" style="16" customWidth="1"/>
    <col min="7678" max="7679" width="9.77734375" style="16" customWidth="1"/>
    <col min="7680" max="7680" width="11.21875" style="16" customWidth="1"/>
    <col min="7681" max="7681" width="2.77734375" style="16" customWidth="1"/>
    <col min="7682" max="7682" width="3.5546875" style="16" customWidth="1"/>
    <col min="7683" max="7927" width="9.21875" style="16"/>
    <col min="7928" max="7928" width="8.77734375" style="16" customWidth="1"/>
    <col min="7929" max="7929" width="9.77734375" style="16" customWidth="1"/>
    <col min="7930" max="7930" width="14.44140625" style="16" customWidth="1"/>
    <col min="7931" max="7931" width="7.21875" style="16" customWidth="1"/>
    <col min="7932" max="7932" width="5.5546875" style="16" customWidth="1"/>
    <col min="7933" max="7933" width="9" style="16" customWidth="1"/>
    <col min="7934" max="7935" width="9.77734375" style="16" customWidth="1"/>
    <col min="7936" max="7936" width="11.21875" style="16" customWidth="1"/>
    <col min="7937" max="7937" width="2.77734375" style="16" customWidth="1"/>
    <col min="7938" max="7938" width="3.5546875" style="16" customWidth="1"/>
    <col min="7939" max="8183" width="9.21875" style="16"/>
    <col min="8184" max="8184" width="8.77734375" style="16" customWidth="1"/>
    <col min="8185" max="8185" width="9.77734375" style="16" customWidth="1"/>
    <col min="8186" max="8186" width="14.44140625" style="16" customWidth="1"/>
    <col min="8187" max="8187" width="7.21875" style="16" customWidth="1"/>
    <col min="8188" max="8188" width="5.5546875" style="16" customWidth="1"/>
    <col min="8189" max="8189" width="9" style="16" customWidth="1"/>
    <col min="8190" max="8191" width="9.77734375" style="16" customWidth="1"/>
    <col min="8192" max="8192" width="11.21875" style="16" customWidth="1"/>
    <col min="8193" max="8193" width="2.77734375" style="16" customWidth="1"/>
    <col min="8194" max="8194" width="3.5546875" style="16" customWidth="1"/>
    <col min="8195" max="8439" width="9.21875" style="16"/>
    <col min="8440" max="8440" width="8.77734375" style="16" customWidth="1"/>
    <col min="8441" max="8441" width="9.77734375" style="16" customWidth="1"/>
    <col min="8442" max="8442" width="14.44140625" style="16" customWidth="1"/>
    <col min="8443" max="8443" width="7.21875" style="16" customWidth="1"/>
    <col min="8444" max="8444" width="5.5546875" style="16" customWidth="1"/>
    <col min="8445" max="8445" width="9" style="16" customWidth="1"/>
    <col min="8446" max="8447" width="9.77734375" style="16" customWidth="1"/>
    <col min="8448" max="8448" width="11.21875" style="16" customWidth="1"/>
    <col min="8449" max="8449" width="2.77734375" style="16" customWidth="1"/>
    <col min="8450" max="8450" width="3.5546875" style="16" customWidth="1"/>
    <col min="8451" max="8695" width="9.21875" style="16"/>
    <col min="8696" max="8696" width="8.77734375" style="16" customWidth="1"/>
    <col min="8697" max="8697" width="9.77734375" style="16" customWidth="1"/>
    <col min="8698" max="8698" width="14.44140625" style="16" customWidth="1"/>
    <col min="8699" max="8699" width="7.21875" style="16" customWidth="1"/>
    <col min="8700" max="8700" width="5.5546875" style="16" customWidth="1"/>
    <col min="8701" max="8701" width="9" style="16" customWidth="1"/>
    <col min="8702" max="8703" width="9.77734375" style="16" customWidth="1"/>
    <col min="8704" max="8704" width="11.21875" style="16" customWidth="1"/>
    <col min="8705" max="8705" width="2.77734375" style="16" customWidth="1"/>
    <col min="8706" max="8706" width="3.5546875" style="16" customWidth="1"/>
    <col min="8707" max="8951" width="9.21875" style="16"/>
    <col min="8952" max="8952" width="8.77734375" style="16" customWidth="1"/>
    <col min="8953" max="8953" width="9.77734375" style="16" customWidth="1"/>
    <col min="8954" max="8954" width="14.44140625" style="16" customWidth="1"/>
    <col min="8955" max="8955" width="7.21875" style="16" customWidth="1"/>
    <col min="8956" max="8956" width="5.5546875" style="16" customWidth="1"/>
    <col min="8957" max="8957" width="9" style="16" customWidth="1"/>
    <col min="8958" max="8959" width="9.77734375" style="16" customWidth="1"/>
    <col min="8960" max="8960" width="11.21875" style="16" customWidth="1"/>
    <col min="8961" max="8961" width="2.77734375" style="16" customWidth="1"/>
    <col min="8962" max="8962" width="3.5546875" style="16" customWidth="1"/>
    <col min="8963" max="9207" width="9.21875" style="16"/>
    <col min="9208" max="9208" width="8.77734375" style="16" customWidth="1"/>
    <col min="9209" max="9209" width="9.77734375" style="16" customWidth="1"/>
    <col min="9210" max="9210" width="14.44140625" style="16" customWidth="1"/>
    <col min="9211" max="9211" width="7.21875" style="16" customWidth="1"/>
    <col min="9212" max="9212" width="5.5546875" style="16" customWidth="1"/>
    <col min="9213" max="9213" width="9" style="16" customWidth="1"/>
    <col min="9214" max="9215" width="9.77734375" style="16" customWidth="1"/>
    <col min="9216" max="9216" width="11.21875" style="16" customWidth="1"/>
    <col min="9217" max="9217" width="2.77734375" style="16" customWidth="1"/>
    <col min="9218" max="9218" width="3.5546875" style="16" customWidth="1"/>
    <col min="9219" max="9463" width="9.21875" style="16"/>
    <col min="9464" max="9464" width="8.77734375" style="16" customWidth="1"/>
    <col min="9465" max="9465" width="9.77734375" style="16" customWidth="1"/>
    <col min="9466" max="9466" width="14.44140625" style="16" customWidth="1"/>
    <col min="9467" max="9467" width="7.21875" style="16" customWidth="1"/>
    <col min="9468" max="9468" width="5.5546875" style="16" customWidth="1"/>
    <col min="9469" max="9469" width="9" style="16" customWidth="1"/>
    <col min="9470" max="9471" width="9.77734375" style="16" customWidth="1"/>
    <col min="9472" max="9472" width="11.21875" style="16" customWidth="1"/>
    <col min="9473" max="9473" width="2.77734375" style="16" customWidth="1"/>
    <col min="9474" max="9474" width="3.5546875" style="16" customWidth="1"/>
    <col min="9475" max="9719" width="9.21875" style="16"/>
    <col min="9720" max="9720" width="8.77734375" style="16" customWidth="1"/>
    <col min="9721" max="9721" width="9.77734375" style="16" customWidth="1"/>
    <col min="9722" max="9722" width="14.44140625" style="16" customWidth="1"/>
    <col min="9723" max="9723" width="7.21875" style="16" customWidth="1"/>
    <col min="9724" max="9724" width="5.5546875" style="16" customWidth="1"/>
    <col min="9725" max="9725" width="9" style="16" customWidth="1"/>
    <col min="9726" max="9727" width="9.77734375" style="16" customWidth="1"/>
    <col min="9728" max="9728" width="11.21875" style="16" customWidth="1"/>
    <col min="9729" max="9729" width="2.77734375" style="16" customWidth="1"/>
    <col min="9730" max="9730" width="3.5546875" style="16" customWidth="1"/>
    <col min="9731" max="9975" width="9.21875" style="16"/>
    <col min="9976" max="9976" width="8.77734375" style="16" customWidth="1"/>
    <col min="9977" max="9977" width="9.77734375" style="16" customWidth="1"/>
    <col min="9978" max="9978" width="14.44140625" style="16" customWidth="1"/>
    <col min="9979" max="9979" width="7.21875" style="16" customWidth="1"/>
    <col min="9980" max="9980" width="5.5546875" style="16" customWidth="1"/>
    <col min="9981" max="9981" width="9" style="16" customWidth="1"/>
    <col min="9982" max="9983" width="9.77734375" style="16" customWidth="1"/>
    <col min="9984" max="9984" width="11.21875" style="16" customWidth="1"/>
    <col min="9985" max="9985" width="2.77734375" style="16" customWidth="1"/>
    <col min="9986" max="9986" width="3.5546875" style="16" customWidth="1"/>
    <col min="9987" max="10231" width="9.21875" style="16"/>
    <col min="10232" max="10232" width="8.77734375" style="16" customWidth="1"/>
    <col min="10233" max="10233" width="9.77734375" style="16" customWidth="1"/>
    <col min="10234" max="10234" width="14.44140625" style="16" customWidth="1"/>
    <col min="10235" max="10235" width="7.21875" style="16" customWidth="1"/>
    <col min="10236" max="10236" width="5.5546875" style="16" customWidth="1"/>
    <col min="10237" max="10237" width="9" style="16" customWidth="1"/>
    <col min="10238" max="10239" width="9.77734375" style="16" customWidth="1"/>
    <col min="10240" max="10240" width="11.21875" style="16" customWidth="1"/>
    <col min="10241" max="10241" width="2.77734375" style="16" customWidth="1"/>
    <col min="10242" max="10242" width="3.5546875" style="16" customWidth="1"/>
    <col min="10243" max="10487" width="9.21875" style="16"/>
    <col min="10488" max="10488" width="8.77734375" style="16" customWidth="1"/>
    <col min="10489" max="10489" width="9.77734375" style="16" customWidth="1"/>
    <col min="10490" max="10490" width="14.44140625" style="16" customWidth="1"/>
    <col min="10491" max="10491" width="7.21875" style="16" customWidth="1"/>
    <col min="10492" max="10492" width="5.5546875" style="16" customWidth="1"/>
    <col min="10493" max="10493" width="9" style="16" customWidth="1"/>
    <col min="10494" max="10495" width="9.77734375" style="16" customWidth="1"/>
    <col min="10496" max="10496" width="11.21875" style="16" customWidth="1"/>
    <col min="10497" max="10497" width="2.77734375" style="16" customWidth="1"/>
    <col min="10498" max="10498" width="3.5546875" style="16" customWidth="1"/>
    <col min="10499" max="10743" width="9.21875" style="16"/>
    <col min="10744" max="10744" width="8.77734375" style="16" customWidth="1"/>
    <col min="10745" max="10745" width="9.77734375" style="16" customWidth="1"/>
    <col min="10746" max="10746" width="14.44140625" style="16" customWidth="1"/>
    <col min="10747" max="10747" width="7.21875" style="16" customWidth="1"/>
    <col min="10748" max="10748" width="5.5546875" style="16" customWidth="1"/>
    <col min="10749" max="10749" width="9" style="16" customWidth="1"/>
    <col min="10750" max="10751" width="9.77734375" style="16" customWidth="1"/>
    <col min="10752" max="10752" width="11.21875" style="16" customWidth="1"/>
    <col min="10753" max="10753" width="2.77734375" style="16" customWidth="1"/>
    <col min="10754" max="10754" width="3.5546875" style="16" customWidth="1"/>
    <col min="10755" max="10999" width="9.21875" style="16"/>
    <col min="11000" max="11000" width="8.77734375" style="16" customWidth="1"/>
    <col min="11001" max="11001" width="9.77734375" style="16" customWidth="1"/>
    <col min="11002" max="11002" width="14.44140625" style="16" customWidth="1"/>
    <col min="11003" max="11003" width="7.21875" style="16" customWidth="1"/>
    <col min="11004" max="11004" width="5.5546875" style="16" customWidth="1"/>
    <col min="11005" max="11005" width="9" style="16" customWidth="1"/>
    <col min="11006" max="11007" width="9.77734375" style="16" customWidth="1"/>
    <col min="11008" max="11008" width="11.21875" style="16" customWidth="1"/>
    <col min="11009" max="11009" width="2.77734375" style="16" customWidth="1"/>
    <col min="11010" max="11010" width="3.5546875" style="16" customWidth="1"/>
    <col min="11011" max="11255" width="9.21875" style="16"/>
    <col min="11256" max="11256" width="8.77734375" style="16" customWidth="1"/>
    <col min="11257" max="11257" width="9.77734375" style="16" customWidth="1"/>
    <col min="11258" max="11258" width="14.44140625" style="16" customWidth="1"/>
    <col min="11259" max="11259" width="7.21875" style="16" customWidth="1"/>
    <col min="11260" max="11260" width="5.5546875" style="16" customWidth="1"/>
    <col min="11261" max="11261" width="9" style="16" customWidth="1"/>
    <col min="11262" max="11263" width="9.77734375" style="16" customWidth="1"/>
    <col min="11264" max="11264" width="11.21875" style="16" customWidth="1"/>
    <col min="11265" max="11265" width="2.77734375" style="16" customWidth="1"/>
    <col min="11266" max="11266" width="3.5546875" style="16" customWidth="1"/>
    <col min="11267" max="11511" width="9.21875" style="16"/>
    <col min="11512" max="11512" width="8.77734375" style="16" customWidth="1"/>
    <col min="11513" max="11513" width="9.77734375" style="16" customWidth="1"/>
    <col min="11514" max="11514" width="14.44140625" style="16" customWidth="1"/>
    <col min="11515" max="11515" width="7.21875" style="16" customWidth="1"/>
    <col min="11516" max="11516" width="5.5546875" style="16" customWidth="1"/>
    <col min="11517" max="11517" width="9" style="16" customWidth="1"/>
    <col min="11518" max="11519" width="9.77734375" style="16" customWidth="1"/>
    <col min="11520" max="11520" width="11.21875" style="16" customWidth="1"/>
    <col min="11521" max="11521" width="2.77734375" style="16" customWidth="1"/>
    <col min="11522" max="11522" width="3.5546875" style="16" customWidth="1"/>
    <col min="11523" max="11767" width="9.21875" style="16"/>
    <col min="11768" max="11768" width="8.77734375" style="16" customWidth="1"/>
    <col min="11769" max="11769" width="9.77734375" style="16" customWidth="1"/>
    <col min="11770" max="11770" width="14.44140625" style="16" customWidth="1"/>
    <col min="11771" max="11771" width="7.21875" style="16" customWidth="1"/>
    <col min="11772" max="11772" width="5.5546875" style="16" customWidth="1"/>
    <col min="11773" max="11773" width="9" style="16" customWidth="1"/>
    <col min="11774" max="11775" width="9.77734375" style="16" customWidth="1"/>
    <col min="11776" max="11776" width="11.21875" style="16" customWidth="1"/>
    <col min="11777" max="11777" width="2.77734375" style="16" customWidth="1"/>
    <col min="11778" max="11778" width="3.5546875" style="16" customWidth="1"/>
    <col min="11779" max="12023" width="9.21875" style="16"/>
    <col min="12024" max="12024" width="8.77734375" style="16" customWidth="1"/>
    <col min="12025" max="12025" width="9.77734375" style="16" customWidth="1"/>
    <col min="12026" max="12026" width="14.44140625" style="16" customWidth="1"/>
    <col min="12027" max="12027" width="7.21875" style="16" customWidth="1"/>
    <col min="12028" max="12028" width="5.5546875" style="16" customWidth="1"/>
    <col min="12029" max="12029" width="9" style="16" customWidth="1"/>
    <col min="12030" max="12031" width="9.77734375" style="16" customWidth="1"/>
    <col min="12032" max="12032" width="11.21875" style="16" customWidth="1"/>
    <col min="12033" max="12033" width="2.77734375" style="16" customWidth="1"/>
    <col min="12034" max="12034" width="3.5546875" style="16" customWidth="1"/>
    <col min="12035" max="12279" width="9.21875" style="16"/>
    <col min="12280" max="12280" width="8.77734375" style="16" customWidth="1"/>
    <col min="12281" max="12281" width="9.77734375" style="16" customWidth="1"/>
    <col min="12282" max="12282" width="14.44140625" style="16" customWidth="1"/>
    <col min="12283" max="12283" width="7.21875" style="16" customWidth="1"/>
    <col min="12284" max="12284" width="5.5546875" style="16" customWidth="1"/>
    <col min="12285" max="12285" width="9" style="16" customWidth="1"/>
    <col min="12286" max="12287" width="9.77734375" style="16" customWidth="1"/>
    <col min="12288" max="12288" width="11.21875" style="16" customWidth="1"/>
    <col min="12289" max="12289" width="2.77734375" style="16" customWidth="1"/>
    <col min="12290" max="12290" width="3.5546875" style="16" customWidth="1"/>
    <col min="12291" max="12535" width="9.21875" style="16"/>
    <col min="12536" max="12536" width="8.77734375" style="16" customWidth="1"/>
    <col min="12537" max="12537" width="9.77734375" style="16" customWidth="1"/>
    <col min="12538" max="12538" width="14.44140625" style="16" customWidth="1"/>
    <col min="12539" max="12539" width="7.21875" style="16" customWidth="1"/>
    <col min="12540" max="12540" width="5.5546875" style="16" customWidth="1"/>
    <col min="12541" max="12541" width="9" style="16" customWidth="1"/>
    <col min="12542" max="12543" width="9.77734375" style="16" customWidth="1"/>
    <col min="12544" max="12544" width="11.21875" style="16" customWidth="1"/>
    <col min="12545" max="12545" width="2.77734375" style="16" customWidth="1"/>
    <col min="12546" max="12546" width="3.5546875" style="16" customWidth="1"/>
    <col min="12547" max="12791" width="9.21875" style="16"/>
    <col min="12792" max="12792" width="8.77734375" style="16" customWidth="1"/>
    <col min="12793" max="12793" width="9.77734375" style="16" customWidth="1"/>
    <col min="12794" max="12794" width="14.44140625" style="16" customWidth="1"/>
    <col min="12795" max="12795" width="7.21875" style="16" customWidth="1"/>
    <col min="12796" max="12796" width="5.5546875" style="16" customWidth="1"/>
    <col min="12797" max="12797" width="9" style="16" customWidth="1"/>
    <col min="12798" max="12799" width="9.77734375" style="16" customWidth="1"/>
    <col min="12800" max="12800" width="11.21875" style="16" customWidth="1"/>
    <col min="12801" max="12801" width="2.77734375" style="16" customWidth="1"/>
    <col min="12802" max="12802" width="3.5546875" style="16" customWidth="1"/>
    <col min="12803" max="13047" width="9.21875" style="16"/>
    <col min="13048" max="13048" width="8.77734375" style="16" customWidth="1"/>
    <col min="13049" max="13049" width="9.77734375" style="16" customWidth="1"/>
    <col min="13050" max="13050" width="14.44140625" style="16" customWidth="1"/>
    <col min="13051" max="13051" width="7.21875" style="16" customWidth="1"/>
    <col min="13052" max="13052" width="5.5546875" style="16" customWidth="1"/>
    <col min="13053" max="13053" width="9" style="16" customWidth="1"/>
    <col min="13054" max="13055" width="9.77734375" style="16" customWidth="1"/>
    <col min="13056" max="13056" width="11.21875" style="16" customWidth="1"/>
    <col min="13057" max="13057" width="2.77734375" style="16" customWidth="1"/>
    <col min="13058" max="13058" width="3.5546875" style="16" customWidth="1"/>
    <col min="13059" max="13303" width="9.21875" style="16"/>
    <col min="13304" max="13304" width="8.77734375" style="16" customWidth="1"/>
    <col min="13305" max="13305" width="9.77734375" style="16" customWidth="1"/>
    <col min="13306" max="13306" width="14.44140625" style="16" customWidth="1"/>
    <col min="13307" max="13307" width="7.21875" style="16" customWidth="1"/>
    <col min="13308" max="13308" width="5.5546875" style="16" customWidth="1"/>
    <col min="13309" max="13309" width="9" style="16" customWidth="1"/>
    <col min="13310" max="13311" width="9.77734375" style="16" customWidth="1"/>
    <col min="13312" max="13312" width="11.21875" style="16" customWidth="1"/>
    <col min="13313" max="13313" width="2.77734375" style="16" customWidth="1"/>
    <col min="13314" max="13314" width="3.5546875" style="16" customWidth="1"/>
    <col min="13315" max="13559" width="9.21875" style="16"/>
    <col min="13560" max="13560" width="8.77734375" style="16" customWidth="1"/>
    <col min="13561" max="13561" width="9.77734375" style="16" customWidth="1"/>
    <col min="13562" max="13562" width="14.44140625" style="16" customWidth="1"/>
    <col min="13563" max="13563" width="7.21875" style="16" customWidth="1"/>
    <col min="13564" max="13564" width="5.5546875" style="16" customWidth="1"/>
    <col min="13565" max="13565" width="9" style="16" customWidth="1"/>
    <col min="13566" max="13567" width="9.77734375" style="16" customWidth="1"/>
    <col min="13568" max="13568" width="11.21875" style="16" customWidth="1"/>
    <col min="13569" max="13569" width="2.77734375" style="16" customWidth="1"/>
    <col min="13570" max="13570" width="3.5546875" style="16" customWidth="1"/>
    <col min="13571" max="13815" width="9.21875" style="16"/>
    <col min="13816" max="13816" width="8.77734375" style="16" customWidth="1"/>
    <col min="13817" max="13817" width="9.77734375" style="16" customWidth="1"/>
    <col min="13818" max="13818" width="14.44140625" style="16" customWidth="1"/>
    <col min="13819" max="13819" width="7.21875" style="16" customWidth="1"/>
    <col min="13820" max="13820" width="5.5546875" style="16" customWidth="1"/>
    <col min="13821" max="13821" width="9" style="16" customWidth="1"/>
    <col min="13822" max="13823" width="9.77734375" style="16" customWidth="1"/>
    <col min="13824" max="13824" width="11.21875" style="16" customWidth="1"/>
    <col min="13825" max="13825" width="2.77734375" style="16" customWidth="1"/>
    <col min="13826" max="13826" width="3.5546875" style="16" customWidth="1"/>
    <col min="13827" max="14071" width="9.21875" style="16"/>
    <col min="14072" max="14072" width="8.77734375" style="16" customWidth="1"/>
    <col min="14073" max="14073" width="9.77734375" style="16" customWidth="1"/>
    <col min="14074" max="14074" width="14.44140625" style="16" customWidth="1"/>
    <col min="14075" max="14075" width="7.21875" style="16" customWidth="1"/>
    <col min="14076" max="14076" width="5.5546875" style="16" customWidth="1"/>
    <col min="14077" max="14077" width="9" style="16" customWidth="1"/>
    <col min="14078" max="14079" width="9.77734375" style="16" customWidth="1"/>
    <col min="14080" max="14080" width="11.21875" style="16" customWidth="1"/>
    <col min="14081" max="14081" width="2.77734375" style="16" customWidth="1"/>
    <col min="14082" max="14082" width="3.5546875" style="16" customWidth="1"/>
    <col min="14083" max="14327" width="9.21875" style="16"/>
    <col min="14328" max="14328" width="8.77734375" style="16" customWidth="1"/>
    <col min="14329" max="14329" width="9.77734375" style="16" customWidth="1"/>
    <col min="14330" max="14330" width="14.44140625" style="16" customWidth="1"/>
    <col min="14331" max="14331" width="7.21875" style="16" customWidth="1"/>
    <col min="14332" max="14332" width="5.5546875" style="16" customWidth="1"/>
    <col min="14333" max="14333" width="9" style="16" customWidth="1"/>
    <col min="14334" max="14335" width="9.77734375" style="16" customWidth="1"/>
    <col min="14336" max="14336" width="11.21875" style="16" customWidth="1"/>
    <col min="14337" max="14337" width="2.77734375" style="16" customWidth="1"/>
    <col min="14338" max="14338" width="3.5546875" style="16" customWidth="1"/>
    <col min="14339" max="14583" width="9.21875" style="16"/>
    <col min="14584" max="14584" width="8.77734375" style="16" customWidth="1"/>
    <col min="14585" max="14585" width="9.77734375" style="16" customWidth="1"/>
    <col min="14586" max="14586" width="14.44140625" style="16" customWidth="1"/>
    <col min="14587" max="14587" width="7.21875" style="16" customWidth="1"/>
    <col min="14588" max="14588" width="5.5546875" style="16" customWidth="1"/>
    <col min="14589" max="14589" width="9" style="16" customWidth="1"/>
    <col min="14590" max="14591" width="9.77734375" style="16" customWidth="1"/>
    <col min="14592" max="14592" width="11.21875" style="16" customWidth="1"/>
    <col min="14593" max="14593" width="2.77734375" style="16" customWidth="1"/>
    <col min="14594" max="14594" width="3.5546875" style="16" customWidth="1"/>
    <col min="14595" max="14839" width="9.21875" style="16"/>
    <col min="14840" max="14840" width="8.77734375" style="16" customWidth="1"/>
    <col min="14841" max="14841" width="9.77734375" style="16" customWidth="1"/>
    <col min="14842" max="14842" width="14.44140625" style="16" customWidth="1"/>
    <col min="14843" max="14843" width="7.21875" style="16" customWidth="1"/>
    <col min="14844" max="14844" width="5.5546875" style="16" customWidth="1"/>
    <col min="14845" max="14845" width="9" style="16" customWidth="1"/>
    <col min="14846" max="14847" width="9.77734375" style="16" customWidth="1"/>
    <col min="14848" max="14848" width="11.21875" style="16" customWidth="1"/>
    <col min="14849" max="14849" width="2.77734375" style="16" customWidth="1"/>
    <col min="14850" max="14850" width="3.5546875" style="16" customWidth="1"/>
    <col min="14851" max="15095" width="9.21875" style="16"/>
    <col min="15096" max="15096" width="8.77734375" style="16" customWidth="1"/>
    <col min="15097" max="15097" width="9.77734375" style="16" customWidth="1"/>
    <col min="15098" max="15098" width="14.44140625" style="16" customWidth="1"/>
    <col min="15099" max="15099" width="7.21875" style="16" customWidth="1"/>
    <col min="15100" max="15100" width="5.5546875" style="16" customWidth="1"/>
    <col min="15101" max="15101" width="9" style="16" customWidth="1"/>
    <col min="15102" max="15103" width="9.77734375" style="16" customWidth="1"/>
    <col min="15104" max="15104" width="11.21875" style="16" customWidth="1"/>
    <col min="15105" max="15105" width="2.77734375" style="16" customWidth="1"/>
    <col min="15106" max="15106" width="3.5546875" style="16" customWidth="1"/>
    <col min="15107" max="15351" width="9.21875" style="16"/>
    <col min="15352" max="15352" width="8.77734375" style="16" customWidth="1"/>
    <col min="15353" max="15353" width="9.77734375" style="16" customWidth="1"/>
    <col min="15354" max="15354" width="14.44140625" style="16" customWidth="1"/>
    <col min="15355" max="15355" width="7.21875" style="16" customWidth="1"/>
    <col min="15356" max="15356" width="5.5546875" style="16" customWidth="1"/>
    <col min="15357" max="15357" width="9" style="16" customWidth="1"/>
    <col min="15358" max="15359" width="9.77734375" style="16" customWidth="1"/>
    <col min="15360" max="15360" width="11.21875" style="16" customWidth="1"/>
    <col min="15361" max="15361" width="2.77734375" style="16" customWidth="1"/>
    <col min="15362" max="15362" width="3.5546875" style="16" customWidth="1"/>
    <col min="15363" max="15607" width="9.21875" style="16"/>
    <col min="15608" max="15608" width="8.77734375" style="16" customWidth="1"/>
    <col min="15609" max="15609" width="9.77734375" style="16" customWidth="1"/>
    <col min="15610" max="15610" width="14.44140625" style="16" customWidth="1"/>
    <col min="15611" max="15611" width="7.21875" style="16" customWidth="1"/>
    <col min="15612" max="15612" width="5.5546875" style="16" customWidth="1"/>
    <col min="15613" max="15613" width="9" style="16" customWidth="1"/>
    <col min="15614" max="15615" width="9.77734375" style="16" customWidth="1"/>
    <col min="15616" max="15616" width="11.21875" style="16" customWidth="1"/>
    <col min="15617" max="15617" width="2.77734375" style="16" customWidth="1"/>
    <col min="15618" max="15618" width="3.5546875" style="16" customWidth="1"/>
    <col min="15619" max="15863" width="9.21875" style="16"/>
    <col min="15864" max="15864" width="8.77734375" style="16" customWidth="1"/>
    <col min="15865" max="15865" width="9.77734375" style="16" customWidth="1"/>
    <col min="15866" max="15866" width="14.44140625" style="16" customWidth="1"/>
    <col min="15867" max="15867" width="7.21875" style="16" customWidth="1"/>
    <col min="15868" max="15868" width="5.5546875" style="16" customWidth="1"/>
    <col min="15869" max="15869" width="9" style="16" customWidth="1"/>
    <col min="15870" max="15871" width="9.77734375" style="16" customWidth="1"/>
    <col min="15872" max="15872" width="11.21875" style="16" customWidth="1"/>
    <col min="15873" max="15873" width="2.77734375" style="16" customWidth="1"/>
    <col min="15874" max="15874" width="3.5546875" style="16" customWidth="1"/>
    <col min="15875" max="16119" width="9.21875" style="16"/>
    <col min="16120" max="16120" width="8.77734375" style="16" customWidth="1"/>
    <col min="16121" max="16121" width="9.77734375" style="16" customWidth="1"/>
    <col min="16122" max="16122" width="14.44140625" style="16" customWidth="1"/>
    <col min="16123" max="16123" width="7.21875" style="16" customWidth="1"/>
    <col min="16124" max="16124" width="5.5546875" style="16" customWidth="1"/>
    <col min="16125" max="16125" width="9" style="16" customWidth="1"/>
    <col min="16126" max="16127" width="9.77734375" style="16" customWidth="1"/>
    <col min="16128" max="16128" width="11.21875" style="16" customWidth="1"/>
    <col min="16129" max="16129" width="2.77734375" style="16" customWidth="1"/>
    <col min="16130" max="16130" width="3.5546875" style="16" customWidth="1"/>
    <col min="16131" max="16384" width="9.21875" style="16"/>
  </cols>
  <sheetData>
    <row r="1" spans="1:26" ht="46.5" customHeight="1" x14ac:dyDescent="0.3">
      <c r="A1" s="183" t="s">
        <v>158</v>
      </c>
      <c r="B1" s="183"/>
      <c r="C1" s="183"/>
      <c r="D1" s="183"/>
      <c r="E1" s="183"/>
      <c r="F1" s="183"/>
      <c r="G1" s="183"/>
      <c r="H1" s="183"/>
    </row>
    <row r="2" spans="1:26" ht="16.5" customHeight="1" x14ac:dyDescent="0.3">
      <c r="A2" s="159" t="s">
        <v>0</v>
      </c>
      <c r="B2" s="159"/>
      <c r="C2" s="159"/>
      <c r="D2" s="159"/>
      <c r="E2" s="159"/>
      <c r="F2" s="159"/>
      <c r="G2" s="159"/>
      <c r="H2" s="159"/>
    </row>
    <row r="3" spans="1:26" x14ac:dyDescent="0.3">
      <c r="A3" s="148" t="s">
        <v>1</v>
      </c>
      <c r="B3" s="148"/>
      <c r="C3" s="148"/>
      <c r="D3" s="148"/>
      <c r="E3" s="148" t="str">
        <f ca="1">TEXT(TODAY(),"DD/MM/YYYY")</f>
        <v>09/09/2025</v>
      </c>
      <c r="F3" s="148"/>
      <c r="G3" s="148"/>
      <c r="H3" s="148"/>
      <c r="K3" s="46" t="s">
        <v>229</v>
      </c>
      <c r="L3" s="44" t="s">
        <v>227</v>
      </c>
      <c r="M3" s="44" t="s">
        <v>232</v>
      </c>
      <c r="N3" s="44" t="s">
        <v>230</v>
      </c>
      <c r="O3" s="44" t="s">
        <v>348</v>
      </c>
      <c r="P3" s="44" t="s">
        <v>233</v>
      </c>
    </row>
    <row r="4" spans="1:26" ht="15" customHeight="1" x14ac:dyDescent="0.3">
      <c r="A4" s="148" t="s">
        <v>226</v>
      </c>
      <c r="B4" s="148"/>
      <c r="C4" s="148"/>
      <c r="D4" s="148"/>
      <c r="E4" s="148" t="s">
        <v>227</v>
      </c>
      <c r="F4" s="148"/>
      <c r="G4" s="148"/>
      <c r="H4" s="148"/>
      <c r="K4" s="43" t="s">
        <v>228</v>
      </c>
      <c r="L4" s="44" t="s">
        <v>164</v>
      </c>
      <c r="M4" s="44" t="s">
        <v>237</v>
      </c>
      <c r="N4" s="44" t="s">
        <v>239</v>
      </c>
      <c r="O4" s="44" t="s">
        <v>334</v>
      </c>
      <c r="P4" s="44"/>
    </row>
    <row r="5" spans="1:26" ht="15" customHeight="1" x14ac:dyDescent="0.3">
      <c r="A5" s="148" t="s">
        <v>2</v>
      </c>
      <c r="B5" s="148"/>
      <c r="C5" s="148"/>
      <c r="D5" s="148"/>
      <c r="E5" s="148" t="s">
        <v>234</v>
      </c>
      <c r="F5" s="148"/>
      <c r="G5" s="148"/>
      <c r="H5" s="148"/>
      <c r="K5" s="43"/>
      <c r="L5" s="44" t="s">
        <v>234</v>
      </c>
      <c r="M5" s="44" t="s">
        <v>238</v>
      </c>
      <c r="N5" s="44" t="s">
        <v>240</v>
      </c>
      <c r="O5" s="44" t="s">
        <v>335</v>
      </c>
      <c r="P5" s="44"/>
    </row>
    <row r="6" spans="1:26" x14ac:dyDescent="0.3">
      <c r="A6" s="148" t="s">
        <v>3</v>
      </c>
      <c r="B6" s="148"/>
      <c r="C6" s="148"/>
      <c r="D6" s="148"/>
      <c r="E6" s="184">
        <v>45908</v>
      </c>
      <c r="F6" s="148"/>
      <c r="G6" s="148"/>
      <c r="H6" s="148"/>
      <c r="K6" s="43"/>
      <c r="L6" s="44" t="s">
        <v>235</v>
      </c>
      <c r="M6" s="44" t="s">
        <v>346</v>
      </c>
      <c r="N6" s="44"/>
      <c r="O6" s="44" t="s">
        <v>336</v>
      </c>
      <c r="P6" s="44"/>
    </row>
    <row r="7" spans="1:26" ht="16.5" customHeight="1" x14ac:dyDescent="0.3">
      <c r="A7" s="148" t="s">
        <v>4</v>
      </c>
      <c r="B7" s="148"/>
      <c r="C7" s="148"/>
      <c r="D7" s="148"/>
      <c r="E7" s="148" t="s">
        <v>414</v>
      </c>
      <c r="F7" s="148"/>
      <c r="G7" s="148"/>
      <c r="H7" s="148"/>
      <c r="K7" s="43"/>
      <c r="L7" s="44" t="s">
        <v>236</v>
      </c>
      <c r="M7" s="44"/>
      <c r="N7" s="44"/>
      <c r="O7" s="44" t="s">
        <v>336</v>
      </c>
      <c r="P7" s="44"/>
    </row>
    <row r="8" spans="1:26" ht="15" customHeight="1" x14ac:dyDescent="0.3">
      <c r="A8" s="148" t="s">
        <v>5</v>
      </c>
      <c r="B8" s="148"/>
      <c r="C8" s="148"/>
      <c r="D8" s="148"/>
      <c r="E8" s="148" t="s">
        <v>369</v>
      </c>
      <c r="F8" s="148"/>
      <c r="G8" s="148"/>
      <c r="H8" s="148"/>
      <c r="K8" s="43"/>
      <c r="L8" s="44"/>
      <c r="M8" s="44"/>
      <c r="N8" s="44"/>
      <c r="O8" s="44" t="s">
        <v>337</v>
      </c>
      <c r="P8" s="44"/>
    </row>
    <row r="9" spans="1:26" x14ac:dyDescent="0.3">
      <c r="A9" s="148" t="s">
        <v>6</v>
      </c>
      <c r="B9" s="148"/>
      <c r="C9" s="148"/>
      <c r="D9" s="148"/>
      <c r="E9" s="100" t="s">
        <v>398</v>
      </c>
      <c r="F9" s="101"/>
      <c r="G9" s="101"/>
      <c r="H9" s="101"/>
      <c r="K9" s="43"/>
      <c r="L9" s="44"/>
      <c r="M9" s="44"/>
      <c r="N9" s="44"/>
      <c r="O9" s="44" t="s">
        <v>338</v>
      </c>
      <c r="P9" s="44"/>
    </row>
    <row r="10" spans="1:26" x14ac:dyDescent="0.3">
      <c r="A10" s="148" t="s">
        <v>161</v>
      </c>
      <c r="B10" s="148"/>
      <c r="C10" s="148"/>
      <c r="D10" s="148"/>
      <c r="E10" s="148" t="s">
        <v>399</v>
      </c>
      <c r="F10" s="148"/>
      <c r="G10" s="148"/>
      <c r="H10" s="148"/>
      <c r="K10" s="43"/>
      <c r="L10" s="44"/>
      <c r="M10" s="44"/>
      <c r="N10" s="44"/>
      <c r="O10" s="44" t="s">
        <v>339</v>
      </c>
      <c r="P10" s="44"/>
    </row>
    <row r="11" spans="1:26" x14ac:dyDescent="0.3">
      <c r="A11" s="148" t="s">
        <v>162</v>
      </c>
      <c r="B11" s="148"/>
      <c r="C11" s="148"/>
      <c r="D11" s="148"/>
      <c r="E11" s="148" t="s">
        <v>399</v>
      </c>
      <c r="F11" s="148"/>
      <c r="G11" s="148"/>
      <c r="H11" s="148"/>
      <c r="O11" s="44" t="s">
        <v>340</v>
      </c>
    </row>
    <row r="12" spans="1:26" ht="45.75" customHeight="1" x14ac:dyDescent="0.3">
      <c r="A12" s="186" t="s">
        <v>7</v>
      </c>
      <c r="B12" s="187"/>
      <c r="C12" s="187"/>
      <c r="D12" s="188"/>
      <c r="E12" s="192" t="s">
        <v>419</v>
      </c>
      <c r="F12" s="192" t="s">
        <v>413</v>
      </c>
      <c r="G12" s="88" t="s">
        <v>420</v>
      </c>
      <c r="H12" s="88" t="s">
        <v>424</v>
      </c>
    </row>
    <row r="13" spans="1:26" ht="45.75" customHeight="1" x14ac:dyDescent="0.3">
      <c r="A13" s="189"/>
      <c r="B13" s="190"/>
      <c r="C13" s="190"/>
      <c r="D13" s="191"/>
      <c r="E13" s="193"/>
      <c r="F13" s="193"/>
      <c r="G13" s="88" t="s">
        <v>423</v>
      </c>
      <c r="H13" s="88" t="s">
        <v>425</v>
      </c>
    </row>
    <row r="14" spans="1:26" x14ac:dyDescent="0.3">
      <c r="A14" s="148" t="s">
        <v>165</v>
      </c>
      <c r="B14" s="148"/>
      <c r="C14" s="148"/>
      <c r="D14" s="148"/>
      <c r="E14" s="148" t="s">
        <v>28</v>
      </c>
      <c r="F14" s="148"/>
      <c r="G14" s="148"/>
      <c r="H14" s="148"/>
      <c r="S14" s="44" t="s">
        <v>173</v>
      </c>
      <c r="T14" s="44" t="s">
        <v>182</v>
      </c>
      <c r="U14" s="44" t="s">
        <v>166</v>
      </c>
      <c r="V14" s="44" t="s">
        <v>187</v>
      </c>
      <c r="W14" s="44" t="s">
        <v>205</v>
      </c>
      <c r="X14"/>
      <c r="Y14" t="s">
        <v>187</v>
      </c>
      <c r="Z14" t="e">
        <f ca="1">OFFSET($S$14,1,MATCH($G21,$S$14:$W$14,0)-1,15,1)</f>
        <v>#VALUE!</v>
      </c>
    </row>
    <row r="15" spans="1:26" x14ac:dyDescent="0.3">
      <c r="A15" s="148" t="s">
        <v>272</v>
      </c>
      <c r="B15" s="148"/>
      <c r="C15" s="148"/>
      <c r="D15" s="148"/>
      <c r="E15" s="185" t="s">
        <v>400</v>
      </c>
      <c r="F15" s="185"/>
      <c r="G15" s="185"/>
      <c r="H15" s="185"/>
      <c r="S15" s="44" t="s">
        <v>173</v>
      </c>
      <c r="T15" s="44" t="s">
        <v>180</v>
      </c>
      <c r="U15" s="44" t="s">
        <v>202</v>
      </c>
      <c r="V15" s="44" t="s">
        <v>188</v>
      </c>
      <c r="W15" s="44" t="s">
        <v>206</v>
      </c>
      <c r="X15"/>
      <c r="Y15"/>
      <c r="Z15"/>
    </row>
    <row r="16" spans="1:26" ht="80.25" customHeight="1" x14ac:dyDescent="0.3">
      <c r="A16" s="148" t="s">
        <v>8</v>
      </c>
      <c r="B16" s="148"/>
      <c r="C16" s="148"/>
      <c r="D16" s="148"/>
      <c r="E16" s="185" t="s">
        <v>401</v>
      </c>
      <c r="F16" s="148"/>
      <c r="G16" s="148"/>
      <c r="H16" s="148"/>
      <c r="I16" s="140" t="e">
        <f ca="1">OFFSET($D$5,1,MATCH($J14,$D$5:$H$5,0)-1,15,1)</f>
        <v>#N/A</v>
      </c>
      <c r="J16" s="141"/>
      <c r="K16" s="141"/>
      <c r="L16" s="141"/>
      <c r="M16" s="141"/>
      <c r="N16" s="141"/>
      <c r="O16" s="141"/>
      <c r="P16" s="141"/>
      <c r="S16" s="44" t="s">
        <v>174</v>
      </c>
      <c r="T16" s="44" t="s">
        <v>181</v>
      </c>
      <c r="U16" s="44" t="s">
        <v>203</v>
      </c>
      <c r="V16" s="44" t="s">
        <v>189</v>
      </c>
      <c r="W16" s="44" t="s">
        <v>219</v>
      </c>
      <c r="X16"/>
      <c r="Y16"/>
      <c r="Z16"/>
    </row>
    <row r="17" spans="1:26" ht="48.75" customHeight="1" x14ac:dyDescent="0.3">
      <c r="A17" s="185" t="s">
        <v>9</v>
      </c>
      <c r="B17" s="185"/>
      <c r="C17" s="185" t="str">
        <f>CONCATENATE((IF(OR(E9="",E9="NA"),"",E9)),", ",(IF(OR(A18="",A18="NA"),"",A18)),".",(IF(OR(C18="",C18="NA"),"",C18)),", near ",(IF(OR(C23="",C23="NA"),"",C23)),", ",(IF(OR(C20="",C20="NA"),"",C20)),", ",(IF(OR(C19="",C19="NA"),"",C19)),", ",(IF(OR(G20="",G20="NA"),"",G20)),", ",(IF(OR(C21="",C21="NA"),"",C21)),", ",(IF(OR(C22="",C22="NA"),"",C22)),", ",(IF(OR(G21="",G21="NA"),"",G21))," - ",(IF(OR(G22="",G22="NA"),"",G22)),".")</f>
        <v>Opulis (Wing A to E), Survey No.20/2A, 20/2B, 20/2C, 20/2D, 20/2E, 20/2F, 21/0, 22/0 &amp; 76/2, near Lodha Signet, Central Ave Road, Kole, Kole, Dombivli East, Kalyan, Thane - 421204.</v>
      </c>
      <c r="D17" s="185"/>
      <c r="E17" s="185"/>
      <c r="F17" s="185"/>
      <c r="G17" s="185"/>
      <c r="H17" s="185"/>
      <c r="S17" s="44" t="s">
        <v>175</v>
      </c>
      <c r="T17" s="44" t="s">
        <v>183</v>
      </c>
      <c r="U17" s="44" t="s">
        <v>204</v>
      </c>
      <c r="V17" s="44" t="s">
        <v>190</v>
      </c>
      <c r="W17" s="44" t="s">
        <v>207</v>
      </c>
      <c r="X17"/>
      <c r="Y17"/>
      <c r="Z17"/>
    </row>
    <row r="18" spans="1:26" x14ac:dyDescent="0.3">
      <c r="A18" s="185" t="s">
        <v>370</v>
      </c>
      <c r="B18" s="185"/>
      <c r="C18" s="185" t="s">
        <v>402</v>
      </c>
      <c r="D18" s="185"/>
      <c r="E18" s="185"/>
      <c r="F18" s="185"/>
      <c r="G18" s="185"/>
      <c r="H18" s="185"/>
      <c r="S18" s="44" t="s">
        <v>176</v>
      </c>
      <c r="T18" s="44" t="s">
        <v>184</v>
      </c>
      <c r="U18" s="44" t="s">
        <v>166</v>
      </c>
      <c r="V18" s="44" t="s">
        <v>191</v>
      </c>
      <c r="W18" s="44" t="s">
        <v>208</v>
      </c>
      <c r="X18"/>
      <c r="Y18"/>
      <c r="Z18"/>
    </row>
    <row r="19" spans="1:26" ht="15.75" customHeight="1" x14ac:dyDescent="0.3">
      <c r="A19" s="185" t="s">
        <v>156</v>
      </c>
      <c r="B19" s="185"/>
      <c r="C19" s="185" t="s">
        <v>411</v>
      </c>
      <c r="D19" s="185"/>
      <c r="E19" s="185"/>
      <c r="F19" s="185"/>
      <c r="G19" s="185"/>
      <c r="H19" s="185"/>
      <c r="S19" s="44" t="s">
        <v>177</v>
      </c>
      <c r="T19" s="44" t="s">
        <v>182</v>
      </c>
      <c r="U19" s="44"/>
      <c r="V19" s="44" t="s">
        <v>192</v>
      </c>
      <c r="W19" s="44" t="s">
        <v>209</v>
      </c>
      <c r="X19"/>
      <c r="Y19"/>
      <c r="Z19"/>
    </row>
    <row r="20" spans="1:26" ht="15.75" customHeight="1" x14ac:dyDescent="0.3">
      <c r="A20" s="147" t="s">
        <v>10</v>
      </c>
      <c r="B20" s="147"/>
      <c r="C20" s="148" t="s">
        <v>410</v>
      </c>
      <c r="D20" s="148"/>
      <c r="E20" s="185" t="s">
        <v>69</v>
      </c>
      <c r="F20" s="185"/>
      <c r="G20" s="185" t="s">
        <v>411</v>
      </c>
      <c r="H20" s="185"/>
      <c r="S20" s="44" t="s">
        <v>178</v>
      </c>
      <c r="T20" s="44" t="s">
        <v>185</v>
      </c>
      <c r="U20" s="44"/>
      <c r="V20" s="44" t="s">
        <v>193</v>
      </c>
      <c r="W20" s="44" t="s">
        <v>210</v>
      </c>
      <c r="X20"/>
      <c r="Y20"/>
      <c r="Z20"/>
    </row>
    <row r="21" spans="1:26" x14ac:dyDescent="0.3">
      <c r="A21" s="139" t="s">
        <v>12</v>
      </c>
      <c r="B21" s="139"/>
      <c r="C21" s="185" t="s">
        <v>409</v>
      </c>
      <c r="D21" s="185"/>
      <c r="E21" s="185" t="s">
        <v>11</v>
      </c>
      <c r="F21" s="185"/>
      <c r="G21" s="194" t="s">
        <v>173</v>
      </c>
      <c r="H21" s="194"/>
      <c r="S21" s="44" t="s">
        <v>179</v>
      </c>
      <c r="T21" s="44" t="s">
        <v>186</v>
      </c>
      <c r="U21" s="44"/>
      <c r="V21" s="44" t="s">
        <v>194</v>
      </c>
      <c r="W21" s="44" t="s">
        <v>211</v>
      </c>
      <c r="X21"/>
      <c r="Y21"/>
      <c r="Z21"/>
    </row>
    <row r="22" spans="1:26" x14ac:dyDescent="0.3">
      <c r="A22" s="139" t="s">
        <v>70</v>
      </c>
      <c r="B22" s="139"/>
      <c r="C22" s="185" t="s">
        <v>175</v>
      </c>
      <c r="D22" s="185"/>
      <c r="E22" s="185" t="s">
        <v>13</v>
      </c>
      <c r="F22" s="185"/>
      <c r="G22" s="185">
        <v>421204</v>
      </c>
      <c r="H22" s="185"/>
      <c r="S22" s="44"/>
      <c r="T22" s="44"/>
      <c r="U22" s="44"/>
      <c r="V22" s="44" t="s">
        <v>195</v>
      </c>
      <c r="W22" s="44" t="s">
        <v>212</v>
      </c>
      <c r="X22"/>
      <c r="Y22"/>
      <c r="Z22"/>
    </row>
    <row r="23" spans="1:26" ht="32.25" customHeight="1" x14ac:dyDescent="0.3">
      <c r="A23" s="139" t="s">
        <v>115</v>
      </c>
      <c r="B23" s="139"/>
      <c r="C23" s="185" t="s">
        <v>404</v>
      </c>
      <c r="D23" s="185"/>
      <c r="E23" s="147" t="s">
        <v>14</v>
      </c>
      <c r="F23" s="147"/>
      <c r="G23" s="185" t="s">
        <v>408</v>
      </c>
      <c r="H23" s="185"/>
      <c r="S23" s="44"/>
      <c r="T23" s="44"/>
      <c r="U23" s="44"/>
      <c r="V23" s="44" t="s">
        <v>196</v>
      </c>
      <c r="W23" s="44" t="s">
        <v>213</v>
      </c>
      <c r="X23"/>
      <c r="Y23"/>
      <c r="Z23"/>
    </row>
    <row r="24" spans="1:26" ht="15" customHeight="1" x14ac:dyDescent="0.3">
      <c r="A24" s="147" t="s">
        <v>72</v>
      </c>
      <c r="B24" s="147"/>
      <c r="C24" s="147"/>
      <c r="D24" s="147"/>
      <c r="E24" s="148" t="s">
        <v>15</v>
      </c>
      <c r="F24" s="148"/>
      <c r="G24" s="148"/>
      <c r="H24" s="148"/>
      <c r="S24" s="44"/>
      <c r="T24" s="44"/>
      <c r="U24" s="44"/>
      <c r="V24" s="44" t="s">
        <v>197</v>
      </c>
      <c r="W24" s="44" t="s">
        <v>214</v>
      </c>
      <c r="X24"/>
      <c r="Y24"/>
      <c r="Z24"/>
    </row>
    <row r="25" spans="1:26" ht="18.75" customHeight="1" x14ac:dyDescent="0.3">
      <c r="A25" s="147"/>
      <c r="B25" s="147"/>
      <c r="C25" s="147"/>
      <c r="D25" s="147"/>
      <c r="E25" s="148"/>
      <c r="F25" s="148"/>
      <c r="G25" s="148"/>
      <c r="H25" s="148"/>
      <c r="S25" s="44"/>
      <c r="T25" s="44"/>
      <c r="U25" s="44"/>
      <c r="V25" s="44" t="s">
        <v>198</v>
      </c>
      <c r="W25" s="44" t="s">
        <v>215</v>
      </c>
      <c r="X25"/>
      <c r="Y25"/>
      <c r="Z25"/>
    </row>
    <row r="26" spans="1:26" ht="15" customHeight="1" x14ac:dyDescent="0.3">
      <c r="A26" s="147" t="s">
        <v>16</v>
      </c>
      <c r="B26" s="147"/>
      <c r="C26" s="147"/>
      <c r="D26" s="147"/>
      <c r="E26" s="185" t="s">
        <v>17</v>
      </c>
      <c r="F26" s="185"/>
      <c r="G26" s="185"/>
      <c r="H26" s="185"/>
      <c r="S26" s="44"/>
      <c r="T26" s="44"/>
      <c r="U26" s="44"/>
      <c r="V26" s="44" t="s">
        <v>199</v>
      </c>
      <c r="W26" s="44" t="s">
        <v>216</v>
      </c>
      <c r="X26"/>
      <c r="Y26"/>
      <c r="Z26"/>
    </row>
    <row r="27" spans="1:26" ht="15" customHeight="1" x14ac:dyDescent="0.3">
      <c r="A27" s="139" t="s">
        <v>18</v>
      </c>
      <c r="B27" s="139"/>
      <c r="C27" s="139"/>
      <c r="D27" s="139"/>
      <c r="E27" s="185" t="str">
        <f>IF(AND(G21="Mumbai"),"Upper Class","Middle Class")</f>
        <v>Middle Class</v>
      </c>
      <c r="F27" s="185"/>
      <c r="G27" s="185"/>
      <c r="H27" s="185"/>
      <c r="S27" s="44"/>
      <c r="T27" s="44"/>
      <c r="U27" s="44"/>
      <c r="V27" s="44" t="s">
        <v>200</v>
      </c>
      <c r="W27" s="44" t="s">
        <v>217</v>
      </c>
      <c r="X27"/>
      <c r="Y27"/>
      <c r="Z27"/>
    </row>
    <row r="28" spans="1:26" x14ac:dyDescent="0.3">
      <c r="A28" s="139" t="s">
        <v>19</v>
      </c>
      <c r="B28" s="139"/>
      <c r="C28" s="139"/>
      <c r="D28" s="139"/>
      <c r="E28" s="185" t="s">
        <v>20</v>
      </c>
      <c r="F28" s="185"/>
      <c r="G28" s="185"/>
      <c r="H28" s="185"/>
      <c r="S28" s="44"/>
      <c r="T28" s="44"/>
      <c r="U28" s="44"/>
      <c r="V28" s="44" t="s">
        <v>201</v>
      </c>
      <c r="W28" s="44" t="s">
        <v>218</v>
      </c>
      <c r="X28"/>
      <c r="Y28"/>
      <c r="Z28"/>
    </row>
    <row r="29" spans="1:26" ht="15.75" customHeight="1" x14ac:dyDescent="0.3">
      <c r="A29" s="139" t="s">
        <v>21</v>
      </c>
      <c r="B29" s="139"/>
      <c r="C29" s="139"/>
      <c r="D29" s="139"/>
      <c r="E29" s="185" t="str">
        <f>IF(AND(G21="Mumbai"),"Developed","Developing")</f>
        <v>Developing</v>
      </c>
      <c r="F29" s="185"/>
      <c r="G29" s="185"/>
      <c r="H29" s="185"/>
    </row>
    <row r="30" spans="1:26" x14ac:dyDescent="0.3">
      <c r="A30" s="139" t="s">
        <v>22</v>
      </c>
      <c r="B30" s="139"/>
      <c r="C30" s="139"/>
      <c r="D30" s="139"/>
      <c r="E30" s="185" t="s">
        <v>23</v>
      </c>
      <c r="F30" s="185"/>
      <c r="G30" s="185"/>
      <c r="H30" s="185"/>
    </row>
    <row r="31" spans="1:26" ht="15.75" customHeight="1" x14ac:dyDescent="0.3">
      <c r="A31" s="139" t="s">
        <v>77</v>
      </c>
      <c r="B31" s="139"/>
      <c r="C31" s="139"/>
      <c r="D31" s="139"/>
      <c r="E31" s="185" t="s">
        <v>78</v>
      </c>
      <c r="F31" s="185"/>
      <c r="G31" s="185"/>
      <c r="H31" s="185"/>
    </row>
    <row r="32" spans="1:26" ht="15" customHeight="1" x14ac:dyDescent="0.3">
      <c r="A32" s="139" t="s">
        <v>30</v>
      </c>
      <c r="B32" s="139"/>
      <c r="C32" s="139"/>
      <c r="D32" s="139"/>
      <c r="E32" s="185"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v>
      </c>
      <c r="F32" s="185"/>
      <c r="G32" s="185"/>
      <c r="H32" s="185"/>
    </row>
    <row r="33" spans="1:19" ht="15.75" customHeight="1" x14ac:dyDescent="0.3">
      <c r="A33" s="139" t="s">
        <v>88</v>
      </c>
      <c r="B33" s="139"/>
      <c r="C33" s="139"/>
      <c r="D33" s="139"/>
      <c r="E33" s="185" t="s">
        <v>31</v>
      </c>
      <c r="F33" s="185"/>
      <c r="G33" s="185"/>
      <c r="H33" s="185"/>
    </row>
    <row r="34" spans="1:19" s="17" customFormat="1" x14ac:dyDescent="0.3">
      <c r="A34" s="200" t="s">
        <v>89</v>
      </c>
      <c r="B34" s="200"/>
      <c r="C34" s="142" t="s">
        <v>167</v>
      </c>
      <c r="D34" s="142"/>
      <c r="E34" s="142"/>
      <c r="F34" s="142" t="s">
        <v>29</v>
      </c>
      <c r="G34" s="142"/>
      <c r="H34" s="142"/>
      <c r="S34" s="17" t="e">
        <f ca="1">OFFSET($S$14,1,MATCH($G21,$S$14:$W$14,0)-1,15,1)</f>
        <v>#VALUE!</v>
      </c>
    </row>
    <row r="35" spans="1:19" s="17" customFormat="1" x14ac:dyDescent="0.3">
      <c r="A35" s="196" t="s">
        <v>24</v>
      </c>
      <c r="B35" s="196" t="s">
        <v>28</v>
      </c>
      <c r="C35" s="201" t="s">
        <v>415</v>
      </c>
      <c r="D35" s="201"/>
      <c r="E35" s="201"/>
      <c r="F35" s="201" t="s">
        <v>406</v>
      </c>
      <c r="G35" s="201"/>
      <c r="H35" s="201"/>
    </row>
    <row r="36" spans="1:19" x14ac:dyDescent="0.3">
      <c r="A36" s="196" t="s">
        <v>25</v>
      </c>
      <c r="B36" s="196" t="s">
        <v>28</v>
      </c>
      <c r="C36" s="197" t="s">
        <v>393</v>
      </c>
      <c r="D36" s="198"/>
      <c r="E36" s="199"/>
      <c r="F36" s="197" t="s">
        <v>405</v>
      </c>
      <c r="G36" s="198"/>
      <c r="H36" s="199"/>
    </row>
    <row r="37" spans="1:19" s="17" customFormat="1" x14ac:dyDescent="0.3">
      <c r="A37" s="196" t="s">
        <v>27</v>
      </c>
      <c r="B37" s="196" t="s">
        <v>28</v>
      </c>
      <c r="C37" s="197" t="s">
        <v>416</v>
      </c>
      <c r="D37" s="198"/>
      <c r="E37" s="199"/>
      <c r="F37" s="197" t="s">
        <v>406</v>
      </c>
      <c r="G37" s="198"/>
      <c r="H37" s="199"/>
    </row>
    <row r="38" spans="1:19" x14ac:dyDescent="0.3">
      <c r="A38" s="196" t="s">
        <v>26</v>
      </c>
      <c r="B38" s="196" t="s">
        <v>28</v>
      </c>
      <c r="C38" s="197" t="s">
        <v>393</v>
      </c>
      <c r="D38" s="198"/>
      <c r="E38" s="199"/>
      <c r="F38" s="197" t="s">
        <v>406</v>
      </c>
      <c r="G38" s="198"/>
      <c r="H38" s="199"/>
    </row>
    <row r="39" spans="1:19" x14ac:dyDescent="0.3">
      <c r="A39" s="139" t="s">
        <v>273</v>
      </c>
      <c r="B39" s="139"/>
      <c r="C39" s="139"/>
      <c r="D39" s="139"/>
      <c r="E39" s="139"/>
      <c r="F39" s="139"/>
      <c r="G39" s="139"/>
      <c r="H39" s="139"/>
    </row>
    <row r="40" spans="1:19" ht="15.75" customHeight="1" x14ac:dyDescent="0.3">
      <c r="A40" s="139" t="s">
        <v>159</v>
      </c>
      <c r="B40" s="139"/>
      <c r="C40" s="202" t="s">
        <v>407</v>
      </c>
      <c r="D40" s="179"/>
      <c r="E40" s="179"/>
      <c r="F40" s="179"/>
      <c r="G40" s="179"/>
      <c r="H40" s="179"/>
    </row>
    <row r="41" spans="1:19" x14ac:dyDescent="0.3">
      <c r="A41" s="139" t="s">
        <v>155</v>
      </c>
      <c r="B41" s="139"/>
      <c r="C41" s="239" t="s">
        <v>403</v>
      </c>
      <c r="D41" s="185"/>
      <c r="E41" s="185"/>
      <c r="F41" s="185"/>
      <c r="G41" s="185"/>
      <c r="H41" s="185"/>
    </row>
    <row r="42" spans="1:19" x14ac:dyDescent="0.3">
      <c r="A42" s="179" t="s">
        <v>32</v>
      </c>
      <c r="B42" s="179"/>
      <c r="C42" s="179"/>
      <c r="D42" s="179"/>
      <c r="E42" s="179"/>
      <c r="F42" s="179"/>
      <c r="G42" s="179"/>
      <c r="H42" s="179"/>
    </row>
    <row r="43" spans="1:19" x14ac:dyDescent="0.3">
      <c r="A43" s="139" t="s">
        <v>33</v>
      </c>
      <c r="B43" s="139"/>
      <c r="C43" s="139"/>
      <c r="D43" s="139"/>
      <c r="E43" s="242">
        <v>101412.98</v>
      </c>
      <c r="F43" s="242"/>
      <c r="G43" s="242"/>
      <c r="H43" s="242"/>
      <c r="J43" s="16">
        <f>E47/E43</f>
        <v>2.6308384784669574</v>
      </c>
    </row>
    <row r="44" spans="1:19" x14ac:dyDescent="0.3">
      <c r="A44" s="139" t="s">
        <v>34</v>
      </c>
      <c r="B44" s="139"/>
      <c r="C44" s="139"/>
      <c r="D44" s="139"/>
      <c r="E44" s="195">
        <v>1.8</v>
      </c>
      <c r="F44" s="195"/>
      <c r="G44" s="195"/>
      <c r="H44" s="195"/>
    </row>
    <row r="45" spans="1:19" x14ac:dyDescent="0.3">
      <c r="A45" s="139" t="s">
        <v>35</v>
      </c>
      <c r="B45" s="139"/>
      <c r="C45" s="139"/>
      <c r="D45" s="139"/>
      <c r="E45" s="195">
        <f>E47/E43-E44</f>
        <v>0.83083847846695735</v>
      </c>
      <c r="F45" s="195"/>
      <c r="G45" s="195"/>
      <c r="H45" s="195"/>
    </row>
    <row r="46" spans="1:19" x14ac:dyDescent="0.3">
      <c r="A46" s="139" t="s">
        <v>36</v>
      </c>
      <c r="B46" s="139"/>
      <c r="C46" s="139"/>
      <c r="D46" s="139"/>
      <c r="E46" s="195">
        <f>E44+E45</f>
        <v>2.6308384784669574</v>
      </c>
      <c r="F46" s="195"/>
      <c r="G46" s="195"/>
      <c r="H46" s="195"/>
    </row>
    <row r="47" spans="1:19" x14ac:dyDescent="0.3">
      <c r="A47" s="148" t="s">
        <v>87</v>
      </c>
      <c r="B47" s="148"/>
      <c r="C47" s="148"/>
      <c r="D47" s="148"/>
      <c r="E47" s="238">
        <v>266801.17</v>
      </c>
      <c r="F47" s="238"/>
      <c r="G47" s="238"/>
      <c r="H47" s="238"/>
    </row>
    <row r="48" spans="1:19" x14ac:dyDescent="0.3">
      <c r="A48" s="148" t="s">
        <v>37</v>
      </c>
      <c r="B48" s="148"/>
      <c r="C48" s="148"/>
      <c r="D48" s="148"/>
      <c r="E48" s="148" t="s">
        <v>412</v>
      </c>
      <c r="F48" s="148"/>
      <c r="G48" s="148"/>
      <c r="H48" s="148"/>
    </row>
    <row r="49" spans="1:24" x14ac:dyDescent="0.3">
      <c r="A49" s="179" t="s">
        <v>38</v>
      </c>
      <c r="B49" s="179"/>
      <c r="C49" s="179"/>
      <c r="D49" s="179"/>
      <c r="E49" s="179"/>
      <c r="F49" s="179"/>
      <c r="G49" s="179"/>
      <c r="H49" s="179"/>
    </row>
    <row r="50" spans="1:24" ht="33.75" customHeight="1" x14ac:dyDescent="0.3">
      <c r="A50" s="155" t="s">
        <v>144</v>
      </c>
      <c r="B50" s="156"/>
      <c r="C50" s="220" t="s">
        <v>256</v>
      </c>
      <c r="D50" s="221"/>
      <c r="E50" s="221"/>
      <c r="F50" s="221"/>
      <c r="G50" s="221"/>
      <c r="H50" s="222"/>
      <c r="R50" t="s">
        <v>246</v>
      </c>
      <c r="S50" s="47" t="s">
        <v>166</v>
      </c>
      <c r="T50" s="47" t="s">
        <v>173</v>
      </c>
      <c r="U50" s="47" t="s">
        <v>187</v>
      </c>
      <c r="V50" s="47" t="s">
        <v>182</v>
      </c>
    </row>
    <row r="51" spans="1:24" ht="61.5" customHeight="1" x14ac:dyDescent="0.3">
      <c r="A51" s="155" t="s">
        <v>39</v>
      </c>
      <c r="B51" s="156"/>
      <c r="C51" s="155" t="s">
        <v>417</v>
      </c>
      <c r="D51" s="212"/>
      <c r="E51" s="156"/>
      <c r="F51" s="15" t="s">
        <v>40</v>
      </c>
      <c r="G51" s="203">
        <v>45656</v>
      </c>
      <c r="H51" s="204"/>
      <c r="R51"/>
      <c r="S51" s="47" t="s">
        <v>247</v>
      </c>
      <c r="T51" s="47" t="s">
        <v>252</v>
      </c>
      <c r="U51" s="47" t="s">
        <v>263</v>
      </c>
      <c r="V51" s="47" t="s">
        <v>268</v>
      </c>
    </row>
    <row r="52" spans="1:24" ht="63" customHeight="1" x14ac:dyDescent="0.3">
      <c r="A52" s="155" t="s">
        <v>41</v>
      </c>
      <c r="B52" s="156"/>
      <c r="C52" s="155" t="str">
        <f>C51</f>
        <v xml:space="preserve">Ekatmikrut Nagarvasahat/Mauje Antarli,
Khoni, Hedutane, Kole, Gharivali, Katai &amp; Mangaon Tal. Kalyan &amp; Mauje Umbroli, Tal. Ambernath SSThane/4770
</v>
      </c>
      <c r="D52" s="212"/>
      <c r="E52" s="156"/>
      <c r="F52" s="15" t="s">
        <v>40</v>
      </c>
      <c r="G52" s="203">
        <f>G51</f>
        <v>45656</v>
      </c>
      <c r="H52" s="204"/>
      <c r="R52"/>
      <c r="S52" s="47" t="s">
        <v>248</v>
      </c>
      <c r="T52" s="47" t="s">
        <v>349</v>
      </c>
      <c r="U52" s="47" t="s">
        <v>261</v>
      </c>
      <c r="V52" s="47" t="s">
        <v>269</v>
      </c>
    </row>
    <row r="53" spans="1:24" s="18" customFormat="1" ht="49.5" customHeight="1" x14ac:dyDescent="0.3">
      <c r="A53" s="228" t="s">
        <v>148</v>
      </c>
      <c r="B53" s="229"/>
      <c r="C53" s="228" t="s">
        <v>418</v>
      </c>
      <c r="D53" s="232"/>
      <c r="E53" s="229"/>
      <c r="F53" s="15" t="s">
        <v>40</v>
      </c>
      <c r="G53" s="203">
        <f>G52</f>
        <v>45656</v>
      </c>
      <c r="H53" s="204"/>
      <c r="I53" s="17" t="str">
        <f ca="1">IF(G53&gt;EDATE(E3,-48),"NO REMARK","CC REMARK FOR CC")</f>
        <v>NO REMARK</v>
      </c>
      <c r="J53" s="67"/>
      <c r="R53"/>
      <c r="S53" s="47" t="s">
        <v>249</v>
      </c>
      <c r="T53" s="47" t="s">
        <v>254</v>
      </c>
      <c r="U53" s="47" t="s">
        <v>251</v>
      </c>
      <c r="V53" s="47" t="s">
        <v>270</v>
      </c>
    </row>
    <row r="54" spans="1:24" s="18" customFormat="1" x14ac:dyDescent="0.3">
      <c r="A54" s="230"/>
      <c r="B54" s="231"/>
      <c r="C54" s="155" t="s">
        <v>422</v>
      </c>
      <c r="D54" s="212"/>
      <c r="E54" s="212"/>
      <c r="F54" s="212"/>
      <c r="G54" s="212"/>
      <c r="H54" s="156"/>
      <c r="R54"/>
      <c r="S54" s="47"/>
      <c r="T54" s="47"/>
      <c r="U54" s="47"/>
      <c r="V54" s="63"/>
    </row>
    <row r="55" spans="1:24" s="18" customFormat="1" x14ac:dyDescent="0.3">
      <c r="A55" s="151" t="s">
        <v>274</v>
      </c>
      <c r="B55" s="152"/>
      <c r="C55" s="155" t="s">
        <v>452</v>
      </c>
      <c r="D55" s="212"/>
      <c r="E55" s="156"/>
      <c r="F55" s="15" t="s">
        <v>40</v>
      </c>
      <c r="G55" s="203">
        <v>45750</v>
      </c>
      <c r="H55" s="204"/>
      <c r="K55" s="68">
        <f>EDATE(G53,-48)</f>
        <v>44195</v>
      </c>
      <c r="L55" s="18" t="str">
        <f ca="1">IF(G53&gt;EDATE(E3,-48),"NO REMARK","CC REMARK FOR CC")</f>
        <v>NO REMARK</v>
      </c>
      <c r="R55"/>
      <c r="S55" s="47" t="s">
        <v>249</v>
      </c>
      <c r="T55" s="47" t="s">
        <v>254</v>
      </c>
      <c r="U55" s="47" t="s">
        <v>251</v>
      </c>
      <c r="V55" s="47" t="s">
        <v>270</v>
      </c>
    </row>
    <row r="56" spans="1:24" s="18" customFormat="1" ht="65.55" customHeight="1" x14ac:dyDescent="0.3">
      <c r="A56" s="153"/>
      <c r="B56" s="154"/>
      <c r="C56" s="225" t="s">
        <v>451</v>
      </c>
      <c r="D56" s="226"/>
      <c r="E56" s="226"/>
      <c r="F56" s="226"/>
      <c r="G56" s="226"/>
      <c r="H56" s="227"/>
      <c r="R56"/>
      <c r="S56" s="47" t="s">
        <v>251</v>
      </c>
      <c r="T56" s="47" t="s">
        <v>255</v>
      </c>
      <c r="U56" s="47" t="s">
        <v>265</v>
      </c>
      <c r="V56" s="64"/>
      <c r="W56" s="16"/>
      <c r="X56" s="16"/>
    </row>
    <row r="57" spans="1:24" s="18" customFormat="1" ht="33" customHeight="1" x14ac:dyDescent="0.3">
      <c r="A57" s="151" t="s">
        <v>275</v>
      </c>
      <c r="B57" s="152"/>
      <c r="C57" s="233" t="s">
        <v>371</v>
      </c>
      <c r="D57" s="234"/>
      <c r="E57" s="235"/>
      <c r="F57" s="87" t="s">
        <v>40</v>
      </c>
      <c r="G57" s="223">
        <v>44618</v>
      </c>
      <c r="H57" s="224"/>
      <c r="I57" s="18" t="s">
        <v>439</v>
      </c>
      <c r="J57" s="89">
        <f>7500</f>
        <v>7500</v>
      </c>
      <c r="K57" s="18" t="s">
        <v>421</v>
      </c>
      <c r="R57"/>
      <c r="S57" s="64"/>
      <c r="T57" s="47" t="s">
        <v>256</v>
      </c>
      <c r="U57" s="47" t="s">
        <v>266</v>
      </c>
      <c r="V57" s="64"/>
      <c r="W57" s="16"/>
      <c r="X57" s="16"/>
    </row>
    <row r="58" spans="1:24" s="18" customFormat="1" ht="41.25" hidden="1" customHeight="1" x14ac:dyDescent="0.3">
      <c r="A58" s="153"/>
      <c r="B58" s="154"/>
      <c r="C58" s="233" t="s">
        <v>372</v>
      </c>
      <c r="D58" s="234"/>
      <c r="E58" s="234"/>
      <c r="F58" s="234"/>
      <c r="G58" s="234"/>
      <c r="H58" s="235"/>
      <c r="R58"/>
      <c r="S58" s="64"/>
      <c r="T58" s="47" t="s">
        <v>258</v>
      </c>
      <c r="U58" s="47" t="s">
        <v>267</v>
      </c>
      <c r="V58" s="64"/>
      <c r="W58" s="16"/>
      <c r="X58" s="16"/>
    </row>
    <row r="59" spans="1:24" s="18" customFormat="1" ht="15.75" hidden="1" customHeight="1" x14ac:dyDescent="0.3">
      <c r="A59" s="206" t="s">
        <v>344</v>
      </c>
      <c r="B59" s="207"/>
      <c r="C59" s="213"/>
      <c r="D59" s="214"/>
      <c r="E59" s="215"/>
      <c r="F59" s="15" t="s">
        <v>40</v>
      </c>
      <c r="G59" s="203"/>
      <c r="H59" s="204"/>
      <c r="R59"/>
      <c r="S59" s="64"/>
      <c r="T59" s="47" t="s">
        <v>259</v>
      </c>
      <c r="U59" s="64" t="s">
        <v>289</v>
      </c>
      <c r="V59" s="64"/>
      <c r="W59" s="16"/>
      <c r="X59" s="16"/>
    </row>
    <row r="60" spans="1:24" s="18" customFormat="1" ht="33.75" hidden="1" customHeight="1" x14ac:dyDescent="0.3">
      <c r="A60" s="208"/>
      <c r="B60" s="209"/>
      <c r="C60" s="216"/>
      <c r="D60" s="217"/>
      <c r="E60" s="218"/>
      <c r="F60" s="15" t="s">
        <v>345</v>
      </c>
      <c r="G60" s="203"/>
      <c r="H60" s="204"/>
      <c r="R60"/>
      <c r="S60" s="64"/>
      <c r="T60" s="47" t="s">
        <v>260</v>
      </c>
      <c r="U60" s="64"/>
      <c r="V60" s="64"/>
      <c r="W60" s="16"/>
      <c r="X60" s="16"/>
    </row>
    <row r="61" spans="1:24" s="18" customFormat="1" ht="3" hidden="1" customHeight="1" x14ac:dyDescent="0.3">
      <c r="A61" s="210"/>
      <c r="B61" s="211"/>
      <c r="C61" s="155" t="s">
        <v>367</v>
      </c>
      <c r="D61" s="212"/>
      <c r="E61" s="212"/>
      <c r="F61" s="212"/>
      <c r="G61" s="212"/>
      <c r="H61" s="156"/>
      <c r="R61"/>
      <c r="S61" s="64"/>
      <c r="T61" s="47"/>
      <c r="U61" s="64"/>
      <c r="V61" s="64"/>
      <c r="W61" s="16"/>
      <c r="X61" s="16"/>
    </row>
    <row r="62" spans="1:24" x14ac:dyDescent="0.3">
      <c r="A62" s="144" t="s">
        <v>42</v>
      </c>
      <c r="B62" s="145"/>
      <c r="C62" s="144" t="s">
        <v>99</v>
      </c>
      <c r="D62" s="146"/>
      <c r="E62" s="145"/>
      <c r="F62" s="38" t="s">
        <v>40</v>
      </c>
      <c r="G62" s="149" t="s">
        <v>28</v>
      </c>
      <c r="H62" s="150"/>
      <c r="R62"/>
      <c r="S62" s="64"/>
      <c r="T62" s="47" t="s">
        <v>262</v>
      </c>
      <c r="U62" s="64"/>
      <c r="V62" s="64"/>
    </row>
    <row r="63" spans="1:24" x14ac:dyDescent="0.3">
      <c r="A63" s="180" t="s">
        <v>44</v>
      </c>
      <c r="B63" s="180"/>
      <c r="C63" s="180"/>
      <c r="D63" s="180"/>
      <c r="E63" s="180"/>
      <c r="F63" s="180"/>
      <c r="G63" s="180"/>
      <c r="H63" s="180"/>
      <c r="S63" s="64"/>
      <c r="T63" s="47" t="s">
        <v>271</v>
      </c>
      <c r="U63" s="64"/>
      <c r="V63" s="64"/>
    </row>
    <row r="64" spans="1:24" x14ac:dyDescent="0.3">
      <c r="A64" s="147" t="s">
        <v>427</v>
      </c>
      <c r="B64" s="147"/>
      <c r="C64" s="147"/>
      <c r="D64" s="139">
        <f>23708.4*2+20068.39*3</f>
        <v>107621.97</v>
      </c>
      <c r="E64" s="139"/>
      <c r="F64" s="139"/>
      <c r="G64" s="139"/>
      <c r="H64" s="139"/>
      <c r="R64"/>
    </row>
    <row r="65" spans="1:19" x14ac:dyDescent="0.3">
      <c r="A65" s="185" t="s">
        <v>45</v>
      </c>
      <c r="B65" s="148"/>
      <c r="C65" s="148"/>
      <c r="D65" s="148" t="s">
        <v>438</v>
      </c>
      <c r="E65" s="148"/>
      <c r="F65" s="148"/>
      <c r="G65" s="148"/>
      <c r="H65" s="148"/>
      <c r="I65" s="19"/>
      <c r="R65"/>
    </row>
    <row r="66" spans="1:19" x14ac:dyDescent="0.3">
      <c r="A66" s="185" t="s">
        <v>46</v>
      </c>
      <c r="B66" s="185"/>
      <c r="C66" s="185"/>
      <c r="D66" s="185" t="s">
        <v>426</v>
      </c>
      <c r="E66" s="148"/>
      <c r="F66" s="148"/>
      <c r="G66" s="148"/>
      <c r="H66" s="148"/>
      <c r="R66"/>
    </row>
    <row r="67" spans="1:19" ht="15.75" customHeight="1" x14ac:dyDescent="0.3">
      <c r="A67" s="185" t="s">
        <v>85</v>
      </c>
      <c r="B67" s="185"/>
      <c r="C67" s="185"/>
      <c r="D67" s="148" t="s">
        <v>394</v>
      </c>
      <c r="E67" s="148"/>
      <c r="F67" s="148"/>
      <c r="G67" s="148"/>
      <c r="H67" s="148"/>
      <c r="R67"/>
    </row>
    <row r="68" spans="1:19" ht="15.75" customHeight="1" x14ac:dyDescent="0.3">
      <c r="A68" s="185"/>
      <c r="B68" s="185"/>
      <c r="C68" s="185"/>
      <c r="D68" s="148" t="s">
        <v>395</v>
      </c>
      <c r="E68" s="148"/>
      <c r="F68" s="148"/>
      <c r="G68" s="148"/>
      <c r="H68" s="148"/>
      <c r="R68"/>
    </row>
    <row r="69" spans="1:19" ht="15.75" customHeight="1" x14ac:dyDescent="0.3">
      <c r="A69" s="185"/>
      <c r="B69" s="185"/>
      <c r="C69" s="185"/>
      <c r="D69" s="148" t="s">
        <v>429</v>
      </c>
      <c r="E69" s="148"/>
      <c r="F69" s="148"/>
      <c r="G69" s="148"/>
      <c r="H69" s="148"/>
      <c r="S69"/>
    </row>
    <row r="70" spans="1:19" ht="15.75" customHeight="1" x14ac:dyDescent="0.3">
      <c r="A70" s="185"/>
      <c r="B70" s="185"/>
      <c r="C70" s="185"/>
      <c r="D70" s="148" t="s">
        <v>396</v>
      </c>
      <c r="E70" s="148"/>
      <c r="F70" s="148"/>
      <c r="G70" s="148"/>
      <c r="H70" s="148"/>
      <c r="R70"/>
    </row>
    <row r="71" spans="1:19" ht="15.75" customHeight="1" x14ac:dyDescent="0.3">
      <c r="A71" s="185"/>
      <c r="B71" s="185"/>
      <c r="C71" s="185"/>
      <c r="D71" s="148" t="s">
        <v>397</v>
      </c>
      <c r="E71" s="148"/>
      <c r="F71" s="148"/>
      <c r="G71" s="148"/>
      <c r="H71" s="148"/>
      <c r="S71"/>
    </row>
    <row r="72" spans="1:19" ht="80.25" customHeight="1" x14ac:dyDescent="0.3">
      <c r="A72" s="139" t="s">
        <v>43</v>
      </c>
      <c r="B72" s="139"/>
      <c r="C72" s="139"/>
      <c r="D72" s="185" t="s">
        <v>428</v>
      </c>
      <c r="E72" s="185"/>
      <c r="F72" s="185"/>
      <c r="G72" s="185"/>
      <c r="H72" s="185"/>
      <c r="J72" s="20"/>
      <c r="K72" s="19"/>
      <c r="N72" s="19"/>
      <c r="S72"/>
    </row>
    <row r="73" spans="1:19" ht="15.75" customHeight="1" x14ac:dyDescent="0.3">
      <c r="A73" s="139" t="s">
        <v>83</v>
      </c>
      <c r="B73" s="139"/>
      <c r="C73" s="139"/>
      <c r="D73" s="219" t="str">
        <f>(IF(G62="NA","60 Years After Completion",IF(G62&lt;&gt;"NA",""&amp;60-ROUNDDOWN((E3-G62)/360,0)&amp;" Years"," ")))</f>
        <v>60 Years After Completion</v>
      </c>
      <c r="E73" s="219"/>
      <c r="F73" s="219"/>
      <c r="G73" s="219"/>
      <c r="H73" s="219"/>
      <c r="N73" s="19"/>
      <c r="S73"/>
    </row>
    <row r="74" spans="1:19" ht="15.75" customHeight="1" x14ac:dyDescent="0.3">
      <c r="A74" s="139" t="s">
        <v>84</v>
      </c>
      <c r="B74" s="139"/>
      <c r="C74" s="139"/>
      <c r="D74" s="147" t="s">
        <v>23</v>
      </c>
      <c r="E74" s="147"/>
      <c r="F74" s="147"/>
      <c r="G74" s="147"/>
      <c r="H74" s="147"/>
      <c r="J74" s="21"/>
      <c r="K74" s="21"/>
      <c r="S74"/>
    </row>
    <row r="75" spans="1:19" ht="47.25" customHeight="1" x14ac:dyDescent="0.3">
      <c r="A75" s="148" t="s">
        <v>430</v>
      </c>
      <c r="B75" s="148"/>
      <c r="C75" s="148"/>
      <c r="D75" s="185" t="s">
        <v>373</v>
      </c>
      <c r="E75" s="185"/>
      <c r="F75" s="185"/>
      <c r="G75" s="185"/>
      <c r="H75" s="185"/>
      <c r="I75" s="85" t="s">
        <v>379</v>
      </c>
      <c r="J75" s="83"/>
      <c r="S75"/>
    </row>
    <row r="76" spans="1:19" x14ac:dyDescent="0.3">
      <c r="A76" s="147" t="s">
        <v>141</v>
      </c>
      <c r="B76" s="147"/>
      <c r="C76" s="147"/>
      <c r="D76" s="147" t="s">
        <v>28</v>
      </c>
      <c r="E76" s="147"/>
      <c r="F76" s="147"/>
      <c r="G76" s="147"/>
      <c r="H76" s="147"/>
      <c r="I76" s="22"/>
      <c r="J76" s="22"/>
      <c r="K76" s="22"/>
      <c r="L76" s="22"/>
      <c r="M76" s="22"/>
      <c r="N76" s="22"/>
    </row>
    <row r="77" spans="1:19" ht="15.75" customHeight="1" x14ac:dyDescent="0.3">
      <c r="A77" s="205" t="s">
        <v>82</v>
      </c>
      <c r="B77" s="205"/>
      <c r="C77" s="205"/>
      <c r="D77" s="157" t="str">
        <f ca="1">(IF(G83&gt;95%,"Nothing",IF(G83&gt;0%,"Cement, Aggregate, Steel, etc",IF(G83=0%,"Work not yet Started"))))</f>
        <v>Cement, Aggregate, Steel, etc</v>
      </c>
      <c r="E77" s="157"/>
      <c r="F77" s="157"/>
      <c r="G77" s="157"/>
      <c r="H77" s="157"/>
      <c r="J77" s="21"/>
      <c r="S77"/>
    </row>
    <row r="78" spans="1:19" ht="33.75" customHeight="1" thickBot="1" x14ac:dyDescent="0.35">
      <c r="A78" s="147" t="s">
        <v>112</v>
      </c>
      <c r="B78" s="147"/>
      <c r="C78" s="147"/>
      <c r="D78" s="185" t="str">
        <f ca="1">(IF(D77="Nothing","Yes",IF(D77="Cement, Aggregate, Steel, etc","Under Construction",IF(D77="Work not yet Started","Work not yet Started"))))</f>
        <v>Under Construction</v>
      </c>
      <c r="E78" s="185"/>
      <c r="F78" s="185" t="str">
        <f ca="1">(IF(D77="Nothing","Yes",IF(D77="Cement, Aggregate, Steel, etc","Under Construction",IF(D77="Work not yet Started","Work not yet Started"))))</f>
        <v>Under Construction</v>
      </c>
      <c r="G78" s="185"/>
      <c r="H78" s="185"/>
      <c r="S78"/>
    </row>
    <row r="79" spans="1:19" ht="15.75" customHeight="1" x14ac:dyDescent="0.3">
      <c r="A79" s="202" t="s">
        <v>133</v>
      </c>
      <c r="B79" s="202"/>
      <c r="C79" s="100" t="s">
        <v>446</v>
      </c>
      <c r="D79" s="100"/>
      <c r="E79" s="100"/>
      <c r="F79" s="100"/>
      <c r="G79" s="100"/>
      <c r="H79" s="100"/>
      <c r="I79" s="97" t="str">
        <f ca="1">IF(D92=100%,"All work Completed. Possession granted to the Building.",IF(D91=100%,"All work Completed, Waiting for OC",I80&amp;""&amp;I81&amp;""&amp;J80&amp;""&amp;J79&amp;" "&amp;J81))</f>
        <v xml:space="preserve">Excavation Completed </v>
      </c>
      <c r="J79" s="40" t="str">
        <f ca="1">(IF(C85=(D80+F80+H80),"",IF(C85&gt;0,", RCC upto "&amp;C85&amp;" Slab","")))&amp;(IF(C86=H80,"",IF(C86&gt;0,", Brickwork upto "&amp;C86&amp;" Floor","")))&amp;(IF(C87=H80,"",IF(C87&gt;0,", Internal Plaster upto "&amp;C87&amp;" Floor","")))&amp;(IF(C88=H80,"",IF(C88&gt;0,", External Plaster upto "&amp;C88&amp;" Floor","")))&amp;(IF(C89=H80,"",IF(C89&gt;0,", Flooring upto "&amp;C89&amp;" Floor","")))&amp;(IF(C90=H80,"",IF(C90&gt;0,", Painting upto "&amp;C90&amp;" Floor","")))&amp;(IF(C91=H80,"",IF(C91&gt;0,", Finishing upto "&amp;C91&amp;" Floor","")))&amp;(IF(C92=H80,"",IF(C92&gt;0,", Possession upto "&amp;C92&amp;" Floor","")))</f>
        <v/>
      </c>
      <c r="S79"/>
    </row>
    <row r="80" spans="1:19" x14ac:dyDescent="0.3">
      <c r="A80" s="42" t="s">
        <v>135</v>
      </c>
      <c r="B80" s="42">
        <f>IF(AND(ISNUMBER(SEARCH("1B",C79))),1,IF(AND(ISNUMBER(SEARCH("2B",C79))),2,IF(AND(ISNUMBER(SEARCH("3B",C79))),3,IF(AND(ISNUMBER(SEARCH("4B",C79))),4,IF(ISNUMBER(SEARCH("5B",C79)),5,0)))))</f>
        <v>0</v>
      </c>
      <c r="C80" s="42" t="s">
        <v>68</v>
      </c>
      <c r="D80" s="42">
        <v>1</v>
      </c>
      <c r="E80" s="42" t="s">
        <v>67</v>
      </c>
      <c r="F80" s="42">
        <v>0</v>
      </c>
      <c r="G80" s="42" t="s">
        <v>76</v>
      </c>
      <c r="H80" s="42">
        <f ca="1">--TRIM(RIGHT(SUBSTITUTE(LEFT(C79,_xlfn.AGGREGATE(16,6,FIND({0,1,2,3,4,5,6,7,8,9},C79,ROW(INDIRECT("1:"&amp;LEN(C79)))),1))," ",REPT(" ",LEN(C79))),LEN(C79)))</f>
        <v>37</v>
      </c>
      <c r="I80" s="98" t="str">
        <f ca="1">IF(D83=100%,"Excavation","")&amp;IF(D84=100%,", Plinth","")&amp;IF(D85=100%,", RCC Slab","")&amp;IF(D86=100%,", Brickwork","")&amp;IF(D87=100%,", Internal Plaster","")&amp;IF(D88=100%,", External Plaster","")&amp;IF(D89=100%,", Flooring","")&amp;IF(D90=100%,", Painting","")&amp;IF(D91=100%,", Building common Amenities","")</f>
        <v>Excavation</v>
      </c>
      <c r="J80" s="41" t="str">
        <f ca="1">(IF(C83=0,"Work not yet Started.",IF(D83=25%,"Piling work in process",IF(D83=50%,"Excavation work in process",IF(D83=100%,"","0")))))&amp;(IF(C84=0%,"",IF(C84=J85,", Footing work is process",IF(C84=J86,", Footing work Completed",IF(C84=J87,", 1st Basement Completed",IF(C84=J88,", 1st &amp; 2nd Basement Completed",IF(C84=J89,", 1st to 3rd Basement Completed",IF(C84=J90,", 1st to 4th Basement Completed",IF(C84=J91,", Plinth work is process",IF(C84=J92,"","0"))))))))))</f>
        <v/>
      </c>
      <c r="S80"/>
    </row>
    <row r="81" spans="1:19" x14ac:dyDescent="0.3">
      <c r="A81" s="101" t="s">
        <v>86</v>
      </c>
      <c r="B81" s="101"/>
      <c r="C81" s="100" t="str">
        <f ca="1">I79</f>
        <v xml:space="preserve">Excavation Completed </v>
      </c>
      <c r="D81" s="100"/>
      <c r="E81" s="100"/>
      <c r="F81" s="100"/>
      <c r="G81" s="100"/>
      <c r="H81" s="100"/>
      <c r="I81" s="98" t="str">
        <f ca="1">IF(I80&lt;&gt;""," Completed","")</f>
        <v xml:space="preserve"> Completed</v>
      </c>
      <c r="J81" s="41" t="str">
        <f ca="1">IF(J79&lt;&gt;"","Completed","")</f>
        <v/>
      </c>
      <c r="S81"/>
    </row>
    <row r="82" spans="1:19" ht="15.75" customHeight="1" x14ac:dyDescent="0.3">
      <c r="A82" s="102" t="s">
        <v>47</v>
      </c>
      <c r="B82" s="102"/>
      <c r="C82" s="96" t="s">
        <v>132</v>
      </c>
      <c r="D82" s="96" t="s">
        <v>79</v>
      </c>
      <c r="E82" s="102" t="s">
        <v>81</v>
      </c>
      <c r="F82" s="102"/>
      <c r="G82" s="102" t="s">
        <v>80</v>
      </c>
      <c r="H82" s="102"/>
      <c r="I82" s="13" t="s">
        <v>134</v>
      </c>
      <c r="J82" s="23">
        <f ca="1">H80*25%</f>
        <v>9.25</v>
      </c>
      <c r="S82"/>
    </row>
    <row r="83" spans="1:19" x14ac:dyDescent="0.3">
      <c r="A83" s="102" t="s">
        <v>121</v>
      </c>
      <c r="B83" s="102"/>
      <c r="C83" s="96">
        <f ca="1">J84</f>
        <v>37</v>
      </c>
      <c r="D83" s="90">
        <f ca="1">((100/H80)*C83)/100</f>
        <v>1</v>
      </c>
      <c r="E83" s="103">
        <f ca="1">(((C84/H80*10)+(40/(D80+F80+H80)*C85)+(7.5/(H80)*C86)+(7.5/(H80)*C87)+(10/H80*C88)+(10/H80*C89)+(5/H80*C90)+(5/H80*C91)+(5/H80*C92))/100)</f>
        <v>0</v>
      </c>
      <c r="F83" s="103"/>
      <c r="G83" s="103">
        <f ca="1">((((C83/H80)*20)+((C84/H80)*25)+(30/(H80+F80+D80)*C85)+(5/H80*C86)+(5/H80*C87)+(5/H80*C88)+(5/H80*C89)+(0/H80*C90)+(0/H80*C91)+(5/H80*C92))/100)</f>
        <v>0.2</v>
      </c>
      <c r="H83" s="103"/>
      <c r="I83" s="13" t="s">
        <v>94</v>
      </c>
      <c r="J83" s="24">
        <f ca="1">H80*50%</f>
        <v>18.5</v>
      </c>
    </row>
    <row r="84" spans="1:19" x14ac:dyDescent="0.3">
      <c r="A84" s="102" t="s">
        <v>48</v>
      </c>
      <c r="B84" s="102"/>
      <c r="C84" s="96">
        <v>0</v>
      </c>
      <c r="D84" s="90">
        <f ca="1">((100/H80)*C84)/100</f>
        <v>0</v>
      </c>
      <c r="E84" s="103"/>
      <c r="F84" s="103"/>
      <c r="G84" s="103"/>
      <c r="H84" s="103"/>
      <c r="I84" s="13" t="s">
        <v>95</v>
      </c>
      <c r="J84" s="24">
        <f ca="1">H80</f>
        <v>37</v>
      </c>
      <c r="S84"/>
    </row>
    <row r="85" spans="1:19" ht="15.75" customHeight="1" x14ac:dyDescent="0.3">
      <c r="A85" s="102" t="s">
        <v>122</v>
      </c>
      <c r="B85" s="102"/>
      <c r="C85" s="96">
        <v>0</v>
      </c>
      <c r="D85" s="90">
        <f ca="1">((100/(D80+F80+H80))*C85)/100</f>
        <v>0</v>
      </c>
      <c r="E85" s="103"/>
      <c r="F85" s="103"/>
      <c r="G85" s="103"/>
      <c r="H85" s="103"/>
      <c r="I85" s="13" t="s">
        <v>96</v>
      </c>
      <c r="J85" s="25">
        <f ca="1">(IF(B80&gt;1,(H80/(B80+2)),H80/4))</f>
        <v>9.25</v>
      </c>
      <c r="S85"/>
    </row>
    <row r="86" spans="1:19" ht="15.75" customHeight="1" x14ac:dyDescent="0.3">
      <c r="A86" s="102" t="s">
        <v>129</v>
      </c>
      <c r="B86" s="102" t="s">
        <v>123</v>
      </c>
      <c r="C86" s="96">
        <v>0</v>
      </c>
      <c r="D86" s="90">
        <f ca="1">((100/H80)*C86)/100</f>
        <v>0</v>
      </c>
      <c r="E86" s="103"/>
      <c r="F86" s="103"/>
      <c r="G86" s="103"/>
      <c r="H86" s="103"/>
      <c r="I86" s="13" t="s">
        <v>97</v>
      </c>
      <c r="J86" s="25">
        <f ca="1">(IF(B80&gt;1,(H80/(B80+2)+J85),H80/4+J85))</f>
        <v>18.5</v>
      </c>
    </row>
    <row r="87" spans="1:19" ht="15.75" customHeight="1" x14ac:dyDescent="0.3">
      <c r="A87" s="102" t="s">
        <v>130</v>
      </c>
      <c r="B87" s="102" t="s">
        <v>123</v>
      </c>
      <c r="C87" s="96">
        <v>0</v>
      </c>
      <c r="D87" s="90">
        <f ca="1">((100/H80)*C87)/100</f>
        <v>0</v>
      </c>
      <c r="E87" s="103"/>
      <c r="F87" s="103"/>
      <c r="G87" s="103"/>
      <c r="H87" s="103"/>
      <c r="I87" s="13" t="s">
        <v>139</v>
      </c>
      <c r="J87" s="25">
        <f>(IF(B80&gt;1,(H80/(B80+2)+J86),0))</f>
        <v>0</v>
      </c>
    </row>
    <row r="88" spans="1:19" ht="15" customHeight="1" x14ac:dyDescent="0.3">
      <c r="A88" s="102" t="s">
        <v>128</v>
      </c>
      <c r="B88" s="102" t="s">
        <v>125</v>
      </c>
      <c r="C88" s="96">
        <v>0</v>
      </c>
      <c r="D88" s="90">
        <f ca="1">((100/(H80))*C88)/100</f>
        <v>0</v>
      </c>
      <c r="E88" s="103"/>
      <c r="F88" s="103"/>
      <c r="G88" s="103"/>
      <c r="H88" s="103"/>
      <c r="I88" s="13" t="s">
        <v>136</v>
      </c>
      <c r="J88" s="25">
        <f>(IF(B80&gt;2,(H80/(B80+2)+J87),0))</f>
        <v>0</v>
      </c>
    </row>
    <row r="89" spans="1:19" ht="15.75" customHeight="1" x14ac:dyDescent="0.3">
      <c r="A89" s="102" t="s">
        <v>124</v>
      </c>
      <c r="B89" s="102" t="s">
        <v>124</v>
      </c>
      <c r="C89" s="96">
        <v>0</v>
      </c>
      <c r="D89" s="90">
        <f ca="1">((100/H80)*C89)/100</f>
        <v>0</v>
      </c>
      <c r="E89" s="103"/>
      <c r="F89" s="103"/>
      <c r="G89" s="103"/>
      <c r="H89" s="103"/>
      <c r="I89" s="13" t="s">
        <v>137</v>
      </c>
      <c r="J89" s="26">
        <f>(IF(B80&gt;3,(H80/(B80+2)+J88),0))</f>
        <v>0</v>
      </c>
    </row>
    <row r="90" spans="1:19" ht="15.75" customHeight="1" x14ac:dyDescent="0.3">
      <c r="A90" s="102" t="s">
        <v>131</v>
      </c>
      <c r="B90" s="102"/>
      <c r="C90" s="96">
        <v>0</v>
      </c>
      <c r="D90" s="90">
        <f ca="1">((100/H80)*C90)/100</f>
        <v>0</v>
      </c>
      <c r="E90" s="103"/>
      <c r="F90" s="103"/>
      <c r="G90" s="103"/>
      <c r="H90" s="103"/>
      <c r="I90" s="13" t="s">
        <v>138</v>
      </c>
      <c r="J90" s="25">
        <f>(IF(B80&gt;4,(H80/(B80+2)+J89),0))</f>
        <v>0</v>
      </c>
    </row>
    <row r="91" spans="1:19" ht="15.75" customHeight="1" x14ac:dyDescent="0.3">
      <c r="A91" s="102" t="s">
        <v>126</v>
      </c>
      <c r="B91" s="102" t="s">
        <v>126</v>
      </c>
      <c r="C91" s="96">
        <v>0</v>
      </c>
      <c r="D91" s="90">
        <f ca="1">((100/(H80))*C91)/100</f>
        <v>0</v>
      </c>
      <c r="E91" s="103"/>
      <c r="F91" s="103"/>
      <c r="G91" s="103"/>
      <c r="H91" s="103"/>
      <c r="I91" s="13" t="s">
        <v>140</v>
      </c>
      <c r="J91" s="25">
        <f ca="1">(IF(B80=1,(H80/(B80+3)+J86),IF(B80=0,(H80/4+J86),IF(B80&gt;1,0))))</f>
        <v>27.75</v>
      </c>
    </row>
    <row r="92" spans="1:19" ht="16.2" thickBot="1" x14ac:dyDescent="0.35">
      <c r="A92" s="102" t="s">
        <v>127</v>
      </c>
      <c r="B92" s="102"/>
      <c r="C92" s="96">
        <v>0</v>
      </c>
      <c r="D92" s="90">
        <f ca="1">((100/(H80))*C92)/100</f>
        <v>0</v>
      </c>
      <c r="E92" s="103"/>
      <c r="F92" s="103"/>
      <c r="G92" s="103"/>
      <c r="H92" s="103"/>
      <c r="I92" s="14" t="s">
        <v>98</v>
      </c>
      <c r="J92" s="27">
        <f ca="1">(IF(B80&gt;1.5,(H80/(B80+2)+J86+MAX(0,J87-J86)+MAX(0,J88-J87)+MAX(0,J89-J88)+MAX(0,J90-J89)+MAX(0,J91-J90)),IF(B80=1,(H80/(B80+3)+J91),IF(B80=0,H80/4+J91))))</f>
        <v>37</v>
      </c>
    </row>
    <row r="93" spans="1:19" ht="15.75" hidden="1" customHeight="1" x14ac:dyDescent="0.3">
      <c r="A93" s="100" t="s">
        <v>133</v>
      </c>
      <c r="B93" s="100"/>
      <c r="C93" s="100" t="str">
        <f>D68</f>
        <v>Wing B = Gr + 1st to 37th Floor</v>
      </c>
      <c r="D93" s="100"/>
      <c r="E93" s="100"/>
      <c r="F93" s="100"/>
      <c r="G93" s="100"/>
      <c r="H93" s="100"/>
      <c r="I93" s="97" t="str">
        <f ca="1">IF(D106=100%,"All work Completed. Possession granted to the Building.",IF(D105=100%,"All work Completed, Waiting for OC",I94&amp;""&amp;I95&amp;""&amp;J94&amp;""&amp;J93&amp;" "&amp;J95))</f>
        <v xml:space="preserve">Work not yet Started. </v>
      </c>
      <c r="J93" s="40" t="str">
        <f ca="1">(IF(C99=(D94+F94+H94),"",IF(C99&gt;0,", RCC upto "&amp;C99&amp;" Slab","")))&amp;(IF(C100=H94,"",IF(C100&gt;0,", Brickwork upto "&amp;C100&amp;" Floor","")))&amp;(IF(C101=H94,"",IF(C101&gt;0,", Internal Plaster upto "&amp;C101&amp;" Floor","")))&amp;(IF(C102=H94,"",IF(C102&gt;0,", External Plaster upto "&amp;C102&amp;" Floor","")))&amp;(IF(C103=H94,"",IF(C103&gt;0,", Flooring upto "&amp;C103&amp;" Floor","")))&amp;(IF(C104=H94,"",IF(C104&gt;0,", Painting upto "&amp;C104&amp;" Floor","")))&amp;(IF(C105=H94,"",IF(C105&gt;0,", Finishing upto "&amp;C105&amp;" Floor","")))&amp;(IF(C106=H94,"",IF(C106&gt;0,", Possession upto "&amp;C106&amp;" Floor","")))</f>
        <v/>
      </c>
      <c r="S93"/>
    </row>
    <row r="94" spans="1:19" hidden="1" x14ac:dyDescent="0.3">
      <c r="A94" s="42" t="s">
        <v>135</v>
      </c>
      <c r="B94" s="42">
        <f>IF(AND(ISNUMBER(SEARCH("1B",C93))),1,IF(AND(ISNUMBER(SEARCH("2B",C93))),2,IF(AND(ISNUMBER(SEARCH("3B",C93))),3,IF(AND(ISNUMBER(SEARCH("4B",C93))),4,IF(ISNUMBER(SEARCH("5B",C93)),5,0)))))</f>
        <v>0</v>
      </c>
      <c r="C94" s="42" t="s">
        <v>68</v>
      </c>
      <c r="D94" s="42">
        <v>1</v>
      </c>
      <c r="E94" s="42" t="s">
        <v>67</v>
      </c>
      <c r="F94" s="42">
        <v>0</v>
      </c>
      <c r="G94" s="42" t="s">
        <v>76</v>
      </c>
      <c r="H94" s="42">
        <f ca="1">--TRIM(RIGHT(SUBSTITUTE(LEFT(C93,_xlfn.AGGREGATE(16,6,FIND({0,1,2,3,4,5,6,7,8,9},C93,ROW(INDIRECT("1:"&amp;LEN(C93)))),1))," ",REPT(" ",LEN(C93))),LEN(C93)))</f>
        <v>37</v>
      </c>
      <c r="I94" s="98" t="str">
        <f ca="1">IF(D97=100%,"Excavation","")&amp;IF(D98=100%,", Plinth","")&amp;IF(D99=100%,", RCC Slab","")&amp;IF(D100=100%,", Brickwork","")&amp;IF(D101=100%,", Internal Plaster","")&amp;IF(D102=100%,", External Plaster","")&amp;IF(D103=100%,", Flooring","")&amp;IF(D104=100%,", Painting","")&amp;IF(D105=100%,", Building common Amenities","")</f>
        <v/>
      </c>
      <c r="J94" s="41" t="str">
        <f>(IF(C97=0,"Work not yet Started.",IF(D97=25%,"Piling work in process",IF(D97=50%,"Excavation work in process",IF(D97=100%,"","0")))))&amp;(IF(C98=0%,"",IF(C98=J99,", Footing work is process",IF(C98=J100,", Footing work Completed",IF(C98=J101,", 1st Basement Completed",IF(C98=J102,", 1st &amp; 2nd Basement Completed",IF(C98=J103,", 1st to 3rd Basement Completed",IF(C98=J104,", 1st to 4th Basement Completed",IF(C98=J105,", Plinth work is process",IF(C98=J106,"","0"))))))))))</f>
        <v>Work not yet Started.</v>
      </c>
      <c r="S94"/>
    </row>
    <row r="95" spans="1:19" hidden="1" x14ac:dyDescent="0.3">
      <c r="A95" s="101" t="s">
        <v>86</v>
      </c>
      <c r="B95" s="101"/>
      <c r="C95" s="100" t="str">
        <f ca="1">I93</f>
        <v xml:space="preserve">Work not yet Started. </v>
      </c>
      <c r="D95" s="100"/>
      <c r="E95" s="100"/>
      <c r="F95" s="100"/>
      <c r="G95" s="100"/>
      <c r="H95" s="100"/>
      <c r="I95" s="98" t="str">
        <f ca="1">IF(I94&lt;&gt;""," Completed","")</f>
        <v/>
      </c>
      <c r="J95" s="41" t="str">
        <f ca="1">IF(J93&lt;&gt;"","Completed","")</f>
        <v/>
      </c>
      <c r="S95"/>
    </row>
    <row r="96" spans="1:19" ht="15.75" hidden="1" customHeight="1" x14ac:dyDescent="0.3">
      <c r="A96" s="102" t="s">
        <v>47</v>
      </c>
      <c r="B96" s="102"/>
      <c r="C96" s="96" t="s">
        <v>132</v>
      </c>
      <c r="D96" s="96" t="s">
        <v>79</v>
      </c>
      <c r="E96" s="102" t="s">
        <v>81</v>
      </c>
      <c r="F96" s="102"/>
      <c r="G96" s="102" t="s">
        <v>80</v>
      </c>
      <c r="H96" s="102"/>
      <c r="I96" s="13" t="s">
        <v>134</v>
      </c>
      <c r="J96" s="23">
        <f ca="1">H94*25%</f>
        <v>9.25</v>
      </c>
      <c r="S96"/>
    </row>
    <row r="97" spans="1:19" hidden="1" x14ac:dyDescent="0.3">
      <c r="A97" s="102" t="s">
        <v>121</v>
      </c>
      <c r="B97" s="102"/>
      <c r="C97" s="96">
        <v>0</v>
      </c>
      <c r="D97" s="90">
        <f ca="1">((100/H94)*C97)/100</f>
        <v>0</v>
      </c>
      <c r="E97" s="103">
        <f ca="1">(((C98/H94*10)+(40/(D94+F94+H94)*C99)+(7.5/(H94)*C100)+(7.5/(H94)*C101)+(10/H94*C102)+(10/H94*C103)+(5/H94*C104)+(5/H94*C105)+(5/H94*C106))/100)</f>
        <v>0</v>
      </c>
      <c r="F97" s="103"/>
      <c r="G97" s="103">
        <f ca="1">((((C97/H94)*20)+((C98/H94)*25)+(30/(H94+F94+D94)*C99)+(5/H94*C100)+(5/H94*C101)+(5/H94*C102)+(5/H94*C103)+(0/H94*C104)+(0/H94*C105)+(5/H94*C106))/100)</f>
        <v>0</v>
      </c>
      <c r="H97" s="103"/>
      <c r="I97" s="13" t="s">
        <v>94</v>
      </c>
      <c r="J97" s="24">
        <f ca="1">H94*50%</f>
        <v>18.5</v>
      </c>
    </row>
    <row r="98" spans="1:19" hidden="1" x14ac:dyDescent="0.3">
      <c r="A98" s="102" t="s">
        <v>48</v>
      </c>
      <c r="B98" s="102"/>
      <c r="C98" s="96">
        <v>0</v>
      </c>
      <c r="D98" s="90">
        <f ca="1">((100/H94)*C98)/100</f>
        <v>0</v>
      </c>
      <c r="E98" s="103"/>
      <c r="F98" s="103"/>
      <c r="G98" s="103"/>
      <c r="H98" s="103"/>
      <c r="I98" s="13" t="s">
        <v>95</v>
      </c>
      <c r="J98" s="24">
        <f ca="1">H94</f>
        <v>37</v>
      </c>
      <c r="S98"/>
    </row>
    <row r="99" spans="1:19" ht="15.75" hidden="1" customHeight="1" x14ac:dyDescent="0.3">
      <c r="A99" s="102" t="s">
        <v>122</v>
      </c>
      <c r="B99" s="102"/>
      <c r="C99" s="96">
        <v>0</v>
      </c>
      <c r="D99" s="90">
        <f ca="1">((100/(D94+F94+H94))*C99)/100</f>
        <v>0</v>
      </c>
      <c r="E99" s="103"/>
      <c r="F99" s="103"/>
      <c r="G99" s="103"/>
      <c r="H99" s="103"/>
      <c r="I99" s="13" t="s">
        <v>96</v>
      </c>
      <c r="J99" s="25">
        <f ca="1">(IF(B94&gt;1,(H94/(B94+2)),H94/4))</f>
        <v>9.25</v>
      </c>
      <c r="S99"/>
    </row>
    <row r="100" spans="1:19" ht="15.75" hidden="1" customHeight="1" x14ac:dyDescent="0.3">
      <c r="A100" s="102" t="s">
        <v>129</v>
      </c>
      <c r="B100" s="102" t="s">
        <v>123</v>
      </c>
      <c r="C100" s="96">
        <v>0</v>
      </c>
      <c r="D100" s="90">
        <f ca="1">((100/H94)*C100)/100</f>
        <v>0</v>
      </c>
      <c r="E100" s="103"/>
      <c r="F100" s="103"/>
      <c r="G100" s="103"/>
      <c r="H100" s="103"/>
      <c r="I100" s="13" t="s">
        <v>97</v>
      </c>
      <c r="J100" s="25">
        <f ca="1">(IF(B94&gt;1,(H94/(B94+2)+J99),H94/4+J99))</f>
        <v>18.5</v>
      </c>
    </row>
    <row r="101" spans="1:19" ht="15.75" hidden="1" customHeight="1" x14ac:dyDescent="0.3">
      <c r="A101" s="102" t="s">
        <v>130</v>
      </c>
      <c r="B101" s="102" t="s">
        <v>123</v>
      </c>
      <c r="C101" s="96">
        <v>0</v>
      </c>
      <c r="D101" s="90">
        <f ca="1">((100/H94)*C101)/100</f>
        <v>0</v>
      </c>
      <c r="E101" s="103"/>
      <c r="F101" s="103"/>
      <c r="G101" s="103"/>
      <c r="H101" s="103"/>
      <c r="I101" s="13" t="s">
        <v>139</v>
      </c>
      <c r="J101" s="25">
        <f>(IF(B94&gt;1,(H94/(B94+2)+J100),0))</f>
        <v>0</v>
      </c>
    </row>
    <row r="102" spans="1:19" ht="15" hidden="1" customHeight="1" x14ac:dyDescent="0.3">
      <c r="A102" s="102" t="s">
        <v>128</v>
      </c>
      <c r="B102" s="102" t="s">
        <v>125</v>
      </c>
      <c r="C102" s="96">
        <v>0</v>
      </c>
      <c r="D102" s="90">
        <f ca="1">((100/(H94))*C102)/100</f>
        <v>0</v>
      </c>
      <c r="E102" s="103"/>
      <c r="F102" s="103"/>
      <c r="G102" s="103"/>
      <c r="H102" s="103"/>
      <c r="I102" s="13" t="s">
        <v>136</v>
      </c>
      <c r="J102" s="25">
        <f>(IF(B94&gt;2,(H94/(B94+2)+J101),0))</f>
        <v>0</v>
      </c>
    </row>
    <row r="103" spans="1:19" ht="15.75" hidden="1" customHeight="1" x14ac:dyDescent="0.3">
      <c r="A103" s="102" t="s">
        <v>124</v>
      </c>
      <c r="B103" s="102" t="s">
        <v>124</v>
      </c>
      <c r="C103" s="96">
        <v>0</v>
      </c>
      <c r="D103" s="90">
        <f ca="1">((100/H94)*C103)/100</f>
        <v>0</v>
      </c>
      <c r="E103" s="103"/>
      <c r="F103" s="103"/>
      <c r="G103" s="103"/>
      <c r="H103" s="103"/>
      <c r="I103" s="13" t="s">
        <v>137</v>
      </c>
      <c r="J103" s="26">
        <f>(IF(B94&gt;3,(H94/(B94+2)+J102),0))</f>
        <v>0</v>
      </c>
    </row>
    <row r="104" spans="1:19" ht="15.75" hidden="1" customHeight="1" x14ac:dyDescent="0.3">
      <c r="A104" s="102" t="s">
        <v>131</v>
      </c>
      <c r="B104" s="102"/>
      <c r="C104" s="96">
        <v>0</v>
      </c>
      <c r="D104" s="90">
        <f ca="1">((100/H94)*C104)/100</f>
        <v>0</v>
      </c>
      <c r="E104" s="103"/>
      <c r="F104" s="103"/>
      <c r="G104" s="103"/>
      <c r="H104" s="103"/>
      <c r="I104" s="13" t="s">
        <v>138</v>
      </c>
      <c r="J104" s="25">
        <f>(IF(B94&gt;4,(H94/(B94+2)+J103),0))</f>
        <v>0</v>
      </c>
    </row>
    <row r="105" spans="1:19" ht="15.75" hidden="1" customHeight="1" x14ac:dyDescent="0.3">
      <c r="A105" s="102" t="s">
        <v>126</v>
      </c>
      <c r="B105" s="102" t="s">
        <v>126</v>
      </c>
      <c r="C105" s="96">
        <v>0</v>
      </c>
      <c r="D105" s="90">
        <f ca="1">((100/(H94))*C105)/100</f>
        <v>0</v>
      </c>
      <c r="E105" s="103"/>
      <c r="F105" s="103"/>
      <c r="G105" s="103"/>
      <c r="H105" s="103"/>
      <c r="I105" s="13" t="s">
        <v>140</v>
      </c>
      <c r="J105" s="25">
        <f ca="1">(IF(B94=1,(H94/(B94+3)+J100),IF(B94=0,(H94/4+J100),IF(B94&gt;1,0))))</f>
        <v>27.75</v>
      </c>
    </row>
    <row r="106" spans="1:19" ht="16.2" hidden="1" thickBot="1" x14ac:dyDescent="0.35">
      <c r="A106" s="102" t="s">
        <v>127</v>
      </c>
      <c r="B106" s="102"/>
      <c r="C106" s="96">
        <v>0</v>
      </c>
      <c r="D106" s="90">
        <f ca="1">((100/(H94))*C106)/100</f>
        <v>0</v>
      </c>
      <c r="E106" s="103"/>
      <c r="F106" s="103"/>
      <c r="G106" s="103"/>
      <c r="H106" s="103"/>
      <c r="I106" s="14" t="s">
        <v>98</v>
      </c>
      <c r="J106" s="27">
        <f ca="1">(IF(B94&gt;1.5,(H94/(B94+2)+J100+MAX(0,J101-J100)+MAX(0,J102-J101)+MAX(0,J103-J102)+MAX(0,J104-J103)+MAX(0,J105-J104)),IF(B94=1,(H94/(B94+3)+J105),IF(B94=0,H94/4+J105))))</f>
        <v>37</v>
      </c>
    </row>
    <row r="107" spans="1:19" ht="15.75" customHeight="1" x14ac:dyDescent="0.3">
      <c r="A107" s="100" t="s">
        <v>133</v>
      </c>
      <c r="B107" s="100"/>
      <c r="C107" s="100" t="str">
        <f>D69</f>
        <v>Wing C = Gr + 1st to 37th Floor</v>
      </c>
      <c r="D107" s="100"/>
      <c r="E107" s="100"/>
      <c r="F107" s="100"/>
      <c r="G107" s="100"/>
      <c r="H107" s="100"/>
      <c r="I107" s="97" t="str">
        <f ca="1">IF(D120=100%,"All work Completed. Possession granted to the Building.",IF(D119=100%,"All work Completed, Waiting for OC",I108&amp;""&amp;I109&amp;""&amp;J108&amp;""&amp;J107&amp;" "&amp;J109))</f>
        <v xml:space="preserve">Excavation Completed, Footing work is process </v>
      </c>
      <c r="J107" s="40" t="str">
        <f ca="1">(IF(C113=(D108+F108+H108),"",IF(C113&gt;0,", RCC upto "&amp;C113&amp;" Slab","")))&amp;(IF(C114=H108,"",IF(C114&gt;0,", Brickwork upto "&amp;C114&amp;" Floor","")))&amp;(IF(C115=H108,"",IF(C115&gt;0,", Internal Plaster upto "&amp;C115&amp;" Floor","")))&amp;(IF(C116=H108,"",IF(C116&gt;0,", External Plaster upto "&amp;C116&amp;" Floor","")))&amp;(IF(C117=H108,"",IF(C117&gt;0,", Flooring upto "&amp;C117&amp;" Floor","")))&amp;(IF(C118=H108,"",IF(C118&gt;0,", Painting upto "&amp;C118&amp;" Floor","")))&amp;(IF(C119=H108,"",IF(C119&gt;0,", Finishing upto "&amp;C119&amp;" Floor","")))&amp;(IF(C120=H108,"",IF(C120&gt;0,", Possession upto "&amp;C120&amp;" Floor","")))</f>
        <v/>
      </c>
      <c r="S107"/>
    </row>
    <row r="108" spans="1:19" x14ac:dyDescent="0.3">
      <c r="A108" s="42" t="s">
        <v>135</v>
      </c>
      <c r="B108" s="42">
        <f>IF(AND(ISNUMBER(SEARCH("1B",C107))),1,IF(AND(ISNUMBER(SEARCH("2B",C107))),2,IF(AND(ISNUMBER(SEARCH("3B",C107))),3,IF(AND(ISNUMBER(SEARCH("4B",C107))),4,IF(ISNUMBER(SEARCH("5B",C107)),5,0)))))</f>
        <v>0</v>
      </c>
      <c r="C108" s="42" t="s">
        <v>68</v>
      </c>
      <c r="D108" s="42">
        <v>1</v>
      </c>
      <c r="E108" s="42" t="s">
        <v>67</v>
      </c>
      <c r="F108" s="42">
        <v>0</v>
      </c>
      <c r="G108" s="42" t="s">
        <v>76</v>
      </c>
      <c r="H108" s="42">
        <f ca="1">--TRIM(RIGHT(SUBSTITUTE(LEFT(C107,_xlfn.AGGREGATE(16,6,FIND({0,1,2,3,4,5,6,7,8,9},C107,ROW(INDIRECT("1:"&amp;LEN(C107)))),1))," ",REPT(" ",LEN(C107))),LEN(C107)))</f>
        <v>37</v>
      </c>
      <c r="I108" s="98" t="str">
        <f ca="1">IF(D111=100%,"Excavation","")&amp;IF(D112=100%,", Plinth","")&amp;IF(D113=100%,", RCC Slab","")&amp;IF(D114=100%,", Brickwork","")&amp;IF(D115=100%,", Internal Plaster","")&amp;IF(D116=100%,", External Plaster","")&amp;IF(D117=100%,", Flooring","")&amp;IF(D118=100%,", Painting","")&amp;IF(D119=100%,", Building common Amenities","")</f>
        <v>Excavation</v>
      </c>
      <c r="J108" s="41" t="str">
        <f ca="1">(IF(C111=0,"Work not yet Started.",IF(D111=25%,"Piling work in process",IF(D111=50%,"Excavation work in process",IF(D111=100%,"","0")))))&amp;(IF(C112=0%,"",IF(C112=J113,", Footing work is process",IF(C112=J114,", Footing work Completed",IF(C112=J115,", 1st Basement Completed",IF(C112=J116,", 1st &amp; 2nd Basement Completed",IF(C112=J117,", 1st to 3rd Basement Completed",IF(C112=J118,", 1st to 4th Basement Completed",IF(C112=J119,", Plinth work is process",IF(C112=J120,"","0"))))))))))</f>
        <v>, Footing work is process</v>
      </c>
      <c r="S108"/>
    </row>
    <row r="109" spans="1:19" x14ac:dyDescent="0.3">
      <c r="A109" s="101" t="s">
        <v>86</v>
      </c>
      <c r="B109" s="101"/>
      <c r="C109" s="100" t="str">
        <f ca="1">I107</f>
        <v xml:space="preserve">Excavation Completed, Footing work is process </v>
      </c>
      <c r="D109" s="100"/>
      <c r="E109" s="100"/>
      <c r="F109" s="100"/>
      <c r="G109" s="100"/>
      <c r="H109" s="100"/>
      <c r="I109" s="98" t="str">
        <f ca="1">IF(I108&lt;&gt;""," Completed","")</f>
        <v xml:space="preserve"> Completed</v>
      </c>
      <c r="J109" s="41" t="str">
        <f ca="1">IF(J107&lt;&gt;"","Completed","")</f>
        <v/>
      </c>
      <c r="S109"/>
    </row>
    <row r="110" spans="1:19" ht="15.75" customHeight="1" x14ac:dyDescent="0.3">
      <c r="A110" s="102" t="s">
        <v>47</v>
      </c>
      <c r="B110" s="102"/>
      <c r="C110" s="96" t="s">
        <v>132</v>
      </c>
      <c r="D110" s="96" t="s">
        <v>79</v>
      </c>
      <c r="E110" s="102" t="s">
        <v>81</v>
      </c>
      <c r="F110" s="102"/>
      <c r="G110" s="102" t="s">
        <v>80</v>
      </c>
      <c r="H110" s="102"/>
      <c r="I110" s="13" t="s">
        <v>134</v>
      </c>
      <c r="J110" s="23">
        <f ca="1">H108*25%</f>
        <v>9.25</v>
      </c>
      <c r="S110"/>
    </row>
    <row r="111" spans="1:19" x14ac:dyDescent="0.3">
      <c r="A111" s="102" t="s">
        <v>121</v>
      </c>
      <c r="B111" s="102"/>
      <c r="C111" s="96">
        <f ca="1">J112</f>
        <v>37</v>
      </c>
      <c r="D111" s="90">
        <f ca="1">((100/H108)*C111)/100</f>
        <v>1</v>
      </c>
      <c r="E111" s="103">
        <f ca="1">(((C112/H108*10)+(40/(D108+F108+H108)*C113)+(7.5/(H108)*C114)+(7.5/(H108)*C115)+(10/H108*C116)+(10/H108*C117)+(5/H108*C118)+(5/H108*C119)+(5/H108*C120))/100)</f>
        <v>2.5000000000000001E-2</v>
      </c>
      <c r="F111" s="103"/>
      <c r="G111" s="103">
        <f ca="1">((((C111/H108)*20)+((C112/H108)*25)+(30/(H108+F108+D108)*C113)+(5/H108*C114)+(5/H108*C115)+(5/H108*C116)+(5/H108*C117)+(0/H108*C118)+(0/H108*C119)+(5/H108*C120))/100)</f>
        <v>0.26250000000000001</v>
      </c>
      <c r="H111" s="103"/>
      <c r="I111" s="13" t="s">
        <v>94</v>
      </c>
      <c r="J111" s="24">
        <f ca="1">H108*50%</f>
        <v>18.5</v>
      </c>
    </row>
    <row r="112" spans="1:19" x14ac:dyDescent="0.3">
      <c r="A112" s="102" t="s">
        <v>48</v>
      </c>
      <c r="B112" s="102"/>
      <c r="C112" s="99">
        <f ca="1">J113</f>
        <v>9.25</v>
      </c>
      <c r="D112" s="90">
        <f ca="1">((100/H108)*C112)/100</f>
        <v>0.25</v>
      </c>
      <c r="E112" s="103"/>
      <c r="F112" s="103"/>
      <c r="G112" s="103"/>
      <c r="H112" s="103"/>
      <c r="I112" s="13" t="s">
        <v>95</v>
      </c>
      <c r="J112" s="24">
        <f ca="1">H108</f>
        <v>37</v>
      </c>
      <c r="S112"/>
    </row>
    <row r="113" spans="1:19" ht="15.75" customHeight="1" x14ac:dyDescent="0.3">
      <c r="A113" s="102" t="s">
        <v>122</v>
      </c>
      <c r="B113" s="102"/>
      <c r="C113" s="96">
        <v>0</v>
      </c>
      <c r="D113" s="90">
        <f ca="1">((100/(D108+F108+H108))*C113)/100</f>
        <v>0</v>
      </c>
      <c r="E113" s="103"/>
      <c r="F113" s="103"/>
      <c r="G113" s="103"/>
      <c r="H113" s="103"/>
      <c r="I113" s="13" t="s">
        <v>96</v>
      </c>
      <c r="J113" s="25">
        <f ca="1">(IF(B108&gt;1,(H108/(B108+2)),H108/4))</f>
        <v>9.25</v>
      </c>
      <c r="S113"/>
    </row>
    <row r="114" spans="1:19" ht="15.75" customHeight="1" x14ac:dyDescent="0.3">
      <c r="A114" s="102" t="s">
        <v>129</v>
      </c>
      <c r="B114" s="102" t="s">
        <v>123</v>
      </c>
      <c r="C114" s="96">
        <v>0</v>
      </c>
      <c r="D114" s="90">
        <f ca="1">((100/H108)*C114)/100</f>
        <v>0</v>
      </c>
      <c r="E114" s="103"/>
      <c r="F114" s="103"/>
      <c r="G114" s="103"/>
      <c r="H114" s="103"/>
      <c r="I114" s="13" t="s">
        <v>97</v>
      </c>
      <c r="J114" s="25">
        <f ca="1">(IF(B108&gt;1,(H108/(B108+2)+J113),H108/4+J113))</f>
        <v>18.5</v>
      </c>
    </row>
    <row r="115" spans="1:19" ht="15.75" customHeight="1" x14ac:dyDescent="0.3">
      <c r="A115" s="102" t="s">
        <v>130</v>
      </c>
      <c r="B115" s="102" t="s">
        <v>123</v>
      </c>
      <c r="C115" s="96">
        <v>0</v>
      </c>
      <c r="D115" s="90">
        <f ca="1">((100/H108)*C115)/100</f>
        <v>0</v>
      </c>
      <c r="E115" s="103"/>
      <c r="F115" s="103"/>
      <c r="G115" s="103"/>
      <c r="H115" s="103"/>
      <c r="I115" s="13" t="s">
        <v>139</v>
      </c>
      <c r="J115" s="25">
        <f>(IF(B108&gt;1,(H108/(B108+2)+J114),0))</f>
        <v>0</v>
      </c>
    </row>
    <row r="116" spans="1:19" ht="15" customHeight="1" x14ac:dyDescent="0.3">
      <c r="A116" s="102" t="s">
        <v>128</v>
      </c>
      <c r="B116" s="102" t="s">
        <v>125</v>
      </c>
      <c r="C116" s="96">
        <v>0</v>
      </c>
      <c r="D116" s="90">
        <f ca="1">((100/(H108))*C116)/100</f>
        <v>0</v>
      </c>
      <c r="E116" s="103"/>
      <c r="F116" s="103"/>
      <c r="G116" s="103"/>
      <c r="H116" s="103"/>
      <c r="I116" s="13" t="s">
        <v>136</v>
      </c>
      <c r="J116" s="25">
        <f>(IF(B108&gt;2,(H108/(B108+2)+J115),0))</f>
        <v>0</v>
      </c>
    </row>
    <row r="117" spans="1:19" ht="15.75" customHeight="1" x14ac:dyDescent="0.3">
      <c r="A117" s="102" t="s">
        <v>124</v>
      </c>
      <c r="B117" s="102" t="s">
        <v>124</v>
      </c>
      <c r="C117" s="96">
        <v>0</v>
      </c>
      <c r="D117" s="90">
        <f ca="1">((100/H108)*C117)/100</f>
        <v>0</v>
      </c>
      <c r="E117" s="103"/>
      <c r="F117" s="103"/>
      <c r="G117" s="103"/>
      <c r="H117" s="103"/>
      <c r="I117" s="13" t="s">
        <v>137</v>
      </c>
      <c r="J117" s="26">
        <f>(IF(B108&gt;3,(H108/(B108+2)+J116),0))</f>
        <v>0</v>
      </c>
    </row>
    <row r="118" spans="1:19" ht="15.75" customHeight="1" x14ac:dyDescent="0.3">
      <c r="A118" s="102" t="s">
        <v>131</v>
      </c>
      <c r="B118" s="102"/>
      <c r="C118" s="96">
        <v>0</v>
      </c>
      <c r="D118" s="90">
        <f ca="1">((100/H108)*C118)/100</f>
        <v>0</v>
      </c>
      <c r="E118" s="103"/>
      <c r="F118" s="103"/>
      <c r="G118" s="103"/>
      <c r="H118" s="103"/>
      <c r="I118" s="13" t="s">
        <v>138</v>
      </c>
      <c r="J118" s="25">
        <f>(IF(B108&gt;4,(H108/(B108+2)+J117),0))</f>
        <v>0</v>
      </c>
    </row>
    <row r="119" spans="1:19" ht="15.75" customHeight="1" x14ac:dyDescent="0.3">
      <c r="A119" s="102" t="s">
        <v>126</v>
      </c>
      <c r="B119" s="102" t="s">
        <v>126</v>
      </c>
      <c r="C119" s="96">
        <v>0</v>
      </c>
      <c r="D119" s="90">
        <f ca="1">((100/(H108))*C119)/100</f>
        <v>0</v>
      </c>
      <c r="E119" s="103"/>
      <c r="F119" s="103"/>
      <c r="G119" s="103"/>
      <c r="H119" s="103"/>
      <c r="I119" s="13" t="s">
        <v>140</v>
      </c>
      <c r="J119" s="25">
        <f ca="1">(IF(B108=1,(H108/(B108+3)+J114),IF(B108=0,(H108/4+J114),IF(B108&gt;1,0))))</f>
        <v>27.75</v>
      </c>
    </row>
    <row r="120" spans="1:19" ht="16.2" thickBot="1" x14ac:dyDescent="0.35">
      <c r="A120" s="102" t="s">
        <v>127</v>
      </c>
      <c r="B120" s="102"/>
      <c r="C120" s="96">
        <v>0</v>
      </c>
      <c r="D120" s="90">
        <f ca="1">((100/(H108))*C120)/100</f>
        <v>0</v>
      </c>
      <c r="E120" s="103"/>
      <c r="F120" s="103"/>
      <c r="G120" s="103"/>
      <c r="H120" s="103"/>
      <c r="I120" s="14" t="s">
        <v>98</v>
      </c>
      <c r="J120" s="27">
        <f ca="1">(IF(B108&gt;1.5,(H108/(B108+2)+J114+MAX(0,J115-J114)+MAX(0,J116-J115)+MAX(0,J117-J116)+MAX(0,J118-J117)+MAX(0,J119-J118)),IF(B108=1,(H108/(B108+3)+J119),IF(B108=0,H108/4+J119))))</f>
        <v>37</v>
      </c>
    </row>
    <row r="121" spans="1:19" ht="15.75" customHeight="1" x14ac:dyDescent="0.3">
      <c r="A121" s="202" t="s">
        <v>133</v>
      </c>
      <c r="B121" s="202"/>
      <c r="C121" s="100" t="s">
        <v>447</v>
      </c>
      <c r="D121" s="100"/>
      <c r="E121" s="100"/>
      <c r="F121" s="100"/>
      <c r="G121" s="100"/>
      <c r="H121" s="100"/>
      <c r="I121" s="97" t="str">
        <f ca="1">IF(D134=100%,"All work Completed. Possession granted to the Building.",IF(D133=100%,"All work Completed, Waiting for OC",I122&amp;""&amp;I123&amp;""&amp;J122&amp;""&amp;J121&amp;" "&amp;J123))</f>
        <v xml:space="preserve">Excavation Completed, Footing work is process </v>
      </c>
      <c r="J121" s="40" t="str">
        <f ca="1">(IF(C127=(D122+F122+H122),"",IF(C127&gt;0,", RCC upto "&amp;C127&amp;" Slab","")))&amp;(IF(C128=H122,"",IF(C128&gt;0,", Brickwork upto "&amp;C128&amp;" Floor","")))&amp;(IF(C129=H122,"",IF(C129&gt;0,", Internal Plaster upto "&amp;C129&amp;" Floor","")))&amp;(IF(C130=H122,"",IF(C130&gt;0,", External Plaster upto "&amp;C130&amp;" Floor","")))&amp;(IF(C131=H122,"",IF(C131&gt;0,", Flooring upto "&amp;C131&amp;" Floor","")))&amp;(IF(C132=H122,"",IF(C132&gt;0,", Painting upto "&amp;C132&amp;" Floor","")))&amp;(IF(C133=H122,"",IF(C133&gt;0,", Finishing upto "&amp;C133&amp;" Floor","")))&amp;(IF(C134=H122,"",IF(C134&gt;0,", Possession upto "&amp;C134&amp;" Floor","")))</f>
        <v/>
      </c>
      <c r="S121"/>
    </row>
    <row r="122" spans="1:19" x14ac:dyDescent="0.3">
      <c r="A122" s="42" t="s">
        <v>135</v>
      </c>
      <c r="B122" s="42">
        <f>IF(AND(ISNUMBER(SEARCH("1B",C121))),1,IF(AND(ISNUMBER(SEARCH("2B",C121))),2,IF(AND(ISNUMBER(SEARCH("3B",C121))),3,IF(AND(ISNUMBER(SEARCH("4B",C121))),4,IF(ISNUMBER(SEARCH("5B",C121)),5,0)))))</f>
        <v>0</v>
      </c>
      <c r="C122" s="42" t="s">
        <v>68</v>
      </c>
      <c r="D122" s="42">
        <v>1</v>
      </c>
      <c r="E122" s="42" t="s">
        <v>67</v>
      </c>
      <c r="F122" s="42">
        <v>0</v>
      </c>
      <c r="G122" s="42" t="s">
        <v>76</v>
      </c>
      <c r="H122" s="42">
        <f ca="1">--TRIM(RIGHT(SUBSTITUTE(LEFT(C121,_xlfn.AGGREGATE(16,6,FIND({0,1,2,3,4,5,6,7,8,9},C121,ROW(INDIRECT("1:"&amp;LEN(C121)))),1))," ",REPT(" ",LEN(C121))),LEN(C121)))</f>
        <v>37</v>
      </c>
      <c r="I122" s="98" t="str">
        <f ca="1">IF(D125=100%,"Excavation","")&amp;IF(D126=100%,", Plinth","")&amp;IF(D127=100%,", RCC Slab","")&amp;IF(D128=100%,", Brickwork","")&amp;IF(D129=100%,", Internal Plaster","")&amp;IF(D130=100%,", External Plaster","")&amp;IF(D131=100%,", Flooring","")&amp;IF(D132=100%,", Painting","")&amp;IF(D133=100%,", Building common Amenities","")</f>
        <v>Excavation</v>
      </c>
      <c r="J122" s="41" t="str">
        <f ca="1">(IF(C125=0,"Work not yet Started.",IF(D125=25%,"Piling work in process",IF(D125=50%,"Excavation work in process",IF(D125=100%,"","0")))))&amp;(IF(C126=0%,"",IF(C126=J127,", Footing work is process",IF(C126=J128,", Footing work Completed",IF(C126=J129,", 1st Basement Completed",IF(C126=J130,", 1st &amp; 2nd Basement Completed",IF(C126=J131,", 1st to 3rd Basement Completed",IF(C126=J132,", 1st to 4th Basement Completed",IF(C126=J133,", Plinth work is process",IF(C126=J134,"","0"))))))))))</f>
        <v>, Footing work is process</v>
      </c>
      <c r="S122"/>
    </row>
    <row r="123" spans="1:19" x14ac:dyDescent="0.3">
      <c r="A123" s="101" t="s">
        <v>86</v>
      </c>
      <c r="B123" s="101"/>
      <c r="C123" s="100" t="str">
        <f ca="1">I121</f>
        <v xml:space="preserve">Excavation Completed, Footing work is process </v>
      </c>
      <c r="D123" s="100"/>
      <c r="E123" s="100"/>
      <c r="F123" s="100"/>
      <c r="G123" s="100"/>
      <c r="H123" s="100"/>
      <c r="I123" s="98" t="str">
        <f ca="1">IF(I122&lt;&gt;""," Completed","")</f>
        <v xml:space="preserve"> Completed</v>
      </c>
      <c r="J123" s="41" t="str">
        <f ca="1">IF(J121&lt;&gt;"","Completed","")</f>
        <v/>
      </c>
      <c r="S123"/>
    </row>
    <row r="124" spans="1:19" ht="15.75" customHeight="1" x14ac:dyDescent="0.3">
      <c r="A124" s="135" t="s">
        <v>47</v>
      </c>
      <c r="B124" s="135"/>
      <c r="C124" s="96" t="s">
        <v>132</v>
      </c>
      <c r="D124" s="96" t="s">
        <v>79</v>
      </c>
      <c r="E124" s="102" t="s">
        <v>81</v>
      </c>
      <c r="F124" s="102"/>
      <c r="G124" s="102" t="s">
        <v>80</v>
      </c>
      <c r="H124" s="102"/>
      <c r="I124" s="13" t="s">
        <v>134</v>
      </c>
      <c r="J124" s="23">
        <f ca="1">H122*25%</f>
        <v>9.25</v>
      </c>
      <c r="S124"/>
    </row>
    <row r="125" spans="1:19" x14ac:dyDescent="0.3">
      <c r="A125" s="135" t="s">
        <v>121</v>
      </c>
      <c r="B125" s="135"/>
      <c r="C125" s="96">
        <f ca="1">J126</f>
        <v>37</v>
      </c>
      <c r="D125" s="90">
        <f ca="1">((100/H122)*C125)/100</f>
        <v>1</v>
      </c>
      <c r="E125" s="103">
        <f ca="1">(((C126/H122*10)+(40/(D122+F122+H122)*C127)+(7.5/(H122)*C128)+(7.5/(H122)*C129)+(10/H122*C130)+(10/H122*C131)+(5/H122*C132)+(5/H122*C133)+(5/H122*C134))/100)</f>
        <v>2.5000000000000001E-2</v>
      </c>
      <c r="F125" s="103"/>
      <c r="G125" s="103">
        <f ca="1">((((C125/H122)*20)+((C126/H122)*25)+(30/(H122+F122+D122)*C127)+(5/H122*C128)+(5/H122*C129)+(5/H122*C130)+(5/H122*C131)+(0/H122*C132)+(0/H122*C133)+(5/H122*C134))/100)</f>
        <v>0.26250000000000001</v>
      </c>
      <c r="H125" s="103"/>
      <c r="I125" s="13" t="s">
        <v>94</v>
      </c>
      <c r="J125" s="24">
        <f ca="1">H122*50%</f>
        <v>18.5</v>
      </c>
    </row>
    <row r="126" spans="1:19" x14ac:dyDescent="0.3">
      <c r="A126" s="135" t="s">
        <v>48</v>
      </c>
      <c r="B126" s="135"/>
      <c r="C126" s="99">
        <f ca="1">J127</f>
        <v>9.25</v>
      </c>
      <c r="D126" s="90">
        <f ca="1">((100/H122)*C126)/100</f>
        <v>0.25</v>
      </c>
      <c r="E126" s="103"/>
      <c r="F126" s="103"/>
      <c r="G126" s="103"/>
      <c r="H126" s="103"/>
      <c r="I126" s="13" t="s">
        <v>95</v>
      </c>
      <c r="J126" s="24">
        <f ca="1">H122</f>
        <v>37</v>
      </c>
      <c r="S126"/>
    </row>
    <row r="127" spans="1:19" ht="15.75" customHeight="1" x14ac:dyDescent="0.3">
      <c r="A127" s="135" t="s">
        <v>122</v>
      </c>
      <c r="B127" s="135"/>
      <c r="C127" s="96">
        <v>0</v>
      </c>
      <c r="D127" s="90">
        <f ca="1">((100/(D122+F122+H122))*C127)/100</f>
        <v>0</v>
      </c>
      <c r="E127" s="103"/>
      <c r="F127" s="103"/>
      <c r="G127" s="103"/>
      <c r="H127" s="103"/>
      <c r="I127" s="13" t="s">
        <v>96</v>
      </c>
      <c r="J127" s="25">
        <f ca="1">(IF(B122&gt;1,(H122/(B122+2)),H122/4))</f>
        <v>9.25</v>
      </c>
      <c r="S127"/>
    </row>
    <row r="128" spans="1:19" ht="15.75" customHeight="1" x14ac:dyDescent="0.3">
      <c r="A128" s="135" t="s">
        <v>129</v>
      </c>
      <c r="B128" s="135" t="s">
        <v>123</v>
      </c>
      <c r="C128" s="96">
        <v>0</v>
      </c>
      <c r="D128" s="90">
        <f ca="1">((100/H122)*C128)/100</f>
        <v>0</v>
      </c>
      <c r="E128" s="103"/>
      <c r="F128" s="103"/>
      <c r="G128" s="103"/>
      <c r="H128" s="103"/>
      <c r="I128" s="13" t="s">
        <v>97</v>
      </c>
      <c r="J128" s="25">
        <f ca="1">(IF(B122&gt;1,(H122/(B122+2)+J127),H122/4+J127))</f>
        <v>18.5</v>
      </c>
    </row>
    <row r="129" spans="1:19" ht="15.75" customHeight="1" x14ac:dyDescent="0.3">
      <c r="A129" s="135" t="s">
        <v>130</v>
      </c>
      <c r="B129" s="135" t="s">
        <v>123</v>
      </c>
      <c r="C129" s="96">
        <v>0</v>
      </c>
      <c r="D129" s="90">
        <f ca="1">((100/H122)*C129)/100</f>
        <v>0</v>
      </c>
      <c r="E129" s="103"/>
      <c r="F129" s="103"/>
      <c r="G129" s="103"/>
      <c r="H129" s="103"/>
      <c r="I129" s="13" t="s">
        <v>139</v>
      </c>
      <c r="J129" s="25">
        <f>(IF(B122&gt;1,(H122/(B122+2)+J128),0))</f>
        <v>0</v>
      </c>
    </row>
    <row r="130" spans="1:19" ht="15" customHeight="1" x14ac:dyDescent="0.3">
      <c r="A130" s="135" t="s">
        <v>128</v>
      </c>
      <c r="B130" s="135" t="s">
        <v>125</v>
      </c>
      <c r="C130" s="96">
        <v>0</v>
      </c>
      <c r="D130" s="90">
        <f ca="1">((100/(H122))*C130)/100</f>
        <v>0</v>
      </c>
      <c r="E130" s="103"/>
      <c r="F130" s="103"/>
      <c r="G130" s="103"/>
      <c r="H130" s="103"/>
      <c r="I130" s="13" t="s">
        <v>136</v>
      </c>
      <c r="J130" s="25">
        <f>(IF(B122&gt;2,(H122/(B122+2)+J129),0))</f>
        <v>0</v>
      </c>
    </row>
    <row r="131" spans="1:19" ht="15.75" customHeight="1" x14ac:dyDescent="0.3">
      <c r="A131" s="135" t="s">
        <v>124</v>
      </c>
      <c r="B131" s="135" t="s">
        <v>124</v>
      </c>
      <c r="C131" s="96">
        <v>0</v>
      </c>
      <c r="D131" s="90">
        <f ca="1">((100/H122)*C131)/100</f>
        <v>0</v>
      </c>
      <c r="E131" s="103"/>
      <c r="F131" s="103"/>
      <c r="G131" s="103"/>
      <c r="H131" s="103"/>
      <c r="I131" s="13" t="s">
        <v>137</v>
      </c>
      <c r="J131" s="26">
        <f>(IF(B122&gt;3,(H122/(B122+2)+J130),0))</f>
        <v>0</v>
      </c>
    </row>
    <row r="132" spans="1:19" ht="15.75" customHeight="1" x14ac:dyDescent="0.3">
      <c r="A132" s="135" t="s">
        <v>131</v>
      </c>
      <c r="B132" s="135"/>
      <c r="C132" s="96">
        <v>0</v>
      </c>
      <c r="D132" s="90">
        <f ca="1">((100/H122)*C132)/100</f>
        <v>0</v>
      </c>
      <c r="E132" s="103"/>
      <c r="F132" s="103"/>
      <c r="G132" s="103"/>
      <c r="H132" s="103"/>
      <c r="I132" s="13" t="s">
        <v>138</v>
      </c>
      <c r="J132" s="25">
        <f>(IF(B122&gt;4,(H122/(B122+2)+J131),0))</f>
        <v>0</v>
      </c>
    </row>
    <row r="133" spans="1:19" ht="15.75" customHeight="1" x14ac:dyDescent="0.3">
      <c r="A133" s="135" t="s">
        <v>126</v>
      </c>
      <c r="B133" s="135" t="s">
        <v>126</v>
      </c>
      <c r="C133" s="96">
        <v>0</v>
      </c>
      <c r="D133" s="90">
        <f ca="1">((100/(H122))*C133)/100</f>
        <v>0</v>
      </c>
      <c r="E133" s="103"/>
      <c r="F133" s="103"/>
      <c r="G133" s="103"/>
      <c r="H133" s="103"/>
      <c r="I133" s="13" t="s">
        <v>140</v>
      </c>
      <c r="J133" s="25">
        <f ca="1">(IF(B122=1,(H122/(B122+3)+J128),IF(B122=0,(H122/4+J128),IF(B122&gt;1,0))))</f>
        <v>27.75</v>
      </c>
    </row>
    <row r="134" spans="1:19" ht="16.2" thickBot="1" x14ac:dyDescent="0.35">
      <c r="A134" s="135" t="s">
        <v>127</v>
      </c>
      <c r="B134" s="135"/>
      <c r="C134" s="96">
        <v>0</v>
      </c>
      <c r="D134" s="90">
        <f ca="1">((100/(H122))*C134)/100</f>
        <v>0</v>
      </c>
      <c r="E134" s="103"/>
      <c r="F134" s="103"/>
      <c r="G134" s="103"/>
      <c r="H134" s="103"/>
      <c r="I134" s="14" t="s">
        <v>98</v>
      </c>
      <c r="J134" s="27">
        <f ca="1">(IF(B122&gt;1.5,(H122/(B122+2)+J128+MAX(0,J129-J128)+MAX(0,J130-J129)+MAX(0,J131-J130)+MAX(0,J132-J131)+MAX(0,J133-J132)),IF(B122=1,(H122/(B122+3)+J133),IF(B122=0,H122/4+J133))))</f>
        <v>37</v>
      </c>
    </row>
    <row r="135" spans="1:19" ht="15.75" hidden="1" customHeight="1" x14ac:dyDescent="0.3">
      <c r="A135" s="202" t="s">
        <v>133</v>
      </c>
      <c r="B135" s="202"/>
      <c r="C135" s="100" t="str">
        <f>D71</f>
        <v>Wing E = Gr + 1st to 37th Floor</v>
      </c>
      <c r="D135" s="100"/>
      <c r="E135" s="100"/>
      <c r="F135" s="100"/>
      <c r="G135" s="100"/>
      <c r="H135" s="100"/>
      <c r="I135" s="97" t="str">
        <f ca="1">IF(D148=100%,"All work Completed. Possession granted to the Building.",IF(D147=100%,"All work Completed, Waiting for OC",I136&amp;""&amp;I137&amp;""&amp;J136&amp;""&amp;J135&amp;" "&amp;J137))</f>
        <v xml:space="preserve">Work not yet Started. </v>
      </c>
      <c r="J135" s="40" t="str">
        <f ca="1">(IF(C141=(D136+F136+H136),"",IF(C141&gt;0,", RCC upto "&amp;C141&amp;" Slab","")))&amp;(IF(C142=H136,"",IF(C142&gt;0,", Brickwork upto "&amp;C142&amp;" Floor","")))&amp;(IF(C143=H136,"",IF(C143&gt;0,", Internal Plaster upto "&amp;C143&amp;" Floor","")))&amp;(IF(C144=H136,"",IF(C144&gt;0,", External Plaster upto "&amp;C144&amp;" Floor","")))&amp;(IF(C145=H136,"",IF(C145&gt;0,", Flooring upto "&amp;C145&amp;" Floor","")))&amp;(IF(C146=H136,"",IF(C146&gt;0,", Painting upto "&amp;C146&amp;" Floor","")))&amp;(IF(C147=H136,"",IF(C147&gt;0,", Finishing upto "&amp;C147&amp;" Floor","")))&amp;(IF(C148=H136,"",IF(C148&gt;0,", Possession upto "&amp;C148&amp;" Floor","")))</f>
        <v/>
      </c>
      <c r="S135"/>
    </row>
    <row r="136" spans="1:19" hidden="1" x14ac:dyDescent="0.3">
      <c r="A136" s="42" t="s">
        <v>135</v>
      </c>
      <c r="B136" s="42">
        <f>IF(AND(ISNUMBER(SEARCH("1B",C135))),1,IF(AND(ISNUMBER(SEARCH("2B",C135))),2,IF(AND(ISNUMBER(SEARCH("3B",C135))),3,IF(AND(ISNUMBER(SEARCH("4B",C135))),4,IF(ISNUMBER(SEARCH("5B",C135)),5,0)))))</f>
        <v>0</v>
      </c>
      <c r="C136" s="42" t="s">
        <v>68</v>
      </c>
      <c r="D136" s="42">
        <v>1</v>
      </c>
      <c r="E136" s="42" t="s">
        <v>67</v>
      </c>
      <c r="F136" s="42">
        <v>0</v>
      </c>
      <c r="G136" s="42" t="s">
        <v>76</v>
      </c>
      <c r="H136" s="42">
        <f ca="1">--TRIM(RIGHT(SUBSTITUTE(LEFT(C135,_xlfn.AGGREGATE(16,6,FIND({0,1,2,3,4,5,6,7,8,9},C135,ROW(INDIRECT("1:"&amp;LEN(C135)))),1))," ",REPT(" ",LEN(C135))),LEN(C135)))</f>
        <v>37</v>
      </c>
      <c r="I136" s="98" t="str">
        <f ca="1">IF(D139=100%,"Excavation","")&amp;IF(D140=100%,", Plinth","")&amp;IF(D141=100%,", RCC Slab","")&amp;IF(D142=100%,", Brickwork","")&amp;IF(D143=100%,", Internal Plaster","")&amp;IF(D144=100%,", External Plaster","")&amp;IF(D145=100%,", Flooring","")&amp;IF(D146=100%,", Painting","")&amp;IF(D147=100%,", Building common Amenities","")</f>
        <v/>
      </c>
      <c r="J136" s="41" t="str">
        <f>(IF(C139=0,"Work not yet Started.",IF(D139=25%,"Piling work in process",IF(D139=50%,"Excavation work in process",IF(D139=100%,"","0")))))&amp;(IF(C140=0%,"",IF(C140=J141,", Footing work is process",IF(C140=J142,", Footing work Completed",IF(C140=J143,", 1st Basement Completed",IF(C140=J144,", 1st &amp; 2nd Basement Completed",IF(C140=J145,", 1st to 3rd Basement Completed",IF(C140=J146,", 1st to 4th Basement Completed",IF(C140=J147,", Plinth work is process",IF(C140=J148,"","0"))))))))))</f>
        <v>Work not yet Started.</v>
      </c>
      <c r="S136"/>
    </row>
    <row r="137" spans="1:19" hidden="1" x14ac:dyDescent="0.3">
      <c r="A137" s="101" t="s">
        <v>86</v>
      </c>
      <c r="B137" s="101"/>
      <c r="C137" s="100" t="str">
        <f ca="1">I135</f>
        <v xml:space="preserve">Work not yet Started. </v>
      </c>
      <c r="D137" s="100"/>
      <c r="E137" s="100"/>
      <c r="F137" s="100"/>
      <c r="G137" s="100"/>
      <c r="H137" s="100"/>
      <c r="I137" s="98" t="str">
        <f ca="1">IF(I136&lt;&gt;""," Completed","")</f>
        <v/>
      </c>
      <c r="J137" s="41" t="str">
        <f ca="1">IF(J135&lt;&gt;"","Completed","")</f>
        <v/>
      </c>
      <c r="S137"/>
    </row>
    <row r="138" spans="1:19" ht="15.75" hidden="1" customHeight="1" x14ac:dyDescent="0.3">
      <c r="A138" s="135" t="s">
        <v>47</v>
      </c>
      <c r="B138" s="135"/>
      <c r="C138" s="96" t="s">
        <v>132</v>
      </c>
      <c r="D138" s="96" t="s">
        <v>79</v>
      </c>
      <c r="E138" s="102" t="s">
        <v>81</v>
      </c>
      <c r="F138" s="102"/>
      <c r="G138" s="102" t="s">
        <v>80</v>
      </c>
      <c r="H138" s="102"/>
      <c r="I138" s="13" t="s">
        <v>134</v>
      </c>
      <c r="J138" s="23">
        <f ca="1">H136*25%</f>
        <v>9.25</v>
      </c>
      <c r="S138"/>
    </row>
    <row r="139" spans="1:19" hidden="1" x14ac:dyDescent="0.3">
      <c r="A139" s="135" t="s">
        <v>121</v>
      </c>
      <c r="B139" s="135"/>
      <c r="C139" s="96">
        <v>0</v>
      </c>
      <c r="D139" s="90">
        <f ca="1">((100/H136)*C139)/100</f>
        <v>0</v>
      </c>
      <c r="E139" s="103">
        <f ca="1">(((C140/H136*10)+(40/(D136+F136+H136)*C141)+(7.5/(H136)*C142)+(7.5/(H136)*C143)+(10/H136*C144)+(10/H136*C145)+(5/H136*C146)+(5/H136*C147)+(5/H136*C148))/100)</f>
        <v>0</v>
      </c>
      <c r="F139" s="103"/>
      <c r="G139" s="103">
        <f ca="1">((((C139/H136)*20)+((C140/H136)*25)+(30/(H136+F136+D136)*C141)+(5/H136*C142)+(5/H136*C143)+(5/H136*C144)+(5/H136*C145)+(0/H136*C146)+(0/H136*C147)+(5/H136*C148))/100)</f>
        <v>0</v>
      </c>
      <c r="H139" s="103"/>
      <c r="I139" s="13" t="s">
        <v>94</v>
      </c>
      <c r="J139" s="24">
        <f ca="1">H136*50%</f>
        <v>18.5</v>
      </c>
    </row>
    <row r="140" spans="1:19" hidden="1" x14ac:dyDescent="0.3">
      <c r="A140" s="135" t="s">
        <v>48</v>
      </c>
      <c r="B140" s="135"/>
      <c r="C140" s="96">
        <v>0</v>
      </c>
      <c r="D140" s="90">
        <f ca="1">((100/H136)*C140)/100</f>
        <v>0</v>
      </c>
      <c r="E140" s="103"/>
      <c r="F140" s="103"/>
      <c r="G140" s="103"/>
      <c r="H140" s="103"/>
      <c r="I140" s="13" t="s">
        <v>95</v>
      </c>
      <c r="J140" s="24">
        <f ca="1">H136</f>
        <v>37</v>
      </c>
      <c r="S140"/>
    </row>
    <row r="141" spans="1:19" ht="15.75" hidden="1" customHeight="1" x14ac:dyDescent="0.3">
      <c r="A141" s="135" t="s">
        <v>122</v>
      </c>
      <c r="B141" s="135"/>
      <c r="C141" s="96">
        <v>0</v>
      </c>
      <c r="D141" s="90">
        <f ca="1">((100/(D136+F136+H136))*C141)/100</f>
        <v>0</v>
      </c>
      <c r="E141" s="103"/>
      <c r="F141" s="103"/>
      <c r="G141" s="103"/>
      <c r="H141" s="103"/>
      <c r="I141" s="13" t="s">
        <v>96</v>
      </c>
      <c r="J141" s="25">
        <f ca="1">(IF(B136&gt;1,(H136/(B136+2)),H136/4))</f>
        <v>9.25</v>
      </c>
      <c r="S141"/>
    </row>
    <row r="142" spans="1:19" ht="15.75" hidden="1" customHeight="1" x14ac:dyDescent="0.3">
      <c r="A142" s="135" t="s">
        <v>129</v>
      </c>
      <c r="B142" s="135" t="s">
        <v>123</v>
      </c>
      <c r="C142" s="96">
        <v>0</v>
      </c>
      <c r="D142" s="90">
        <f ca="1">((100/H136)*C142)/100</f>
        <v>0</v>
      </c>
      <c r="E142" s="103"/>
      <c r="F142" s="103"/>
      <c r="G142" s="103"/>
      <c r="H142" s="103"/>
      <c r="I142" s="13" t="s">
        <v>97</v>
      </c>
      <c r="J142" s="25">
        <f ca="1">(IF(B136&gt;1,(H136/(B136+2)+J141),H136/4+J141))</f>
        <v>18.5</v>
      </c>
    </row>
    <row r="143" spans="1:19" ht="15.75" hidden="1" customHeight="1" x14ac:dyDescent="0.3">
      <c r="A143" s="135" t="s">
        <v>130</v>
      </c>
      <c r="B143" s="135" t="s">
        <v>123</v>
      </c>
      <c r="C143" s="96">
        <v>0</v>
      </c>
      <c r="D143" s="90">
        <f ca="1">((100/H136)*C143)/100</f>
        <v>0</v>
      </c>
      <c r="E143" s="103"/>
      <c r="F143" s="103"/>
      <c r="G143" s="103"/>
      <c r="H143" s="103"/>
      <c r="I143" s="13" t="s">
        <v>139</v>
      </c>
      <c r="J143" s="25">
        <f>(IF(B136&gt;1,(H136/(B136+2)+J142),0))</f>
        <v>0</v>
      </c>
    </row>
    <row r="144" spans="1:19" ht="15" hidden="1" customHeight="1" x14ac:dyDescent="0.3">
      <c r="A144" s="135" t="s">
        <v>128</v>
      </c>
      <c r="B144" s="135" t="s">
        <v>125</v>
      </c>
      <c r="C144" s="96">
        <v>0</v>
      </c>
      <c r="D144" s="90">
        <f ca="1">((100/(H136))*C144)/100</f>
        <v>0</v>
      </c>
      <c r="E144" s="103"/>
      <c r="F144" s="103"/>
      <c r="G144" s="103"/>
      <c r="H144" s="103"/>
      <c r="I144" s="13" t="s">
        <v>136</v>
      </c>
      <c r="J144" s="25">
        <f>(IF(B136&gt;2,(H136/(B136+2)+J143),0))</f>
        <v>0</v>
      </c>
    </row>
    <row r="145" spans="1:22" ht="15.75" hidden="1" customHeight="1" x14ac:dyDescent="0.3">
      <c r="A145" s="135" t="s">
        <v>124</v>
      </c>
      <c r="B145" s="135" t="s">
        <v>124</v>
      </c>
      <c r="C145" s="96">
        <v>0</v>
      </c>
      <c r="D145" s="90">
        <f ca="1">((100/H136)*C145)/100</f>
        <v>0</v>
      </c>
      <c r="E145" s="103"/>
      <c r="F145" s="103"/>
      <c r="G145" s="103"/>
      <c r="H145" s="103"/>
      <c r="I145" s="13" t="s">
        <v>137</v>
      </c>
      <c r="J145" s="26">
        <f>(IF(B136&gt;3,(H136/(B136+2)+J144),0))</f>
        <v>0</v>
      </c>
    </row>
    <row r="146" spans="1:22" ht="15.75" hidden="1" customHeight="1" x14ac:dyDescent="0.3">
      <c r="A146" s="135" t="s">
        <v>131</v>
      </c>
      <c r="B146" s="135"/>
      <c r="C146" s="96">
        <v>0</v>
      </c>
      <c r="D146" s="90">
        <f ca="1">((100/H136)*C146)/100</f>
        <v>0</v>
      </c>
      <c r="E146" s="103"/>
      <c r="F146" s="103"/>
      <c r="G146" s="103"/>
      <c r="H146" s="103"/>
      <c r="I146" s="13" t="s">
        <v>138</v>
      </c>
      <c r="J146" s="25">
        <f>(IF(B136&gt;4,(H136/(B136+2)+J145),0))</f>
        <v>0</v>
      </c>
    </row>
    <row r="147" spans="1:22" ht="15.75" hidden="1" customHeight="1" x14ac:dyDescent="0.3">
      <c r="A147" s="135" t="s">
        <v>126</v>
      </c>
      <c r="B147" s="135" t="s">
        <v>126</v>
      </c>
      <c r="C147" s="96">
        <v>0</v>
      </c>
      <c r="D147" s="90">
        <f ca="1">((100/(H136))*C147)/100</f>
        <v>0</v>
      </c>
      <c r="E147" s="103"/>
      <c r="F147" s="103"/>
      <c r="G147" s="103"/>
      <c r="H147" s="103"/>
      <c r="I147" s="13" t="s">
        <v>140</v>
      </c>
      <c r="J147" s="25">
        <f ca="1">(IF(B136=1,(H136/(B136+3)+J142),IF(B136=0,(H136/4+J142),IF(B136&gt;1,0))))</f>
        <v>27.75</v>
      </c>
    </row>
    <row r="148" spans="1:22" ht="16.2" hidden="1" thickBot="1" x14ac:dyDescent="0.35">
      <c r="A148" s="135" t="s">
        <v>127</v>
      </c>
      <c r="B148" s="135"/>
      <c r="C148" s="96">
        <v>0</v>
      </c>
      <c r="D148" s="90">
        <f ca="1">((100/(H136))*C148)/100</f>
        <v>0</v>
      </c>
      <c r="E148" s="103"/>
      <c r="F148" s="103"/>
      <c r="G148" s="103"/>
      <c r="H148" s="103"/>
      <c r="I148" s="14" t="s">
        <v>98</v>
      </c>
      <c r="J148" s="27">
        <f ca="1">(IF(B136&gt;1.5,(H136/(B136+2)+J142+MAX(0,J143-J142)+MAX(0,J144-J143)+MAX(0,J145-J144)+MAX(0,J146-J145)+MAX(0,J147-J146)),IF(B136=1,(H136/(B136+3)+J147),IF(B136=0,H136/4+J147))))</f>
        <v>37</v>
      </c>
    </row>
    <row r="149" spans="1:22" x14ac:dyDescent="0.3">
      <c r="A149" s="101" t="s">
        <v>150</v>
      </c>
      <c r="B149" s="101"/>
      <c r="C149" s="101"/>
      <c r="D149" s="101"/>
      <c r="E149" s="101"/>
      <c r="F149" s="142" t="s">
        <v>154</v>
      </c>
      <c r="G149" s="142"/>
      <c r="H149" s="142"/>
      <c r="R149" t="s">
        <v>246</v>
      </c>
      <c r="S149" t="s">
        <v>166</v>
      </c>
      <c r="T149" t="s">
        <v>173</v>
      </c>
      <c r="U149" t="s">
        <v>187</v>
      </c>
      <c r="V149" t="s">
        <v>182</v>
      </c>
    </row>
    <row r="150" spans="1:22" x14ac:dyDescent="0.3">
      <c r="A150" s="139" t="s">
        <v>152</v>
      </c>
      <c r="B150" s="139"/>
      <c r="C150" s="139"/>
      <c r="D150" s="139"/>
      <c r="E150" s="139"/>
      <c r="F150" s="136">
        <v>8500</v>
      </c>
      <c r="G150" s="136"/>
      <c r="H150" s="136"/>
      <c r="I150" s="16" t="s">
        <v>449</v>
      </c>
      <c r="R150"/>
      <c r="S150">
        <v>800000</v>
      </c>
      <c r="T150">
        <v>150000</v>
      </c>
      <c r="U150">
        <v>100000</v>
      </c>
      <c r="V150">
        <v>100000</v>
      </c>
    </row>
    <row r="151" spans="1:22" hidden="1" x14ac:dyDescent="0.3">
      <c r="A151" s="139" t="s">
        <v>151</v>
      </c>
      <c r="B151" s="139"/>
      <c r="C151" s="139"/>
      <c r="D151" s="139"/>
      <c r="E151" s="139"/>
      <c r="F151" s="136"/>
      <c r="G151" s="136"/>
      <c r="H151" s="136"/>
      <c r="R151"/>
      <c r="S151">
        <v>900000</v>
      </c>
      <c r="T151">
        <v>200000</v>
      </c>
      <c r="U151">
        <v>150000</v>
      </c>
      <c r="V151">
        <v>150000</v>
      </c>
    </row>
    <row r="152" spans="1:22" hidden="1" x14ac:dyDescent="0.3">
      <c r="A152" s="139" t="s">
        <v>153</v>
      </c>
      <c r="B152" s="139"/>
      <c r="C152" s="139"/>
      <c r="D152" s="139"/>
      <c r="E152" s="139"/>
      <c r="F152" s="136"/>
      <c r="G152" s="136"/>
      <c r="H152" s="136"/>
      <c r="R152"/>
      <c r="S152">
        <v>1000000</v>
      </c>
      <c r="T152">
        <v>250000</v>
      </c>
      <c r="U152">
        <v>200000</v>
      </c>
      <c r="V152">
        <v>200000</v>
      </c>
    </row>
    <row r="153" spans="1:22" s="28" customFormat="1" hidden="1" x14ac:dyDescent="0.3">
      <c r="A153" s="139" t="s">
        <v>168</v>
      </c>
      <c r="B153" s="139"/>
      <c r="C153" s="139"/>
      <c r="D153" s="139"/>
      <c r="E153" s="139"/>
      <c r="F153" s="136"/>
      <c r="G153" s="136"/>
      <c r="H153" s="136"/>
      <c r="R153"/>
      <c r="S153">
        <v>1100000</v>
      </c>
      <c r="T153">
        <v>300000</v>
      </c>
      <c r="U153">
        <v>250000</v>
      </c>
      <c r="V153" s="18">
        <v>250000</v>
      </c>
    </row>
    <row r="154" spans="1:22" s="28" customFormat="1" x14ac:dyDescent="0.3">
      <c r="A154" s="139" t="s">
        <v>443</v>
      </c>
      <c r="B154" s="139"/>
      <c r="C154" s="139"/>
      <c r="D154" s="139"/>
      <c r="E154" s="139"/>
      <c r="F154" s="136">
        <v>171000</v>
      </c>
      <c r="G154" s="136"/>
      <c r="H154" s="136"/>
      <c r="R154"/>
      <c r="S154">
        <v>1200000</v>
      </c>
      <c r="T154">
        <v>350000</v>
      </c>
      <c r="U154">
        <v>300000</v>
      </c>
      <c r="V154">
        <v>300000</v>
      </c>
    </row>
    <row r="155" spans="1:22" s="28" customFormat="1" x14ac:dyDescent="0.3">
      <c r="A155" s="139" t="s">
        <v>444</v>
      </c>
      <c r="B155" s="139"/>
      <c r="C155" s="139"/>
      <c r="D155" s="139"/>
      <c r="E155" s="139"/>
      <c r="F155" s="136">
        <v>570000</v>
      </c>
      <c r="G155" s="136"/>
      <c r="H155" s="136"/>
      <c r="R155"/>
      <c r="S155">
        <v>1300000</v>
      </c>
      <c r="T155">
        <v>400000</v>
      </c>
      <c r="U155">
        <v>350000</v>
      </c>
      <c r="V155" s="18">
        <v>400000</v>
      </c>
    </row>
    <row r="156" spans="1:22" s="28" customFormat="1" hidden="1" x14ac:dyDescent="0.3">
      <c r="A156" s="139" t="s">
        <v>90</v>
      </c>
      <c r="B156" s="139"/>
      <c r="C156" s="139"/>
      <c r="D156" s="139"/>
      <c r="E156" s="139"/>
      <c r="F156" s="136"/>
      <c r="G156" s="136"/>
      <c r="H156" s="136"/>
      <c r="R156"/>
      <c r="S156">
        <v>1400000</v>
      </c>
      <c r="T156">
        <v>500000</v>
      </c>
      <c r="U156">
        <v>400000</v>
      </c>
      <c r="V156"/>
    </row>
    <row r="157" spans="1:22" s="28" customFormat="1" hidden="1" x14ac:dyDescent="0.3">
      <c r="A157" s="139" t="s">
        <v>91</v>
      </c>
      <c r="B157" s="139"/>
      <c r="C157" s="139"/>
      <c r="D157" s="139"/>
      <c r="E157" s="139"/>
      <c r="F157" s="136"/>
      <c r="G157" s="136"/>
      <c r="H157" s="136"/>
      <c r="R157"/>
      <c r="S157">
        <v>1500000</v>
      </c>
      <c r="T157">
        <v>600000</v>
      </c>
      <c r="U157">
        <v>500000</v>
      </c>
      <c r="V157" s="18"/>
    </row>
    <row r="158" spans="1:22" s="28" customFormat="1" hidden="1" x14ac:dyDescent="0.3">
      <c r="A158" s="139" t="s">
        <v>92</v>
      </c>
      <c r="B158" s="139"/>
      <c r="C158" s="139"/>
      <c r="D158" s="139"/>
      <c r="E158" s="139"/>
      <c r="F158" s="136"/>
      <c r="G158" s="136"/>
      <c r="H158" s="136"/>
      <c r="R158"/>
      <c r="S158">
        <v>1600000</v>
      </c>
      <c r="T158">
        <v>700000</v>
      </c>
      <c r="U158">
        <v>600000</v>
      </c>
      <c r="V158"/>
    </row>
    <row r="159" spans="1:22" s="28" customFormat="1" hidden="1" x14ac:dyDescent="0.3">
      <c r="A159" s="139" t="s">
        <v>93</v>
      </c>
      <c r="B159" s="139"/>
      <c r="C159" s="139"/>
      <c r="D159" s="139"/>
      <c r="E159" s="139"/>
      <c r="F159" s="136"/>
      <c r="G159" s="136"/>
      <c r="H159" s="136"/>
      <c r="R159"/>
      <c r="S159">
        <v>1700000</v>
      </c>
      <c r="T159">
        <v>800000</v>
      </c>
      <c r="U159"/>
      <c r="V159" s="18"/>
    </row>
    <row r="160" spans="1:22" x14ac:dyDescent="0.3">
      <c r="A160" s="139" t="s">
        <v>49</v>
      </c>
      <c r="B160" s="139"/>
      <c r="C160" s="139"/>
      <c r="D160" s="139"/>
      <c r="E160" s="139"/>
      <c r="F160" s="136">
        <v>400000</v>
      </c>
      <c r="G160" s="136"/>
      <c r="H160" s="136"/>
      <c r="R160"/>
      <c r="S160">
        <v>1800000</v>
      </c>
      <c r="T160">
        <v>900000</v>
      </c>
      <c r="U160"/>
    </row>
    <row r="161" spans="1:22" s="29" customFormat="1" x14ac:dyDescent="0.3">
      <c r="A161" s="179" t="s">
        <v>50</v>
      </c>
      <c r="B161" s="179"/>
      <c r="C161" s="179"/>
      <c r="D161" s="179"/>
      <c r="E161" s="179"/>
      <c r="F161" s="136">
        <f>F150*0.8</f>
        <v>6800</v>
      </c>
      <c r="G161" s="136"/>
      <c r="H161" s="136"/>
      <c r="R161" s="16"/>
      <c r="S161" s="16"/>
      <c r="T161">
        <v>1000000</v>
      </c>
      <c r="U161"/>
      <c r="V161" s="16"/>
    </row>
    <row r="162" spans="1:22" s="30" customFormat="1" ht="15.75" hidden="1" customHeight="1" x14ac:dyDescent="0.3">
      <c r="A162" s="178" t="s">
        <v>71</v>
      </c>
      <c r="B162" s="178"/>
      <c r="C162" s="178"/>
      <c r="D162" s="178"/>
      <c r="E162" s="178"/>
      <c r="F162" s="178"/>
      <c r="G162" s="178"/>
      <c r="H162" s="178"/>
      <c r="R162"/>
      <c r="S162" s="16"/>
      <c r="T162"/>
      <c r="U162"/>
      <c r="V162" s="16"/>
    </row>
    <row r="163" spans="1:22" s="30" customFormat="1" ht="15.75" hidden="1" customHeight="1" x14ac:dyDescent="0.3">
      <c r="A163" s="143" t="s">
        <v>51</v>
      </c>
      <c r="B163" s="143"/>
      <c r="C163" s="138" t="s">
        <v>74</v>
      </c>
      <c r="D163" s="138"/>
      <c r="E163" s="134" t="s">
        <v>52</v>
      </c>
      <c r="F163" s="134"/>
      <c r="G163" s="143" t="s">
        <v>53</v>
      </c>
      <c r="H163" s="143"/>
      <c r="R163"/>
      <c r="S163" s="16"/>
      <c r="T163"/>
      <c r="U163" s="16"/>
      <c r="V163" s="16"/>
    </row>
    <row r="164" spans="1:22" s="30" customFormat="1" hidden="1" x14ac:dyDescent="0.3">
      <c r="A164" s="118"/>
      <c r="B164" s="118"/>
      <c r="C164" s="240"/>
      <c r="D164" s="240"/>
      <c r="E164" s="241"/>
      <c r="F164" s="241"/>
      <c r="G164" s="137"/>
      <c r="H164" s="137"/>
      <c r="R164"/>
      <c r="S164" s="16"/>
      <c r="T164"/>
      <c r="U164" s="16"/>
      <c r="V164" s="16"/>
    </row>
    <row r="165" spans="1:22" s="30" customFormat="1" hidden="1" x14ac:dyDescent="0.3">
      <c r="A165" s="118"/>
      <c r="B165" s="118"/>
      <c r="C165" s="240"/>
      <c r="D165" s="240"/>
      <c r="E165" s="241"/>
      <c r="F165" s="241"/>
      <c r="G165" s="137"/>
      <c r="H165" s="137"/>
      <c r="R165"/>
      <c r="S165" s="16"/>
      <c r="T165"/>
      <c r="U165" s="16"/>
      <c r="V165" s="16"/>
    </row>
    <row r="166" spans="1:22" s="30" customFormat="1" hidden="1" x14ac:dyDescent="0.3">
      <c r="A166" s="178" t="s">
        <v>143</v>
      </c>
      <c r="B166" s="178"/>
      <c r="C166" s="138"/>
      <c r="D166" s="138"/>
      <c r="E166" s="134"/>
      <c r="F166" s="134"/>
      <c r="G166" s="143"/>
      <c r="H166" s="143"/>
      <c r="R166"/>
      <c r="S166" s="16"/>
      <c r="T166"/>
      <c r="U166" s="16"/>
      <c r="V166" s="16"/>
    </row>
    <row r="167" spans="1:22" s="30" customFormat="1" x14ac:dyDescent="0.3">
      <c r="A167" s="245" t="s">
        <v>442</v>
      </c>
      <c r="B167" s="246"/>
      <c r="C167" s="246"/>
      <c r="D167" s="246"/>
      <c r="E167" s="246"/>
      <c r="F167" s="246"/>
      <c r="G167" s="246"/>
      <c r="H167" s="247"/>
      <c r="T167"/>
    </row>
    <row r="168" spans="1:22" s="30" customFormat="1" ht="15.75" customHeight="1" x14ac:dyDescent="0.3">
      <c r="A168" s="178" t="s">
        <v>66</v>
      </c>
      <c r="B168" s="178"/>
      <c r="C168" s="178"/>
      <c r="D168" s="178"/>
      <c r="E168" s="178"/>
      <c r="F168" s="178"/>
      <c r="G168" s="178"/>
      <c r="H168" s="178"/>
      <c r="J168" s="30">
        <f>151+151+151+151+151</f>
        <v>755</v>
      </c>
      <c r="T168"/>
    </row>
    <row r="169" spans="1:22" s="30" customFormat="1" x14ac:dyDescent="0.3">
      <c r="A169" s="143" t="s">
        <v>51</v>
      </c>
      <c r="B169" s="143"/>
      <c r="C169" s="138" t="s">
        <v>74</v>
      </c>
      <c r="D169" s="138"/>
      <c r="E169" s="134" t="s">
        <v>52</v>
      </c>
      <c r="F169" s="134"/>
      <c r="G169" s="143" t="s">
        <v>53</v>
      </c>
      <c r="H169" s="143"/>
      <c r="I169" s="30">
        <f>37*4+3</f>
        <v>151</v>
      </c>
      <c r="J169" s="30">
        <v>0</v>
      </c>
      <c r="K169" s="30">
        <f>I169-J169</f>
        <v>151</v>
      </c>
      <c r="T169"/>
    </row>
    <row r="170" spans="1:22" s="30" customFormat="1" x14ac:dyDescent="0.3">
      <c r="A170" s="118" t="s">
        <v>389</v>
      </c>
      <c r="B170" s="118"/>
      <c r="C170" s="119">
        <f>COUNT(F194:F196)+COUNT(F199:F202)*31+COUNT(F204:F205,F207:F208)*6</f>
        <v>151</v>
      </c>
      <c r="D170" s="119"/>
      <c r="E170" s="120">
        <f>SUM(F194:F196)+SUM(F199:F202)*31+SUM(F204:F205,F207:F208)*6</f>
        <v>202122.51695999995</v>
      </c>
      <c r="F170" s="120"/>
      <c r="G170" s="120">
        <f>SUM(H194:H196)+SUM(H199:H202)*31+SUM(H204:H205,H207:H208)*6</f>
        <v>303183.77543999994</v>
      </c>
      <c r="H170" s="120"/>
      <c r="T170"/>
    </row>
    <row r="171" spans="1:22" s="30" customFormat="1" x14ac:dyDescent="0.3">
      <c r="A171" s="118" t="s">
        <v>380</v>
      </c>
      <c r="B171" s="118"/>
      <c r="C171" s="119">
        <f>COUNT(F211:F213)+COUNT(F216:F219)*31+COUNT(F221:F222,F224:F225)*6</f>
        <v>151</v>
      </c>
      <c r="D171" s="119"/>
      <c r="E171" s="120">
        <f>SUM(F211:F213)+SUM(F216:F219)*31+SUM(F221:F222,F224:F225)*6</f>
        <v>202122.51695999995</v>
      </c>
      <c r="F171" s="120"/>
      <c r="G171" s="120">
        <f>SUM(H211:H213)+SUM(H216:H219)*31+SUM(H221:H222,H224:H225)*6</f>
        <v>303183.77543999994</v>
      </c>
      <c r="H171" s="120"/>
      <c r="I171" s="30">
        <f>37*4+3</f>
        <v>151</v>
      </c>
      <c r="J171" s="30">
        <v>6</v>
      </c>
      <c r="K171" s="30">
        <f>I171-J171</f>
        <v>145</v>
      </c>
      <c r="T171"/>
    </row>
    <row r="172" spans="1:22" s="30" customFormat="1" x14ac:dyDescent="0.3">
      <c r="A172" s="118" t="s">
        <v>381</v>
      </c>
      <c r="B172" s="118"/>
      <c r="C172" s="119">
        <f>COUNT(F229:F231)+COUNT(F234:F237)*31+COUNT(F239:F240,F242)*6</f>
        <v>145</v>
      </c>
      <c r="D172" s="119"/>
      <c r="E172" s="120">
        <f>SUM(F229:F231)+SUM(F234:F237)*31+SUM(F239:F240,F242)*6</f>
        <v>161808.32303999999</v>
      </c>
      <c r="F172" s="120"/>
      <c r="G172" s="120">
        <f>SUM(H229:H231)+SUM(H234:H237)*31+SUM(H239:H240,H242)*6</f>
        <v>242712.48455999998</v>
      </c>
      <c r="H172" s="120"/>
      <c r="I172" s="30">
        <f>151*5</f>
        <v>755</v>
      </c>
      <c r="T172"/>
    </row>
    <row r="173" spans="1:22" s="30" customFormat="1" x14ac:dyDescent="0.3">
      <c r="A173" s="118" t="s">
        <v>384</v>
      </c>
      <c r="B173" s="118"/>
      <c r="C173" s="119">
        <f>COUNT(F245:F247)+COUNT(F250:F253)*31+COUNT(F255:F256,F258)*6</f>
        <v>145</v>
      </c>
      <c r="D173" s="119"/>
      <c r="E173" s="120">
        <f>SUM(F245:F247)+SUM(F250:F253)*31+SUM(F255:F256,F258)*6</f>
        <v>161808.32303999999</v>
      </c>
      <c r="F173" s="120"/>
      <c r="G173" s="120">
        <f>SUM(H245:H247)+SUM(H250:H253)*31+SUM(H255:H256,H258)*6</f>
        <v>242712.48455999998</v>
      </c>
      <c r="H173" s="120"/>
      <c r="T173"/>
    </row>
    <row r="174" spans="1:22" s="30" customFormat="1" ht="16.2" thickBot="1" x14ac:dyDescent="0.35">
      <c r="A174" s="121" t="s">
        <v>390</v>
      </c>
      <c r="B174" s="121"/>
      <c r="C174" s="122">
        <f>COUNT(F261:F263)+COUNT(F266:F269)*31+COUNT(F271:F272,F274)*6</f>
        <v>145</v>
      </c>
      <c r="D174" s="122"/>
      <c r="E174" s="123">
        <f>SUM(F261:F263)+SUM(F266:F269)*31+SUM(F271:F272,F274)*6</f>
        <v>161808.32303999999</v>
      </c>
      <c r="F174" s="123"/>
      <c r="G174" s="123">
        <f>SUM(H261:H263)+SUM(H266:H269)*31+SUM(H271:H272,H274)*6</f>
        <v>242712.48455999998</v>
      </c>
      <c r="H174" s="123"/>
      <c r="T174"/>
    </row>
    <row r="175" spans="1:22" s="30" customFormat="1" ht="16.2" hidden="1" thickBot="1" x14ac:dyDescent="0.35">
      <c r="A175" s="254" t="s">
        <v>143</v>
      </c>
      <c r="B175" s="255"/>
      <c r="C175" s="132">
        <f>SUM(C170:D174)</f>
        <v>737</v>
      </c>
      <c r="D175" s="133"/>
      <c r="E175" s="256">
        <f>SUM(E170:F174)</f>
        <v>889670.00303999986</v>
      </c>
      <c r="F175" s="257"/>
      <c r="G175" s="258">
        <f>SUM(G170:H174)</f>
        <v>1334505.0045599998</v>
      </c>
      <c r="H175" s="259"/>
      <c r="T175"/>
    </row>
    <row r="176" spans="1:22" s="29" customFormat="1" x14ac:dyDescent="0.3">
      <c r="A176" s="249" t="s">
        <v>160</v>
      </c>
      <c r="B176" s="250"/>
      <c r="C176" s="181">
        <f>C166+C175</f>
        <v>737</v>
      </c>
      <c r="D176" s="181"/>
      <c r="E176" s="248">
        <f>E166+E175</f>
        <v>889670.00303999986</v>
      </c>
      <c r="F176" s="248"/>
      <c r="G176" s="171">
        <f>G166+G175</f>
        <v>1334505.0045599998</v>
      </c>
      <c r="H176" s="172"/>
      <c r="T176" s="30"/>
    </row>
    <row r="177" spans="1:20" x14ac:dyDescent="0.3">
      <c r="A177" s="159" t="s">
        <v>347</v>
      </c>
      <c r="B177" s="159"/>
      <c r="C177" s="159"/>
      <c r="D177" s="159"/>
      <c r="E177" s="159"/>
      <c r="F177" s="159"/>
      <c r="G177" s="159"/>
      <c r="H177" s="159"/>
      <c r="T177" s="30"/>
    </row>
    <row r="178" spans="1:20" x14ac:dyDescent="0.3">
      <c r="A178" s="142" t="s">
        <v>391</v>
      </c>
      <c r="B178" s="142"/>
      <c r="C178" s="142"/>
      <c r="D178" s="142"/>
      <c r="E178" s="142"/>
      <c r="F178" s="142"/>
      <c r="G178" s="142"/>
      <c r="H178" s="142"/>
      <c r="T178" s="30"/>
    </row>
    <row r="179" spans="1:20" s="32" customFormat="1" ht="46.8" hidden="1" x14ac:dyDescent="0.3">
      <c r="A179" s="124" t="s">
        <v>114</v>
      </c>
      <c r="B179" s="126" t="s">
        <v>169</v>
      </c>
      <c r="C179" s="124" t="s">
        <v>54</v>
      </c>
      <c r="D179" s="126" t="s">
        <v>225</v>
      </c>
      <c r="E179" s="236" t="s">
        <v>149</v>
      </c>
      <c r="F179" s="124" t="s">
        <v>55</v>
      </c>
      <c r="G179" s="243" t="s">
        <v>56</v>
      </c>
      <c r="H179" s="53" t="s">
        <v>142</v>
      </c>
      <c r="T179" s="30"/>
    </row>
    <row r="180" spans="1:20" s="32" customFormat="1" hidden="1" x14ac:dyDescent="0.3">
      <c r="A180" s="125"/>
      <c r="B180" s="127"/>
      <c r="C180" s="125"/>
      <c r="D180" s="127"/>
      <c r="E180" s="237"/>
      <c r="F180" s="125"/>
      <c r="G180" s="244"/>
      <c r="H180" s="45">
        <v>0.45</v>
      </c>
      <c r="J180" s="31"/>
      <c r="T180" s="30"/>
    </row>
    <row r="181" spans="1:20" s="32" customFormat="1" hidden="1" x14ac:dyDescent="0.3">
      <c r="A181" s="115" t="s">
        <v>374</v>
      </c>
      <c r="B181" s="116"/>
      <c r="C181" s="116"/>
      <c r="D181" s="116"/>
      <c r="E181" s="116"/>
      <c r="F181" s="116"/>
      <c r="G181" s="116"/>
      <c r="H181" s="117"/>
      <c r="J181" s="31"/>
      <c r="T181" s="30"/>
    </row>
    <row r="182" spans="1:20" s="32" customFormat="1" ht="15.75" hidden="1" customHeight="1" x14ac:dyDescent="0.3">
      <c r="A182" s="115" t="s">
        <v>113</v>
      </c>
      <c r="B182" s="116"/>
      <c r="C182" s="116"/>
      <c r="D182" s="116"/>
      <c r="E182" s="116"/>
      <c r="F182" s="116"/>
      <c r="G182" s="116"/>
      <c r="H182" s="117"/>
      <c r="I182" s="31"/>
      <c r="L182" s="104"/>
      <c r="M182" s="104"/>
      <c r="N182" s="31"/>
      <c r="T182" s="30"/>
    </row>
    <row r="183" spans="1:20" s="32" customFormat="1" ht="15.75" hidden="1" customHeight="1" x14ac:dyDescent="0.3">
      <c r="A183" s="109">
        <v>1</v>
      </c>
      <c r="B183" s="110"/>
      <c r="C183" s="37"/>
      <c r="D183" s="37">
        <v>0</v>
      </c>
      <c r="E183" s="37">
        <v>0</v>
      </c>
      <c r="F183" s="37">
        <f>D183+(IF(E183&lt;201,E183,IF(E183&lt;301,E183/2,E183/3)))</f>
        <v>0</v>
      </c>
      <c r="G183" s="37">
        <v>0</v>
      </c>
      <c r="H183" s="37">
        <f>(F183+(IF(G183&lt;101,G183,IF(G183&lt;201,G183/2,IF(G183&lt;=301,G183/3,G183/4)))))*(($H$180)+1)</f>
        <v>0</v>
      </c>
      <c r="I183" s="31"/>
      <c r="L183" s="104"/>
      <c r="M183" s="104"/>
      <c r="N183" s="31"/>
      <c r="T183" s="29"/>
    </row>
    <row r="184" spans="1:20" s="32" customFormat="1" ht="15.75" hidden="1" customHeight="1" x14ac:dyDescent="0.3">
      <c r="A184" s="109">
        <f>A183+1</f>
        <v>2</v>
      </c>
      <c r="B184" s="110"/>
      <c r="C184" s="37"/>
      <c r="D184" s="37"/>
      <c r="E184" s="37">
        <v>0</v>
      </c>
      <c r="F184" s="37">
        <f>D184+(IF(E184&lt;201,E184,IF(E184&lt;301,E184/2,E184/3)))</f>
        <v>0</v>
      </c>
      <c r="G184" s="37">
        <v>0</v>
      </c>
      <c r="H184" s="37">
        <f>(F184+(IF(G184&lt;101,G184,IF(G184&lt;201,G184/2,IF(G184&lt;=301,G184/3,G184/4)))))*(($H$180)+1)</f>
        <v>0</v>
      </c>
      <c r="I184" s="31"/>
      <c r="L184" s="104"/>
      <c r="M184" s="104"/>
      <c r="N184" s="31"/>
      <c r="T184" s="16"/>
    </row>
    <row r="185" spans="1:20" s="32" customFormat="1" ht="15.75" hidden="1" customHeight="1" x14ac:dyDescent="0.3">
      <c r="A185" s="109">
        <f>A184+1</f>
        <v>3</v>
      </c>
      <c r="B185" s="110"/>
      <c r="C185" s="37"/>
      <c r="D185" s="37"/>
      <c r="E185" s="37">
        <v>0</v>
      </c>
      <c r="F185" s="37">
        <f>D185+(IF(E185&lt;201,E185,IF(E185&lt;301,E185/2,E185/3)))</f>
        <v>0</v>
      </c>
      <c r="G185" s="37">
        <v>0</v>
      </c>
      <c r="H185" s="37">
        <f>(F185+(IF(G185&lt;101,G185,IF(G185&lt;201,G185/2,IF(G185&lt;=301,G185/3,G185/4)))))*(($H$180)+1)</f>
        <v>0</v>
      </c>
      <c r="I185" s="31"/>
      <c r="L185" s="104"/>
      <c r="M185" s="104"/>
      <c r="N185" s="31"/>
      <c r="T185" s="16"/>
    </row>
    <row r="186" spans="1:20" s="32" customFormat="1" hidden="1" x14ac:dyDescent="0.3">
      <c r="A186" s="109">
        <f>A185+1</f>
        <v>4</v>
      </c>
      <c r="B186" s="110"/>
      <c r="C186" s="37"/>
      <c r="D186" s="37"/>
      <c r="E186" s="37">
        <v>0</v>
      </c>
      <c r="F186" s="37">
        <f>D186+(IF(E186&lt;201,E186,IF(E186&lt;301,E186/2,E186/3)))</f>
        <v>0</v>
      </c>
      <c r="G186" s="37">
        <v>0</v>
      </c>
      <c r="H186" s="37">
        <f>(F186+(IF(G186&lt;101,G186,IF(G186&lt;201,G186/2,IF(G186&lt;=301,G186/3,G186/4)))))*(($H$180)+1)</f>
        <v>0</v>
      </c>
      <c r="I186" s="31"/>
      <c r="N186" s="31"/>
    </row>
    <row r="187" spans="1:20" hidden="1" x14ac:dyDescent="0.3">
      <c r="A187" s="109"/>
      <c r="B187" s="111"/>
      <c r="C187" s="111"/>
      <c r="D187" s="111"/>
      <c r="E187" s="111"/>
      <c r="F187" s="111"/>
      <c r="G187" s="111"/>
      <c r="H187" s="110"/>
      <c r="I187" s="31"/>
      <c r="T187" s="32"/>
    </row>
    <row r="188" spans="1:20" s="32" customFormat="1" ht="46.8" x14ac:dyDescent="0.3">
      <c r="A188" s="160" t="s">
        <v>431</v>
      </c>
      <c r="B188" s="128" t="s">
        <v>170</v>
      </c>
      <c r="C188" s="128" t="s">
        <v>54</v>
      </c>
      <c r="D188" s="128" t="s">
        <v>368</v>
      </c>
      <c r="E188" s="128" t="s">
        <v>441</v>
      </c>
      <c r="F188" s="128" t="s">
        <v>55</v>
      </c>
      <c r="G188" s="130" t="s">
        <v>56</v>
      </c>
      <c r="H188" s="91" t="s">
        <v>142</v>
      </c>
      <c r="I188" s="31"/>
    </row>
    <row r="189" spans="1:20" s="32" customFormat="1" x14ac:dyDescent="0.3">
      <c r="A189" s="161"/>
      <c r="B189" s="129"/>
      <c r="C189" s="129"/>
      <c r="D189" s="129"/>
      <c r="E189" s="129"/>
      <c r="F189" s="129"/>
      <c r="G189" s="131"/>
      <c r="H189" s="92">
        <v>0.5</v>
      </c>
      <c r="I189" s="31"/>
    </row>
    <row r="190" spans="1:20" s="32" customFormat="1" x14ac:dyDescent="0.3">
      <c r="A190" s="245" t="s">
        <v>433</v>
      </c>
      <c r="B190" s="246"/>
      <c r="C190" s="246"/>
      <c r="D190" s="246"/>
      <c r="E190" s="246"/>
      <c r="F190" s="246"/>
      <c r="G190" s="246"/>
      <c r="H190" s="247"/>
      <c r="I190" s="31"/>
    </row>
    <row r="191" spans="1:20" s="32" customFormat="1" x14ac:dyDescent="0.3">
      <c r="A191" s="173" t="s">
        <v>434</v>
      </c>
      <c r="B191" s="174"/>
      <c r="C191" s="174"/>
      <c r="D191" s="174"/>
      <c r="E191" s="174"/>
      <c r="F191" s="174"/>
      <c r="G191" s="174"/>
      <c r="H191" s="175"/>
      <c r="J191" s="31"/>
    </row>
    <row r="192" spans="1:20" s="32" customFormat="1" x14ac:dyDescent="0.3">
      <c r="A192" s="251" t="s">
        <v>374</v>
      </c>
      <c r="B192" s="252"/>
      <c r="C192" s="252"/>
      <c r="D192" s="252"/>
      <c r="E192" s="252"/>
      <c r="F192" s="252"/>
      <c r="G192" s="252"/>
      <c r="H192" s="253"/>
      <c r="J192" s="31"/>
    </row>
    <row r="193" spans="1:14" s="32" customFormat="1" ht="15.75" customHeight="1" x14ac:dyDescent="0.3">
      <c r="A193" s="115" t="s">
        <v>376</v>
      </c>
      <c r="B193" s="116"/>
      <c r="C193" s="116"/>
      <c r="D193" s="116"/>
      <c r="E193" s="116"/>
      <c r="F193" s="116"/>
      <c r="G193" s="116"/>
      <c r="H193" s="117"/>
      <c r="I193" s="84">
        <f>6.7*4.28+2.45*3.05+2.45*1.23+3.2*3.65+3.2*4.28+2.45*1.53+2.45*1.53+2.28*2.1+1.53*2.25+3.7+2.25+2.5*0.6</f>
        <v>87.715500000000006</v>
      </c>
      <c r="J193" s="32">
        <f>6.75*1.83+0.7*3.21+6.9*1.05+2.8*0.55+2.45*1.28+2.8*0.55+6.58*2.7+2.55*0.48</f>
        <v>47.0505</v>
      </c>
      <c r="K193" s="31">
        <f>I193+J193</f>
        <v>134.76600000000002</v>
      </c>
      <c r="L193" s="104"/>
      <c r="M193" s="104"/>
      <c r="N193" s="31"/>
    </row>
    <row r="194" spans="1:14" s="32" customFormat="1" ht="15.75" customHeight="1" x14ac:dyDescent="0.3">
      <c r="A194" s="109">
        <v>1</v>
      </c>
      <c r="B194" s="110"/>
      <c r="C194" s="37" t="s">
        <v>388</v>
      </c>
      <c r="D194" s="86">
        <f>(139.38)*(10.764)</f>
        <v>1500.2863199999999</v>
      </c>
      <c r="E194" s="37">
        <v>0</v>
      </c>
      <c r="F194" s="37">
        <f>D194+E194</f>
        <v>1500.2863199999999</v>
      </c>
      <c r="G194" s="37">
        <v>0</v>
      </c>
      <c r="H194" s="37">
        <f>F194*(($H$189)+1)+(IF(G194&lt;101,G194,IF(G194&lt;201,G194/2,IF(G194&lt;=301,G194/3,G194/4))))</f>
        <v>2250.4294799999998</v>
      </c>
      <c r="I194" s="31"/>
      <c r="L194" s="104"/>
      <c r="M194" s="104"/>
      <c r="N194" s="31"/>
    </row>
    <row r="195" spans="1:14" s="32" customFormat="1" ht="15.75" customHeight="1" x14ac:dyDescent="0.3">
      <c r="A195" s="109">
        <v>2</v>
      </c>
      <c r="B195" s="110"/>
      <c r="C195" s="37" t="s">
        <v>388</v>
      </c>
      <c r="D195" s="86">
        <f>(136.11)*(10.764)</f>
        <v>1465.0880400000001</v>
      </c>
      <c r="E195" s="37">
        <v>0</v>
      </c>
      <c r="F195" s="37">
        <f>D195+E195</f>
        <v>1465.0880400000001</v>
      </c>
      <c r="G195" s="37">
        <v>0</v>
      </c>
      <c r="H195" s="37">
        <f>F195*(($H$189)+1)+(IF(G195&lt;101,G195,IF(G195&lt;201,G195/2,IF(G195&lt;=301,G195/3,G195/4))))</f>
        <v>2197.6320599999999</v>
      </c>
      <c r="I195" s="31"/>
      <c r="K195" s="86">
        <f>10.764</f>
        <v>10.763999999999999</v>
      </c>
      <c r="L195" s="104"/>
      <c r="M195" s="104"/>
      <c r="N195" s="31"/>
    </row>
    <row r="196" spans="1:14" s="32" customFormat="1" ht="15.75" customHeight="1" x14ac:dyDescent="0.3">
      <c r="A196" s="109">
        <v>3</v>
      </c>
      <c r="B196" s="110"/>
      <c r="C196" s="37" t="s">
        <v>388</v>
      </c>
      <c r="D196" s="86">
        <f>(135.61)*(10.764)</f>
        <v>1459.70604</v>
      </c>
      <c r="E196" s="37">
        <v>0</v>
      </c>
      <c r="F196" s="37">
        <f>D196+E196</f>
        <v>1459.70604</v>
      </c>
      <c r="G196" s="37">
        <v>0</v>
      </c>
      <c r="H196" s="37">
        <f>F196*(($H$189)+1)+(IF(G196&lt;101,G196,IF(G196&lt;201,G196/2,IF(G196&lt;=301,G196/3,G196/4))))</f>
        <v>2189.55906</v>
      </c>
      <c r="I196" s="31"/>
      <c r="L196" s="104"/>
      <c r="M196" s="104"/>
      <c r="N196" s="31"/>
    </row>
    <row r="197" spans="1:14" s="32" customFormat="1" x14ac:dyDescent="0.3">
      <c r="A197" s="109" t="s">
        <v>378</v>
      </c>
      <c r="B197" s="110"/>
      <c r="C197" s="109" t="s">
        <v>377</v>
      </c>
      <c r="D197" s="111"/>
      <c r="E197" s="111"/>
      <c r="F197" s="111"/>
      <c r="G197" s="111"/>
      <c r="H197" s="110"/>
      <c r="I197" s="32">
        <f>7+4+4+4+4+4+4</f>
        <v>31</v>
      </c>
      <c r="J197" s="31"/>
    </row>
    <row r="198" spans="1:14" s="32" customFormat="1" ht="99" customHeight="1" x14ac:dyDescent="0.3">
      <c r="A198" s="115" t="s">
        <v>437</v>
      </c>
      <c r="B198" s="116"/>
      <c r="C198" s="116"/>
      <c r="D198" s="116"/>
      <c r="E198" s="116"/>
      <c r="F198" s="116"/>
      <c r="G198" s="116"/>
      <c r="H198" s="117"/>
      <c r="I198" s="84">
        <f>6.7*4.28+2.45*3.05+2.45*1.23+3.2*3.65+3.2*4.28+2.45*1.53+2.45*1.53+2.28*2.1+1.53*2.25+3.7+2.25+2.5*0.6</f>
        <v>87.715500000000006</v>
      </c>
      <c r="J198" s="32">
        <f>6.75*1.83+2.45*1.28</f>
        <v>15.488500000000002</v>
      </c>
      <c r="K198" s="31">
        <f>I198+J198</f>
        <v>103.20400000000001</v>
      </c>
      <c r="L198" s="104"/>
      <c r="M198" s="104"/>
      <c r="N198" s="31"/>
    </row>
    <row r="199" spans="1:14" s="32" customFormat="1" ht="15.75" customHeight="1" x14ac:dyDescent="0.3">
      <c r="A199" s="109">
        <v>1</v>
      </c>
      <c r="B199" s="110"/>
      <c r="C199" s="37" t="s">
        <v>432</v>
      </c>
      <c r="D199" s="86">
        <f>(124.32)*(10.764)</f>
        <v>1338.1804799999998</v>
      </c>
      <c r="E199" s="37">
        <v>0</v>
      </c>
      <c r="F199" s="37">
        <f>D199+E199</f>
        <v>1338.1804799999998</v>
      </c>
      <c r="G199" s="37">
        <v>0</v>
      </c>
      <c r="H199" s="37">
        <f>F199*(($H$189)+1)+(IF(G199&lt;101,G199,IF(G199&lt;201,G199/2,IF(G199&lt;=301,G199/3,G199/4))))</f>
        <v>2007.2707199999995</v>
      </c>
      <c r="I199" s="31"/>
      <c r="L199" s="104"/>
      <c r="M199" s="104"/>
      <c r="N199" s="31"/>
    </row>
    <row r="200" spans="1:14" s="32" customFormat="1" ht="15.75" customHeight="1" x14ac:dyDescent="0.3">
      <c r="A200" s="109">
        <v>2</v>
      </c>
      <c r="B200" s="110"/>
      <c r="C200" s="37" t="s">
        <v>432</v>
      </c>
      <c r="D200" s="86">
        <f>(124.32)*(10.764)</f>
        <v>1338.1804799999998</v>
      </c>
      <c r="E200" s="37">
        <v>0</v>
      </c>
      <c r="F200" s="37">
        <f>D200+E200</f>
        <v>1338.1804799999998</v>
      </c>
      <c r="G200" s="37">
        <v>0</v>
      </c>
      <c r="H200" s="37">
        <f>F200*(($H$189)+1)+(IF(G200&lt;101,G200,IF(G200&lt;201,G200/2,IF(G200&lt;=301,G200/3,G200/4))))</f>
        <v>2007.2707199999995</v>
      </c>
      <c r="I200" s="31"/>
      <c r="L200" s="104"/>
      <c r="M200" s="104"/>
      <c r="N200" s="31"/>
    </row>
    <row r="201" spans="1:14" s="32" customFormat="1" ht="15.75" customHeight="1" x14ac:dyDescent="0.3">
      <c r="A201" s="109">
        <v>3</v>
      </c>
      <c r="B201" s="110"/>
      <c r="C201" s="37" t="s">
        <v>432</v>
      </c>
      <c r="D201" s="86">
        <f>(124.32)*(10.764)</f>
        <v>1338.1804799999998</v>
      </c>
      <c r="E201" s="37">
        <v>0</v>
      </c>
      <c r="F201" s="37">
        <f>D201+E201</f>
        <v>1338.1804799999998</v>
      </c>
      <c r="G201" s="37">
        <v>0</v>
      </c>
      <c r="H201" s="37">
        <f>F201*(($H$189)+1)+(IF(G201&lt;101,G201,IF(G201&lt;201,G201/2,IF(G201&lt;=301,G201/3,G201/4))))</f>
        <v>2007.2707199999995</v>
      </c>
      <c r="I201" s="31"/>
      <c r="L201" s="104"/>
      <c r="M201" s="104"/>
      <c r="N201" s="31"/>
    </row>
    <row r="202" spans="1:14" s="32" customFormat="1" x14ac:dyDescent="0.3">
      <c r="A202" s="109">
        <v>4</v>
      </c>
      <c r="B202" s="110"/>
      <c r="C202" s="37" t="s">
        <v>432</v>
      </c>
      <c r="D202" s="86">
        <f>(124.32)*(10.764)</f>
        <v>1338.1804799999998</v>
      </c>
      <c r="E202" s="37">
        <v>0</v>
      </c>
      <c r="F202" s="37">
        <f>D202+E202</f>
        <v>1338.1804799999998</v>
      </c>
      <c r="G202" s="37">
        <v>0</v>
      </c>
      <c r="H202" s="37">
        <f>F202*(($H$189)+1)+(IF(G202&lt;101,G202,IF(G202&lt;201,G202/2,IF(G202&lt;=301,G202/3,G202/4))))</f>
        <v>2007.2707199999995</v>
      </c>
      <c r="I202" s="32">
        <v>6</v>
      </c>
      <c r="J202" s="31"/>
    </row>
    <row r="203" spans="1:14" s="32" customFormat="1" ht="50.25" customHeight="1" x14ac:dyDescent="0.3">
      <c r="A203" s="112" t="s">
        <v>436</v>
      </c>
      <c r="B203" s="112"/>
      <c r="C203" s="112"/>
      <c r="D203" s="112"/>
      <c r="E203" s="112"/>
      <c r="F203" s="112"/>
      <c r="G203" s="112"/>
      <c r="H203" s="112"/>
      <c r="I203" s="84">
        <f>6.7*4.28+2.45*3.05+2.45*1.23+3.2*3.65+3.2*4.28+2.45*1.53+2.45*1.53+2.28*2.1+1.53*2.25+3.7+2.25+2.5*0.6</f>
        <v>87.715500000000006</v>
      </c>
      <c r="J203" s="32">
        <f>6.75*1.83+2.45*1.28</f>
        <v>15.488500000000002</v>
      </c>
      <c r="K203" s="31">
        <f>I203+J203</f>
        <v>103.20400000000001</v>
      </c>
      <c r="L203" s="104"/>
      <c r="M203" s="104"/>
      <c r="N203" s="31"/>
    </row>
    <row r="204" spans="1:14" s="32" customFormat="1" ht="15.75" customHeight="1" x14ac:dyDescent="0.3">
      <c r="A204" s="105">
        <v>1</v>
      </c>
      <c r="B204" s="105"/>
      <c r="C204" s="37" t="s">
        <v>432</v>
      </c>
      <c r="D204" s="86">
        <f>(124.32)*(10.764)</f>
        <v>1338.1804799999998</v>
      </c>
      <c r="E204" s="37">
        <v>0</v>
      </c>
      <c r="F204" s="37">
        <f>D204+E204</f>
        <v>1338.1804799999998</v>
      </c>
      <c r="G204" s="37">
        <v>0</v>
      </c>
      <c r="H204" s="37">
        <f>F204*(($H$189)+1)+(IF(G204&lt;101,G204,IF(G204&lt;201,G204/2,IF(G204&lt;=301,G204/3,G204/4))))</f>
        <v>2007.2707199999995</v>
      </c>
      <c r="I204" s="31"/>
      <c r="L204" s="104">
        <f>15500000/H205</f>
        <v>8077.3251192669177</v>
      </c>
      <c r="M204" s="104"/>
      <c r="N204" s="31"/>
    </row>
    <row r="205" spans="1:14" s="32" customFormat="1" ht="15.75" customHeight="1" x14ac:dyDescent="0.3">
      <c r="A205" s="105">
        <v>2</v>
      </c>
      <c r="B205" s="105"/>
      <c r="C205" s="37" t="s">
        <v>387</v>
      </c>
      <c r="D205" s="86">
        <f>(118.85)*(10.764)</f>
        <v>1279.3013999999998</v>
      </c>
      <c r="E205" s="37">
        <v>0</v>
      </c>
      <c r="F205" s="37">
        <f>D205+E205</f>
        <v>1279.3013999999998</v>
      </c>
      <c r="G205" s="37">
        <v>0</v>
      </c>
      <c r="H205" s="37">
        <f>F205*(($H$189)+1)+(IF(G205&lt;101,G205,IF(G205&lt;201,G205/2,IF(G205&lt;=301,G205/3,G205/4))))</f>
        <v>1918.9520999999997</v>
      </c>
      <c r="I205" s="31"/>
      <c r="L205" s="104"/>
      <c r="M205" s="104"/>
      <c r="N205" s="31"/>
    </row>
    <row r="206" spans="1:14" s="32" customFormat="1" ht="15.75" customHeight="1" x14ac:dyDescent="0.3">
      <c r="A206" s="105" t="s">
        <v>378</v>
      </c>
      <c r="B206" s="105"/>
      <c r="C206" s="105" t="s">
        <v>386</v>
      </c>
      <c r="D206" s="105"/>
      <c r="E206" s="105"/>
      <c r="F206" s="105"/>
      <c r="G206" s="105"/>
      <c r="H206" s="105"/>
      <c r="I206" s="31"/>
      <c r="L206" s="104"/>
      <c r="M206" s="104"/>
      <c r="N206" s="31"/>
    </row>
    <row r="207" spans="1:14" s="32" customFormat="1" ht="15.75" customHeight="1" x14ac:dyDescent="0.3">
      <c r="A207" s="105">
        <v>3</v>
      </c>
      <c r="B207" s="105"/>
      <c r="C207" s="37" t="s">
        <v>432</v>
      </c>
      <c r="D207" s="86">
        <f>(124.32)*(10.764)</f>
        <v>1338.1804799999998</v>
      </c>
      <c r="E207" s="37">
        <v>0</v>
      </c>
      <c r="F207" s="37">
        <f>D207+E207</f>
        <v>1338.1804799999998</v>
      </c>
      <c r="G207" s="37">
        <v>0</v>
      </c>
      <c r="H207" s="37">
        <f>F207*(($H$189)+1)+(IF(G207&lt;101,G207,IF(G207&lt;201,G207/2,IF(G207&lt;=301,G207/3,G207/4))))</f>
        <v>2007.2707199999995</v>
      </c>
      <c r="I207" s="31"/>
      <c r="L207" s="104"/>
      <c r="M207" s="104"/>
      <c r="N207" s="31"/>
    </row>
    <row r="208" spans="1:14" s="32" customFormat="1" x14ac:dyDescent="0.3">
      <c r="A208" s="105">
        <v>4</v>
      </c>
      <c r="B208" s="105"/>
      <c r="C208" s="37" t="s">
        <v>432</v>
      </c>
      <c r="D208" s="86">
        <f>(124.32)*(10.764)</f>
        <v>1338.1804799999998</v>
      </c>
      <c r="E208" s="37">
        <v>0</v>
      </c>
      <c r="F208" s="37">
        <f>D208+E208</f>
        <v>1338.1804799999998</v>
      </c>
      <c r="G208" s="37">
        <v>0</v>
      </c>
      <c r="H208" s="37">
        <f>F208*(($H$189)+1)+(IF(G208&lt;101,G208,IF(G208&lt;201,G208/2,IF(G208&lt;=301,G208/3,G208/4))))</f>
        <v>2007.2707199999995</v>
      </c>
      <c r="J208" s="31"/>
    </row>
    <row r="209" spans="1:14" s="32" customFormat="1" x14ac:dyDescent="0.3">
      <c r="A209" s="113" t="s">
        <v>380</v>
      </c>
      <c r="B209" s="113"/>
      <c r="C209" s="113"/>
      <c r="D209" s="113"/>
      <c r="E209" s="113"/>
      <c r="F209" s="113"/>
      <c r="G209" s="113"/>
      <c r="H209" s="113"/>
      <c r="J209" s="31"/>
    </row>
    <row r="210" spans="1:14" s="32" customFormat="1" ht="15.75" customHeight="1" x14ac:dyDescent="0.3">
      <c r="A210" s="112" t="s">
        <v>376</v>
      </c>
      <c r="B210" s="112"/>
      <c r="C210" s="112"/>
      <c r="D210" s="112"/>
      <c r="E210" s="112"/>
      <c r="F210" s="112"/>
      <c r="G210" s="112"/>
      <c r="H210" s="112"/>
      <c r="I210" s="84">
        <f>6.7*4.28+2.45*3.05+2.45*1.23+3.2*3.65+3.2*4.28+2.45*1.53+2.45*1.53+2.28*2.1+1.53*2.25+3.7+2.25+2.5*0.6</f>
        <v>87.715500000000006</v>
      </c>
      <c r="J210" s="32">
        <f>6.75*1.83+0.7*3.21+6.9*1.05+2.8*0.55+2.45*1.28+2.8*0.55+6.58*2.7+2.55*0.48</f>
        <v>47.0505</v>
      </c>
      <c r="K210" s="31">
        <f>I210+J210</f>
        <v>134.76600000000002</v>
      </c>
      <c r="L210" s="104"/>
      <c r="M210" s="104"/>
      <c r="N210" s="31"/>
    </row>
    <row r="211" spans="1:14" s="32" customFormat="1" ht="15.75" customHeight="1" x14ac:dyDescent="0.3">
      <c r="A211" s="105">
        <v>1</v>
      </c>
      <c r="B211" s="105"/>
      <c r="C211" s="37" t="s">
        <v>388</v>
      </c>
      <c r="D211" s="86">
        <f>(139.38)*(10.764)</f>
        <v>1500.2863199999999</v>
      </c>
      <c r="E211" s="37">
        <v>0</v>
      </c>
      <c r="F211" s="37">
        <f>D211+E211</f>
        <v>1500.2863199999999</v>
      </c>
      <c r="G211" s="37">
        <v>0</v>
      </c>
      <c r="H211" s="37">
        <f>F211*(($H$189)+1)+(IF(G211&lt;101,G211,IF(G211&lt;201,G211/2,IF(G211&lt;=301,G211/3,G211/4))))</f>
        <v>2250.4294799999998</v>
      </c>
      <c r="I211" s="31"/>
      <c r="L211" s="104"/>
      <c r="M211" s="104"/>
      <c r="N211" s="31"/>
    </row>
    <row r="212" spans="1:14" s="32" customFormat="1" ht="15.75" customHeight="1" x14ac:dyDescent="0.3">
      <c r="A212" s="109">
        <v>2</v>
      </c>
      <c r="B212" s="110"/>
      <c r="C212" s="37" t="s">
        <v>388</v>
      </c>
      <c r="D212" s="86">
        <f>(136.11)*(10.764)</f>
        <v>1465.0880400000001</v>
      </c>
      <c r="E212" s="37">
        <v>0</v>
      </c>
      <c r="F212" s="37">
        <f>D212+E212</f>
        <v>1465.0880400000001</v>
      </c>
      <c r="G212" s="37">
        <v>0</v>
      </c>
      <c r="H212" s="37">
        <f>F212*(($H$189)+1)+(IF(G212&lt;101,G212,IF(G212&lt;201,G212/2,IF(G212&lt;=301,G212/3,G212/4))))</f>
        <v>2197.6320599999999</v>
      </c>
      <c r="I212" s="31"/>
      <c r="L212" s="104"/>
      <c r="M212" s="104"/>
      <c r="N212" s="31"/>
    </row>
    <row r="213" spans="1:14" s="32" customFormat="1" ht="15.75" customHeight="1" x14ac:dyDescent="0.3">
      <c r="A213" s="109">
        <v>3</v>
      </c>
      <c r="B213" s="110"/>
      <c r="C213" s="37" t="s">
        <v>388</v>
      </c>
      <c r="D213" s="86">
        <f>(135.61)*(10.764)</f>
        <v>1459.70604</v>
      </c>
      <c r="E213" s="37">
        <v>0</v>
      </c>
      <c r="F213" s="37">
        <f>D213+E213</f>
        <v>1459.70604</v>
      </c>
      <c r="G213" s="37">
        <v>0</v>
      </c>
      <c r="H213" s="37">
        <f>F213*(($H$189)+1)+(IF(G213&lt;101,G213,IF(G213&lt;201,G213/2,IF(G213&lt;=301,G213/3,G213/4))))</f>
        <v>2189.55906</v>
      </c>
      <c r="I213" s="31"/>
      <c r="L213" s="104"/>
      <c r="M213" s="104"/>
      <c r="N213" s="31"/>
    </row>
    <row r="214" spans="1:14" s="32" customFormat="1" x14ac:dyDescent="0.3">
      <c r="A214" s="109">
        <v>4</v>
      </c>
      <c r="B214" s="110"/>
      <c r="C214" s="109" t="s">
        <v>377</v>
      </c>
      <c r="D214" s="111"/>
      <c r="E214" s="111"/>
      <c r="F214" s="111"/>
      <c r="G214" s="111"/>
      <c r="H214" s="110"/>
      <c r="I214" s="32">
        <f>7+4+4+3+9+4</f>
        <v>31</v>
      </c>
      <c r="J214" s="31"/>
      <c r="K214" s="32">
        <f>32-29</f>
        <v>3</v>
      </c>
    </row>
    <row r="215" spans="1:14" s="32" customFormat="1" ht="96" customHeight="1" x14ac:dyDescent="0.3">
      <c r="A215" s="115" t="s">
        <v>437</v>
      </c>
      <c r="B215" s="116"/>
      <c r="C215" s="116"/>
      <c r="D215" s="116"/>
      <c r="E215" s="116"/>
      <c r="F215" s="116"/>
      <c r="G215" s="116"/>
      <c r="H215" s="117"/>
      <c r="I215" s="84">
        <f>6.7*4.28+2.45*3.05+2.45*1.23+3.2*3.65+3.2*4.28+2.45*1.53+2.45*1.53+2.28*2.1+1.53*2.25+3.7+2.25+2.5*0.6</f>
        <v>87.715500000000006</v>
      </c>
      <c r="J215" s="32">
        <f>6.75*1.83+2.45*1.28</f>
        <v>15.488500000000002</v>
      </c>
      <c r="K215" s="31">
        <f>I215+J215</f>
        <v>103.20400000000001</v>
      </c>
      <c r="L215" s="104"/>
      <c r="M215" s="104"/>
      <c r="N215" s="31"/>
    </row>
    <row r="216" spans="1:14" s="32" customFormat="1" ht="15.75" customHeight="1" x14ac:dyDescent="0.3">
      <c r="A216" s="109">
        <v>1</v>
      </c>
      <c r="B216" s="110"/>
      <c r="C216" s="37" t="s">
        <v>432</v>
      </c>
      <c r="D216" s="86">
        <f>(124.32)*(10.764)</f>
        <v>1338.1804799999998</v>
      </c>
      <c r="E216" s="37">
        <v>0</v>
      </c>
      <c r="F216" s="37">
        <f>D216+E216</f>
        <v>1338.1804799999998</v>
      </c>
      <c r="G216" s="37">
        <v>0</v>
      </c>
      <c r="H216" s="37">
        <f>F216*(($H$189)+1)+(IF(G216&lt;101,G216,IF(G216&lt;201,G216/2,IF(G216&lt;=301,G216/3,G216/4))))</f>
        <v>2007.2707199999995</v>
      </c>
      <c r="I216" s="31"/>
      <c r="L216" s="104"/>
      <c r="M216" s="104"/>
      <c r="N216" s="31"/>
    </row>
    <row r="217" spans="1:14" s="32" customFormat="1" ht="15.75" customHeight="1" x14ac:dyDescent="0.3">
      <c r="A217" s="109">
        <v>2</v>
      </c>
      <c r="B217" s="110"/>
      <c r="C217" s="37" t="s">
        <v>432</v>
      </c>
      <c r="D217" s="86">
        <f>(124.32)*(10.764)</f>
        <v>1338.1804799999998</v>
      </c>
      <c r="E217" s="37">
        <v>0</v>
      </c>
      <c r="F217" s="37">
        <f>D217+E217</f>
        <v>1338.1804799999998</v>
      </c>
      <c r="G217" s="37">
        <v>0</v>
      </c>
      <c r="H217" s="37">
        <f>F217*(($H$189)+1)+(IF(G217&lt;101,G217,IF(G217&lt;201,G217/2,IF(G217&lt;=301,G217/3,G217/4))))</f>
        <v>2007.2707199999995</v>
      </c>
      <c r="I217" s="31"/>
      <c r="L217" s="104"/>
      <c r="M217" s="104"/>
      <c r="N217" s="31"/>
    </row>
    <row r="218" spans="1:14" s="32" customFormat="1" ht="15.75" customHeight="1" x14ac:dyDescent="0.3">
      <c r="A218" s="109">
        <v>3</v>
      </c>
      <c r="B218" s="110"/>
      <c r="C218" s="37" t="s">
        <v>432</v>
      </c>
      <c r="D218" s="86">
        <f>(124.32)*(10.764)</f>
        <v>1338.1804799999998</v>
      </c>
      <c r="E218" s="37">
        <v>0</v>
      </c>
      <c r="F218" s="37">
        <f>D218+E218</f>
        <v>1338.1804799999998</v>
      </c>
      <c r="G218" s="37">
        <v>0</v>
      </c>
      <c r="H218" s="37">
        <f>F218*(($H$189)+1)+(IF(G218&lt;101,G218,IF(G218&lt;201,G218/2,IF(G218&lt;=301,G218/3,G218/4))))</f>
        <v>2007.2707199999995</v>
      </c>
      <c r="I218" s="31"/>
      <c r="L218" s="104"/>
      <c r="M218" s="104"/>
      <c r="N218" s="31"/>
    </row>
    <row r="219" spans="1:14" s="32" customFormat="1" x14ac:dyDescent="0.3">
      <c r="A219" s="109">
        <v>4</v>
      </c>
      <c r="B219" s="110"/>
      <c r="C219" s="37" t="s">
        <v>432</v>
      </c>
      <c r="D219" s="86">
        <f>(124.32)*(10.764)</f>
        <v>1338.1804799999998</v>
      </c>
      <c r="E219" s="37">
        <v>0</v>
      </c>
      <c r="F219" s="37">
        <f>D219+E219</f>
        <v>1338.1804799999998</v>
      </c>
      <c r="G219" s="37">
        <v>0</v>
      </c>
      <c r="H219" s="37">
        <f>F219*(($H$189)+1)+(IF(G219&lt;101,G219,IF(G219&lt;201,G219/2,IF(G219&lt;=301,G219/3,G219/4))))</f>
        <v>2007.2707199999995</v>
      </c>
      <c r="I219" s="32">
        <v>6</v>
      </c>
      <c r="J219" s="31"/>
    </row>
    <row r="220" spans="1:14" s="32" customFormat="1" ht="53.25" customHeight="1" x14ac:dyDescent="0.3">
      <c r="A220" s="115" t="s">
        <v>440</v>
      </c>
      <c r="B220" s="116"/>
      <c r="C220" s="116"/>
      <c r="D220" s="116"/>
      <c r="E220" s="116"/>
      <c r="F220" s="116"/>
      <c r="G220" s="116"/>
      <c r="H220" s="117"/>
      <c r="I220" s="84">
        <f>6.7*4.28+2.45*3.05+2.45*1.23+3.2*3.65+3.2*4.28+2.45*1.53+2.45*1.53+2.28*2.1+1.53*2.25+3.7+2.25+2.5*0.6</f>
        <v>87.715500000000006</v>
      </c>
      <c r="J220" s="32">
        <f>6.75*1.83+2.45*1.28</f>
        <v>15.488500000000002</v>
      </c>
      <c r="K220" s="31">
        <f>I220+J220</f>
        <v>103.20400000000001</v>
      </c>
      <c r="L220" s="104"/>
      <c r="M220" s="104"/>
      <c r="N220" s="31"/>
    </row>
    <row r="221" spans="1:14" s="32" customFormat="1" ht="15.75" customHeight="1" x14ac:dyDescent="0.3">
      <c r="A221" s="109">
        <v>1</v>
      </c>
      <c r="B221" s="110"/>
      <c r="C221" s="37" t="s">
        <v>432</v>
      </c>
      <c r="D221" s="86">
        <f>(124.32)*(10.764)</f>
        <v>1338.1804799999998</v>
      </c>
      <c r="E221" s="37">
        <v>0</v>
      </c>
      <c r="F221" s="37">
        <f>D221+E221</f>
        <v>1338.1804799999998</v>
      </c>
      <c r="G221" s="37">
        <v>0</v>
      </c>
      <c r="H221" s="37">
        <f>F221*(($H$189)+1)+(IF(G221&lt;101,G221,IF(G221&lt;201,G221/2,IF(G221&lt;=301,G221/3,G221/4))))</f>
        <v>2007.2707199999995</v>
      </c>
      <c r="I221" s="31"/>
      <c r="L221" s="104"/>
      <c r="M221" s="104"/>
      <c r="N221" s="31"/>
    </row>
    <row r="222" spans="1:14" s="32" customFormat="1" ht="15.75" customHeight="1" x14ac:dyDescent="0.3">
      <c r="A222" s="109">
        <v>2</v>
      </c>
      <c r="B222" s="110"/>
      <c r="C222" s="37" t="s">
        <v>387</v>
      </c>
      <c r="D222" s="86">
        <f>(118.85)*(10.764)</f>
        <v>1279.3013999999998</v>
      </c>
      <c r="E222" s="37">
        <v>0</v>
      </c>
      <c r="F222" s="37">
        <f>D222+E222</f>
        <v>1279.3013999999998</v>
      </c>
      <c r="G222" s="37">
        <v>0</v>
      </c>
      <c r="H222" s="37">
        <f>F222*(($H$189)+1)+(IF(G222&lt;101,G222,IF(G222&lt;201,G222/2,IF(G222&lt;=301,G222/3,G222/4))))</f>
        <v>1918.9520999999997</v>
      </c>
      <c r="I222" s="31"/>
      <c r="L222" s="104"/>
      <c r="M222" s="104"/>
      <c r="N222" s="31"/>
    </row>
    <row r="223" spans="1:14" s="32" customFormat="1" ht="15.75" customHeight="1" x14ac:dyDescent="0.3">
      <c r="A223" s="109" t="s">
        <v>378</v>
      </c>
      <c r="B223" s="110"/>
      <c r="C223" s="109" t="s">
        <v>386</v>
      </c>
      <c r="D223" s="111"/>
      <c r="E223" s="111"/>
      <c r="F223" s="111"/>
      <c r="G223" s="111"/>
      <c r="H223" s="110"/>
      <c r="I223" s="31"/>
      <c r="L223" s="104"/>
      <c r="M223" s="104"/>
      <c r="N223" s="31"/>
    </row>
    <row r="224" spans="1:14" s="32" customFormat="1" ht="15.75" customHeight="1" x14ac:dyDescent="0.3">
      <c r="A224" s="109">
        <v>3</v>
      </c>
      <c r="B224" s="110"/>
      <c r="C224" s="37" t="s">
        <v>432</v>
      </c>
      <c r="D224" s="86">
        <f>(124.32)*(10.764)</f>
        <v>1338.1804799999998</v>
      </c>
      <c r="E224" s="37">
        <v>0</v>
      </c>
      <c r="F224" s="37">
        <f>D224+E224</f>
        <v>1338.1804799999998</v>
      </c>
      <c r="G224" s="37">
        <v>0</v>
      </c>
      <c r="H224" s="37">
        <f>F224*(($H$189)+1)+(IF(G224&lt;101,G224,IF(G224&lt;201,G224/2,IF(G224&lt;=301,G224/3,G224/4))))</f>
        <v>2007.2707199999995</v>
      </c>
      <c r="I224" s="31"/>
      <c r="L224" s="104"/>
      <c r="M224" s="104"/>
      <c r="N224" s="31"/>
    </row>
    <row r="225" spans="1:14" s="32" customFormat="1" x14ac:dyDescent="0.3">
      <c r="A225" s="109">
        <v>4</v>
      </c>
      <c r="B225" s="110"/>
      <c r="C225" s="37" t="s">
        <v>432</v>
      </c>
      <c r="D225" s="86">
        <f>(124.32)*(10.764)</f>
        <v>1338.1804799999998</v>
      </c>
      <c r="E225" s="37">
        <v>0</v>
      </c>
      <c r="F225" s="37">
        <f>D225+E225</f>
        <v>1338.1804799999998</v>
      </c>
      <c r="G225" s="37">
        <v>0</v>
      </c>
      <c r="H225" s="37">
        <f>F225*(($H$189)+1)+(IF(G225&lt;101,G225,IF(G225&lt;201,G225/2,IF(G225&lt;=301,G225/3,G225/4))))</f>
        <v>2007.2707199999995</v>
      </c>
      <c r="I225" s="31"/>
      <c r="L225" s="104"/>
      <c r="M225" s="104"/>
    </row>
    <row r="226" spans="1:14" s="32" customFormat="1" x14ac:dyDescent="0.3">
      <c r="A226" s="173" t="s">
        <v>435</v>
      </c>
      <c r="B226" s="174"/>
      <c r="C226" s="174"/>
      <c r="D226" s="174"/>
      <c r="E226" s="174"/>
      <c r="F226" s="174"/>
      <c r="G226" s="174"/>
      <c r="H226" s="175"/>
      <c r="I226" s="31"/>
      <c r="L226" s="104"/>
      <c r="M226" s="104"/>
    </row>
    <row r="227" spans="1:14" s="32" customFormat="1" x14ac:dyDescent="0.3">
      <c r="A227" s="113" t="s">
        <v>381</v>
      </c>
      <c r="B227" s="113"/>
      <c r="C227" s="113"/>
      <c r="D227" s="113"/>
      <c r="E227" s="113"/>
      <c r="F227" s="113"/>
      <c r="G227" s="113"/>
      <c r="H227" s="113"/>
      <c r="I227" s="84">
        <f>3.35*6.25+1.95*3.6+2.45*3.05+2.4*1.22+3.2*3.65+3.2+3.65+2.45*1.52+1.52*2.45+2.25*1.6+1.52+2.45*1.52</f>
        <v>73.179999999999993</v>
      </c>
      <c r="J227" s="32">
        <f>3.55*1.56+0.6*3.11+2.8*0.36+6.55*2.14+3.25*1.1+3.35*1.53</f>
        <v>31.1295</v>
      </c>
      <c r="K227" s="31">
        <f>I227+J227</f>
        <v>104.30949999999999</v>
      </c>
      <c r="N227" s="31"/>
    </row>
    <row r="228" spans="1:14" s="32" customFormat="1" x14ac:dyDescent="0.3">
      <c r="A228" s="112" t="s">
        <v>382</v>
      </c>
      <c r="B228" s="112"/>
      <c r="C228" s="112"/>
      <c r="D228" s="112"/>
      <c r="E228" s="112"/>
      <c r="F228" s="112"/>
      <c r="G228" s="112"/>
      <c r="H228" s="112"/>
      <c r="I228" s="31"/>
      <c r="N228" s="31"/>
    </row>
    <row r="229" spans="1:14" s="32" customFormat="1" x14ac:dyDescent="0.3">
      <c r="A229" s="105">
        <v>1</v>
      </c>
      <c r="B229" s="105"/>
      <c r="C229" s="37" t="s">
        <v>375</v>
      </c>
      <c r="D229" s="86">
        <f>(115.82)*(10.764)</f>
        <v>1246.6864799999998</v>
      </c>
      <c r="E229" s="37">
        <v>0</v>
      </c>
      <c r="F229" s="37">
        <f>D229+E229</f>
        <v>1246.6864799999998</v>
      </c>
      <c r="G229" s="37">
        <v>0</v>
      </c>
      <c r="H229" s="37">
        <f>F229*(($H$189)+1)+(IF(G229&lt;101,G229,IF(G229&lt;201,G229/2,IF(G229&lt;=301,G229/3,G229/4))))</f>
        <v>1870.0297199999998</v>
      </c>
      <c r="I229" s="31"/>
      <c r="N229" s="31"/>
    </row>
    <row r="230" spans="1:14" s="32" customFormat="1" x14ac:dyDescent="0.3">
      <c r="A230" s="105">
        <f>A229+1</f>
        <v>2</v>
      </c>
      <c r="B230" s="105"/>
      <c r="C230" s="37" t="s">
        <v>375</v>
      </c>
      <c r="D230" s="86">
        <f>(115.82)*(10.764)</f>
        <v>1246.6864799999998</v>
      </c>
      <c r="E230" s="37">
        <v>0</v>
      </c>
      <c r="F230" s="37">
        <f>D230+E230</f>
        <v>1246.6864799999998</v>
      </c>
      <c r="G230" s="37">
        <v>0</v>
      </c>
      <c r="H230" s="37">
        <f>F230*(($H$189)+1)+(IF(G230&lt;101,G230,IF(G230&lt;201,G230/2,IF(G230&lt;=301,G230/3,G230/4))))</f>
        <v>1870.0297199999998</v>
      </c>
      <c r="I230" s="31"/>
      <c r="N230" s="31"/>
    </row>
    <row r="231" spans="1:14" s="32" customFormat="1" x14ac:dyDescent="0.3">
      <c r="A231" s="105">
        <f>A230+1</f>
        <v>3</v>
      </c>
      <c r="B231" s="105"/>
      <c r="C231" s="37" t="s">
        <v>375</v>
      </c>
      <c r="D231" s="86">
        <f>(119.88)*(10.764)</f>
        <v>1290.3883199999998</v>
      </c>
      <c r="E231" s="37">
        <v>0</v>
      </c>
      <c r="F231" s="37">
        <f>D231+E231</f>
        <v>1290.3883199999998</v>
      </c>
      <c r="G231" s="37">
        <v>0</v>
      </c>
      <c r="H231" s="37">
        <f>F231*(($H$189)+1)+(IF(G231&lt;101,G231,IF(G231&lt;201,G231/2,IF(G231&lt;=301,G231/3,G231/4))))</f>
        <v>1935.5824799999996</v>
      </c>
      <c r="I231" s="32">
        <f>7+4+4+4+9+4</f>
        <v>32</v>
      </c>
      <c r="J231" s="31"/>
    </row>
    <row r="232" spans="1:14" s="32" customFormat="1" x14ac:dyDescent="0.3">
      <c r="A232" s="105">
        <f>A231+1</f>
        <v>4</v>
      </c>
      <c r="B232" s="105"/>
      <c r="C232" s="105" t="s">
        <v>383</v>
      </c>
      <c r="D232" s="105"/>
      <c r="E232" s="105"/>
      <c r="F232" s="105"/>
      <c r="G232" s="105"/>
      <c r="H232" s="105"/>
      <c r="I232" s="84"/>
      <c r="K232" s="31"/>
      <c r="N232" s="31"/>
    </row>
    <row r="233" spans="1:14" s="32" customFormat="1" ht="104.25" customHeight="1" x14ac:dyDescent="0.3">
      <c r="A233" s="112" t="s">
        <v>437</v>
      </c>
      <c r="B233" s="112"/>
      <c r="C233" s="112"/>
      <c r="D233" s="112"/>
      <c r="E233" s="112"/>
      <c r="F233" s="112"/>
      <c r="G233" s="112"/>
      <c r="H233" s="112"/>
      <c r="I233" s="31"/>
      <c r="N233" s="31"/>
    </row>
    <row r="234" spans="1:14" s="32" customFormat="1" x14ac:dyDescent="0.3">
      <c r="A234" s="105">
        <v>1</v>
      </c>
      <c r="B234" s="105"/>
      <c r="C234" s="37" t="s">
        <v>387</v>
      </c>
      <c r="D234" s="86">
        <f>(102.76)*(10.764)</f>
        <v>1106.1086399999999</v>
      </c>
      <c r="E234" s="37">
        <v>0</v>
      </c>
      <c r="F234" s="37">
        <f>D234+E234</f>
        <v>1106.1086399999999</v>
      </c>
      <c r="G234" s="37">
        <v>0</v>
      </c>
      <c r="H234" s="37">
        <f>F234*(($H$189)+1)+(IF(G234&lt;101,G234,IF(G234&lt;201,G234/2,IF(G234&lt;=301,G234/3,G234/4))))</f>
        <v>1659.1629599999999</v>
      </c>
      <c r="I234" s="84">
        <f>3.35*6.25+2.45*3.05+2.4*1.22+3.2*3.65+3.2*3.65+2.45*1.52+2.25*1.6+1.52+1.95*3.6+3.35*3.65+1.52*2.57</f>
        <v>86.695900000000009</v>
      </c>
      <c r="J234" s="32">
        <f>3.35*1.52+2.4*1.3</f>
        <v>8.2119999999999997</v>
      </c>
      <c r="K234" s="31">
        <f>I234+J234</f>
        <v>94.907900000000012</v>
      </c>
      <c r="N234" s="31"/>
    </row>
    <row r="235" spans="1:14" s="32" customFormat="1" x14ac:dyDescent="0.3">
      <c r="A235" s="105">
        <f>A234+1</f>
        <v>2</v>
      </c>
      <c r="B235" s="105"/>
      <c r="C235" s="37" t="s">
        <v>387</v>
      </c>
      <c r="D235" s="86">
        <f>(102.76)*(10.764)</f>
        <v>1106.1086399999999</v>
      </c>
      <c r="E235" s="37">
        <v>0</v>
      </c>
      <c r="F235" s="37">
        <f>D235+E235</f>
        <v>1106.1086399999999</v>
      </c>
      <c r="G235" s="37">
        <v>0</v>
      </c>
      <c r="H235" s="37">
        <f>F235*(($H$189)+1)+(IF(G235&lt;101,G235,IF(G235&lt;201,G235/2,IF(G235&lt;=301,G235/3,G235/4))))</f>
        <v>1659.1629599999999</v>
      </c>
      <c r="I235" s="31"/>
      <c r="N235" s="31"/>
    </row>
    <row r="236" spans="1:14" s="32" customFormat="1" x14ac:dyDescent="0.3">
      <c r="A236" s="105">
        <f>A235+1</f>
        <v>3</v>
      </c>
      <c r="B236" s="105"/>
      <c r="C236" s="37" t="s">
        <v>387</v>
      </c>
      <c r="D236" s="86">
        <f>(102.58)*(10.764)</f>
        <v>1104.17112</v>
      </c>
      <c r="E236" s="37">
        <v>0</v>
      </c>
      <c r="F236" s="37">
        <f>D236+E236</f>
        <v>1104.17112</v>
      </c>
      <c r="G236" s="37">
        <v>0</v>
      </c>
      <c r="H236" s="37">
        <f>F236*(($H$189)+1)+(IF(G236&lt;101,G236,IF(G236&lt;201,G236/2,IF(G236&lt;=301,G236/3,G236/4))))</f>
        <v>1656.25668</v>
      </c>
      <c r="I236" s="31"/>
      <c r="L236" s="104"/>
      <c r="M236" s="104"/>
    </row>
    <row r="237" spans="1:14" s="32" customFormat="1" x14ac:dyDescent="0.3">
      <c r="A237" s="105">
        <f>A236+1</f>
        <v>4</v>
      </c>
      <c r="B237" s="105"/>
      <c r="C237" s="37" t="s">
        <v>387</v>
      </c>
      <c r="D237" s="86">
        <f>(102.58)*(10.764)</f>
        <v>1104.17112</v>
      </c>
      <c r="E237" s="37">
        <v>0</v>
      </c>
      <c r="F237" s="37">
        <f>D237+E237</f>
        <v>1104.17112</v>
      </c>
      <c r="G237" s="37">
        <v>0</v>
      </c>
      <c r="H237" s="37">
        <f>F237*(($H$189)+1)+(IF(G237&lt;101,G237,IF(G237&lt;201,G237/2,IF(G237&lt;=301,G237/3,G237/4))))</f>
        <v>1656.25668</v>
      </c>
      <c r="I237" s="84"/>
      <c r="K237" s="31"/>
      <c r="N237" s="31"/>
    </row>
    <row r="238" spans="1:14" s="32" customFormat="1" ht="60.75" customHeight="1" x14ac:dyDescent="0.3">
      <c r="A238" s="115" t="s">
        <v>436</v>
      </c>
      <c r="B238" s="116"/>
      <c r="C238" s="116"/>
      <c r="D238" s="116"/>
      <c r="E238" s="116"/>
      <c r="F238" s="116"/>
      <c r="G238" s="116"/>
      <c r="H238" s="117"/>
      <c r="I238" s="31"/>
      <c r="N238" s="31"/>
    </row>
    <row r="239" spans="1:14" s="32" customFormat="1" x14ac:dyDescent="0.3">
      <c r="A239" s="114">
        <v>1</v>
      </c>
      <c r="B239" s="114"/>
      <c r="C239" s="93" t="s">
        <v>387</v>
      </c>
      <c r="D239" s="94">
        <f>(102.76)*(10.764)</f>
        <v>1106.1086399999999</v>
      </c>
      <c r="E239" s="93">
        <v>0</v>
      </c>
      <c r="F239" s="93">
        <f>D239+E239</f>
        <v>1106.1086399999999</v>
      </c>
      <c r="G239" s="93">
        <v>0</v>
      </c>
      <c r="H239" s="93">
        <f>F239*(($H$189)+1)+(IF(G239&lt;101,G239,IF(G239&lt;201,G239/2,IF(G239&lt;=301,G239/3,G239/4))))</f>
        <v>1659.1629599999999</v>
      </c>
      <c r="I239" s="31"/>
      <c r="N239" s="31"/>
    </row>
    <row r="240" spans="1:14" s="32" customFormat="1" x14ac:dyDescent="0.3">
      <c r="A240" s="114">
        <f>A239+1</f>
        <v>2</v>
      </c>
      <c r="B240" s="114"/>
      <c r="C240" s="93" t="s">
        <v>387</v>
      </c>
      <c r="D240" s="94">
        <f>(102.76)*(10.764)</f>
        <v>1106.1086399999999</v>
      </c>
      <c r="E240" s="93">
        <v>0</v>
      </c>
      <c r="F240" s="93">
        <f>D240+E240</f>
        <v>1106.1086399999999</v>
      </c>
      <c r="G240" s="93">
        <v>0</v>
      </c>
      <c r="H240" s="93">
        <f>F240*(($H$189)+1)+(IF(G240&lt;101,G240,IF(G240&lt;201,G240/2,IF(G240&lt;=301,G240/3,G240/4))))</f>
        <v>1659.1629599999999</v>
      </c>
      <c r="I240" s="31"/>
      <c r="N240" s="31"/>
    </row>
    <row r="241" spans="1:14" s="32" customFormat="1" x14ac:dyDescent="0.3">
      <c r="A241" s="114">
        <f>A240+1</f>
        <v>3</v>
      </c>
      <c r="B241" s="114"/>
      <c r="C241" s="106" t="s">
        <v>386</v>
      </c>
      <c r="D241" s="107"/>
      <c r="E241" s="107"/>
      <c r="F241" s="107"/>
      <c r="G241" s="107"/>
      <c r="H241" s="108"/>
      <c r="I241" s="31"/>
      <c r="L241" s="104"/>
      <c r="M241" s="104"/>
    </row>
    <row r="242" spans="1:14" s="32" customFormat="1" x14ac:dyDescent="0.3">
      <c r="A242" s="114">
        <f>A241+1</f>
        <v>4</v>
      </c>
      <c r="B242" s="114"/>
      <c r="C242" s="93" t="s">
        <v>432</v>
      </c>
      <c r="D242" s="94">
        <f>(119.44)*(10.764)</f>
        <v>1285.6521599999999</v>
      </c>
      <c r="E242" s="93">
        <v>0</v>
      </c>
      <c r="F242" s="93">
        <f>D242+E242</f>
        <v>1285.6521599999999</v>
      </c>
      <c r="G242" s="93">
        <v>0</v>
      </c>
      <c r="H242" s="93">
        <f>F242*(($H$189)+1)+(IF(G242&lt;101,G242,IF(G242&lt;201,G242/2,IF(G242&lt;=301,G242/3,G242/4))))</f>
        <v>1928.4782399999999</v>
      </c>
      <c r="I242" s="31"/>
      <c r="L242" s="104"/>
      <c r="M242" s="104"/>
    </row>
    <row r="243" spans="1:14" s="32" customFormat="1" x14ac:dyDescent="0.3">
      <c r="A243" s="113" t="s">
        <v>384</v>
      </c>
      <c r="B243" s="113"/>
      <c r="C243" s="113"/>
      <c r="D243" s="113"/>
      <c r="E243" s="113"/>
      <c r="F243" s="113"/>
      <c r="G243" s="113"/>
      <c r="H243" s="113"/>
      <c r="I243" s="84">
        <f>3.35*6.25+1.95*3.6+2.45*3.05+2.4*1.22+3.2*3.65+3.2*3.65+2.45*1.52+1.52*2.45+2.25*1.6+1.52</f>
        <v>74.285999999999987</v>
      </c>
      <c r="J243" s="32">
        <f>6.55*2.14+3.25*1.1+2.8*0.36+2.4*1.7+3.55*1.56+0.6*3.11+3.35*1.53</f>
        <v>35.209499999999998</v>
      </c>
      <c r="K243" s="31">
        <f>I243+J243</f>
        <v>109.49549999999999</v>
      </c>
      <c r="N243" s="31"/>
    </row>
    <row r="244" spans="1:14" s="32" customFormat="1" x14ac:dyDescent="0.3">
      <c r="A244" s="112" t="s">
        <v>382</v>
      </c>
      <c r="B244" s="112"/>
      <c r="C244" s="112"/>
      <c r="D244" s="112"/>
      <c r="E244" s="112"/>
      <c r="F244" s="112"/>
      <c r="G244" s="112"/>
      <c r="H244" s="112"/>
      <c r="I244" s="31"/>
      <c r="N244" s="31"/>
    </row>
    <row r="245" spans="1:14" s="32" customFormat="1" x14ac:dyDescent="0.3">
      <c r="A245" s="105">
        <v>1</v>
      </c>
      <c r="B245" s="105"/>
      <c r="C245" s="37" t="s">
        <v>375</v>
      </c>
      <c r="D245" s="86">
        <f>(115.82)*(10.764)</f>
        <v>1246.6864799999998</v>
      </c>
      <c r="E245" s="37">
        <v>0</v>
      </c>
      <c r="F245" s="37">
        <f>D245+E245</f>
        <v>1246.6864799999998</v>
      </c>
      <c r="G245" s="37">
        <v>0</v>
      </c>
      <c r="H245" s="37">
        <f>F245*(($H$189)+1)+(IF(G245&lt;101,G245,IF(G245&lt;201,G245/2,IF(G245&lt;=301,G245/3,G245/4))))</f>
        <v>1870.0297199999998</v>
      </c>
      <c r="I245" s="31"/>
      <c r="N245" s="31"/>
    </row>
    <row r="246" spans="1:14" s="32" customFormat="1" x14ac:dyDescent="0.3">
      <c r="A246" s="105">
        <f>A245+1</f>
        <v>2</v>
      </c>
      <c r="B246" s="105"/>
      <c r="C246" s="37" t="s">
        <v>375</v>
      </c>
      <c r="D246" s="86">
        <f>(115.82)*(10.764)</f>
        <v>1246.6864799999998</v>
      </c>
      <c r="E246" s="37">
        <v>0</v>
      </c>
      <c r="F246" s="37">
        <f>D246+E246</f>
        <v>1246.6864799999998</v>
      </c>
      <c r="G246" s="37">
        <v>0</v>
      </c>
      <c r="H246" s="37">
        <f>F246*(($H$189)+1)+(IF(G246&lt;101,G246,IF(G246&lt;201,G246/2,IF(G246&lt;=301,G246/3,G246/4))))</f>
        <v>1870.0297199999998</v>
      </c>
      <c r="I246" s="31"/>
      <c r="N246" s="31"/>
    </row>
    <row r="247" spans="1:14" s="32" customFormat="1" x14ac:dyDescent="0.3">
      <c r="A247" s="105">
        <f>A246+1</f>
        <v>3</v>
      </c>
      <c r="B247" s="105"/>
      <c r="C247" s="37" t="s">
        <v>375</v>
      </c>
      <c r="D247" s="86">
        <f>(119.88)*(10.764)</f>
        <v>1290.3883199999998</v>
      </c>
      <c r="E247" s="37">
        <v>0</v>
      </c>
      <c r="F247" s="37">
        <f>D247+E247</f>
        <v>1290.3883199999998</v>
      </c>
      <c r="G247" s="37">
        <v>0</v>
      </c>
      <c r="H247" s="37">
        <f>F247*(($H$189)+1)+(IF(G247&lt;101,G247,IF(G247&lt;201,G247/2,IF(G247&lt;=301,G247/3,G247/4))))</f>
        <v>1935.5824799999996</v>
      </c>
      <c r="I247" s="31"/>
      <c r="L247" s="104"/>
      <c r="M247" s="104"/>
    </row>
    <row r="248" spans="1:14" s="32" customFormat="1" x14ac:dyDescent="0.3">
      <c r="A248" s="105">
        <f>A247+1</f>
        <v>4</v>
      </c>
      <c r="B248" s="105"/>
      <c r="C248" s="109" t="s">
        <v>383</v>
      </c>
      <c r="D248" s="111"/>
      <c r="E248" s="111"/>
      <c r="F248" s="111"/>
      <c r="G248" s="111"/>
      <c r="H248" s="110"/>
      <c r="I248" s="84"/>
      <c r="K248" s="31">
        <f>I248+J248</f>
        <v>0</v>
      </c>
      <c r="N248" s="31"/>
    </row>
    <row r="249" spans="1:14" s="32" customFormat="1" ht="102" customHeight="1" x14ac:dyDescent="0.3">
      <c r="A249" s="115" t="s">
        <v>437</v>
      </c>
      <c r="B249" s="116"/>
      <c r="C249" s="116"/>
      <c r="D249" s="116"/>
      <c r="E249" s="116"/>
      <c r="F249" s="116"/>
      <c r="G249" s="116"/>
      <c r="H249" s="117"/>
      <c r="I249" s="31"/>
      <c r="N249" s="31"/>
    </row>
    <row r="250" spans="1:14" s="32" customFormat="1" x14ac:dyDescent="0.3">
      <c r="A250" s="105">
        <v>1</v>
      </c>
      <c r="B250" s="105"/>
      <c r="C250" s="37" t="s">
        <v>387</v>
      </c>
      <c r="D250" s="86">
        <f>(102.76)*(10.764)</f>
        <v>1106.1086399999999</v>
      </c>
      <c r="E250" s="37">
        <v>0</v>
      </c>
      <c r="F250" s="37">
        <f>D250+E250</f>
        <v>1106.1086399999999</v>
      </c>
      <c r="G250" s="37">
        <v>0</v>
      </c>
      <c r="H250" s="37">
        <f>F250*(($H$189)+1)+(IF(G250&lt;101,G250,IF(G250&lt;201,G250/2,IF(G250&lt;=301,G250/3,G250/4))))</f>
        <v>1659.1629599999999</v>
      </c>
      <c r="I250" s="31"/>
      <c r="N250" s="31"/>
    </row>
    <row r="251" spans="1:14" s="32" customFormat="1" x14ac:dyDescent="0.3">
      <c r="A251" s="105">
        <f>A250+1</f>
        <v>2</v>
      </c>
      <c r="B251" s="105"/>
      <c r="C251" s="37" t="s">
        <v>387</v>
      </c>
      <c r="D251" s="86">
        <f>(102.76)*(10.764)</f>
        <v>1106.1086399999999</v>
      </c>
      <c r="E251" s="37">
        <v>0</v>
      </c>
      <c r="F251" s="37">
        <f>D251+E251</f>
        <v>1106.1086399999999</v>
      </c>
      <c r="G251" s="37">
        <v>0</v>
      </c>
      <c r="H251" s="37">
        <f>F251*(($H$189)+1)+(IF(G251&lt;101,G251,IF(G251&lt;201,G251/2,IF(G251&lt;=301,G251/3,G251/4))))</f>
        <v>1659.1629599999999</v>
      </c>
      <c r="I251" s="31"/>
      <c r="N251" s="31"/>
    </row>
    <row r="252" spans="1:14" s="32" customFormat="1" x14ac:dyDescent="0.3">
      <c r="A252" s="105">
        <f>A251+1</f>
        <v>3</v>
      </c>
      <c r="B252" s="105"/>
      <c r="C252" s="37" t="s">
        <v>387</v>
      </c>
      <c r="D252" s="86">
        <f>(102.58)*(10.764)</f>
        <v>1104.17112</v>
      </c>
      <c r="E252" s="37">
        <v>0</v>
      </c>
      <c r="F252" s="37">
        <f>D252+E252</f>
        <v>1104.17112</v>
      </c>
      <c r="G252" s="37">
        <v>0</v>
      </c>
      <c r="H252" s="37">
        <f>F252*(($H$189)+1)+(IF(G252&lt;101,G252,IF(G252&lt;201,G252/2,IF(G252&lt;=301,G252/3,G252/4))))</f>
        <v>1656.25668</v>
      </c>
      <c r="I252" s="31"/>
      <c r="L252" s="104"/>
      <c r="M252" s="104"/>
    </row>
    <row r="253" spans="1:14" s="32" customFormat="1" x14ac:dyDescent="0.3">
      <c r="A253" s="105">
        <f>A252+1</f>
        <v>4</v>
      </c>
      <c r="B253" s="105"/>
      <c r="C253" s="37" t="s">
        <v>387</v>
      </c>
      <c r="D253" s="86">
        <f>(102.58)*(10.764)</f>
        <v>1104.17112</v>
      </c>
      <c r="E253" s="37">
        <v>0</v>
      </c>
      <c r="F253" s="37">
        <f>D253+E253</f>
        <v>1104.17112</v>
      </c>
      <c r="G253" s="37">
        <v>0</v>
      </c>
      <c r="H253" s="37">
        <f>F253*(($H$189)+1)+(IF(G253&lt;101,G253,IF(G253&lt;201,G253/2,IF(G253&lt;=301,G253/3,G253/4))))</f>
        <v>1656.25668</v>
      </c>
      <c r="I253" s="84">
        <f>3.35*6.25+1.95*3.6+2.45*3.05+2.4*1.22+3.2*3.65+3.2*3.65+2.45*1.52+1.52*2.45+2.25*1.6+1.52</f>
        <v>74.285999999999987</v>
      </c>
      <c r="J253" s="32">
        <f>6.55*2.14+3.25*1.1+2.8*0.36+2.4*1.7+3.55*1.56+0.6*3.11+3.35*1.53</f>
        <v>35.209499999999998</v>
      </c>
      <c r="K253" s="31">
        <f>I253+J253</f>
        <v>109.49549999999999</v>
      </c>
      <c r="N253" s="31"/>
    </row>
    <row r="254" spans="1:14" s="32" customFormat="1" ht="56.25" customHeight="1" x14ac:dyDescent="0.3">
      <c r="A254" s="112" t="s">
        <v>436</v>
      </c>
      <c r="B254" s="112"/>
      <c r="C254" s="112"/>
      <c r="D254" s="112"/>
      <c r="E254" s="112"/>
      <c r="F254" s="112"/>
      <c r="G254" s="112"/>
      <c r="H254" s="112"/>
      <c r="I254" s="31"/>
      <c r="N254" s="31"/>
    </row>
    <row r="255" spans="1:14" s="32" customFormat="1" x14ac:dyDescent="0.3">
      <c r="A255" s="105">
        <v>1</v>
      </c>
      <c r="B255" s="105"/>
      <c r="C255" s="93" t="s">
        <v>387</v>
      </c>
      <c r="D255" s="94">
        <f>(102.76)*(10.764)</f>
        <v>1106.1086399999999</v>
      </c>
      <c r="E255" s="93">
        <v>0</v>
      </c>
      <c r="F255" s="93">
        <f>D255+E255</f>
        <v>1106.1086399999999</v>
      </c>
      <c r="G255" s="93">
        <v>0</v>
      </c>
      <c r="H255" s="93">
        <f>F255*(($H$189)+1)+(IF(G255&lt;101,G255,IF(G255&lt;201,G255/2,IF(G255&lt;=301,G255/3,G255/4))))</f>
        <v>1659.1629599999999</v>
      </c>
      <c r="I255" s="31"/>
      <c r="N255" s="31"/>
    </row>
    <row r="256" spans="1:14" s="32" customFormat="1" x14ac:dyDescent="0.3">
      <c r="A256" s="105">
        <f>A255+1</f>
        <v>2</v>
      </c>
      <c r="B256" s="105"/>
      <c r="C256" s="93" t="s">
        <v>387</v>
      </c>
      <c r="D256" s="94">
        <f>(102.76)*(10.764)</f>
        <v>1106.1086399999999</v>
      </c>
      <c r="E256" s="93">
        <v>0</v>
      </c>
      <c r="F256" s="93">
        <f>D256+E256</f>
        <v>1106.1086399999999</v>
      </c>
      <c r="G256" s="93">
        <v>0</v>
      </c>
      <c r="H256" s="93">
        <f>F256*(($H$189)+1)+(IF(G256&lt;101,G256,IF(G256&lt;201,G256/2,IF(G256&lt;=301,G256/3,G256/4))))</f>
        <v>1659.1629599999999</v>
      </c>
      <c r="I256" s="31"/>
      <c r="N256" s="31"/>
    </row>
    <row r="257" spans="1:14" s="32" customFormat="1" x14ac:dyDescent="0.3">
      <c r="A257" s="105">
        <f>A256+1</f>
        <v>3</v>
      </c>
      <c r="B257" s="105"/>
      <c r="C257" s="114" t="s">
        <v>386</v>
      </c>
      <c r="D257" s="114"/>
      <c r="E257" s="114"/>
      <c r="F257" s="114"/>
      <c r="G257" s="114"/>
      <c r="H257" s="114"/>
      <c r="I257" s="31"/>
      <c r="L257" s="104"/>
      <c r="M257" s="104"/>
    </row>
    <row r="258" spans="1:14" s="32" customFormat="1" x14ac:dyDescent="0.3">
      <c r="A258" s="105">
        <f>A257+1</f>
        <v>4</v>
      </c>
      <c r="B258" s="105"/>
      <c r="C258" s="93" t="s">
        <v>432</v>
      </c>
      <c r="D258" s="94">
        <f>(119.44)*(10.764)</f>
        <v>1285.6521599999999</v>
      </c>
      <c r="E258" s="93">
        <v>0</v>
      </c>
      <c r="F258" s="93">
        <f>D258+E258</f>
        <v>1285.6521599999999</v>
      </c>
      <c r="G258" s="93">
        <v>0</v>
      </c>
      <c r="H258" s="93">
        <f>F258*(($H$189)+1)+(IF(G258&lt;101,G258,IF(G258&lt;201,G258/2,IF(G258&lt;=301,G258/3,G258/4))))</f>
        <v>1928.4782399999999</v>
      </c>
      <c r="I258" s="31"/>
      <c r="L258" s="104"/>
      <c r="M258" s="104"/>
    </row>
    <row r="259" spans="1:14" s="32" customFormat="1" x14ac:dyDescent="0.3">
      <c r="A259" s="113" t="s">
        <v>385</v>
      </c>
      <c r="B259" s="113"/>
      <c r="C259" s="113"/>
      <c r="D259" s="113"/>
      <c r="E259" s="113"/>
      <c r="F259" s="113"/>
      <c r="G259" s="113"/>
      <c r="H259" s="113"/>
      <c r="I259" s="84">
        <f>3.35*6.25+1.95*3.6+2.45*3.05+2.4*1.22+3.2*3.65+3.2*3.65+2.45*1.52+1.52*2.45+2.25*1.6+1.52</f>
        <v>74.285999999999987</v>
      </c>
      <c r="J259" s="32">
        <f>6.55*2.14+3.25*1.1+2.8*0.36+2.4*1.7+3.55*1.56+0.6*3.11+3.35*1.53</f>
        <v>35.209499999999998</v>
      </c>
      <c r="K259" s="31">
        <f>I259+J259</f>
        <v>109.49549999999999</v>
      </c>
      <c r="N259" s="31"/>
    </row>
    <row r="260" spans="1:14" s="32" customFormat="1" x14ac:dyDescent="0.3">
      <c r="A260" s="112" t="s">
        <v>382</v>
      </c>
      <c r="B260" s="112"/>
      <c r="C260" s="112"/>
      <c r="D260" s="112"/>
      <c r="E260" s="112"/>
      <c r="F260" s="112"/>
      <c r="G260" s="112"/>
      <c r="H260" s="112"/>
      <c r="I260" s="31"/>
      <c r="N260" s="31"/>
    </row>
    <row r="261" spans="1:14" s="32" customFormat="1" x14ac:dyDescent="0.3">
      <c r="A261" s="105">
        <v>1</v>
      </c>
      <c r="B261" s="105"/>
      <c r="C261" s="37" t="s">
        <v>375</v>
      </c>
      <c r="D261" s="86">
        <f>(115.82)*(10.764)</f>
        <v>1246.6864799999998</v>
      </c>
      <c r="E261" s="37">
        <v>0</v>
      </c>
      <c r="F261" s="37">
        <f>D261+E261</f>
        <v>1246.6864799999998</v>
      </c>
      <c r="G261" s="37">
        <v>0</v>
      </c>
      <c r="H261" s="37">
        <f>F261*(($H$189)+1)+(IF(G261&lt;101,G261,IF(G261&lt;201,G261/2,IF(G261&lt;=301,G261/3,G261/4))))</f>
        <v>1870.0297199999998</v>
      </c>
      <c r="I261" s="31"/>
      <c r="N261" s="31"/>
    </row>
    <row r="262" spans="1:14" s="32" customFormat="1" x14ac:dyDescent="0.3">
      <c r="A262" s="105">
        <f>A261+1</f>
        <v>2</v>
      </c>
      <c r="B262" s="105"/>
      <c r="C262" s="37" t="s">
        <v>375</v>
      </c>
      <c r="D262" s="86">
        <f>(115.82)*(10.764)</f>
        <v>1246.6864799999998</v>
      </c>
      <c r="E262" s="37">
        <v>0</v>
      </c>
      <c r="F262" s="37">
        <f>D262+E262</f>
        <v>1246.6864799999998</v>
      </c>
      <c r="G262" s="37">
        <v>0</v>
      </c>
      <c r="H262" s="37">
        <f>F262*(($H$189)+1)+(IF(G262&lt;101,G262,IF(G262&lt;201,G262/2,IF(G262&lt;=301,G262/3,G262/4))))</f>
        <v>1870.0297199999998</v>
      </c>
      <c r="I262" s="31"/>
      <c r="N262" s="31"/>
    </row>
    <row r="263" spans="1:14" s="32" customFormat="1" x14ac:dyDescent="0.3">
      <c r="A263" s="105">
        <f>A262+1</f>
        <v>3</v>
      </c>
      <c r="B263" s="105"/>
      <c r="C263" s="37" t="s">
        <v>375</v>
      </c>
      <c r="D263" s="86">
        <f>(119.88)*(10.764)</f>
        <v>1290.3883199999998</v>
      </c>
      <c r="E263" s="37">
        <v>0</v>
      </c>
      <c r="F263" s="37">
        <f>D263+E263</f>
        <v>1290.3883199999998</v>
      </c>
      <c r="G263" s="37">
        <v>0</v>
      </c>
      <c r="H263" s="37">
        <f>F263*(($H$189)+1)+(IF(G263&lt;101,G263,IF(G263&lt;201,G263/2,IF(G263&lt;=301,G263/3,G263/4))))</f>
        <v>1935.5824799999996</v>
      </c>
      <c r="I263" s="32">
        <f>7+4+4+4+9+4</f>
        <v>32</v>
      </c>
      <c r="J263" s="31"/>
    </row>
    <row r="264" spans="1:14" s="32" customFormat="1" x14ac:dyDescent="0.3">
      <c r="A264" s="105">
        <f>A263+1</f>
        <v>4</v>
      </c>
      <c r="B264" s="105"/>
      <c r="C264" s="105" t="s">
        <v>383</v>
      </c>
      <c r="D264" s="105"/>
      <c r="E264" s="105"/>
      <c r="F264" s="105"/>
      <c r="G264" s="105"/>
      <c r="H264" s="105"/>
      <c r="I264" s="84"/>
      <c r="K264" s="31"/>
      <c r="N264" s="31"/>
    </row>
    <row r="265" spans="1:14" s="32" customFormat="1" ht="97.5" customHeight="1" x14ac:dyDescent="0.3">
      <c r="A265" s="112" t="s">
        <v>437</v>
      </c>
      <c r="B265" s="112"/>
      <c r="C265" s="112"/>
      <c r="D265" s="112"/>
      <c r="E265" s="112"/>
      <c r="F265" s="112"/>
      <c r="G265" s="112"/>
      <c r="H265" s="112"/>
      <c r="I265" s="31"/>
      <c r="N265" s="31"/>
    </row>
    <row r="266" spans="1:14" s="32" customFormat="1" x14ac:dyDescent="0.3">
      <c r="A266" s="105">
        <v>1</v>
      </c>
      <c r="B266" s="105"/>
      <c r="C266" s="37" t="s">
        <v>387</v>
      </c>
      <c r="D266" s="86">
        <f>(102.76)*(10.764)</f>
        <v>1106.1086399999999</v>
      </c>
      <c r="E266" s="37">
        <v>0</v>
      </c>
      <c r="F266" s="37">
        <f>D266+E266</f>
        <v>1106.1086399999999</v>
      </c>
      <c r="G266" s="37">
        <v>0</v>
      </c>
      <c r="H266" s="37">
        <f>F266*(($H$189)+1)+(IF(G266&lt;101,G266,IF(G266&lt;201,G266/2,IF(G266&lt;=301,G266/3,G266/4))))</f>
        <v>1659.1629599999999</v>
      </c>
      <c r="I266" s="84">
        <f>3.35*6.25+2.45*3.05+2.4*1.22+3.2*3.65+3.2*3.65+2.45*1.52+2.25*1.6+1.52+1.95*3.6+3.35*3.65+1.52*2.57</f>
        <v>86.695900000000009</v>
      </c>
      <c r="J266" s="32">
        <f>3.35*1.52+2.4*1.3</f>
        <v>8.2119999999999997</v>
      </c>
      <c r="K266" s="31">
        <f>I266+J266</f>
        <v>94.907900000000012</v>
      </c>
      <c r="N266" s="31"/>
    </row>
    <row r="267" spans="1:14" s="32" customFormat="1" x14ac:dyDescent="0.3">
      <c r="A267" s="105">
        <f>A266+1</f>
        <v>2</v>
      </c>
      <c r="B267" s="105"/>
      <c r="C267" s="37" t="s">
        <v>387</v>
      </c>
      <c r="D267" s="86">
        <f>(102.76)*(10.764)</f>
        <v>1106.1086399999999</v>
      </c>
      <c r="E267" s="37">
        <v>0</v>
      </c>
      <c r="F267" s="37">
        <f>D267+E267</f>
        <v>1106.1086399999999</v>
      </c>
      <c r="G267" s="37">
        <v>0</v>
      </c>
      <c r="H267" s="37">
        <f>F267*(($H$189)+1)+(IF(G267&lt;101,G267,IF(G267&lt;201,G267/2,IF(G267&lt;=301,G267/3,G267/4))))</f>
        <v>1659.1629599999999</v>
      </c>
      <c r="I267" s="31"/>
      <c r="N267" s="31"/>
    </row>
    <row r="268" spans="1:14" s="32" customFormat="1" x14ac:dyDescent="0.3">
      <c r="A268" s="105">
        <f>A267+1</f>
        <v>3</v>
      </c>
      <c r="B268" s="105"/>
      <c r="C268" s="37" t="s">
        <v>387</v>
      </c>
      <c r="D268" s="86">
        <f>(102.58)*(10.764)</f>
        <v>1104.17112</v>
      </c>
      <c r="E268" s="37">
        <v>0</v>
      </c>
      <c r="F268" s="37">
        <f>D268+E268</f>
        <v>1104.17112</v>
      </c>
      <c r="G268" s="37">
        <v>0</v>
      </c>
      <c r="H268" s="37">
        <f>F268*(($H$189)+1)+(IF(G268&lt;101,G268,IF(G268&lt;201,G268/2,IF(G268&lt;=301,G268/3,G268/4))))</f>
        <v>1656.25668</v>
      </c>
      <c r="I268" s="31"/>
      <c r="L268" s="104"/>
      <c r="M268" s="104"/>
    </row>
    <row r="269" spans="1:14" s="32" customFormat="1" x14ac:dyDescent="0.3">
      <c r="A269" s="105">
        <f>A268+1</f>
        <v>4</v>
      </c>
      <c r="B269" s="105"/>
      <c r="C269" s="37" t="s">
        <v>387</v>
      </c>
      <c r="D269" s="86">
        <f>(102.58)*(10.764)</f>
        <v>1104.17112</v>
      </c>
      <c r="E269" s="37">
        <v>0</v>
      </c>
      <c r="F269" s="37">
        <f>D269+E269</f>
        <v>1104.17112</v>
      </c>
      <c r="G269" s="37">
        <v>0</v>
      </c>
      <c r="H269" s="37">
        <f>F269*(($H$189)+1)+(IF(G269&lt;101,G269,IF(G269&lt;201,G269/2,IF(G269&lt;=301,G269/3,G269/4))))</f>
        <v>1656.25668</v>
      </c>
      <c r="I269" s="84">
        <f>3.35*6.25+1.95*3.6+2.45*3.05+2.4*1.22+3.2*3.65+3.2+3.65+2.45*1.52+1.52*2.45+2.25*1.6+1.52+2.45*1.52</f>
        <v>73.179999999999993</v>
      </c>
      <c r="J269" s="32">
        <f>3.55*1.56+0.6*3.11+2.8*0.36+6.55*2.14+3.25*1.1+3.35*1.53</f>
        <v>31.1295</v>
      </c>
      <c r="K269" s="31">
        <f>I269+J269</f>
        <v>104.30949999999999</v>
      </c>
      <c r="N269" s="31"/>
    </row>
    <row r="270" spans="1:14" s="32" customFormat="1" ht="50.25" customHeight="1" x14ac:dyDescent="0.3">
      <c r="A270" s="112" t="s">
        <v>440</v>
      </c>
      <c r="B270" s="112"/>
      <c r="C270" s="112"/>
      <c r="D270" s="112"/>
      <c r="E270" s="112"/>
      <c r="F270" s="112"/>
      <c r="G270" s="112"/>
      <c r="H270" s="112"/>
      <c r="I270" s="31"/>
      <c r="N270" s="31"/>
    </row>
    <row r="271" spans="1:14" s="32" customFormat="1" x14ac:dyDescent="0.3">
      <c r="A271" s="105">
        <v>1</v>
      </c>
      <c r="B271" s="105"/>
      <c r="C271" s="93" t="s">
        <v>387</v>
      </c>
      <c r="D271" s="94">
        <f>(102.76)*(10.764)</f>
        <v>1106.1086399999999</v>
      </c>
      <c r="E271" s="93">
        <v>0</v>
      </c>
      <c r="F271" s="93">
        <f>D271+E271</f>
        <v>1106.1086399999999</v>
      </c>
      <c r="G271" s="93">
        <v>0</v>
      </c>
      <c r="H271" s="93">
        <f>F271*(($H$189)+1)+(IF(G271&lt;101,G271,IF(G271&lt;201,G271/2,IF(G271&lt;=301,G271/3,G271/4))))</f>
        <v>1659.1629599999999</v>
      </c>
      <c r="I271" s="31"/>
      <c r="N271" s="31"/>
    </row>
    <row r="272" spans="1:14" s="32" customFormat="1" x14ac:dyDescent="0.3">
      <c r="A272" s="105">
        <f>A271+1</f>
        <v>2</v>
      </c>
      <c r="B272" s="105"/>
      <c r="C272" s="93" t="s">
        <v>387</v>
      </c>
      <c r="D272" s="94">
        <f>(102.76)*(10.764)</f>
        <v>1106.1086399999999</v>
      </c>
      <c r="E272" s="93">
        <v>0</v>
      </c>
      <c r="F272" s="93">
        <f>D272+E272</f>
        <v>1106.1086399999999</v>
      </c>
      <c r="G272" s="93">
        <v>0</v>
      </c>
      <c r="H272" s="93">
        <f>F272*(($H$189)+1)+(IF(G272&lt;101,G272,IF(G272&lt;201,G272/2,IF(G272&lt;=301,G272/3,G272/4))))</f>
        <v>1659.1629599999999</v>
      </c>
      <c r="I272" s="31"/>
      <c r="N272" s="31"/>
    </row>
    <row r="273" spans="1:20" s="32" customFormat="1" ht="15.75" customHeight="1" x14ac:dyDescent="0.3">
      <c r="A273" s="105">
        <f>A272+1</f>
        <v>3</v>
      </c>
      <c r="B273" s="105"/>
      <c r="C273" s="106" t="s">
        <v>386</v>
      </c>
      <c r="D273" s="107"/>
      <c r="E273" s="107"/>
      <c r="F273" s="107"/>
      <c r="G273" s="107"/>
      <c r="H273" s="108"/>
      <c r="I273" s="31"/>
    </row>
    <row r="274" spans="1:20" s="30" customFormat="1" x14ac:dyDescent="0.3">
      <c r="A274" s="105">
        <f>A273+1</f>
        <v>4</v>
      </c>
      <c r="B274" s="105"/>
      <c r="C274" s="93" t="s">
        <v>432</v>
      </c>
      <c r="D274" s="94">
        <f>(119.44)*(10.764)</f>
        <v>1285.6521599999999</v>
      </c>
      <c r="E274" s="93">
        <v>0</v>
      </c>
      <c r="F274" s="93">
        <f>D274+E274</f>
        <v>1285.6521599999999</v>
      </c>
      <c r="G274" s="93">
        <v>0</v>
      </c>
      <c r="H274" s="93">
        <f>F274*(($H$189)+1)+(IF(G274&lt;101,G274,IF(G274&lt;201,G274/2,IF(G274&lt;=301,G274/3,G274/4))))</f>
        <v>1928.4782399999999</v>
      </c>
      <c r="T274" s="32"/>
    </row>
    <row r="275" spans="1:20" s="30" customFormat="1" x14ac:dyDescent="0.3">
      <c r="A275" s="158" t="s">
        <v>64</v>
      </c>
      <c r="B275" s="158"/>
      <c r="C275" s="158"/>
      <c r="D275" s="158"/>
      <c r="E275" s="158"/>
      <c r="F275" s="158"/>
      <c r="G275" s="158"/>
      <c r="H275" s="158"/>
      <c r="T275" s="32"/>
    </row>
    <row r="276" spans="1:20" s="30" customFormat="1" x14ac:dyDescent="0.3">
      <c r="A276" s="39" t="s">
        <v>146</v>
      </c>
      <c r="B276" s="162" t="s">
        <v>448</v>
      </c>
      <c r="C276" s="163"/>
      <c r="D276" s="163"/>
      <c r="E276" s="163"/>
      <c r="F276" s="163"/>
      <c r="G276" s="163"/>
      <c r="H276" s="164"/>
      <c r="T276" s="32"/>
    </row>
    <row r="277" spans="1:20" s="30" customFormat="1" x14ac:dyDescent="0.3">
      <c r="A277" s="39" t="s">
        <v>146</v>
      </c>
      <c r="B277" s="162" t="str">
        <f>(IF(H188="Saleable area Loading :","We have considered Saleable area of Flats as per our Calculation.","We considered Saleable area of Flat as per Builder area Sheet."))</f>
        <v>We have considered Saleable area of Flats as per our Calculation.</v>
      </c>
      <c r="C277" s="163"/>
      <c r="D277" s="163"/>
      <c r="E277" s="163"/>
      <c r="F277" s="163"/>
      <c r="G277" s="163"/>
      <c r="H277" s="164"/>
      <c r="T277" s="32"/>
    </row>
    <row r="278" spans="1:20" s="30" customFormat="1" hidden="1" x14ac:dyDescent="0.3">
      <c r="A278" s="39" t="s">
        <v>146</v>
      </c>
      <c r="B278" s="168" t="str">
        <f>(IF(H179="Saleable area Loading :","We have considered Saleable area of Commercial as per our Calculation.","We considered Saleable area of Commercial as per Builder area Sheet."))</f>
        <v>We have considered Saleable area of Commercial as per our Calculation.</v>
      </c>
      <c r="C278" s="169"/>
      <c r="D278" s="169"/>
      <c r="E278" s="169"/>
      <c r="F278" s="169"/>
      <c r="G278" s="169"/>
      <c r="H278" s="170"/>
      <c r="T278" s="32"/>
    </row>
    <row r="279" spans="1:20" s="30" customFormat="1" x14ac:dyDescent="0.3">
      <c r="A279" s="39" t="s">
        <v>146</v>
      </c>
      <c r="B279" s="162" t="s">
        <v>116</v>
      </c>
      <c r="C279" s="163"/>
      <c r="D279" s="163"/>
      <c r="E279" s="163"/>
      <c r="F279" s="163"/>
      <c r="G279" s="163"/>
      <c r="H279" s="164"/>
    </row>
    <row r="280" spans="1:20" s="30" customFormat="1" x14ac:dyDescent="0.3">
      <c r="A280" s="39" t="s">
        <v>146</v>
      </c>
      <c r="B280" s="162" t="s">
        <v>392</v>
      </c>
      <c r="C280" s="163"/>
      <c r="D280" s="163"/>
      <c r="E280" s="163"/>
      <c r="F280" s="163"/>
      <c r="G280" s="163"/>
      <c r="H280" s="164"/>
    </row>
    <row r="281" spans="1:20" s="30" customFormat="1" x14ac:dyDescent="0.3">
      <c r="A281" s="39" t="s">
        <v>146</v>
      </c>
      <c r="B281" s="165" t="s">
        <v>145</v>
      </c>
      <c r="C281" s="166"/>
      <c r="D281" s="166"/>
      <c r="E281" s="166"/>
      <c r="F281" s="166"/>
      <c r="G281" s="166"/>
      <c r="H281" s="167"/>
    </row>
    <row r="282" spans="1:20" s="30" customFormat="1" x14ac:dyDescent="0.3">
      <c r="A282" s="39" t="s">
        <v>146</v>
      </c>
      <c r="B282" s="165" t="s">
        <v>117</v>
      </c>
      <c r="C282" s="166"/>
      <c r="D282" s="166"/>
      <c r="E282" s="166"/>
      <c r="F282" s="166"/>
      <c r="G282" s="166"/>
      <c r="H282" s="167"/>
    </row>
    <row r="283" spans="1:20" s="30" customFormat="1" ht="35.25" customHeight="1" x14ac:dyDescent="0.3">
      <c r="A283" s="95" t="s">
        <v>146</v>
      </c>
      <c r="B283" s="162" t="s">
        <v>147</v>
      </c>
      <c r="C283" s="163"/>
      <c r="D283" s="163"/>
      <c r="E283" s="163"/>
      <c r="F283" s="163"/>
      <c r="G283" s="163"/>
      <c r="H283" s="164"/>
    </row>
    <row r="284" spans="1:20" s="30" customFormat="1" x14ac:dyDescent="0.3">
      <c r="A284" s="39" t="s">
        <v>146</v>
      </c>
      <c r="B284" s="165" t="s">
        <v>118</v>
      </c>
      <c r="C284" s="166"/>
      <c r="D284" s="166"/>
      <c r="E284" s="166"/>
      <c r="F284" s="166"/>
      <c r="G284" s="166"/>
      <c r="H284" s="167"/>
    </row>
    <row r="285" spans="1:20" s="30" customFormat="1" ht="35.25" hidden="1" customHeight="1" x14ac:dyDescent="0.3">
      <c r="A285" s="39" t="s">
        <v>146</v>
      </c>
      <c r="B285" s="168" t="s">
        <v>171</v>
      </c>
      <c r="C285" s="169"/>
      <c r="D285" s="169"/>
      <c r="E285" s="169"/>
      <c r="F285" s="169"/>
      <c r="G285" s="169"/>
      <c r="H285" s="170"/>
    </row>
    <row r="286" spans="1:20" s="30" customFormat="1" ht="32.549999999999997" customHeight="1" x14ac:dyDescent="0.3">
      <c r="A286" s="39" t="s">
        <v>146</v>
      </c>
      <c r="B286" s="162" t="s">
        <v>362</v>
      </c>
      <c r="C286" s="163"/>
      <c r="D286" s="163"/>
      <c r="E286" s="163"/>
      <c r="F286" s="163"/>
      <c r="G286" s="163"/>
      <c r="H286" s="164"/>
    </row>
    <row r="287" spans="1:20" s="30" customFormat="1" ht="81.75" hidden="1" customHeight="1" x14ac:dyDescent="0.3">
      <c r="A287" s="39" t="s">
        <v>146</v>
      </c>
      <c r="B287" s="168" t="s">
        <v>342</v>
      </c>
      <c r="C287" s="169"/>
      <c r="D287" s="169"/>
      <c r="E287" s="169"/>
      <c r="F287" s="169"/>
      <c r="G287" s="169"/>
      <c r="H287" s="170"/>
    </row>
    <row r="288" spans="1:20" hidden="1" x14ac:dyDescent="0.3">
      <c r="A288" s="39" t="s">
        <v>146</v>
      </c>
      <c r="B288" s="168" t="str">
        <f ca="1">IF(G53&gt;EDATE(E3,-48),"NO REMARK FOR CC","REMARK FOR CC")</f>
        <v>NO REMARK FOR CC</v>
      </c>
      <c r="C288" s="169"/>
      <c r="D288" s="169"/>
      <c r="E288" s="169"/>
      <c r="F288" s="169"/>
      <c r="G288" s="169"/>
      <c r="H288" s="170"/>
      <c r="T288" s="30"/>
    </row>
    <row r="289" spans="1:20" hidden="1" x14ac:dyDescent="0.3">
      <c r="A289" s="39" t="s">
        <v>146</v>
      </c>
      <c r="B289" s="168" t="s">
        <v>343</v>
      </c>
      <c r="C289" s="169"/>
      <c r="D289" s="169"/>
      <c r="E289" s="169"/>
      <c r="F289" s="169"/>
      <c r="G289" s="169"/>
      <c r="H289" s="170"/>
      <c r="T289" s="30"/>
    </row>
    <row r="290" spans="1:20" s="30" customFormat="1" x14ac:dyDescent="0.3">
      <c r="A290" s="39" t="s">
        <v>146</v>
      </c>
      <c r="B290" s="162" t="s">
        <v>450</v>
      </c>
      <c r="C290" s="163"/>
      <c r="D290" s="163"/>
      <c r="E290" s="163"/>
      <c r="F290" s="163"/>
      <c r="G290" s="163"/>
      <c r="H290" s="164"/>
    </row>
    <row r="291" spans="1:20" s="30" customFormat="1" x14ac:dyDescent="0.3">
      <c r="A291" s="39" t="s">
        <v>146</v>
      </c>
      <c r="B291" s="162" t="s">
        <v>453</v>
      </c>
      <c r="C291" s="163"/>
      <c r="D291" s="163"/>
      <c r="E291" s="163"/>
      <c r="F291" s="163"/>
      <c r="G291" s="163"/>
      <c r="H291" s="164"/>
    </row>
    <row r="292" spans="1:20" ht="15.75" customHeight="1" x14ac:dyDescent="0.3">
      <c r="A292" s="180" t="s">
        <v>57</v>
      </c>
      <c r="B292" s="180"/>
      <c r="C292" s="180"/>
      <c r="D292" s="180"/>
      <c r="E292" s="180"/>
      <c r="F292" s="180"/>
      <c r="G292" s="180"/>
      <c r="H292" s="180"/>
      <c r="T292" s="30"/>
    </row>
    <row r="293" spans="1:20" x14ac:dyDescent="0.3">
      <c r="A293" s="139" t="s">
        <v>58</v>
      </c>
      <c r="B293" s="139"/>
      <c r="C293" s="139"/>
      <c r="D293" s="139"/>
      <c r="E293" s="139"/>
      <c r="F293" s="139"/>
      <c r="G293" s="139"/>
      <c r="H293" s="139"/>
      <c r="T293" s="30"/>
    </row>
    <row r="294" spans="1:20" x14ac:dyDescent="0.3">
      <c r="A294" s="182" t="s">
        <v>59</v>
      </c>
      <c r="B294" s="182"/>
      <c r="C294" s="182"/>
      <c r="D294" s="182"/>
      <c r="E294" s="182"/>
      <c r="F294" s="182"/>
      <c r="G294" s="182"/>
      <c r="H294" s="182"/>
      <c r="T294" s="30"/>
    </row>
    <row r="295" spans="1:20" x14ac:dyDescent="0.3">
      <c r="A295" s="139" t="s">
        <v>60</v>
      </c>
      <c r="B295" s="139"/>
      <c r="C295" s="139"/>
      <c r="D295" s="139"/>
      <c r="E295" s="139"/>
      <c r="F295" s="139"/>
      <c r="G295" s="139"/>
      <c r="H295" s="139"/>
      <c r="T295" s="30"/>
    </row>
    <row r="296" spans="1:20" x14ac:dyDescent="0.3">
      <c r="A296" s="139" t="s">
        <v>61</v>
      </c>
      <c r="B296" s="139"/>
      <c r="C296" s="139"/>
      <c r="D296" s="139"/>
      <c r="E296" s="139"/>
      <c r="F296" s="139"/>
      <c r="G296" s="139"/>
      <c r="H296" s="139"/>
    </row>
    <row r="297" spans="1:20" x14ac:dyDescent="0.3">
      <c r="A297" s="139" t="s">
        <v>119</v>
      </c>
      <c r="B297" s="139"/>
      <c r="C297" s="139"/>
      <c r="D297" s="139"/>
      <c r="E297" s="139"/>
      <c r="F297" s="139"/>
      <c r="G297" s="139"/>
      <c r="H297" s="139"/>
    </row>
    <row r="298" spans="1:20" x14ac:dyDescent="0.3">
      <c r="A298" s="147" t="s">
        <v>120</v>
      </c>
      <c r="B298" s="147"/>
      <c r="C298" s="147"/>
      <c r="D298" s="147"/>
      <c r="E298" s="147"/>
      <c r="F298" s="147"/>
      <c r="G298" s="147"/>
      <c r="H298" s="147"/>
    </row>
    <row r="299" spans="1:20" x14ac:dyDescent="0.3">
      <c r="A299" s="177" t="s">
        <v>73</v>
      </c>
      <c r="B299" s="177"/>
      <c r="C299" s="177" t="s">
        <v>445</v>
      </c>
      <c r="D299" s="177"/>
      <c r="E299" s="177" t="s">
        <v>100</v>
      </c>
      <c r="F299" s="177"/>
      <c r="G299" s="177" t="s">
        <v>454</v>
      </c>
      <c r="H299" s="177"/>
    </row>
    <row r="300" spans="1:20" x14ac:dyDescent="0.3">
      <c r="A300" s="176" t="s">
        <v>75</v>
      </c>
      <c r="B300" s="176"/>
      <c r="C300" s="176"/>
      <c r="D300" s="176"/>
      <c r="E300" s="176"/>
      <c r="F300" s="176"/>
      <c r="G300" s="176"/>
      <c r="H300" s="176"/>
    </row>
    <row r="301" spans="1:20" x14ac:dyDescent="0.3">
      <c r="A301" s="176"/>
      <c r="B301" s="176"/>
      <c r="C301" s="176"/>
      <c r="D301" s="176"/>
      <c r="E301" s="176"/>
      <c r="F301" s="176"/>
      <c r="G301" s="176"/>
      <c r="H301" s="176"/>
    </row>
    <row r="302" spans="1:20" x14ac:dyDescent="0.3">
      <c r="A302" s="176"/>
      <c r="B302" s="176"/>
      <c r="C302" s="176"/>
      <c r="D302" s="176"/>
      <c r="E302" s="176"/>
      <c r="F302" s="176"/>
      <c r="G302" s="176"/>
      <c r="H302" s="176"/>
    </row>
    <row r="303" spans="1:20" x14ac:dyDescent="0.3">
      <c r="A303" s="176"/>
      <c r="B303" s="176"/>
      <c r="C303" s="176"/>
      <c r="D303" s="176"/>
      <c r="E303" s="176"/>
      <c r="F303" s="176"/>
      <c r="G303" s="176"/>
      <c r="H303" s="176"/>
    </row>
    <row r="304" spans="1:20" x14ac:dyDescent="0.3">
      <c r="A304" s="33" t="s">
        <v>62</v>
      </c>
      <c r="B304" s="34"/>
      <c r="C304" s="34"/>
      <c r="D304" s="33" t="str">
        <f>E9</f>
        <v>Opulis (Wing A to E)</v>
      </c>
      <c r="F304" s="34"/>
      <c r="G304" s="34"/>
      <c r="H304" s="34"/>
    </row>
    <row r="305" spans="1:8" ht="15" customHeight="1" x14ac:dyDescent="0.3">
      <c r="A305" s="34"/>
      <c r="B305" s="34"/>
      <c r="C305" s="34"/>
      <c r="D305" s="34"/>
      <c r="E305" s="34"/>
      <c r="F305" s="34"/>
      <c r="G305" s="34"/>
      <c r="H305" s="34"/>
    </row>
    <row r="306" spans="1:8" x14ac:dyDescent="0.3">
      <c r="A306" s="34"/>
      <c r="B306" s="34"/>
      <c r="C306" s="34"/>
      <c r="D306" s="34"/>
      <c r="E306" s="34"/>
      <c r="F306" s="34"/>
      <c r="G306" s="34"/>
      <c r="H306" s="34"/>
    </row>
    <row r="344" spans="1:1" x14ac:dyDescent="0.3">
      <c r="A344" s="36" t="s">
        <v>157</v>
      </c>
    </row>
    <row r="384" spans="1:1" x14ac:dyDescent="0.3">
      <c r="A384" s="36" t="s">
        <v>63</v>
      </c>
    </row>
  </sheetData>
  <mergeCells count="518">
    <mergeCell ref="B291:H291"/>
    <mergeCell ref="A154:E154"/>
    <mergeCell ref="A175:B175"/>
    <mergeCell ref="E175:F175"/>
    <mergeCell ref="A159:E159"/>
    <mergeCell ref="G175:H175"/>
    <mergeCell ref="B290:H290"/>
    <mergeCell ref="B289:H289"/>
    <mergeCell ref="A148:B148"/>
    <mergeCell ref="C179:C180"/>
    <mergeCell ref="B188:B189"/>
    <mergeCell ref="B278:H278"/>
    <mergeCell ref="A124:B124"/>
    <mergeCell ref="E124:F124"/>
    <mergeCell ref="E125:F134"/>
    <mergeCell ref="A135:B135"/>
    <mergeCell ref="C135:H135"/>
    <mergeCell ref="A137:B137"/>
    <mergeCell ref="C137:H137"/>
    <mergeCell ref="A138:B138"/>
    <mergeCell ref="E138:F138"/>
    <mergeCell ref="G138:H138"/>
    <mergeCell ref="A139:B139"/>
    <mergeCell ref="E139:F148"/>
    <mergeCell ref="L195:M195"/>
    <mergeCell ref="C165:D165"/>
    <mergeCell ref="A82:B82"/>
    <mergeCell ref="B283:H283"/>
    <mergeCell ref="B276:H276"/>
    <mergeCell ref="B277:H277"/>
    <mergeCell ref="B279:H279"/>
    <mergeCell ref="A186:B186"/>
    <mergeCell ref="A185:B185"/>
    <mergeCell ref="F155:H155"/>
    <mergeCell ref="A157:E157"/>
    <mergeCell ref="A181:H181"/>
    <mergeCell ref="A192:H192"/>
    <mergeCell ref="A196:B196"/>
    <mergeCell ref="C197:H197"/>
    <mergeCell ref="A229:B229"/>
    <mergeCell ref="A169:B169"/>
    <mergeCell ref="D188:D189"/>
    <mergeCell ref="E165:F165"/>
    <mergeCell ref="G165:H165"/>
    <mergeCell ref="A166:B166"/>
    <mergeCell ref="C166:D166"/>
    <mergeCell ref="E166:F166"/>
    <mergeCell ref="G166:H166"/>
    <mergeCell ref="A127:B127"/>
    <mergeCell ref="G125:H134"/>
    <mergeCell ref="A128:B128"/>
    <mergeCell ref="G139:H148"/>
    <mergeCell ref="A140:B140"/>
    <mergeCell ref="G179:G180"/>
    <mergeCell ref="F149:H149"/>
    <mergeCell ref="F154:H154"/>
    <mergeCell ref="A194:B194"/>
    <mergeCell ref="A190:H190"/>
    <mergeCell ref="A191:H191"/>
    <mergeCell ref="A167:H167"/>
    <mergeCell ref="E171:F171"/>
    <mergeCell ref="A151:E151"/>
    <mergeCell ref="E176:F176"/>
    <mergeCell ref="C171:D171"/>
    <mergeCell ref="A143:B143"/>
    <mergeCell ref="A145:B145"/>
    <mergeCell ref="A147:B147"/>
    <mergeCell ref="A146:B146"/>
    <mergeCell ref="D179:D180"/>
    <mergeCell ref="G171:H171"/>
    <mergeCell ref="A176:B176"/>
    <mergeCell ref="A171:B171"/>
    <mergeCell ref="A41:B41"/>
    <mergeCell ref="C41:H41"/>
    <mergeCell ref="C164:D164"/>
    <mergeCell ref="E164:F164"/>
    <mergeCell ref="C54:H54"/>
    <mergeCell ref="A85:B85"/>
    <mergeCell ref="E83:F92"/>
    <mergeCell ref="G83:H92"/>
    <mergeCell ref="A130:B130"/>
    <mergeCell ref="G124:H124"/>
    <mergeCell ref="A132:B132"/>
    <mergeCell ref="A64:C64"/>
    <mergeCell ref="A72:C72"/>
    <mergeCell ref="A73:C73"/>
    <mergeCell ref="D72:H72"/>
    <mergeCell ref="A65:C65"/>
    <mergeCell ref="G60:H60"/>
    <mergeCell ref="E43:H43"/>
    <mergeCell ref="A42:H42"/>
    <mergeCell ref="A47:D47"/>
    <mergeCell ref="A141:B141"/>
    <mergeCell ref="A142:B142"/>
    <mergeCell ref="A144:B144"/>
    <mergeCell ref="A45:D45"/>
    <mergeCell ref="E45:H45"/>
    <mergeCell ref="E46:H46"/>
    <mergeCell ref="A39:H39"/>
    <mergeCell ref="L185:M185"/>
    <mergeCell ref="L184:M184"/>
    <mergeCell ref="L183:M183"/>
    <mergeCell ref="L182:M182"/>
    <mergeCell ref="A90:B90"/>
    <mergeCell ref="C170:D170"/>
    <mergeCell ref="E170:F170"/>
    <mergeCell ref="G170:H170"/>
    <mergeCell ref="A150:E150"/>
    <mergeCell ref="A121:B121"/>
    <mergeCell ref="C121:H121"/>
    <mergeCell ref="A182:H182"/>
    <mergeCell ref="E179:E180"/>
    <mergeCell ref="A125:B125"/>
    <mergeCell ref="C123:H123"/>
    <mergeCell ref="A126:B126"/>
    <mergeCell ref="E47:H47"/>
    <mergeCell ref="E48:H48"/>
    <mergeCell ref="C58:H58"/>
    <mergeCell ref="F151:H151"/>
    <mergeCell ref="A49:H49"/>
    <mergeCell ref="A46:D46"/>
    <mergeCell ref="A50:B50"/>
    <mergeCell ref="C50:H50"/>
    <mergeCell ref="C52:E52"/>
    <mergeCell ref="C51:E51"/>
    <mergeCell ref="G51:H51"/>
    <mergeCell ref="A52:B52"/>
    <mergeCell ref="G57:H57"/>
    <mergeCell ref="G59:H59"/>
    <mergeCell ref="G52:H52"/>
    <mergeCell ref="C56:H56"/>
    <mergeCell ref="A53:B54"/>
    <mergeCell ref="C55:E55"/>
    <mergeCell ref="C53:E53"/>
    <mergeCell ref="C57:E57"/>
    <mergeCell ref="G55:H55"/>
    <mergeCell ref="A57:B58"/>
    <mergeCell ref="A48:D48"/>
    <mergeCell ref="A67:C71"/>
    <mergeCell ref="D67:H67"/>
    <mergeCell ref="D70:H70"/>
    <mergeCell ref="G53:H53"/>
    <mergeCell ref="A63:H63"/>
    <mergeCell ref="A81:B81"/>
    <mergeCell ref="A79:B79"/>
    <mergeCell ref="C79:H79"/>
    <mergeCell ref="A74:C74"/>
    <mergeCell ref="D74:H74"/>
    <mergeCell ref="C81:H81"/>
    <mergeCell ref="A75:C75"/>
    <mergeCell ref="D75:H75"/>
    <mergeCell ref="A78:C78"/>
    <mergeCell ref="D78:H78"/>
    <mergeCell ref="A77:C77"/>
    <mergeCell ref="A59:B61"/>
    <mergeCell ref="C61:H61"/>
    <mergeCell ref="C59:E60"/>
    <mergeCell ref="D68:H68"/>
    <mergeCell ref="D69:H69"/>
    <mergeCell ref="D66:H66"/>
    <mergeCell ref="A66:C66"/>
    <mergeCell ref="D73:H73"/>
    <mergeCell ref="E44:H44"/>
    <mergeCell ref="A44:D44"/>
    <mergeCell ref="A37:B37"/>
    <mergeCell ref="C37:E37"/>
    <mergeCell ref="A32:D32"/>
    <mergeCell ref="E32:H32"/>
    <mergeCell ref="A33:D33"/>
    <mergeCell ref="E33:H33"/>
    <mergeCell ref="C34:E34"/>
    <mergeCell ref="F37:H37"/>
    <mergeCell ref="F34:H34"/>
    <mergeCell ref="A35:B35"/>
    <mergeCell ref="A34:B34"/>
    <mergeCell ref="C35:E35"/>
    <mergeCell ref="A36:B36"/>
    <mergeCell ref="C36:E36"/>
    <mergeCell ref="F35:H35"/>
    <mergeCell ref="F36:H36"/>
    <mergeCell ref="A38:B38"/>
    <mergeCell ref="C38:E38"/>
    <mergeCell ref="A43:D43"/>
    <mergeCell ref="F38:H38"/>
    <mergeCell ref="A40:B40"/>
    <mergeCell ref="C40:H40"/>
    <mergeCell ref="A26:D26"/>
    <mergeCell ref="E26:H26"/>
    <mergeCell ref="A31:D31"/>
    <mergeCell ref="E31:H31"/>
    <mergeCell ref="A28:D28"/>
    <mergeCell ref="E21:F21"/>
    <mergeCell ref="G21:H21"/>
    <mergeCell ref="A22:B22"/>
    <mergeCell ref="C22:D22"/>
    <mergeCell ref="E22:F22"/>
    <mergeCell ref="G22:H22"/>
    <mergeCell ref="A23:B23"/>
    <mergeCell ref="C23:D23"/>
    <mergeCell ref="E23:F23"/>
    <mergeCell ref="G23:H23"/>
    <mergeCell ref="E24:H25"/>
    <mergeCell ref="E28:H28"/>
    <mergeCell ref="A30:D30"/>
    <mergeCell ref="E30:H30"/>
    <mergeCell ref="A27:D27"/>
    <mergeCell ref="E27:H27"/>
    <mergeCell ref="A29:D29"/>
    <mergeCell ref="E29:H29"/>
    <mergeCell ref="E15:H15"/>
    <mergeCell ref="A16:D16"/>
    <mergeCell ref="A11:D11"/>
    <mergeCell ref="E11:H11"/>
    <mergeCell ref="A24:D25"/>
    <mergeCell ref="A18:B18"/>
    <mergeCell ref="A15:D15"/>
    <mergeCell ref="A20:B20"/>
    <mergeCell ref="C20:D20"/>
    <mergeCell ref="E20:F20"/>
    <mergeCell ref="G20:H20"/>
    <mergeCell ref="A21:B21"/>
    <mergeCell ref="C21:D21"/>
    <mergeCell ref="E16:H16"/>
    <mergeCell ref="A17:B17"/>
    <mergeCell ref="C17:H17"/>
    <mergeCell ref="C18:H18"/>
    <mergeCell ref="A19:B19"/>
    <mergeCell ref="C19:H19"/>
    <mergeCell ref="A14:D14"/>
    <mergeCell ref="E14:H14"/>
    <mergeCell ref="A12:D13"/>
    <mergeCell ref="E12:E13"/>
    <mergeCell ref="F12:F1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300:H303"/>
    <mergeCell ref="A299:B299"/>
    <mergeCell ref="E299:F299"/>
    <mergeCell ref="C299:D299"/>
    <mergeCell ref="G299:H299"/>
    <mergeCell ref="A162:H162"/>
    <mergeCell ref="A160:E160"/>
    <mergeCell ref="F160:H160"/>
    <mergeCell ref="A161:E161"/>
    <mergeCell ref="F161:H161"/>
    <mergeCell ref="A227:H227"/>
    <mergeCell ref="A170:B170"/>
    <mergeCell ref="A164:B164"/>
    <mergeCell ref="A295:H295"/>
    <mergeCell ref="A168:H168"/>
    <mergeCell ref="A298:H298"/>
    <mergeCell ref="A296:H296"/>
    <mergeCell ref="A292:H292"/>
    <mergeCell ref="G169:H169"/>
    <mergeCell ref="B281:H281"/>
    <mergeCell ref="A232:B232"/>
    <mergeCell ref="C176:D176"/>
    <mergeCell ref="A297:H297"/>
    <mergeCell ref="A294:H294"/>
    <mergeCell ref="B282:H282"/>
    <mergeCell ref="B280:H280"/>
    <mergeCell ref="B288:H288"/>
    <mergeCell ref="B287:H287"/>
    <mergeCell ref="F152:H152"/>
    <mergeCell ref="A156:E156"/>
    <mergeCell ref="A270:H270"/>
    <mergeCell ref="A195:B195"/>
    <mergeCell ref="G176:H176"/>
    <mergeCell ref="A197:B197"/>
    <mergeCell ref="B284:H284"/>
    <mergeCell ref="A226:H226"/>
    <mergeCell ref="B285:H285"/>
    <mergeCell ref="A198:H198"/>
    <mergeCell ref="A199:B199"/>
    <mergeCell ref="A293:H293"/>
    <mergeCell ref="A155:E155"/>
    <mergeCell ref="A89:B89"/>
    <mergeCell ref="A187:H187"/>
    <mergeCell ref="A275:H275"/>
    <mergeCell ref="A260:H260"/>
    <mergeCell ref="A177:H177"/>
    <mergeCell ref="A188:A189"/>
    <mergeCell ref="F188:F189"/>
    <mergeCell ref="A200:B200"/>
    <mergeCell ref="A204:B204"/>
    <mergeCell ref="A206:B206"/>
    <mergeCell ref="A212:B212"/>
    <mergeCell ref="A213:B213"/>
    <mergeCell ref="A218:B218"/>
    <mergeCell ref="A219:B219"/>
    <mergeCell ref="A228:H228"/>
    <mergeCell ref="A245:B245"/>
    <mergeCell ref="E188:E189"/>
    <mergeCell ref="A248:B248"/>
    <mergeCell ref="C248:H248"/>
    <mergeCell ref="A249:H249"/>
    <mergeCell ref="B286:H286"/>
    <mergeCell ref="A107:B107"/>
    <mergeCell ref="I16:P16"/>
    <mergeCell ref="F159:H159"/>
    <mergeCell ref="F157:H157"/>
    <mergeCell ref="A178:H178"/>
    <mergeCell ref="G163:H163"/>
    <mergeCell ref="A158:E158"/>
    <mergeCell ref="A184:B184"/>
    <mergeCell ref="A62:B62"/>
    <mergeCell ref="C62:E62"/>
    <mergeCell ref="D64:H64"/>
    <mergeCell ref="F158:H158"/>
    <mergeCell ref="E163:F163"/>
    <mergeCell ref="A163:B163"/>
    <mergeCell ref="A165:B165"/>
    <mergeCell ref="C169:D169"/>
    <mergeCell ref="D76:H76"/>
    <mergeCell ref="D65:H65"/>
    <mergeCell ref="G62:H62"/>
    <mergeCell ref="A55:B56"/>
    <mergeCell ref="A88:B88"/>
    <mergeCell ref="A51:B51"/>
    <mergeCell ref="D71:H71"/>
    <mergeCell ref="A76:C76"/>
    <mergeCell ref="D77:H77"/>
    <mergeCell ref="A83:B83"/>
    <mergeCell ref="G82:H82"/>
    <mergeCell ref="A91:B91"/>
    <mergeCell ref="A92:B92"/>
    <mergeCell ref="A87:B87"/>
    <mergeCell ref="A86:B86"/>
    <mergeCell ref="E82:F82"/>
    <mergeCell ref="A84:B84"/>
    <mergeCell ref="E169:F169"/>
    <mergeCell ref="A93:B93"/>
    <mergeCell ref="C93:H93"/>
    <mergeCell ref="A129:B129"/>
    <mergeCell ref="A131:B131"/>
    <mergeCell ref="F150:H150"/>
    <mergeCell ref="G164:H164"/>
    <mergeCell ref="A134:B134"/>
    <mergeCell ref="F156:H156"/>
    <mergeCell ref="C163:D163"/>
    <mergeCell ref="A133:B133"/>
    <mergeCell ref="A152:E152"/>
    <mergeCell ref="A149:E149"/>
    <mergeCell ref="F153:H153"/>
    <mergeCell ref="A153:E153"/>
    <mergeCell ref="A123:B123"/>
    <mergeCell ref="L198:M198"/>
    <mergeCell ref="A172:B172"/>
    <mergeCell ref="C172:D172"/>
    <mergeCell ref="E172:F172"/>
    <mergeCell ref="G172:H172"/>
    <mergeCell ref="A173:B173"/>
    <mergeCell ref="C173:D173"/>
    <mergeCell ref="E173:F173"/>
    <mergeCell ref="G173:H173"/>
    <mergeCell ref="A174:B174"/>
    <mergeCell ref="C174:D174"/>
    <mergeCell ref="E174:F174"/>
    <mergeCell ref="G174:H174"/>
    <mergeCell ref="F179:F180"/>
    <mergeCell ref="B179:B180"/>
    <mergeCell ref="A179:A180"/>
    <mergeCell ref="C188:C189"/>
    <mergeCell ref="G188:G189"/>
    <mergeCell ref="A193:H193"/>
    <mergeCell ref="C175:D175"/>
    <mergeCell ref="A183:B183"/>
    <mergeCell ref="L193:M193"/>
    <mergeCell ref="L194:M194"/>
    <mergeCell ref="L196:M196"/>
    <mergeCell ref="L199:M199"/>
    <mergeCell ref="A201:B201"/>
    <mergeCell ref="L200:M200"/>
    <mergeCell ref="A202:B202"/>
    <mergeCell ref="L201:M201"/>
    <mergeCell ref="A203:H203"/>
    <mergeCell ref="A95:B95"/>
    <mergeCell ref="C95:H95"/>
    <mergeCell ref="A96:B96"/>
    <mergeCell ref="E96:F96"/>
    <mergeCell ref="G96:H96"/>
    <mergeCell ref="A97:B97"/>
    <mergeCell ref="E97:F106"/>
    <mergeCell ref="G97:H106"/>
    <mergeCell ref="A98:B98"/>
    <mergeCell ref="A99:B99"/>
    <mergeCell ref="A100:B100"/>
    <mergeCell ref="A101:B101"/>
    <mergeCell ref="A102:B102"/>
    <mergeCell ref="A103:B103"/>
    <mergeCell ref="A104:B104"/>
    <mergeCell ref="L203:M203"/>
    <mergeCell ref="A105:B105"/>
    <mergeCell ref="A106:B106"/>
    <mergeCell ref="L205:M205"/>
    <mergeCell ref="A207:B207"/>
    <mergeCell ref="L206:M206"/>
    <mergeCell ref="A208:B208"/>
    <mergeCell ref="L207:M207"/>
    <mergeCell ref="A210:H210"/>
    <mergeCell ref="A209:H209"/>
    <mergeCell ref="A211:B211"/>
    <mergeCell ref="L210:M210"/>
    <mergeCell ref="L211:M211"/>
    <mergeCell ref="L212:M212"/>
    <mergeCell ref="A214:B214"/>
    <mergeCell ref="C214:H214"/>
    <mergeCell ref="L213:M213"/>
    <mergeCell ref="A215:H215"/>
    <mergeCell ref="A216:B216"/>
    <mergeCell ref="L215:M215"/>
    <mergeCell ref="A217:B217"/>
    <mergeCell ref="L216:M216"/>
    <mergeCell ref="L217:M217"/>
    <mergeCell ref="L218:M218"/>
    <mergeCell ref="A220:H220"/>
    <mergeCell ref="A221:B221"/>
    <mergeCell ref="L220:M220"/>
    <mergeCell ref="A223:B223"/>
    <mergeCell ref="L222:M222"/>
    <mergeCell ref="A224:B224"/>
    <mergeCell ref="L223:M223"/>
    <mergeCell ref="A225:B225"/>
    <mergeCell ref="L224:M224"/>
    <mergeCell ref="L247:M247"/>
    <mergeCell ref="A239:B239"/>
    <mergeCell ref="A240:B240"/>
    <mergeCell ref="L257:M257"/>
    <mergeCell ref="L226:M226"/>
    <mergeCell ref="L225:M225"/>
    <mergeCell ref="L236:M236"/>
    <mergeCell ref="A241:B241"/>
    <mergeCell ref="A242:B242"/>
    <mergeCell ref="A243:H243"/>
    <mergeCell ref="L241:M241"/>
    <mergeCell ref="C232:H232"/>
    <mergeCell ref="A233:H233"/>
    <mergeCell ref="A234:B234"/>
    <mergeCell ref="A235:B235"/>
    <mergeCell ref="A236:B236"/>
    <mergeCell ref="A237:B237"/>
    <mergeCell ref="A238:H238"/>
    <mergeCell ref="L242:M242"/>
    <mergeCell ref="A244:H244"/>
    <mergeCell ref="A246:B246"/>
    <mergeCell ref="A247:B247"/>
    <mergeCell ref="A230:B230"/>
    <mergeCell ref="A231:B231"/>
    <mergeCell ref="L258:M258"/>
    <mergeCell ref="A261:B261"/>
    <mergeCell ref="A262:B262"/>
    <mergeCell ref="A250:B250"/>
    <mergeCell ref="A251:B251"/>
    <mergeCell ref="A252:B252"/>
    <mergeCell ref="A253:B253"/>
    <mergeCell ref="A254:H254"/>
    <mergeCell ref="L252:M252"/>
    <mergeCell ref="A255:B255"/>
    <mergeCell ref="A256:B256"/>
    <mergeCell ref="A257:B257"/>
    <mergeCell ref="L268:M268"/>
    <mergeCell ref="A271:B271"/>
    <mergeCell ref="A272:B272"/>
    <mergeCell ref="A273:B273"/>
    <mergeCell ref="C273:H273"/>
    <mergeCell ref="A274:B274"/>
    <mergeCell ref="A205:B205"/>
    <mergeCell ref="L204:M204"/>
    <mergeCell ref="C206:H206"/>
    <mergeCell ref="A222:B222"/>
    <mergeCell ref="L221:M221"/>
    <mergeCell ref="C223:H223"/>
    <mergeCell ref="A263:B263"/>
    <mergeCell ref="A264:B264"/>
    <mergeCell ref="C264:H264"/>
    <mergeCell ref="A265:H265"/>
    <mergeCell ref="A266:B266"/>
    <mergeCell ref="A267:B267"/>
    <mergeCell ref="A268:B268"/>
    <mergeCell ref="A269:B269"/>
    <mergeCell ref="A258:B258"/>
    <mergeCell ref="A259:H259"/>
    <mergeCell ref="C257:H257"/>
    <mergeCell ref="C241:H241"/>
    <mergeCell ref="C107:H107"/>
    <mergeCell ref="A109:B109"/>
    <mergeCell ref="C109:H109"/>
    <mergeCell ref="A110:B110"/>
    <mergeCell ref="E110:F110"/>
    <mergeCell ref="G110:H110"/>
    <mergeCell ref="A111:B111"/>
    <mergeCell ref="E111:F120"/>
    <mergeCell ref="G111:H120"/>
    <mergeCell ref="A112:B112"/>
    <mergeCell ref="A113:B113"/>
    <mergeCell ref="A114:B114"/>
    <mergeCell ref="A115:B115"/>
    <mergeCell ref="A116:B116"/>
    <mergeCell ref="A117:B117"/>
    <mergeCell ref="A118:B118"/>
    <mergeCell ref="A119:B119"/>
    <mergeCell ref="A120:B120"/>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8:B18" xr:uid="{00000000-0002-0000-0000-000001000000}">
      <formula1>"CTS No,Survey No,Plot No,Gut No,FP No,"</formula1>
    </dataValidation>
    <dataValidation type="list" allowBlank="1" showInputMessage="1" showErrorMessage="1" sqref="G21:H21" xr:uid="{00000000-0002-0000-0000-000002000000}">
      <formula1>$S$14:$W$14</formula1>
    </dataValidation>
    <dataValidation type="list" allowBlank="1" showInputMessage="1" showErrorMessage="1" sqref="E179:E180" xr:uid="{00000000-0002-0000-0000-000003000000}">
      <formula1>"Attached Loft area,Attached Otla area,Attached Mezzanine area"</formula1>
    </dataValidation>
    <dataValidation type="list" allowBlank="1" showInputMessage="1" showErrorMessage="1" sqref="G299:H299" xr:uid="{00000000-0002-0000-0000-000004000000}">
      <formula1>"Kunal Kadam,Pranita Mhatre,Diptee Gotawade,Shruti Fule,Pooja Kawale,Gaurav Panchal,Shruti Tathare, Dipti Gothawade,Saurav Panse, Sachin Sawant"</formula1>
    </dataValidation>
    <dataValidation type="list" allowBlank="1" showInputMessage="1" showErrorMessage="1" sqref="F149:H149" xr:uid="{00000000-0002-0000-0000-000005000000}">
      <formula1>"On Saleable Area,On Builtup Area,On Carpet Area,On Plot Area"</formula1>
    </dataValidation>
    <dataValidation type="list" allowBlank="1" showInputMessage="1" showErrorMessage="1" sqref="F160:H160" xr:uid="{00000000-0002-0000-0000-000006000000}">
      <formula1>OFFSET($S$149,1,MATCH($G21,$S$149:$W$149,0)-1,15,1)</formula1>
    </dataValidation>
    <dataValidation type="list" allowBlank="1" showInputMessage="1" showErrorMessage="1" sqref="B179:B180" xr:uid="{00000000-0002-0000-0000-000007000000}">
      <formula1>"Shop No. (Sale Plan),Sale / Rehab,Sale / Mhada"</formula1>
    </dataValidation>
    <dataValidation type="list" allowBlank="1" showInputMessage="1" showErrorMessage="1" sqref="B188:B189" xr:uid="{00000000-0002-0000-0000-000008000000}">
      <formula1>"Flat No. (Sale Plan),Sale / Rehab,Sale / Mhada"</formula1>
    </dataValidation>
    <dataValidation type="list" allowBlank="1" showInputMessage="1" showErrorMessage="1" sqref="C22:D22" xr:uid="{00000000-0002-0000-0000-000009000000}">
      <formula1>OFFSET($S$14,1,MATCH($G21,$S$14:$W$14,0)-1,15,1)</formula1>
    </dataValidation>
    <dataValidation type="list" allowBlank="1" showInputMessage="1" showErrorMessage="1" sqref="Y14" xr:uid="{00000000-0002-0000-0000-00000A000000}">
      <formula1>$D$5:$H$5</formula1>
    </dataValidation>
    <dataValidation type="list" allowBlank="1" showInputMessage="1" showErrorMessage="1" sqref="E188:E189" xr:uid="{00000000-0002-0000-0000-00000B000000}">
      <formula1>"Fungible area,Balcony + Otla Area,Chajja Area,Cornice Area,AP Area,WS Area"</formula1>
    </dataValidation>
    <dataValidation type="list" allowBlank="1" showInputMessage="1" showErrorMessage="1" sqref="H180 H189"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50:H50" xr:uid="{00000000-0002-0000-0000-00000E000000}">
      <formula1>OFFSET($S$50,1,MATCH($G21,$S$50:$W$50,0)-1,15,1)</formula1>
    </dataValidation>
    <dataValidation type="list" allowBlank="1" showInputMessage="1" showErrorMessage="1" sqref="H179 H188" xr:uid="{00000000-0002-0000-0000-00000F000000}">
      <formula1>"Saleable area Loading :,Builder Saleable Area"</formula1>
    </dataValidation>
    <dataValidation type="list" allowBlank="1" showInputMessage="1" showErrorMessage="1" sqref="D179:D180" xr:uid="{00000000-0002-0000-0000-000010000000}">
      <formula1>"Carpet area,RERA Carpet area"</formula1>
    </dataValidation>
    <dataValidation type="list" allowBlank="1" showInputMessage="1" showErrorMessage="1" sqref="D188:D189" xr:uid="{00000000-0002-0000-0000-000011000000}">
      <formula1>"Carpet Area,Carpet + Encl Balcony Area,RERA Carpet area"</formula1>
    </dataValidation>
  </dataValidations>
  <hyperlinks>
    <hyperlink ref="I75" r:id="rId1" xr:uid="{00000000-0004-0000-0000-000000000000}"/>
    <hyperlink ref="C41" r:id="rId2" xr:uid="{00000000-0004-0000-0000-000001000000}"/>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106" max="16383" man="1"/>
    <brk id="303" max="7" man="1"/>
    <brk id="343" max="7" man="1"/>
    <brk id="383"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20" sqref="C20"/>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260" t="s">
        <v>101</v>
      </c>
      <c r="C3" s="260"/>
      <c r="D3" s="260"/>
      <c r="E3" s="260"/>
      <c r="F3" s="260"/>
      <c r="G3" s="260"/>
      <c r="H3" s="260"/>
    </row>
    <row r="4" spans="1:9" x14ac:dyDescent="0.3">
      <c r="A4" s="2"/>
      <c r="B4" s="3" t="s">
        <v>102</v>
      </c>
      <c r="C4" s="3" t="s">
        <v>103</v>
      </c>
      <c r="D4" s="3" t="s">
        <v>65</v>
      </c>
      <c r="E4" s="3" t="s">
        <v>104</v>
      </c>
      <c r="F4" s="3" t="s">
        <v>110</v>
      </c>
      <c r="G4" s="3" t="s">
        <v>111</v>
      </c>
      <c r="H4" s="3" t="s">
        <v>105</v>
      </c>
    </row>
    <row r="5" spans="1:9" ht="15" customHeight="1" x14ac:dyDescent="0.3">
      <c r="A5" s="2"/>
      <c r="B5" s="5" t="s">
        <v>106</v>
      </c>
      <c r="C5" s="6"/>
      <c r="D5" s="5"/>
      <c r="E5" s="5"/>
      <c r="F5" s="7">
        <f>E5*1.6</f>
        <v>0</v>
      </c>
      <c r="G5" s="7" t="e">
        <f>H5/F5</f>
        <v>#DIV/0!</v>
      </c>
      <c r="H5" s="8"/>
    </row>
    <row r="6" spans="1:9" x14ac:dyDescent="0.3">
      <c r="A6" s="2"/>
      <c r="B6" s="5" t="s">
        <v>106</v>
      </c>
      <c r="C6" s="9"/>
      <c r="D6" s="5"/>
      <c r="E6" s="5"/>
      <c r="F6" s="7">
        <f t="shared" ref="F6:F11" si="0">E6*1.6</f>
        <v>0</v>
      </c>
      <c r="G6" s="7" t="e">
        <f t="shared" ref="G6:G11" si="1">H6/F6</f>
        <v>#DIV/0!</v>
      </c>
      <c r="H6" s="8"/>
    </row>
    <row r="7" spans="1:9" ht="15" customHeight="1" x14ac:dyDescent="0.3">
      <c r="A7" s="2"/>
      <c r="B7" s="5" t="s">
        <v>106</v>
      </c>
      <c r="C7" s="6"/>
      <c r="D7" s="5"/>
      <c r="E7" s="5"/>
      <c r="F7" s="7">
        <f t="shared" si="0"/>
        <v>0</v>
      </c>
      <c r="G7" s="7" t="e">
        <f t="shared" si="1"/>
        <v>#DIV/0!</v>
      </c>
      <c r="H7" s="8"/>
    </row>
    <row r="8" spans="1:9" x14ac:dyDescent="0.3">
      <c r="A8" s="2"/>
      <c r="B8" s="5" t="s">
        <v>106</v>
      </c>
      <c r="C8" s="9"/>
      <c r="D8" s="5"/>
      <c r="E8" s="5"/>
      <c r="F8" s="7">
        <f t="shared" si="0"/>
        <v>0</v>
      </c>
      <c r="G8" s="7" t="e">
        <f t="shared" si="1"/>
        <v>#DIV/0!</v>
      </c>
      <c r="H8" s="8"/>
    </row>
    <row r="9" spans="1:9" ht="15" customHeight="1" x14ac:dyDescent="0.3">
      <c r="A9" s="2"/>
      <c r="B9" s="5" t="s">
        <v>106</v>
      </c>
      <c r="C9" s="9"/>
      <c r="D9" s="5"/>
      <c r="E9" s="5"/>
      <c r="F9" s="7">
        <f t="shared" si="0"/>
        <v>0</v>
      </c>
      <c r="G9" s="7" t="e">
        <f t="shared" si="1"/>
        <v>#DIV/0!</v>
      </c>
      <c r="H9" s="8"/>
    </row>
    <row r="10" spans="1:9" ht="15" customHeight="1" x14ac:dyDescent="0.3">
      <c r="A10" s="2"/>
      <c r="B10" s="5" t="s">
        <v>107</v>
      </c>
      <c r="C10" s="6"/>
      <c r="D10" s="5"/>
      <c r="E10" s="5"/>
      <c r="F10" s="7">
        <f t="shared" si="0"/>
        <v>0</v>
      </c>
      <c r="G10" s="7" t="e">
        <f t="shared" si="1"/>
        <v>#DIV/0!</v>
      </c>
      <c r="H10" s="8"/>
    </row>
    <row r="11" spans="1:9" ht="15" customHeight="1" x14ac:dyDescent="0.3">
      <c r="A11" s="2"/>
      <c r="B11" s="5" t="s">
        <v>107</v>
      </c>
      <c r="C11" s="6"/>
      <c r="D11" s="5"/>
      <c r="E11" s="5"/>
      <c r="F11" s="7">
        <f t="shared" si="0"/>
        <v>0</v>
      </c>
      <c r="G11" s="7" t="e">
        <f t="shared" si="1"/>
        <v>#DIV/0!</v>
      </c>
      <c r="H11" s="8"/>
    </row>
    <row r="12" spans="1:9" ht="15" customHeight="1" x14ac:dyDescent="0.3">
      <c r="A12" s="2"/>
      <c r="B12" s="10" t="s">
        <v>108</v>
      </c>
      <c r="C12" s="5"/>
      <c r="D12" s="5"/>
      <c r="E12" s="5"/>
      <c r="F12" s="5"/>
      <c r="G12" s="11" t="e">
        <f>AVERAGE(G5:G11)</f>
        <v>#DIV/0!</v>
      </c>
      <c r="H12" s="5"/>
    </row>
    <row r="13" spans="1:9" ht="15" customHeight="1" x14ac:dyDescent="0.3">
      <c r="B13" s="10" t="s">
        <v>109</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77734375" bestFit="1" customWidth="1"/>
    <col min="5" max="5" width="10.44140625" bestFit="1" customWidth="1"/>
    <col min="6" max="6" width="12.44140625" bestFit="1" customWidth="1"/>
    <col min="7" max="7" width="18.21875" customWidth="1"/>
    <col min="8" max="8" width="10.5546875" bestFit="1" customWidth="1"/>
  </cols>
  <sheetData>
    <row r="3" spans="2:11" x14ac:dyDescent="0.3">
      <c r="J3">
        <v>1</v>
      </c>
      <c r="K3">
        <v>2</v>
      </c>
    </row>
    <row r="4" spans="2:11" x14ac:dyDescent="0.3">
      <c r="B4" s="43"/>
      <c r="C4" s="43" t="s">
        <v>11</v>
      </c>
      <c r="D4" s="44" t="s">
        <v>172</v>
      </c>
      <c r="E4" s="44" t="s">
        <v>182</v>
      </c>
      <c r="F4" s="44" t="s">
        <v>166</v>
      </c>
      <c r="G4" s="44" t="s">
        <v>187</v>
      </c>
      <c r="H4" s="44" t="s">
        <v>205</v>
      </c>
      <c r="J4" t="s">
        <v>187</v>
      </c>
      <c r="K4" t="s">
        <v>203</v>
      </c>
    </row>
    <row r="5" spans="2:11" x14ac:dyDescent="0.3">
      <c r="B5" s="43"/>
      <c r="C5" s="43"/>
      <c r="D5" s="44" t="s">
        <v>173</v>
      </c>
      <c r="E5" s="44" t="s">
        <v>180</v>
      </c>
      <c r="F5" s="44" t="s">
        <v>202</v>
      </c>
      <c r="G5" s="44" t="s">
        <v>188</v>
      </c>
      <c r="H5" s="44" t="s">
        <v>206</v>
      </c>
    </row>
    <row r="6" spans="2:11" x14ac:dyDescent="0.3">
      <c r="B6" s="43"/>
      <c r="C6" s="43"/>
      <c r="D6" s="44" t="s">
        <v>174</v>
      </c>
      <c r="E6" s="44" t="s">
        <v>181</v>
      </c>
      <c r="F6" s="44" t="s">
        <v>203</v>
      </c>
      <c r="G6" s="44" t="s">
        <v>189</v>
      </c>
      <c r="H6" s="44" t="s">
        <v>219</v>
      </c>
    </row>
    <row r="7" spans="2:11" x14ac:dyDescent="0.3">
      <c r="B7" s="43"/>
      <c r="C7" s="43"/>
      <c r="D7" s="44" t="s">
        <v>175</v>
      </c>
      <c r="E7" s="44" t="s">
        <v>183</v>
      </c>
      <c r="F7" s="44" t="s">
        <v>204</v>
      </c>
      <c r="G7" s="44" t="s">
        <v>190</v>
      </c>
      <c r="H7" s="44" t="s">
        <v>207</v>
      </c>
    </row>
    <row r="8" spans="2:11" x14ac:dyDescent="0.3">
      <c r="B8" s="43"/>
      <c r="C8" s="43"/>
      <c r="D8" s="44" t="s">
        <v>176</v>
      </c>
      <c r="E8" s="44" t="s">
        <v>184</v>
      </c>
      <c r="F8" s="44"/>
      <c r="G8" s="44" t="s">
        <v>191</v>
      </c>
      <c r="H8" s="44" t="s">
        <v>208</v>
      </c>
    </row>
    <row r="9" spans="2:11" x14ac:dyDescent="0.3">
      <c r="B9" s="43"/>
      <c r="C9" s="43"/>
      <c r="D9" s="44" t="s">
        <v>177</v>
      </c>
      <c r="E9" s="44" t="s">
        <v>182</v>
      </c>
      <c r="F9" s="44"/>
      <c r="G9" s="44" t="s">
        <v>192</v>
      </c>
      <c r="H9" s="44" t="s">
        <v>209</v>
      </c>
    </row>
    <row r="10" spans="2:11" x14ac:dyDescent="0.3">
      <c r="B10" s="43"/>
      <c r="C10" s="43"/>
      <c r="D10" s="44" t="s">
        <v>178</v>
      </c>
      <c r="E10" s="44" t="s">
        <v>185</v>
      </c>
      <c r="F10" s="44"/>
      <c r="G10" s="44" t="s">
        <v>193</v>
      </c>
      <c r="H10" s="44" t="s">
        <v>210</v>
      </c>
    </row>
    <row r="11" spans="2:11" x14ac:dyDescent="0.3">
      <c r="B11" s="43"/>
      <c r="C11" s="43"/>
      <c r="D11" s="44" t="s">
        <v>179</v>
      </c>
      <c r="E11" s="44" t="s">
        <v>186</v>
      </c>
      <c r="F11" s="44"/>
      <c r="G11" s="44" t="s">
        <v>194</v>
      </c>
      <c r="H11" s="44" t="s">
        <v>211</v>
      </c>
    </row>
    <row r="12" spans="2:11" x14ac:dyDescent="0.3">
      <c r="B12" s="43"/>
      <c r="C12" s="43"/>
      <c r="D12" s="44"/>
      <c r="E12" s="44"/>
      <c r="F12" s="44"/>
      <c r="G12" s="44" t="s">
        <v>195</v>
      </c>
      <c r="H12" s="44" t="s">
        <v>212</v>
      </c>
    </row>
    <row r="13" spans="2:11" x14ac:dyDescent="0.3">
      <c r="B13" s="43"/>
      <c r="C13" s="43"/>
      <c r="D13" s="44"/>
      <c r="E13" s="44"/>
      <c r="F13" s="44"/>
      <c r="G13" s="44" t="s">
        <v>196</v>
      </c>
      <c r="H13" s="44" t="s">
        <v>213</v>
      </c>
    </row>
    <row r="14" spans="2:11" x14ac:dyDescent="0.3">
      <c r="B14" s="43"/>
      <c r="C14" s="43"/>
      <c r="D14" s="44"/>
      <c r="E14" s="44"/>
      <c r="F14" s="44"/>
      <c r="G14" s="44" t="s">
        <v>197</v>
      </c>
      <c r="H14" s="44" t="s">
        <v>214</v>
      </c>
    </row>
    <row r="15" spans="2:11" x14ac:dyDescent="0.3">
      <c r="B15" s="43"/>
      <c r="C15" s="43"/>
      <c r="D15" s="44"/>
      <c r="E15" s="44"/>
      <c r="F15" s="44"/>
      <c r="G15" s="44" t="s">
        <v>198</v>
      </c>
      <c r="H15" s="44" t="s">
        <v>215</v>
      </c>
    </row>
    <row r="16" spans="2:11" x14ac:dyDescent="0.3">
      <c r="B16" s="43"/>
      <c r="C16" s="43"/>
      <c r="D16" s="44"/>
      <c r="E16" s="44"/>
      <c r="F16" s="44"/>
      <c r="G16" s="44" t="s">
        <v>199</v>
      </c>
      <c r="H16" s="44" t="s">
        <v>216</v>
      </c>
    </row>
    <row r="17" spans="2:8" x14ac:dyDescent="0.3">
      <c r="B17" s="43"/>
      <c r="C17" s="43"/>
      <c r="D17" s="44"/>
      <c r="E17" s="44"/>
      <c r="F17" s="44"/>
      <c r="G17" s="44" t="s">
        <v>200</v>
      </c>
      <c r="H17" s="44" t="s">
        <v>217</v>
      </c>
    </row>
    <row r="18" spans="2:8" x14ac:dyDescent="0.3">
      <c r="B18" s="43"/>
      <c r="C18" s="43"/>
      <c r="D18" s="44"/>
      <c r="E18" s="44"/>
      <c r="F18" s="44"/>
      <c r="G18" s="44" t="s">
        <v>201</v>
      </c>
      <c r="H18" s="44" t="s">
        <v>218</v>
      </c>
    </row>
    <row r="24" spans="2:8" x14ac:dyDescent="0.3">
      <c r="C24" t="s">
        <v>163</v>
      </c>
    </row>
    <row r="25" spans="2:8" x14ac:dyDescent="0.3">
      <c r="C25" t="s">
        <v>220</v>
      </c>
    </row>
    <row r="26" spans="2:8" x14ac:dyDescent="0.3">
      <c r="C26" t="s">
        <v>221</v>
      </c>
    </row>
    <row r="27" spans="2:8" x14ac:dyDescent="0.3">
      <c r="C27" t="s">
        <v>222</v>
      </c>
    </row>
    <row r="28" spans="2:8" x14ac:dyDescent="0.3">
      <c r="C28" t="s">
        <v>223</v>
      </c>
    </row>
    <row r="29" spans="2:8" x14ac:dyDescent="0.3">
      <c r="C29" t="s">
        <v>224</v>
      </c>
    </row>
    <row r="30" spans="2:8" x14ac:dyDescent="0.3">
      <c r="C30" t="s">
        <v>163</v>
      </c>
    </row>
    <row r="33" spans="3:11" x14ac:dyDescent="0.3">
      <c r="J33">
        <v>1</v>
      </c>
      <c r="K33">
        <v>2</v>
      </c>
    </row>
    <row r="34" spans="3:11" x14ac:dyDescent="0.3">
      <c r="C34" s="46" t="s">
        <v>229</v>
      </c>
      <c r="D34" s="44" t="s">
        <v>227</v>
      </c>
      <c r="E34" s="44" t="s">
        <v>232</v>
      </c>
      <c r="F34" s="44" t="s">
        <v>230</v>
      </c>
      <c r="G34" s="44" t="s">
        <v>231</v>
      </c>
      <c r="H34" s="44" t="s">
        <v>233</v>
      </c>
      <c r="J34" t="s">
        <v>187</v>
      </c>
      <c r="K34" t="s">
        <v>203</v>
      </c>
    </row>
    <row r="35" spans="3:11" x14ac:dyDescent="0.3">
      <c r="C35" s="43" t="s">
        <v>228</v>
      </c>
      <c r="D35" s="44" t="s">
        <v>164</v>
      </c>
      <c r="E35" s="44" t="s">
        <v>237</v>
      </c>
      <c r="F35" s="44" t="s">
        <v>239</v>
      </c>
      <c r="G35" s="44" t="s">
        <v>241</v>
      </c>
      <c r="H35" s="44"/>
    </row>
    <row r="36" spans="3:11" x14ac:dyDescent="0.3">
      <c r="C36" s="43"/>
      <c r="D36" s="44" t="s">
        <v>234</v>
      </c>
      <c r="E36" s="44" t="s">
        <v>238</v>
      </c>
      <c r="F36" s="44" t="s">
        <v>240</v>
      </c>
      <c r="G36" s="44" t="s">
        <v>242</v>
      </c>
      <c r="H36" s="44"/>
    </row>
    <row r="37" spans="3:11" x14ac:dyDescent="0.3">
      <c r="C37" s="43"/>
      <c r="D37" s="44" t="s">
        <v>235</v>
      </c>
      <c r="E37" s="44"/>
      <c r="F37" s="44"/>
      <c r="G37" s="44" t="s">
        <v>243</v>
      </c>
      <c r="H37" s="44"/>
    </row>
    <row r="38" spans="3:11" x14ac:dyDescent="0.3">
      <c r="C38" s="43"/>
      <c r="D38" s="44" t="s">
        <v>236</v>
      </c>
      <c r="E38" s="44"/>
      <c r="F38" s="44"/>
      <c r="G38" s="44" t="s">
        <v>243</v>
      </c>
      <c r="H38" s="44"/>
    </row>
    <row r="39" spans="3:11" x14ac:dyDescent="0.3">
      <c r="C39" s="43"/>
      <c r="D39" s="44"/>
      <c r="E39" s="44"/>
      <c r="F39" s="44"/>
      <c r="G39" s="44" t="s">
        <v>244</v>
      </c>
      <c r="H39" s="44"/>
    </row>
    <row r="40" spans="3:11" x14ac:dyDescent="0.3">
      <c r="C40" s="43"/>
      <c r="D40" s="44"/>
      <c r="E40" s="44"/>
      <c r="F40" s="44"/>
      <c r="G40" s="44" t="s">
        <v>245</v>
      </c>
      <c r="H40" s="44"/>
    </row>
    <row r="41" spans="3:11" x14ac:dyDescent="0.3">
      <c r="C41" s="43"/>
      <c r="D41" s="44"/>
      <c r="E41" s="44"/>
      <c r="F41" s="44"/>
      <c r="G41" s="44"/>
      <c r="H41" s="44"/>
    </row>
    <row r="43" spans="3:11" x14ac:dyDescent="0.3">
      <c r="C43" t="s">
        <v>246</v>
      </c>
    </row>
    <row r="44" spans="3:11" x14ac:dyDescent="0.3">
      <c r="C44" t="s">
        <v>166</v>
      </c>
      <c r="D44" t="s">
        <v>247</v>
      </c>
    </row>
    <row r="45" spans="3:11" x14ac:dyDescent="0.3">
      <c r="D45" t="s">
        <v>248</v>
      </c>
    </row>
    <row r="46" spans="3:11" x14ac:dyDescent="0.3">
      <c r="D46" t="s">
        <v>249</v>
      </c>
    </row>
    <row r="47" spans="3:11" x14ac:dyDescent="0.3">
      <c r="D47" t="s">
        <v>250</v>
      </c>
    </row>
    <row r="48" spans="3:11" x14ac:dyDescent="0.3">
      <c r="D48" t="s">
        <v>251</v>
      </c>
    </row>
    <row r="49" spans="3:4" x14ac:dyDescent="0.3">
      <c r="C49" t="s">
        <v>172</v>
      </c>
      <c r="D49" t="s">
        <v>252</v>
      </c>
    </row>
    <row r="50" spans="3:4" x14ac:dyDescent="0.3">
      <c r="D50" t="s">
        <v>253</v>
      </c>
    </row>
    <row r="51" spans="3:4" x14ac:dyDescent="0.3">
      <c r="D51" t="s">
        <v>254</v>
      </c>
    </row>
    <row r="52" spans="3:4" x14ac:dyDescent="0.3">
      <c r="D52" t="s">
        <v>257</v>
      </c>
    </row>
    <row r="53" spans="3:4" x14ac:dyDescent="0.3">
      <c r="D53" t="s">
        <v>255</v>
      </c>
    </row>
    <row r="54" spans="3:4" x14ac:dyDescent="0.3">
      <c r="D54" t="s">
        <v>256</v>
      </c>
    </row>
    <row r="55" spans="3:4" x14ac:dyDescent="0.3">
      <c r="D55" t="s">
        <v>258</v>
      </c>
    </row>
    <row r="56" spans="3:4" x14ac:dyDescent="0.3">
      <c r="D56" t="s">
        <v>259</v>
      </c>
    </row>
    <row r="57" spans="3:4" x14ac:dyDescent="0.3">
      <c r="D57" t="s">
        <v>260</v>
      </c>
    </row>
    <row r="58" spans="3:4" x14ac:dyDescent="0.3">
      <c r="D58" t="s">
        <v>262</v>
      </c>
    </row>
    <row r="59" spans="3:4" x14ac:dyDescent="0.3">
      <c r="D59" t="s">
        <v>271</v>
      </c>
    </row>
    <row r="60" spans="3:4" x14ac:dyDescent="0.3">
      <c r="C60" t="s">
        <v>187</v>
      </c>
      <c r="D60" t="s">
        <v>263</v>
      </c>
    </row>
    <row r="61" spans="3:4" x14ac:dyDescent="0.3">
      <c r="D61" t="s">
        <v>261</v>
      </c>
    </row>
    <row r="62" spans="3:4" x14ac:dyDescent="0.3">
      <c r="D62" t="s">
        <v>251</v>
      </c>
    </row>
    <row r="63" spans="3:4" x14ac:dyDescent="0.3">
      <c r="D63" t="s">
        <v>264</v>
      </c>
    </row>
    <row r="64" spans="3:4" x14ac:dyDescent="0.3">
      <c r="D64" t="s">
        <v>265</v>
      </c>
    </row>
    <row r="65" spans="3:4" x14ac:dyDescent="0.3">
      <c r="D65" t="s">
        <v>266</v>
      </c>
    </row>
    <row r="66" spans="3:4" x14ac:dyDescent="0.3">
      <c r="D66" t="s">
        <v>267</v>
      </c>
    </row>
    <row r="67" spans="3:4" x14ac:dyDescent="0.3">
      <c r="C67" t="s">
        <v>182</v>
      </c>
      <c r="D67" t="s">
        <v>268</v>
      </c>
    </row>
    <row r="68" spans="3:4" x14ac:dyDescent="0.3">
      <c r="D68" t="s">
        <v>269</v>
      </c>
    </row>
    <row r="69" spans="3:4" x14ac:dyDescent="0.3">
      <c r="D69" t="s">
        <v>270</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51"/>
  <sheetViews>
    <sheetView topLeftCell="A42" zoomScaleNormal="100" workbookViewId="0">
      <selection activeCell="C48" sqref="C48"/>
    </sheetView>
  </sheetViews>
  <sheetFormatPr defaultRowHeight="14.4" x14ac:dyDescent="0.3"/>
  <cols>
    <col min="2" max="2" width="3" bestFit="1" customWidth="1"/>
    <col min="3" max="3" width="155.21875" customWidth="1"/>
  </cols>
  <sheetData>
    <row r="2" spans="2:3" ht="15" customHeight="1" x14ac:dyDescent="0.3">
      <c r="B2" s="47">
        <v>1</v>
      </c>
      <c r="C2" s="49" t="s">
        <v>276</v>
      </c>
    </row>
    <row r="3" spans="2:3" x14ac:dyDescent="0.3">
      <c r="B3" s="47">
        <v>2</v>
      </c>
      <c r="C3" s="48" t="s">
        <v>277</v>
      </c>
    </row>
    <row r="4" spans="2:3" x14ac:dyDescent="0.3">
      <c r="B4" s="47">
        <v>3</v>
      </c>
      <c r="C4" s="47" t="s">
        <v>278</v>
      </c>
    </row>
    <row r="5" spans="2:3" x14ac:dyDescent="0.3">
      <c r="B5" s="47">
        <v>4</v>
      </c>
      <c r="C5" s="48" t="s">
        <v>279</v>
      </c>
    </row>
    <row r="6" spans="2:3" x14ac:dyDescent="0.3">
      <c r="B6" s="47">
        <v>5</v>
      </c>
      <c r="C6" s="47" t="s">
        <v>280</v>
      </c>
    </row>
    <row r="7" spans="2:3" x14ac:dyDescent="0.3">
      <c r="B7" s="47">
        <v>6</v>
      </c>
      <c r="C7" s="48" t="s">
        <v>281</v>
      </c>
    </row>
    <row r="8" spans="2:3" ht="72" x14ac:dyDescent="0.3">
      <c r="B8" s="47">
        <v>7</v>
      </c>
      <c r="C8" s="48" t="s">
        <v>282</v>
      </c>
    </row>
    <row r="9" spans="2:3" x14ac:dyDescent="0.3">
      <c r="B9" s="47">
        <v>8</v>
      </c>
      <c r="C9" s="47" t="s">
        <v>283</v>
      </c>
    </row>
    <row r="10" spans="2:3" x14ac:dyDescent="0.3">
      <c r="B10" s="47">
        <v>9</v>
      </c>
      <c r="C10" s="47" t="s">
        <v>284</v>
      </c>
    </row>
    <row r="11" spans="2:3" x14ac:dyDescent="0.3">
      <c r="B11" s="47">
        <v>10</v>
      </c>
      <c r="C11" s="47" t="s">
        <v>285</v>
      </c>
    </row>
    <row r="12" spans="2:3" x14ac:dyDescent="0.3">
      <c r="B12" s="47">
        <v>11</v>
      </c>
      <c r="C12" s="47" t="s">
        <v>286</v>
      </c>
    </row>
    <row r="13" spans="2:3" x14ac:dyDescent="0.3">
      <c r="B13" s="47">
        <v>12</v>
      </c>
      <c r="C13" s="47" t="s">
        <v>287</v>
      </c>
    </row>
    <row r="14" spans="2:3" x14ac:dyDescent="0.3">
      <c r="B14" s="47">
        <v>13</v>
      </c>
      <c r="C14" s="47" t="s">
        <v>288</v>
      </c>
    </row>
    <row r="15" spans="2:3" x14ac:dyDescent="0.3">
      <c r="B15" s="47">
        <v>14</v>
      </c>
      <c r="C15" s="47" t="s">
        <v>278</v>
      </c>
    </row>
    <row r="16" spans="2:3" x14ac:dyDescent="0.3">
      <c r="B16" s="47">
        <v>15</v>
      </c>
      <c r="C16" s="47" t="s">
        <v>290</v>
      </c>
    </row>
    <row r="17" spans="2:3" x14ac:dyDescent="0.3">
      <c r="B17" s="66">
        <v>16</v>
      </c>
      <c r="C17" s="52" t="s">
        <v>291</v>
      </c>
    </row>
    <row r="18" spans="2:3" x14ac:dyDescent="0.3">
      <c r="B18" s="51">
        <v>17</v>
      </c>
      <c r="C18" s="52" t="s">
        <v>292</v>
      </c>
    </row>
    <row r="19" spans="2:3" x14ac:dyDescent="0.3">
      <c r="B19" s="50">
        <v>18</v>
      </c>
      <c r="C19" s="47" t="s">
        <v>293</v>
      </c>
    </row>
    <row r="20" spans="2:3" x14ac:dyDescent="0.3">
      <c r="B20" s="51">
        <v>19</v>
      </c>
      <c r="C20" s="47" t="s">
        <v>329</v>
      </c>
    </row>
    <row r="21" spans="2:3" x14ac:dyDescent="0.3">
      <c r="B21" s="47">
        <v>20</v>
      </c>
      <c r="C21" s="47" t="s">
        <v>294</v>
      </c>
    </row>
    <row r="22" spans="2:3" x14ac:dyDescent="0.3">
      <c r="B22" s="51">
        <v>21</v>
      </c>
      <c r="C22" s="47" t="s">
        <v>293</v>
      </c>
    </row>
    <row r="23" spans="2:3" s="61" customFormat="1" ht="29.25" customHeight="1" x14ac:dyDescent="0.3">
      <c r="B23" s="60">
        <v>22</v>
      </c>
      <c r="C23" s="49" t="s">
        <v>321</v>
      </c>
    </row>
    <row r="24" spans="2:3" s="61" customFormat="1" ht="30.75" customHeight="1" x14ac:dyDescent="0.3">
      <c r="B24" s="62">
        <v>23</v>
      </c>
      <c r="C24" s="49" t="s">
        <v>322</v>
      </c>
    </row>
    <row r="25" spans="2:3" x14ac:dyDescent="0.3">
      <c r="B25" s="47">
        <v>24</v>
      </c>
      <c r="C25" s="47" t="s">
        <v>325</v>
      </c>
    </row>
    <row r="26" spans="2:3" x14ac:dyDescent="0.3">
      <c r="B26" s="51">
        <v>25</v>
      </c>
      <c r="C26" s="47" t="s">
        <v>323</v>
      </c>
    </row>
    <row r="27" spans="2:3" x14ac:dyDescent="0.3">
      <c r="B27" s="62">
        <v>26</v>
      </c>
      <c r="C27" s="47" t="s">
        <v>324</v>
      </c>
    </row>
    <row r="28" spans="2:3" x14ac:dyDescent="0.3">
      <c r="B28" s="51">
        <v>27</v>
      </c>
      <c r="C28" s="47" t="s">
        <v>326</v>
      </c>
    </row>
    <row r="29" spans="2:3" ht="43.2" x14ac:dyDescent="0.3">
      <c r="B29" s="65">
        <v>28</v>
      </c>
      <c r="C29" s="48" t="s">
        <v>327</v>
      </c>
    </row>
    <row r="30" spans="2:3" x14ac:dyDescent="0.3">
      <c r="B30" s="62">
        <v>29</v>
      </c>
      <c r="C30" s="47" t="s">
        <v>328</v>
      </c>
    </row>
    <row r="31" spans="2:3" ht="28.8" x14ac:dyDescent="0.3">
      <c r="B31" s="62">
        <v>30</v>
      </c>
      <c r="C31" s="48" t="s">
        <v>330</v>
      </c>
    </row>
    <row r="32" spans="2:3" x14ac:dyDescent="0.3">
      <c r="B32" s="62">
        <v>31</v>
      </c>
      <c r="C32" s="47" t="s">
        <v>331</v>
      </c>
    </row>
    <row r="33" spans="2:4" x14ac:dyDescent="0.3">
      <c r="B33" s="62">
        <v>32</v>
      </c>
      <c r="C33" s="47" t="s">
        <v>332</v>
      </c>
    </row>
    <row r="34" spans="2:4" ht="36.75" customHeight="1" x14ac:dyDescent="0.3">
      <c r="B34" s="62">
        <v>33</v>
      </c>
      <c r="C34" s="52" t="s">
        <v>333</v>
      </c>
    </row>
    <row r="35" spans="2:4" x14ac:dyDescent="0.3">
      <c r="B35" s="60">
        <v>34</v>
      </c>
      <c r="C35" s="47" t="s">
        <v>341</v>
      </c>
    </row>
    <row r="36" spans="2:4" ht="57.6" x14ac:dyDescent="0.3">
      <c r="B36" s="60">
        <v>35</v>
      </c>
      <c r="C36" s="48" t="s">
        <v>343</v>
      </c>
    </row>
    <row r="37" spans="2:4" x14ac:dyDescent="0.3">
      <c r="B37" s="47">
        <v>36</v>
      </c>
      <c r="C37" s="48" t="s">
        <v>354</v>
      </c>
    </row>
    <row r="38" spans="2:4" x14ac:dyDescent="0.3">
      <c r="B38" s="47">
        <f t="shared" ref="B38:B44" si="0">B37+1</f>
        <v>37</v>
      </c>
      <c r="C38" s="47" t="s">
        <v>350</v>
      </c>
    </row>
    <row r="39" spans="2:4" x14ac:dyDescent="0.3">
      <c r="B39" s="47">
        <f t="shared" si="0"/>
        <v>38</v>
      </c>
      <c r="C39" s="47" t="s">
        <v>351</v>
      </c>
    </row>
    <row r="40" spans="2:4" x14ac:dyDescent="0.3">
      <c r="B40" s="47">
        <f t="shared" si="0"/>
        <v>39</v>
      </c>
      <c r="C40" s="47" t="s">
        <v>352</v>
      </c>
    </row>
    <row r="41" spans="2:4" x14ac:dyDescent="0.3">
      <c r="B41" s="47">
        <f t="shared" si="0"/>
        <v>40</v>
      </c>
      <c r="C41" s="47" t="s">
        <v>353</v>
      </c>
    </row>
    <row r="42" spans="2:4" ht="29.4" thickBot="1" x14ac:dyDescent="0.35">
      <c r="B42" s="69">
        <f t="shared" si="0"/>
        <v>41</v>
      </c>
      <c r="C42" s="70" t="s">
        <v>355</v>
      </c>
    </row>
    <row r="43" spans="2:4" ht="28.8" x14ac:dyDescent="0.3">
      <c r="B43" s="73">
        <f t="shared" si="0"/>
        <v>42</v>
      </c>
      <c r="C43" s="78" t="s">
        <v>360</v>
      </c>
      <c r="D43" t="s">
        <v>361</v>
      </c>
    </row>
    <row r="44" spans="2:4" ht="15" thickBot="1" x14ac:dyDescent="0.35">
      <c r="B44" s="75">
        <f t="shared" si="0"/>
        <v>43</v>
      </c>
      <c r="C44" s="77" t="s">
        <v>356</v>
      </c>
    </row>
    <row r="45" spans="2:4" ht="15" thickBot="1" x14ac:dyDescent="0.35">
      <c r="B45" s="71">
        <f t="shared" ref="B45:B51" si="1">B44+1</f>
        <v>44</v>
      </c>
      <c r="C45" s="72" t="s">
        <v>357</v>
      </c>
    </row>
    <row r="46" spans="2:4" ht="28.8" x14ac:dyDescent="0.3">
      <c r="B46" s="73">
        <f t="shared" si="1"/>
        <v>45</v>
      </c>
      <c r="C46" s="74" t="s">
        <v>358</v>
      </c>
    </row>
    <row r="47" spans="2:4" ht="15" thickBot="1" x14ac:dyDescent="0.35">
      <c r="B47" s="75">
        <f t="shared" si="1"/>
        <v>46</v>
      </c>
      <c r="C47" s="76" t="s">
        <v>359</v>
      </c>
    </row>
    <row r="48" spans="2:4" x14ac:dyDescent="0.3">
      <c r="B48" s="79">
        <f t="shared" si="1"/>
        <v>47</v>
      </c>
      <c r="C48" s="80" t="s">
        <v>362</v>
      </c>
    </row>
    <row r="49" spans="2:4" x14ac:dyDescent="0.3">
      <c r="B49" s="79">
        <f t="shared" si="1"/>
        <v>48</v>
      </c>
      <c r="C49" s="80" t="s">
        <v>363</v>
      </c>
    </row>
    <row r="50" spans="2:4" x14ac:dyDescent="0.3">
      <c r="B50" s="79">
        <f t="shared" si="1"/>
        <v>49</v>
      </c>
      <c r="C50" s="80" t="s">
        <v>365</v>
      </c>
      <c r="D50" t="s">
        <v>364</v>
      </c>
    </row>
    <row r="51" spans="2:4" ht="28.8" x14ac:dyDescent="0.3">
      <c r="B51" s="81">
        <f t="shared" si="1"/>
        <v>50</v>
      </c>
      <c r="C51" s="82" t="s">
        <v>366</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21875" defaultRowHeight="14.4" x14ac:dyDescent="0.3"/>
  <cols>
    <col min="1" max="1" width="9.21875" style="43"/>
    <col min="2" max="2" width="12.21875" style="43" customWidth="1"/>
    <col min="3" max="16384" width="9.21875" style="43"/>
  </cols>
  <sheetData>
    <row r="2" spans="1:12" x14ac:dyDescent="0.3">
      <c r="B2" s="54" t="s">
        <v>295</v>
      </c>
      <c r="C2" s="261"/>
      <c r="D2" s="261"/>
    </row>
    <row r="3" spans="1:12" x14ac:dyDescent="0.3">
      <c r="D3" s="55"/>
      <c r="E3" s="55"/>
      <c r="F3" s="55"/>
      <c r="G3" s="55"/>
      <c r="H3" s="55"/>
      <c r="I3" s="55"/>
    </row>
    <row r="4" spans="1:12" x14ac:dyDescent="0.3">
      <c r="A4" s="54" t="s">
        <v>65</v>
      </c>
      <c r="B4" s="56" t="s">
        <v>296</v>
      </c>
      <c r="C4" s="262" t="s">
        <v>297</v>
      </c>
      <c r="D4" s="262"/>
      <c r="E4" s="262"/>
      <c r="F4" s="56"/>
      <c r="G4" s="263" t="s">
        <v>298</v>
      </c>
      <c r="H4" s="263"/>
      <c r="I4" s="263"/>
      <c r="J4" s="264" t="s">
        <v>299</v>
      </c>
      <c r="K4" s="264"/>
      <c r="L4" s="264"/>
    </row>
    <row r="5" spans="1:12" x14ac:dyDescent="0.3">
      <c r="A5" s="54"/>
      <c r="B5" s="56"/>
      <c r="C5" s="56" t="s">
        <v>300</v>
      </c>
      <c r="D5" s="56" t="s">
        <v>301</v>
      </c>
      <c r="E5" s="56" t="s">
        <v>302</v>
      </c>
      <c r="F5" s="56"/>
      <c r="G5" s="56" t="s">
        <v>300</v>
      </c>
      <c r="H5" s="56" t="s">
        <v>301</v>
      </c>
      <c r="I5" s="56" t="s">
        <v>302</v>
      </c>
      <c r="J5" s="56" t="s">
        <v>300</v>
      </c>
      <c r="K5" s="56" t="s">
        <v>301</v>
      </c>
      <c r="L5" s="56" t="s">
        <v>302</v>
      </c>
    </row>
    <row r="6" spans="1:12" x14ac:dyDescent="0.3">
      <c r="B6" s="44" t="s">
        <v>303</v>
      </c>
      <c r="C6" s="44"/>
      <c r="D6" s="44"/>
      <c r="E6" s="44">
        <f>C6*D6</f>
        <v>0</v>
      </c>
      <c r="F6" s="44" t="s">
        <v>320</v>
      </c>
      <c r="G6" s="44"/>
      <c r="H6" s="44"/>
      <c r="I6" s="44">
        <f>G6*H6</f>
        <v>0</v>
      </c>
      <c r="J6" s="44"/>
      <c r="K6" s="44"/>
      <c r="L6" s="44">
        <f>J6*K6</f>
        <v>0</v>
      </c>
    </row>
    <row r="7" spans="1:12" x14ac:dyDescent="0.3">
      <c r="B7" s="44"/>
      <c r="C7" s="44"/>
      <c r="D7" s="44"/>
      <c r="E7" s="44">
        <f t="shared" ref="E7:E41" si="0">C7*D7</f>
        <v>0</v>
      </c>
      <c r="F7" s="44" t="s">
        <v>320</v>
      </c>
      <c r="G7" s="44"/>
      <c r="H7" s="44"/>
      <c r="I7" s="44">
        <f t="shared" ref="I7:I35" si="1">G7*H7</f>
        <v>0</v>
      </c>
      <c r="J7" s="44"/>
      <c r="K7" s="44"/>
      <c r="L7" s="44">
        <f t="shared" ref="L7:L35" si="2">J7*K7</f>
        <v>0</v>
      </c>
    </row>
    <row r="8" spans="1:12" x14ac:dyDescent="0.3">
      <c r="B8" s="44"/>
      <c r="C8" s="44"/>
      <c r="D8" s="44"/>
      <c r="E8" s="44">
        <f t="shared" si="0"/>
        <v>0</v>
      </c>
      <c r="F8" s="44"/>
      <c r="G8" s="44"/>
      <c r="H8" s="44"/>
      <c r="I8" s="44">
        <f t="shared" si="1"/>
        <v>0</v>
      </c>
      <c r="J8" s="44"/>
      <c r="K8" s="44"/>
      <c r="L8" s="44">
        <f t="shared" si="2"/>
        <v>0</v>
      </c>
    </row>
    <row r="9" spans="1:12" x14ac:dyDescent="0.3">
      <c r="B9" s="44"/>
      <c r="C9" s="44"/>
      <c r="D9" s="44"/>
      <c r="E9" s="44">
        <f t="shared" si="0"/>
        <v>0</v>
      </c>
      <c r="F9" s="44" t="s">
        <v>304</v>
      </c>
      <c r="G9" s="44"/>
      <c r="H9" s="44"/>
      <c r="I9" s="44">
        <f t="shared" si="1"/>
        <v>0</v>
      </c>
      <c r="J9" s="44"/>
      <c r="K9" s="44"/>
      <c r="L9" s="44">
        <f t="shared" si="2"/>
        <v>0</v>
      </c>
    </row>
    <row r="10" spans="1:12" x14ac:dyDescent="0.3">
      <c r="B10" s="44" t="s">
        <v>305</v>
      </c>
      <c r="C10" s="44"/>
      <c r="D10" s="44"/>
      <c r="E10" s="44">
        <f t="shared" si="0"/>
        <v>0</v>
      </c>
      <c r="F10" s="44" t="s">
        <v>304</v>
      </c>
      <c r="G10" s="44"/>
      <c r="H10" s="44"/>
      <c r="I10" s="44">
        <f t="shared" si="1"/>
        <v>0</v>
      </c>
      <c r="J10" s="44"/>
      <c r="K10" s="44"/>
      <c r="L10" s="44">
        <f t="shared" si="2"/>
        <v>0</v>
      </c>
    </row>
    <row r="11" spans="1:12" x14ac:dyDescent="0.3">
      <c r="B11" s="44"/>
      <c r="C11" s="44"/>
      <c r="D11" s="44"/>
      <c r="E11" s="44">
        <f t="shared" si="0"/>
        <v>0</v>
      </c>
      <c r="F11" s="44" t="s">
        <v>306</v>
      </c>
      <c r="G11" s="44"/>
      <c r="H11" s="44"/>
      <c r="I11" s="44">
        <f t="shared" si="1"/>
        <v>0</v>
      </c>
      <c r="J11" s="44"/>
      <c r="K11" s="44"/>
      <c r="L11" s="44">
        <f t="shared" si="2"/>
        <v>0</v>
      </c>
    </row>
    <row r="12" spans="1:12" x14ac:dyDescent="0.3">
      <c r="B12" s="44"/>
      <c r="C12" s="44"/>
      <c r="D12" s="44"/>
      <c r="E12" s="44">
        <f t="shared" si="0"/>
        <v>0</v>
      </c>
      <c r="F12" s="44"/>
      <c r="G12" s="44"/>
      <c r="H12" s="44"/>
      <c r="I12" s="44">
        <f t="shared" si="1"/>
        <v>0</v>
      </c>
      <c r="J12" s="44"/>
      <c r="K12" s="44"/>
      <c r="L12" s="44">
        <f t="shared" si="2"/>
        <v>0</v>
      </c>
    </row>
    <row r="13" spans="1:12" x14ac:dyDescent="0.3">
      <c r="B13" s="44"/>
      <c r="C13" s="44"/>
      <c r="D13" s="44"/>
      <c r="E13" s="44">
        <f t="shared" si="0"/>
        <v>0</v>
      </c>
      <c r="F13" s="44"/>
      <c r="G13" s="44"/>
      <c r="H13" s="44"/>
      <c r="I13" s="44">
        <f t="shared" si="1"/>
        <v>0</v>
      </c>
      <c r="J13" s="44"/>
      <c r="K13" s="44"/>
      <c r="L13" s="44">
        <f t="shared" si="2"/>
        <v>0</v>
      </c>
    </row>
    <row r="14" spans="1:12" x14ac:dyDescent="0.3">
      <c r="B14" s="44" t="s">
        <v>307</v>
      </c>
      <c r="C14" s="44"/>
      <c r="D14" s="44"/>
      <c r="E14" s="44">
        <f t="shared" si="0"/>
        <v>0</v>
      </c>
      <c r="F14" s="44" t="s">
        <v>304</v>
      </c>
      <c r="G14" s="44"/>
      <c r="H14" s="44"/>
      <c r="I14" s="44">
        <f t="shared" si="1"/>
        <v>0</v>
      </c>
      <c r="J14" s="44"/>
      <c r="K14" s="44"/>
      <c r="L14" s="44">
        <f t="shared" si="2"/>
        <v>0</v>
      </c>
    </row>
    <row r="15" spans="1:12" x14ac:dyDescent="0.3">
      <c r="B15" s="44"/>
      <c r="C15" s="44"/>
      <c r="D15" s="44"/>
      <c r="E15" s="44">
        <f t="shared" si="0"/>
        <v>0</v>
      </c>
      <c r="F15" s="44" t="s">
        <v>306</v>
      </c>
      <c r="G15" s="44"/>
      <c r="H15" s="44"/>
      <c r="I15" s="44">
        <f t="shared" si="1"/>
        <v>0</v>
      </c>
      <c r="J15" s="44"/>
      <c r="K15" s="44"/>
      <c r="L15" s="44">
        <f t="shared" si="2"/>
        <v>0</v>
      </c>
    </row>
    <row r="16" spans="1:12" x14ac:dyDescent="0.3">
      <c r="B16" s="44"/>
      <c r="C16" s="44"/>
      <c r="D16" s="44"/>
      <c r="E16" s="44">
        <f t="shared" si="0"/>
        <v>0</v>
      </c>
      <c r="F16" s="44"/>
      <c r="G16" s="44"/>
      <c r="H16" s="44"/>
      <c r="I16" s="44">
        <f t="shared" si="1"/>
        <v>0</v>
      </c>
      <c r="J16" s="44"/>
      <c r="K16" s="44"/>
      <c r="L16" s="44">
        <f t="shared" si="2"/>
        <v>0</v>
      </c>
    </row>
    <row r="17" spans="2:12" x14ac:dyDescent="0.3">
      <c r="B17" s="44"/>
      <c r="C17" s="44"/>
      <c r="D17" s="44"/>
      <c r="E17" s="44">
        <f t="shared" si="0"/>
        <v>0</v>
      </c>
      <c r="F17" s="44"/>
      <c r="G17" s="44"/>
      <c r="H17" s="44"/>
      <c r="I17" s="44">
        <f t="shared" si="1"/>
        <v>0</v>
      </c>
      <c r="J17" s="44"/>
      <c r="K17" s="44"/>
      <c r="L17" s="44">
        <f t="shared" si="2"/>
        <v>0</v>
      </c>
    </row>
    <row r="18" spans="2:12" x14ac:dyDescent="0.3">
      <c r="B18" s="44" t="s">
        <v>308</v>
      </c>
      <c r="C18" s="44"/>
      <c r="D18" s="44"/>
      <c r="E18" s="44">
        <f t="shared" si="0"/>
        <v>0</v>
      </c>
      <c r="F18" s="44" t="s">
        <v>304</v>
      </c>
      <c r="G18" s="44"/>
      <c r="H18" s="44"/>
      <c r="I18" s="44">
        <f t="shared" si="1"/>
        <v>0</v>
      </c>
      <c r="J18" s="44"/>
      <c r="K18" s="44"/>
      <c r="L18" s="44">
        <f t="shared" si="2"/>
        <v>0</v>
      </c>
    </row>
    <row r="19" spans="2:12" x14ac:dyDescent="0.3">
      <c r="B19" s="44"/>
      <c r="C19" s="44"/>
      <c r="D19" s="44"/>
      <c r="E19" s="44">
        <f t="shared" si="0"/>
        <v>0</v>
      </c>
      <c r="F19" s="44" t="s">
        <v>306</v>
      </c>
      <c r="G19" s="44"/>
      <c r="H19" s="44"/>
      <c r="I19" s="44">
        <f t="shared" si="1"/>
        <v>0</v>
      </c>
      <c r="J19" s="44"/>
      <c r="K19" s="44"/>
      <c r="L19" s="44">
        <f t="shared" si="2"/>
        <v>0</v>
      </c>
    </row>
    <row r="20" spans="2:12" x14ac:dyDescent="0.3">
      <c r="B20" s="44"/>
      <c r="C20" s="44"/>
      <c r="D20" s="44"/>
      <c r="E20" s="44">
        <f t="shared" si="0"/>
        <v>0</v>
      </c>
      <c r="F20" s="44"/>
      <c r="G20" s="44"/>
      <c r="H20" s="44"/>
      <c r="I20" s="44">
        <f t="shared" si="1"/>
        <v>0</v>
      </c>
      <c r="J20" s="44"/>
      <c r="K20" s="44"/>
      <c r="L20" s="44">
        <f t="shared" si="2"/>
        <v>0</v>
      </c>
    </row>
    <row r="21" spans="2:12" x14ac:dyDescent="0.3">
      <c r="B21" s="44" t="s">
        <v>309</v>
      </c>
      <c r="C21" s="44"/>
      <c r="D21" s="44"/>
      <c r="E21" s="44">
        <f t="shared" si="0"/>
        <v>0</v>
      </c>
      <c r="F21" s="44" t="s">
        <v>304</v>
      </c>
      <c r="G21" s="44"/>
      <c r="H21" s="44"/>
      <c r="I21" s="44">
        <f t="shared" si="1"/>
        <v>0</v>
      </c>
      <c r="J21" s="44"/>
      <c r="K21" s="44"/>
      <c r="L21" s="44">
        <f t="shared" si="2"/>
        <v>0</v>
      </c>
    </row>
    <row r="22" spans="2:12" x14ac:dyDescent="0.3">
      <c r="B22" s="44"/>
      <c r="C22" s="44"/>
      <c r="D22" s="44"/>
      <c r="E22" s="44">
        <f t="shared" si="0"/>
        <v>0</v>
      </c>
      <c r="F22" s="44" t="s">
        <v>306</v>
      </c>
      <c r="G22" s="44"/>
      <c r="H22" s="44"/>
      <c r="I22" s="44">
        <f t="shared" si="1"/>
        <v>0</v>
      </c>
      <c r="J22" s="44"/>
      <c r="K22" s="44"/>
      <c r="L22" s="44">
        <f t="shared" si="2"/>
        <v>0</v>
      </c>
    </row>
    <row r="23" spans="2:12" x14ac:dyDescent="0.3">
      <c r="B23" s="44"/>
      <c r="C23" s="44"/>
      <c r="D23" s="44"/>
      <c r="E23" s="44">
        <f t="shared" si="0"/>
        <v>0</v>
      </c>
      <c r="F23" s="44"/>
      <c r="G23" s="44"/>
      <c r="H23" s="44"/>
      <c r="I23" s="44">
        <f t="shared" si="1"/>
        <v>0</v>
      </c>
      <c r="J23" s="44"/>
      <c r="K23" s="44"/>
      <c r="L23" s="44">
        <f t="shared" si="2"/>
        <v>0</v>
      </c>
    </row>
    <row r="24" spans="2:12" x14ac:dyDescent="0.3">
      <c r="B24" s="44" t="s">
        <v>310</v>
      </c>
      <c r="C24" s="44"/>
      <c r="D24" s="44"/>
      <c r="E24" s="44">
        <f t="shared" si="0"/>
        <v>0</v>
      </c>
      <c r="F24" s="44" t="s">
        <v>311</v>
      </c>
      <c r="G24" s="44"/>
      <c r="H24" s="44"/>
      <c r="I24" s="44">
        <f t="shared" si="1"/>
        <v>0</v>
      </c>
      <c r="J24" s="44"/>
      <c r="K24" s="44"/>
      <c r="L24" s="44">
        <f t="shared" si="2"/>
        <v>0</v>
      </c>
    </row>
    <row r="25" spans="2:12" x14ac:dyDescent="0.3">
      <c r="B25" s="44"/>
      <c r="C25" s="44"/>
      <c r="D25" s="44"/>
      <c r="E25" s="44">
        <f>C25*D25</f>
        <v>0</v>
      </c>
      <c r="F25" s="44" t="s">
        <v>311</v>
      </c>
      <c r="G25" s="44"/>
      <c r="H25" s="44"/>
      <c r="I25" s="44">
        <f>G25*H25</f>
        <v>0</v>
      </c>
      <c r="J25" s="44"/>
      <c r="K25" s="44"/>
      <c r="L25" s="44">
        <f>J25*K25</f>
        <v>0</v>
      </c>
    </row>
    <row r="26" spans="2:12" x14ac:dyDescent="0.3">
      <c r="B26" s="44"/>
      <c r="C26" s="44"/>
      <c r="D26" s="44"/>
      <c r="E26" s="44">
        <f>C26*D26</f>
        <v>0</v>
      </c>
      <c r="F26" s="44" t="s">
        <v>311</v>
      </c>
      <c r="G26" s="44"/>
      <c r="H26" s="44"/>
      <c r="I26" s="44">
        <f>G26*H26</f>
        <v>0</v>
      </c>
      <c r="J26" s="44"/>
      <c r="K26" s="44"/>
      <c r="L26" s="44">
        <f>J26*K26</f>
        <v>0</v>
      </c>
    </row>
    <row r="27" spans="2:12" x14ac:dyDescent="0.3">
      <c r="B27" s="44"/>
      <c r="C27" s="44"/>
      <c r="D27" s="44"/>
      <c r="E27" s="44">
        <f>C27*D27</f>
        <v>0</v>
      </c>
      <c r="F27" s="44" t="s">
        <v>311</v>
      </c>
      <c r="G27" s="44"/>
      <c r="H27" s="44"/>
      <c r="I27" s="44">
        <f>G27*H27</f>
        <v>0</v>
      </c>
      <c r="J27" s="44"/>
      <c r="K27" s="44"/>
      <c r="L27" s="44">
        <f>J27*K27</f>
        <v>0</v>
      </c>
    </row>
    <row r="28" spans="2:12" x14ac:dyDescent="0.3">
      <c r="B28" s="44" t="s">
        <v>312</v>
      </c>
      <c r="C28" s="44"/>
      <c r="D28" s="44"/>
      <c r="E28" s="44">
        <f t="shared" si="0"/>
        <v>0</v>
      </c>
      <c r="F28" s="44" t="s">
        <v>311</v>
      </c>
      <c r="G28" s="44"/>
      <c r="H28" s="44"/>
      <c r="I28" s="44">
        <f t="shared" si="1"/>
        <v>0</v>
      </c>
      <c r="J28" s="44"/>
      <c r="K28" s="44"/>
      <c r="L28" s="44">
        <f t="shared" si="2"/>
        <v>0</v>
      </c>
    </row>
    <row r="29" spans="2:12" x14ac:dyDescent="0.3">
      <c r="B29" s="44" t="s">
        <v>313</v>
      </c>
      <c r="C29" s="44"/>
      <c r="D29" s="44"/>
      <c r="E29" s="44">
        <f t="shared" si="0"/>
        <v>0</v>
      </c>
      <c r="F29" s="44" t="s">
        <v>311</v>
      </c>
      <c r="G29" s="44"/>
      <c r="H29" s="44"/>
      <c r="I29" s="44">
        <f t="shared" si="1"/>
        <v>0</v>
      </c>
      <c r="J29" s="44"/>
      <c r="K29" s="44"/>
      <c r="L29" s="44">
        <f t="shared" si="2"/>
        <v>0</v>
      </c>
    </row>
    <row r="30" spans="2:12" x14ac:dyDescent="0.3">
      <c r="B30" s="44" t="s">
        <v>317</v>
      </c>
      <c r="C30" s="44"/>
      <c r="D30" s="44"/>
      <c r="E30" s="44">
        <f t="shared" si="0"/>
        <v>0</v>
      </c>
      <c r="F30" s="44"/>
      <c r="G30" s="44"/>
      <c r="H30" s="44"/>
      <c r="I30" s="44">
        <f t="shared" si="1"/>
        <v>0</v>
      </c>
      <c r="J30" s="44"/>
      <c r="K30" s="44"/>
      <c r="L30" s="44">
        <f t="shared" si="2"/>
        <v>0</v>
      </c>
    </row>
    <row r="31" spans="2:12" x14ac:dyDescent="0.3">
      <c r="B31" s="44"/>
      <c r="C31" s="44"/>
      <c r="D31" s="44"/>
      <c r="E31" s="44">
        <f>C31*D31</f>
        <v>0</v>
      </c>
      <c r="F31" s="44"/>
      <c r="G31" s="44"/>
      <c r="H31" s="44"/>
      <c r="I31" s="44">
        <f>G31*H31</f>
        <v>0</v>
      </c>
      <c r="J31" s="44"/>
      <c r="K31" s="44"/>
      <c r="L31" s="44">
        <f>J31*K31</f>
        <v>0</v>
      </c>
    </row>
    <row r="32" spans="2:12" x14ac:dyDescent="0.3">
      <c r="B32" s="44"/>
      <c r="C32" s="44"/>
      <c r="D32" s="44"/>
      <c r="E32" s="44">
        <f>C32*D32</f>
        <v>0</v>
      </c>
      <c r="F32" s="44"/>
      <c r="G32" s="44"/>
      <c r="H32" s="44"/>
      <c r="I32" s="44">
        <f>G32*H32</f>
        <v>0</v>
      </c>
      <c r="J32" s="44"/>
      <c r="K32" s="44"/>
      <c r="L32" s="44">
        <f>J32*K32</f>
        <v>0</v>
      </c>
    </row>
    <row r="33" spans="2:12" x14ac:dyDescent="0.3">
      <c r="B33" s="44" t="s">
        <v>314</v>
      </c>
      <c r="C33" s="44"/>
      <c r="D33" s="44"/>
      <c r="E33" s="44">
        <f t="shared" si="0"/>
        <v>0</v>
      </c>
      <c r="F33" s="44"/>
      <c r="G33" s="44"/>
      <c r="H33" s="44"/>
      <c r="I33" s="44">
        <f t="shared" si="1"/>
        <v>0</v>
      </c>
      <c r="J33" s="44"/>
      <c r="K33" s="44"/>
      <c r="L33" s="44">
        <f t="shared" si="2"/>
        <v>0</v>
      </c>
    </row>
    <row r="34" spans="2:12" x14ac:dyDescent="0.3">
      <c r="B34" s="44" t="s">
        <v>318</v>
      </c>
      <c r="C34" s="44"/>
      <c r="D34" s="44"/>
      <c r="E34" s="44">
        <f t="shared" si="0"/>
        <v>0</v>
      </c>
      <c r="F34" s="44"/>
      <c r="G34" s="44"/>
      <c r="H34" s="44"/>
      <c r="I34" s="44">
        <f t="shared" si="1"/>
        <v>0</v>
      </c>
      <c r="J34" s="44"/>
      <c r="K34" s="44"/>
      <c r="L34" s="44">
        <f t="shared" si="2"/>
        <v>0</v>
      </c>
    </row>
    <row r="35" spans="2:12" x14ac:dyDescent="0.3">
      <c r="B35" s="44" t="s">
        <v>315</v>
      </c>
      <c r="C35" s="44"/>
      <c r="D35" s="44"/>
      <c r="E35" s="44">
        <f t="shared" si="0"/>
        <v>0</v>
      </c>
      <c r="F35" s="44"/>
      <c r="G35" s="44"/>
      <c r="H35" s="44"/>
      <c r="I35" s="44">
        <f t="shared" si="1"/>
        <v>0</v>
      </c>
      <c r="J35" s="44"/>
      <c r="K35" s="44"/>
      <c r="L35" s="44">
        <f t="shared" si="2"/>
        <v>0</v>
      </c>
    </row>
    <row r="36" spans="2:12" x14ac:dyDescent="0.3">
      <c r="B36" s="44" t="s">
        <v>316</v>
      </c>
      <c r="C36" s="44"/>
      <c r="D36" s="44"/>
      <c r="E36" s="44">
        <f t="shared" si="0"/>
        <v>0</v>
      </c>
      <c r="F36" s="44"/>
      <c r="G36" s="44"/>
      <c r="H36" s="44"/>
      <c r="I36" s="44">
        <f t="shared" ref="I36:I41" si="3">G36*H36</f>
        <v>0</v>
      </c>
      <c r="J36" s="44"/>
      <c r="K36" s="44"/>
      <c r="L36" s="44">
        <f t="shared" ref="L36:L41" si="4">J36*K36</f>
        <v>0</v>
      </c>
    </row>
    <row r="37" spans="2:12" x14ac:dyDescent="0.3">
      <c r="B37" s="44"/>
      <c r="C37" s="44"/>
      <c r="D37" s="44"/>
      <c r="E37" s="44">
        <f>C37*D37</f>
        <v>0</v>
      </c>
      <c r="F37" s="44"/>
      <c r="G37" s="44"/>
      <c r="H37" s="44"/>
      <c r="I37" s="44">
        <f t="shared" si="3"/>
        <v>0</v>
      </c>
      <c r="J37" s="44"/>
      <c r="K37" s="44"/>
      <c r="L37" s="44">
        <f t="shared" si="4"/>
        <v>0</v>
      </c>
    </row>
    <row r="38" spans="2:12" x14ac:dyDescent="0.3">
      <c r="B38" s="44" t="s">
        <v>319</v>
      </c>
      <c r="C38" s="44"/>
      <c r="D38" s="44"/>
      <c r="E38" s="44">
        <f>C38*D38</f>
        <v>0</v>
      </c>
      <c r="F38" s="44"/>
      <c r="G38" s="44"/>
      <c r="H38" s="44"/>
      <c r="I38" s="44">
        <f t="shared" si="3"/>
        <v>0</v>
      </c>
      <c r="J38" s="44"/>
      <c r="K38" s="44"/>
      <c r="L38" s="44">
        <f t="shared" si="4"/>
        <v>0</v>
      </c>
    </row>
    <row r="39" spans="2:12" x14ac:dyDescent="0.3">
      <c r="B39" s="44"/>
      <c r="C39" s="44"/>
      <c r="D39" s="44"/>
      <c r="E39" s="44">
        <f t="shared" si="0"/>
        <v>0</v>
      </c>
      <c r="F39" s="44"/>
      <c r="G39" s="44"/>
      <c r="H39" s="44"/>
      <c r="I39" s="44">
        <f t="shared" si="3"/>
        <v>0</v>
      </c>
      <c r="J39" s="44"/>
      <c r="K39" s="44"/>
      <c r="L39" s="44">
        <f t="shared" si="4"/>
        <v>0</v>
      </c>
    </row>
    <row r="40" spans="2:12" x14ac:dyDescent="0.3">
      <c r="B40" s="44"/>
      <c r="C40" s="44"/>
      <c r="D40" s="44"/>
      <c r="E40" s="44">
        <f t="shared" si="0"/>
        <v>0</v>
      </c>
      <c r="F40" s="44"/>
      <c r="G40" s="44"/>
      <c r="H40" s="44"/>
      <c r="I40" s="44">
        <f t="shared" si="3"/>
        <v>0</v>
      </c>
      <c r="J40" s="44"/>
      <c r="K40" s="44"/>
      <c r="L40" s="44">
        <f t="shared" si="4"/>
        <v>0</v>
      </c>
    </row>
    <row r="41" spans="2:12" x14ac:dyDescent="0.3">
      <c r="B41" s="44"/>
      <c r="C41" s="44"/>
      <c r="D41" s="44"/>
      <c r="E41" s="44">
        <f t="shared" si="0"/>
        <v>0</v>
      </c>
      <c r="F41" s="44"/>
      <c r="G41" s="44"/>
      <c r="H41" s="44"/>
      <c r="I41" s="44">
        <f t="shared" si="3"/>
        <v>0</v>
      </c>
      <c r="J41" s="44"/>
      <c r="K41" s="44"/>
      <c r="L41" s="44">
        <f t="shared" si="4"/>
        <v>0</v>
      </c>
    </row>
    <row r="42" spans="2:12" x14ac:dyDescent="0.3">
      <c r="B42" s="44" t="s">
        <v>143</v>
      </c>
      <c r="C42" s="44"/>
      <c r="D42" s="44">
        <f>E42*10.764</f>
        <v>0</v>
      </c>
      <c r="E42" s="59">
        <f>SUM(E6:E41)</f>
        <v>0</v>
      </c>
      <c r="F42" s="44"/>
      <c r="G42" s="44"/>
      <c r="H42" s="44">
        <f>I42*10.764</f>
        <v>0</v>
      </c>
      <c r="I42" s="58">
        <f>SUM(I6:I41)</f>
        <v>0</v>
      </c>
      <c r="J42" s="44"/>
      <c r="K42" s="44">
        <f>L42*10.764</f>
        <v>0</v>
      </c>
      <c r="L42" s="57">
        <f>SUM(L6:L41)</f>
        <v>0</v>
      </c>
    </row>
    <row r="44" spans="2:12" x14ac:dyDescent="0.3">
      <c r="D44" s="43">
        <f>D42+H42</f>
        <v>0</v>
      </c>
      <c r="E44" s="4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2025-09-09T09:52:21Z</cp:lastPrinted>
  <dcterms:created xsi:type="dcterms:W3CDTF">2019-07-16T09:29:46Z</dcterms:created>
  <dcterms:modified xsi:type="dcterms:W3CDTF">2025-09-09T09:53:11Z</dcterms:modified>
</cp:coreProperties>
</file>