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771C6E7E-9B07-4CAF-B157-433943C017D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2" i="1" l="1"/>
  <c r="E182" i="1"/>
  <c r="C182" i="1"/>
  <c r="C70" i="1"/>
  <c r="D297" i="1" l="1"/>
  <c r="F297" i="1" s="1"/>
  <c r="J297" i="1" s="1"/>
  <c r="D296" i="1"/>
  <c r="F296" i="1" s="1"/>
  <c r="D295" i="1"/>
  <c r="F295" i="1" s="1"/>
  <c r="D293" i="1"/>
  <c r="F293" i="1" s="1"/>
  <c r="D291" i="1"/>
  <c r="F291" i="1" s="1"/>
  <c r="D290" i="1"/>
  <c r="F290" i="1" s="1"/>
  <c r="D289" i="1"/>
  <c r="F289" i="1" s="1"/>
  <c r="D286" i="1"/>
  <c r="F286" i="1" s="1"/>
  <c r="D285" i="1"/>
  <c r="F285" i="1" s="1"/>
  <c r="D284" i="1"/>
  <c r="F284" i="1" s="1"/>
  <c r="D283" i="1"/>
  <c r="F283" i="1" s="1"/>
  <c r="A289" i="1"/>
  <c r="A290" i="1" s="1"/>
  <c r="A291" i="1" s="1"/>
  <c r="G288" i="1"/>
  <c r="G293" i="1"/>
  <c r="A284" i="1"/>
  <c r="A285" i="1" s="1"/>
  <c r="A286" i="1" s="1"/>
  <c r="G283" i="1"/>
  <c r="G180" i="1" l="1"/>
  <c r="E180" i="1"/>
  <c r="C180" i="1"/>
  <c r="A297" i="1"/>
  <c r="C140" i="1"/>
  <c r="J151" i="1"/>
  <c r="J150" i="1"/>
  <c r="J149" i="1"/>
  <c r="J148" i="1"/>
  <c r="D54" i="1"/>
  <c r="D237" i="1" l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A231" i="1"/>
  <c r="A232" i="1" s="1"/>
  <c r="A233" i="1" s="1"/>
  <c r="A234" i="1" s="1"/>
  <c r="A235" i="1" s="1"/>
  <c r="A236" i="1" s="1"/>
  <c r="A237" i="1" s="1"/>
  <c r="G230" i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A222" i="1"/>
  <c r="A223" i="1" s="1"/>
  <c r="A224" i="1" s="1"/>
  <c r="A225" i="1" s="1"/>
  <c r="A226" i="1" s="1"/>
  <c r="A227" i="1" s="1"/>
  <c r="A228" i="1" s="1"/>
  <c r="G221" i="1"/>
  <c r="G177" i="1" l="1"/>
  <c r="E177" i="1"/>
  <c r="C177" i="1"/>
  <c r="D276" i="1"/>
  <c r="F276" i="1" s="1"/>
  <c r="D275" i="1"/>
  <c r="F275" i="1" s="1"/>
  <c r="J275" i="1" s="1"/>
  <c r="D267" i="1"/>
  <c r="F267" i="1" s="1"/>
  <c r="D266" i="1"/>
  <c r="F266" i="1" s="1"/>
  <c r="D279" i="1"/>
  <c r="F279" i="1" s="1"/>
  <c r="D278" i="1"/>
  <c r="F278" i="1" s="1"/>
  <c r="D277" i="1"/>
  <c r="F277" i="1" s="1"/>
  <c r="D273" i="1"/>
  <c r="F273" i="1" s="1"/>
  <c r="A273" i="1"/>
  <c r="A274" i="1" s="1"/>
  <c r="A275" i="1" s="1"/>
  <c r="A276" i="1" s="1"/>
  <c r="A277" i="1" s="1"/>
  <c r="A278" i="1" s="1"/>
  <c r="A279" i="1" s="1"/>
  <c r="G272" i="1"/>
  <c r="D272" i="1"/>
  <c r="F272" i="1" s="1"/>
  <c r="D270" i="1"/>
  <c r="F270" i="1" s="1"/>
  <c r="D269" i="1"/>
  <c r="F269" i="1" s="1"/>
  <c r="D268" i="1"/>
  <c r="F268" i="1" s="1"/>
  <c r="D265" i="1"/>
  <c r="F265" i="1" s="1"/>
  <c r="D264" i="1"/>
  <c r="F264" i="1" s="1"/>
  <c r="A264" i="1"/>
  <c r="A265" i="1" s="1"/>
  <c r="A266" i="1" s="1"/>
  <c r="A267" i="1" s="1"/>
  <c r="A268" i="1" s="1"/>
  <c r="A269" i="1" s="1"/>
  <c r="A270" i="1" s="1"/>
  <c r="G263" i="1"/>
  <c r="D263" i="1"/>
  <c r="D258" i="1"/>
  <c r="F258" i="1" s="1"/>
  <c r="D257" i="1"/>
  <c r="F257" i="1" s="1"/>
  <c r="D256" i="1"/>
  <c r="F256" i="1" s="1"/>
  <c r="D255" i="1"/>
  <c r="F255" i="1" s="1"/>
  <c r="D254" i="1"/>
  <c r="F254" i="1" s="1"/>
  <c r="D252" i="1"/>
  <c r="F252" i="1" s="1"/>
  <c r="A252" i="1"/>
  <c r="A253" i="1" s="1"/>
  <c r="A254" i="1" s="1"/>
  <c r="A255" i="1" s="1"/>
  <c r="A256" i="1" s="1"/>
  <c r="A257" i="1" s="1"/>
  <c r="A258" i="1" s="1"/>
  <c r="G251" i="1"/>
  <c r="D251" i="1"/>
  <c r="F251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G242" i="1"/>
  <c r="A243" i="1"/>
  <c r="A244" i="1" s="1"/>
  <c r="A245" i="1" s="1"/>
  <c r="A246" i="1" s="1"/>
  <c r="A247" i="1" s="1"/>
  <c r="A248" i="1" s="1"/>
  <c r="A249" i="1" s="1"/>
  <c r="D216" i="1"/>
  <c r="F216" i="1" s="1"/>
  <c r="D215" i="1"/>
  <c r="F215" i="1" s="1"/>
  <c r="J214" i="1" s="1"/>
  <c r="D214" i="1"/>
  <c r="F214" i="1" s="1"/>
  <c r="J213" i="1" s="1"/>
  <c r="D213" i="1"/>
  <c r="F213" i="1" s="1"/>
  <c r="D212" i="1"/>
  <c r="F212" i="1" s="1"/>
  <c r="D211" i="1"/>
  <c r="F211" i="1" s="1"/>
  <c r="D210" i="1"/>
  <c r="D209" i="1"/>
  <c r="D208" i="1"/>
  <c r="D207" i="1"/>
  <c r="I207" i="1"/>
  <c r="I208" i="1"/>
  <c r="E200" i="1"/>
  <c r="E199" i="1"/>
  <c r="D200" i="1"/>
  <c r="D199" i="1"/>
  <c r="D197" i="1"/>
  <c r="F197" i="1" s="1"/>
  <c r="D196" i="1"/>
  <c r="F196" i="1" s="1"/>
  <c r="D194" i="1"/>
  <c r="F194" i="1" s="1"/>
  <c r="D193" i="1"/>
  <c r="F193" i="1" s="1"/>
  <c r="D192" i="1"/>
  <c r="D191" i="1"/>
  <c r="D190" i="1"/>
  <c r="D189" i="1"/>
  <c r="A200" i="1"/>
  <c r="G199" i="1"/>
  <c r="G200" i="1" s="1"/>
  <c r="A197" i="1"/>
  <c r="G196" i="1"/>
  <c r="G197" i="1" s="1"/>
  <c r="E179" i="1" l="1"/>
  <c r="C179" i="1"/>
  <c r="F263" i="1"/>
  <c r="C171" i="1"/>
  <c r="E176" i="1"/>
  <c r="E171" i="1"/>
  <c r="G178" i="1"/>
  <c r="C176" i="1"/>
  <c r="C178" i="1"/>
  <c r="E178" i="1"/>
  <c r="C172" i="1"/>
  <c r="E172" i="1"/>
  <c r="F200" i="1"/>
  <c r="F199" i="1"/>
  <c r="C126" i="1"/>
  <c r="C112" i="1"/>
  <c r="J137" i="1"/>
  <c r="J136" i="1"/>
  <c r="J135" i="1"/>
  <c r="J134" i="1"/>
  <c r="J123" i="1"/>
  <c r="J122" i="1"/>
  <c r="J121" i="1"/>
  <c r="J120" i="1"/>
  <c r="G179" i="1" l="1"/>
  <c r="G172" i="1"/>
  <c r="E173" i="1"/>
  <c r="C173" i="1"/>
  <c r="C181" i="1"/>
  <c r="E181" i="1"/>
  <c r="E42" i="1"/>
  <c r="E43" i="1" s="1"/>
  <c r="C14" i="1" l="1"/>
  <c r="E29" i="1" l="1"/>
  <c r="F208" i="1" l="1"/>
  <c r="F209" i="1"/>
  <c r="J208" i="1" s="1"/>
  <c r="F210" i="1"/>
  <c r="F207" i="1"/>
  <c r="A208" i="1"/>
  <c r="A209" i="1" s="1"/>
  <c r="A210" i="1" s="1"/>
  <c r="A211" i="1" s="1"/>
  <c r="A212" i="1" s="1"/>
  <c r="A213" i="1" s="1"/>
  <c r="A214" i="1" s="1"/>
  <c r="A215" i="1" s="1"/>
  <c r="A216" i="1" s="1"/>
  <c r="G207" i="1"/>
  <c r="J210" i="1" l="1"/>
  <c r="J209" i="1"/>
  <c r="G176" i="1"/>
  <c r="G181" i="1" s="1"/>
  <c r="F168" i="1"/>
  <c r="F190" i="1" l="1"/>
  <c r="I190" i="1" s="1"/>
  <c r="F191" i="1"/>
  <c r="I191" i="1" s="1"/>
  <c r="F192" i="1"/>
  <c r="F189" i="1"/>
  <c r="G171" i="1" l="1"/>
  <c r="G173" i="1" s="1"/>
  <c r="B300" i="1"/>
  <c r="B30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24" i="1"/>
  <c r="A190" i="1"/>
  <c r="A191" i="1" s="1"/>
  <c r="A192" i="1" s="1"/>
  <c r="A193" i="1" s="1"/>
  <c r="A194" i="1" s="1"/>
  <c r="G189" i="1"/>
  <c r="G190" i="1" s="1"/>
  <c r="G191" i="1" s="1"/>
  <c r="G192" i="1" s="1"/>
  <c r="G193" i="1" s="1"/>
  <c r="G194" i="1" s="1"/>
  <c r="J109" i="1"/>
  <c r="J108" i="1"/>
  <c r="J107" i="1"/>
  <c r="J106" i="1"/>
  <c r="C98" i="1"/>
  <c r="J95" i="1"/>
  <c r="J94" i="1"/>
  <c r="J93" i="1"/>
  <c r="J92" i="1"/>
  <c r="C84" i="1"/>
  <c r="J81" i="1"/>
  <c r="J80" i="1"/>
  <c r="J79" i="1"/>
  <c r="J78" i="1"/>
  <c r="E26" i="1"/>
  <c r="E24" i="1"/>
  <c r="E7" i="1"/>
  <c r="E3" i="1"/>
  <c r="I64" i="1" s="1"/>
  <c r="H85" i="1"/>
  <c r="H99" i="1"/>
  <c r="H71" i="1"/>
  <c r="C50" i="1" l="1"/>
  <c r="D95" i="1"/>
  <c r="D96" i="1"/>
  <c r="D97" i="1"/>
  <c r="D91" i="1"/>
  <c r="D92" i="1"/>
  <c r="D93" i="1"/>
  <c r="D94" i="1"/>
  <c r="J84" i="1"/>
  <c r="J86" i="1" s="1"/>
  <c r="D83" i="1"/>
  <c r="D81" i="1"/>
  <c r="D80" i="1"/>
  <c r="D79" i="1"/>
  <c r="D77" i="1"/>
  <c r="J70" i="1"/>
  <c r="D82" i="1"/>
  <c r="D78" i="1"/>
  <c r="J74" i="1"/>
  <c r="J75" i="1"/>
  <c r="C74" i="1" s="1"/>
  <c r="J73" i="1"/>
  <c r="J76" i="1"/>
  <c r="J77" i="1" s="1"/>
  <c r="J82" i="1" s="1"/>
  <c r="J83" i="1" s="1"/>
  <c r="C75" i="1" s="1"/>
  <c r="J98" i="1"/>
  <c r="J100" i="1" s="1"/>
  <c r="J102" i="1"/>
  <c r="D111" i="1"/>
  <c r="D109" i="1"/>
  <c r="D107" i="1"/>
  <c r="D105" i="1"/>
  <c r="J103" i="1"/>
  <c r="C102" i="1" s="1"/>
  <c r="J101" i="1"/>
  <c r="J104" i="1"/>
  <c r="J105" i="1" s="1"/>
  <c r="J110" i="1" s="1"/>
  <c r="J111" i="1" s="1"/>
  <c r="C103" i="1" s="1"/>
  <c r="D110" i="1"/>
  <c r="D108" i="1"/>
  <c r="D106" i="1"/>
  <c r="J90" i="1"/>
  <c r="J88" i="1"/>
  <c r="J89" i="1"/>
  <c r="C88" i="1" s="1"/>
  <c r="J87" i="1"/>
  <c r="J91" i="1" l="1"/>
  <c r="J96" i="1" s="1"/>
  <c r="J97" i="1" s="1"/>
  <c r="C89" i="1" s="1"/>
  <c r="E88" i="1" s="1"/>
  <c r="D104" i="1"/>
  <c r="D102" i="1"/>
  <c r="D90" i="1"/>
  <c r="D76" i="1"/>
  <c r="J72" i="1"/>
  <c r="E74" i="1"/>
  <c r="D75" i="1"/>
  <c r="G74" i="1"/>
  <c r="D74" i="1"/>
  <c r="D88" i="1"/>
  <c r="E102" i="1"/>
  <c r="D103" i="1"/>
  <c r="G102" i="1"/>
  <c r="H113" i="1"/>
  <c r="H141" i="1"/>
  <c r="G88" i="1" l="1"/>
  <c r="D68" i="1" s="1"/>
  <c r="D69" i="1" s="1"/>
  <c r="D89" i="1"/>
  <c r="I85" i="1" s="1"/>
  <c r="J145" i="1"/>
  <c r="C144" i="1" s="1"/>
  <c r="D144" i="1" s="1"/>
  <c r="J144" i="1"/>
  <c r="D148" i="1"/>
  <c r="J146" i="1"/>
  <c r="J147" i="1" s="1"/>
  <c r="J152" i="1" s="1"/>
  <c r="J153" i="1" s="1"/>
  <c r="C145" i="1" s="1"/>
  <c r="E144" i="1" s="1"/>
  <c r="D146" i="1"/>
  <c r="D153" i="1"/>
  <c r="J143" i="1"/>
  <c r="D147" i="1"/>
  <c r="J140" i="1"/>
  <c r="J142" i="1" s="1"/>
  <c r="D152" i="1"/>
  <c r="D151" i="1"/>
  <c r="D150" i="1"/>
  <c r="D149" i="1"/>
  <c r="J85" i="1"/>
  <c r="J118" i="1"/>
  <c r="J119" i="1" s="1"/>
  <c r="J124" i="1" s="1"/>
  <c r="J125" i="1" s="1"/>
  <c r="C117" i="1" s="1"/>
  <c r="J112" i="1"/>
  <c r="J114" i="1" s="1"/>
  <c r="J116" i="1"/>
  <c r="D125" i="1"/>
  <c r="D124" i="1"/>
  <c r="D123" i="1"/>
  <c r="D122" i="1"/>
  <c r="D121" i="1"/>
  <c r="D120" i="1"/>
  <c r="D119" i="1"/>
  <c r="D118" i="1"/>
  <c r="J117" i="1"/>
  <c r="C116" i="1" s="1"/>
  <c r="D116" i="1" s="1"/>
  <c r="J115" i="1"/>
  <c r="I71" i="1"/>
  <c r="J71" i="1"/>
  <c r="I99" i="1"/>
  <c r="J99" i="1"/>
  <c r="H127" i="1"/>
  <c r="F69" i="1" l="1"/>
  <c r="D145" i="1"/>
  <c r="I141" i="1" s="1"/>
  <c r="I142" i="1" s="1"/>
  <c r="G144" i="1"/>
  <c r="J141" i="1"/>
  <c r="J132" i="1"/>
  <c r="J133" i="1" s="1"/>
  <c r="J138" i="1" s="1"/>
  <c r="J139" i="1" s="1"/>
  <c r="C131" i="1" s="1"/>
  <c r="J126" i="1"/>
  <c r="J128" i="1" s="1"/>
  <c r="J130" i="1"/>
  <c r="D139" i="1"/>
  <c r="D138" i="1"/>
  <c r="D137" i="1"/>
  <c r="D136" i="1"/>
  <c r="D135" i="1"/>
  <c r="D134" i="1"/>
  <c r="D133" i="1"/>
  <c r="J131" i="1"/>
  <c r="C130" i="1" s="1"/>
  <c r="J129" i="1"/>
  <c r="E116" i="1"/>
  <c r="D117" i="1"/>
  <c r="I113" i="1" s="1"/>
  <c r="G116" i="1"/>
  <c r="J113" i="1"/>
  <c r="I72" i="1"/>
  <c r="I70" i="1" s="1"/>
  <c r="C72" i="1" s="1"/>
  <c r="I100" i="1"/>
  <c r="I98" i="1" s="1"/>
  <c r="C100" i="1" s="1"/>
  <c r="I86" i="1"/>
  <c r="I84" i="1" s="1"/>
  <c r="C86" i="1" s="1"/>
  <c r="I114" i="1" l="1"/>
  <c r="I112" i="1" s="1"/>
  <c r="C114" i="1" s="1"/>
  <c r="I140" i="1"/>
  <c r="C142" i="1" s="1"/>
  <c r="D130" i="1"/>
  <c r="J127" i="1" s="1"/>
  <c r="D132" i="1"/>
  <c r="E130" i="1"/>
  <c r="D131" i="1"/>
  <c r="G130" i="1"/>
  <c r="I127" i="1" l="1"/>
  <c r="I128" i="1" s="1"/>
  <c r="I126" i="1" l="1"/>
  <c r="C128" i="1" s="1"/>
</calcChain>
</file>

<file path=xl/sharedStrings.xml><?xml version="1.0" encoding="utf-8"?>
<sst xmlns="http://schemas.openxmlformats.org/spreadsheetml/2006/main" count="578" uniqueCount="265">
  <si>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</si>
  <si>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</si>
  <si>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</si>
  <si>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</si>
  <si>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</si>
  <si>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</si>
  <si>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</si>
  <si>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</si>
  <si>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</si>
  <si>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</si>
  <si>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</si>
  <si>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</si>
  <si>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</si>
  <si>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</si>
  <si>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</si>
  <si>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</si>
  <si>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</si>
  <si>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</si>
  <si>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</si>
  <si>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</si>
  <si>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</si>
  <si>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</si>
  <si>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</si>
  <si>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</si>
  <si>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</si>
  <si>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</si>
  <si>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</si>
  <si>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</si>
  <si>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</si>
  <si>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</si>
  <si>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</si>
  <si>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</si>
  <si>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</si>
  <si>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</si>
  <si>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</si>
  <si>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</si>
  <si>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</si>
  <si>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</si>
  <si>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</si>
  <si>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</si>
  <si>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</si>
  <si>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</si>
  <si>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</si>
  <si>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</si>
  <si>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</si>
  <si>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</si>
  <si>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</si>
  <si>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</si>
  <si>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</si>
  <si>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</si>
  <si>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</si>
  <si>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</si>
  <si>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</si>
  <si>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</si>
  <si>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</si>
  <si>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</si>
  <si>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</si>
  <si>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</si>
  <si>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</si>
  <si>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</si>
  <si>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</si>
  <si>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</si>
  <si>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</si>
  <si>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</si>
  <si>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</si>
  <si>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</si>
  <si>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</si>
  <si>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</si>
  <si>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</si>
  <si>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</si>
  <si>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</si>
  <si>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</si>
  <si>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</si>
  <si>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</si>
  <si>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</si>
  <si>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</si>
  <si>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</si>
  <si>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</si>
  <si>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</si>
  <si>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</si>
  <si>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</si>
  <si>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</si>
  <si>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</si>
  <si>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</si>
  <si>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</si>
  <si>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</si>
  <si>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</si>
  <si>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</si>
  <si>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</si>
  <si>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</si>
  <si>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</si>
  <si>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</si>
  <si>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</si>
  <si>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</si>
  <si>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</si>
  <si>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</si>
  <si>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</si>
  <si>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</si>
  <si>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</si>
  <si>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</si>
  <si>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</si>
  <si>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</si>
  <si>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</si>
  <si>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</si>
  <si>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</si>
  <si>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</si>
  <si>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</si>
  <si>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</si>
  <si>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</si>
  <si>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</si>
  <si>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</si>
  <si>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</si>
  <si>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</si>
  <si>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</si>
  <si>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</si>
  <si>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</si>
  <si>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</si>
  <si>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</si>
  <si>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</si>
  <si>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</si>
  <si>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</si>
  <si>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</si>
  <si>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</si>
  <si>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</si>
  <si>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</si>
  <si>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</si>
  <si>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</si>
  <si>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</si>
  <si>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</si>
  <si>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</si>
  <si>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</si>
  <si>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</si>
  <si>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</si>
  <si>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</si>
  <si>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</si>
  <si>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</si>
  <si>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</si>
  <si>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</si>
  <si>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</si>
  <si>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</si>
  <si>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</si>
  <si>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</si>
  <si>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</si>
  <si>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</si>
  <si>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</si>
  <si>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</si>
  <si>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</si>
  <si>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</si>
  <si>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</si>
  <si>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</si>
  <si>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</si>
  <si>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</si>
  <si>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</si>
  <si>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</si>
  <si>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</si>
  <si>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</si>
  <si>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</si>
  <si>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</si>
  <si>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</si>
  <si>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</si>
  <si>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</si>
  <si>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</si>
  <si>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</si>
  <si>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</si>
  <si>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</si>
  <si>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</si>
  <si>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</si>
  <si>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</si>
  <si>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</si>
  <si>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 xml:space="preserve">1. Vitrified tiles flooring 2. Granite Kitchen Platform 3. Decorative
Enternace etc.
</t>
  </si>
  <si>
    <t>Axis Goregaon</t>
  </si>
  <si>
    <t>Pearl Gardens</t>
  </si>
  <si>
    <t>Mansarovar Lifespaces LLP</t>
  </si>
  <si>
    <t>Vasai-Virar City Municipal Corporation</t>
  </si>
  <si>
    <t>Survey No</t>
  </si>
  <si>
    <t>66/3</t>
  </si>
  <si>
    <t>Diwanman</t>
  </si>
  <si>
    <t>Vasai</t>
  </si>
  <si>
    <t>Palghar</t>
  </si>
  <si>
    <t>As per RERA - 01/05/2029</t>
  </si>
  <si>
    <t>Plot</t>
  </si>
  <si>
    <t>Gogte Salt Pan Rd</t>
  </si>
  <si>
    <t>Gogte Salt Pan Road</t>
  </si>
  <si>
    <t>Gokul Angan Marg</t>
  </si>
  <si>
    <t>Parshwa Sharnam</t>
  </si>
  <si>
    <t>Vasai West</t>
  </si>
  <si>
    <t>Gokul Angan</t>
  </si>
  <si>
    <t>https://goo.gl/maps/FK4rSC4wyxx65R3H9</t>
  </si>
  <si>
    <t>1.9KM from Vasai Railway Station</t>
  </si>
  <si>
    <t>Building No. 1</t>
  </si>
  <si>
    <t>Ground Floor For Entrance Lobby &amp; Commercial</t>
  </si>
  <si>
    <t>Shop</t>
  </si>
  <si>
    <t>Office</t>
  </si>
  <si>
    <t>1st to 3rd Floor</t>
  </si>
  <si>
    <t>4th Floor</t>
  </si>
  <si>
    <t>Building No. 2</t>
  </si>
  <si>
    <t>Ground Floor For Entrance Lobby, Meter Room, Society Office, Driver Room &amp; Parking</t>
  </si>
  <si>
    <t>2BHK</t>
  </si>
  <si>
    <t>1BHK</t>
  </si>
  <si>
    <t>1st Floor For Residential</t>
  </si>
  <si>
    <t>1st to 7th, 9th to 12th, 14th to 17th, 19th to 22nd Floor For Residential</t>
  </si>
  <si>
    <t>8th, 13th &amp; 18th Floor (Part Refuge Area)</t>
  </si>
  <si>
    <t>Refuge Area</t>
  </si>
  <si>
    <t>Building No. 3</t>
  </si>
  <si>
    <t>Wing B</t>
  </si>
  <si>
    <t>Wing C</t>
  </si>
  <si>
    <t>1st to 7th, 9th to 12th, 14th &amp; 15th Floor For Residential</t>
  </si>
  <si>
    <t>8th &amp; 13th Floor (Part Refuge Area)</t>
  </si>
  <si>
    <t>Layout :</t>
  </si>
  <si>
    <t>BLDG No. 1</t>
  </si>
  <si>
    <t>A Wing</t>
  </si>
  <si>
    <t>B Wing</t>
  </si>
  <si>
    <t>C Wing</t>
  </si>
  <si>
    <t>Approved Plans, CC, Sale Plan</t>
  </si>
  <si>
    <t>We considered Gross carpet area = Net carpet + Balcony.</t>
  </si>
  <si>
    <t>Wing A</t>
  </si>
  <si>
    <t>VV/CMC/TP/CC/VP/4152/372/2021-22</t>
  </si>
  <si>
    <t>Piling work is completed but we have given plinth work completed.</t>
  </si>
  <si>
    <t>Other Charges</t>
  </si>
  <si>
    <t xml:space="preserve">Oc added by nikhil </t>
  </si>
  <si>
    <t xml:space="preserve">Office No. 1031, Wing J, Akshar Business Park, Plot No. 03 Sector 25, Near APMC Market, 
Vashi, Navi Mumbai, Maharashtra 400703 TEL: 022-46090378/79/8
E mail : vsjcapf@gmail.com. Web site : www.vsjadon.com </t>
  </si>
  <si>
    <t>Latitude, Longitude</t>
  </si>
  <si>
    <t>Grand Total</t>
  </si>
  <si>
    <t>Site Person Contact Details ( Name &amp; Contact No.)</t>
  </si>
  <si>
    <t>7700 to 8100</t>
  </si>
  <si>
    <t>Nikhil</t>
  </si>
  <si>
    <t>Cost sheet</t>
  </si>
  <si>
    <t>Navnath Bhatkar</t>
  </si>
  <si>
    <t>8100 to 8500</t>
  </si>
  <si>
    <t>smith</t>
  </si>
  <si>
    <t>verbal</t>
  </si>
  <si>
    <t>Building  No.1 - Commercial
Building  No.2
Building  No.3 (A, B, C wings)
Building  No.4 (Keishi) Mhada</t>
  </si>
  <si>
    <t>Building No.1 to 3 = P99000047167
Building  No.4 (Keishi) Mhada = P99000055183</t>
  </si>
  <si>
    <t>VVCMC/TP/AMEND/VP/4152/442/2022-23</t>
  </si>
  <si>
    <t>Building  No.1 - Commercial = G + 1st to 4th Floor
Building  No.2 = G + 1st Floor
Building  No.3 (A, B wings)  = G + 1st to 22nd Floor
Building  No.3 (C wing)  = G + 1st to 15th Floor
Building  No.4 = G + 1st to 14th Floor</t>
  </si>
  <si>
    <t>Building  No.4 = G + 1st to 14th Floor</t>
  </si>
  <si>
    <t>Building  No.2 = G + 1st Floor</t>
  </si>
  <si>
    <t>Building  No.3 (A Wing)  = G + 1st to 22nd Floor</t>
  </si>
  <si>
    <t>Building  No.3 (B Wing)  = G + 1st to 22nd Floor</t>
  </si>
  <si>
    <t>Building  No.3 (C Wing)  = G + 1st to 22nd Floor</t>
  </si>
  <si>
    <t>6 Buildings</t>
  </si>
  <si>
    <t xml:space="preserve">Approved Floor plan No. </t>
  </si>
  <si>
    <t>Building No. 4 Mhada Building (Keishi)</t>
  </si>
  <si>
    <t>Ground Floor For Entrance Lobby &amp; Parking</t>
  </si>
  <si>
    <t>1st to 7th, 9th to 12th &amp; 14th Floor For Residential</t>
  </si>
  <si>
    <t>1.5BHK</t>
  </si>
  <si>
    <t>-</t>
  </si>
  <si>
    <t>8th Floor (Part Refuge Area)</t>
  </si>
  <si>
    <t>13th Floor (Part Refuge Area)</t>
  </si>
  <si>
    <t>We have updated Approved Plans &amp; CC of Building No. 4 ( on 27/09/2024).</t>
  </si>
  <si>
    <t>Building No. 4 consists of MHADA Flats only.</t>
  </si>
  <si>
    <t>Building No. 4</t>
  </si>
  <si>
    <t>Sale Flats - 457, Mhada Flats - 55
Shops -06, Offices - 08</t>
  </si>
  <si>
    <t>ISSUE IN PROPOSED STRUCTURE</t>
  </si>
  <si>
    <t>Recommended Rates/Other Charges of the Property have been revised on 26/03/2023, 05/08/2023 &amp; 20/03/2024.</t>
  </si>
  <si>
    <t>Ms. Shweta 9823702608</t>
  </si>
  <si>
    <t>19.3914101,72.823376</t>
  </si>
  <si>
    <t>Building  No.1 = Commercial = G + 1st to 4th Floor
Building  No.2 = G + 1st Floor
Building  No.3 (A, B wings)  = G + 1st to 22nd Floor
Building  No.3 (C wing)  = G + 1st to 15th Floor
Building  No.4 = G + 1st to 14th Floor</t>
  </si>
  <si>
    <t>Building  No.1 = Commercial = G + 1st to 4th Floor</t>
  </si>
  <si>
    <t>Krishna Mandir Co.op Hsg Sty Ltd.</t>
  </si>
  <si>
    <t>Kunal Kadam</t>
  </si>
  <si>
    <t>VVCMC/PO/2025/APL/00115
Approved upto : 
Building  No.1 - Commercial = G + 1st to 4th Floor
Building  No.3 (A wings)  = G + 1st to 22nd Floor
Building  No.4 = G + 1st to 14th Floor</t>
  </si>
  <si>
    <t>We have updated OC for Building No. 1, 3(Wing A) &amp; 4 (on 18/06/2025).</t>
  </si>
  <si>
    <t>60 Years After Completion</t>
  </si>
  <si>
    <t xml:space="preserve">Building No. 2 = Construction work is the same as last visit (dtd.27/09/2024), but work is in process at the time of the visit. (Slow Speed)
Building No. 3 (Wing B &amp; C) = Construction work is in process at the time of Visit.
Building No. 1, 3 (Wing A) &amp; 4 = All work completed. OC received.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</si>
</sst>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2" borderId="0" xfId="1" applyFont="1" applyFill="1"/>
    <xf numFmtId="0" fontId="16" fillId="2" borderId="0" xfId="1" applyFont="1" applyFill="1"/>
    <xf numFmtId="14" fontId="16" fillId="2" borderId="0" xfId="1" applyNumberFormat="1" applyFont="1" applyFill="1"/>
    <xf numFmtId="14" fontId="7" fillId="2" borderId="0" xfId="1" applyNumberFormat="1" applyFont="1" applyFill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2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8" fillId="0" borderId="34" xfId="0" applyNumberFormat="1" applyFont="1" applyBorder="1" applyAlignment="1" applyProtection="1">
      <alignment horizontal="center" vertical="center" wrapText="1"/>
      <protection locked="0"/>
    </xf>
    <xf numFmtId="1" fontId="10" fillId="0" borderId="34" xfId="0" applyNumberFormat="1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1" fontId="10" fillId="0" borderId="34" xfId="0" applyNumberFormat="1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8" fillId="0" borderId="35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3" borderId="8" xfId="0" applyNumberFormat="1" applyFont="1" applyFill="1" applyBorder="1" applyAlignment="1" applyProtection="1">
      <alignment vertical="top" wrapText="1"/>
      <protection locked="0"/>
    </xf>
    <xf numFmtId="1" fontId="8" fillId="3" borderId="21" xfId="0" applyNumberFormat="1" applyFont="1" applyFill="1" applyBorder="1" applyAlignment="1" applyProtection="1">
      <alignment vertical="top" wrapText="1"/>
      <protection locked="0"/>
    </xf>
    <xf numFmtId="1" fontId="8" fillId="3" borderId="9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C5400B"/>
      <color rgb="FFD71B07"/>
      <color rgb="FFEA06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367</xdr:row>
      <xdr:rowOff>0</xdr:rowOff>
    </xdr:from>
    <xdr:to>
      <xdr:col>7</xdr:col>
      <xdr:colOff>504825</xdr:colOff>
      <xdr:row>403</xdr:row>
      <xdr:rowOff>1299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C09A752-5910-4568-8369-48A61F598A28}"/>
            </a:ext>
          </a:extLst>
        </xdr:cNvPr>
        <xdr:cNvGrpSpPr/>
      </xdr:nvGrpSpPr>
      <xdr:grpSpPr>
        <a:xfrm>
          <a:off x="476250" y="78897480"/>
          <a:ext cx="5873115" cy="7133619"/>
          <a:chOff x="476250" y="77847825"/>
          <a:chExt cx="5724525" cy="7202199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50" y="77847825"/>
            <a:ext cx="5678400" cy="720219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4581525" y="82010250"/>
            <a:ext cx="1619250" cy="561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ln>
                  <a:noFill/>
                </a:ln>
                <a:solidFill>
                  <a:srgbClr val="FF0000"/>
                </a:solidFill>
              </a:rPr>
              <a:t>BLDG No. 1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219450" y="81534000"/>
            <a:ext cx="1609725" cy="561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ln>
                  <a:noFill/>
                </a:ln>
                <a:solidFill>
                  <a:srgbClr val="FF0000"/>
                </a:solidFill>
              </a:rPr>
              <a:t>BLDG No. 2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752475" y="81886425"/>
            <a:ext cx="1619250" cy="561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200" b="1">
                <a:ln>
                  <a:noFill/>
                </a:ln>
                <a:solidFill>
                  <a:srgbClr val="FF0000"/>
                </a:solidFill>
              </a:rPr>
              <a:t>BLDG No. 3</a:t>
            </a:r>
          </a:p>
          <a:p>
            <a:pPr algn="l"/>
            <a:r>
              <a:rPr lang="en-IN" sz="1200" b="1">
                <a:ln>
                  <a:noFill/>
                </a:ln>
                <a:solidFill>
                  <a:srgbClr val="FF0000"/>
                </a:solidFill>
              </a:rPr>
              <a:t> (Wing A)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752475" y="80933925"/>
            <a:ext cx="1619250" cy="561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200" b="1">
                <a:ln>
                  <a:noFill/>
                </a:ln>
                <a:solidFill>
                  <a:srgbClr val="FF0000"/>
                </a:solidFill>
              </a:rPr>
              <a:t>BLDG No. 3</a:t>
            </a:r>
          </a:p>
          <a:p>
            <a:pPr algn="l"/>
            <a:r>
              <a:rPr lang="en-IN" sz="1200" b="1">
                <a:ln>
                  <a:noFill/>
                </a:ln>
                <a:solidFill>
                  <a:srgbClr val="FF0000"/>
                </a:solidFill>
              </a:rPr>
              <a:t> (Wing B)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66750" y="78924150"/>
            <a:ext cx="1619250" cy="561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200" b="1">
                <a:ln>
                  <a:noFill/>
                </a:ln>
                <a:solidFill>
                  <a:srgbClr val="FF0000"/>
                </a:solidFill>
              </a:rPr>
              <a:t>BLDG No. 3</a:t>
            </a:r>
          </a:p>
          <a:p>
            <a:pPr algn="l"/>
            <a:r>
              <a:rPr lang="en-IN" sz="1200" b="1">
                <a:ln>
                  <a:noFill/>
                </a:ln>
                <a:solidFill>
                  <a:srgbClr val="FF0000"/>
                </a:solidFill>
              </a:rPr>
              <a:t> (Wing C)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590800" y="83229450"/>
            <a:ext cx="1609725" cy="561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200" b="1">
                <a:ln>
                  <a:noFill/>
                </a:ln>
                <a:solidFill>
                  <a:srgbClr val="FF0000"/>
                </a:solidFill>
              </a:rPr>
              <a:t>BLDG No.4</a:t>
            </a:r>
          </a:p>
          <a:p>
            <a:pPr algn="l"/>
            <a:r>
              <a:rPr lang="en-IN" sz="1200" b="1">
                <a:ln>
                  <a:noFill/>
                </a:ln>
                <a:solidFill>
                  <a:srgbClr val="FF0000"/>
                </a:solidFill>
              </a:rPr>
              <a:t> (Mhada)</a:t>
            </a: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2857500" y="81000600"/>
            <a:ext cx="1628775" cy="647700"/>
          </a:xfrm>
          <a:prstGeom prst="rect">
            <a:avLst/>
          </a:prstGeom>
          <a:noFill/>
          <a:ln w="2857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4591050" y="80810099"/>
            <a:ext cx="1076325" cy="1152525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781301" y="82324575"/>
            <a:ext cx="571500" cy="990600"/>
          </a:xfrm>
          <a:prstGeom prst="rect">
            <a:avLst/>
          </a:prstGeom>
          <a:noFill/>
          <a:ln w="28575">
            <a:solidFill>
              <a:srgbClr val="EA06B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4" name="L-Shap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381125" y="81800700"/>
            <a:ext cx="1247775" cy="857250"/>
          </a:xfrm>
          <a:prstGeom prst="corner">
            <a:avLst>
              <a:gd name="adj1" fmla="val 65556"/>
              <a:gd name="adj2" fmla="val 74444"/>
            </a:avLst>
          </a:prstGeom>
          <a:noFill/>
          <a:ln w="3810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1343025" y="80571975"/>
            <a:ext cx="657225" cy="1190625"/>
          </a:xfrm>
          <a:prstGeom prst="rect">
            <a:avLst/>
          </a:prstGeom>
          <a:noFill/>
          <a:ln w="28575"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314450" y="79133700"/>
            <a:ext cx="657225" cy="1400175"/>
          </a:xfrm>
          <a:prstGeom prst="rect">
            <a:avLst/>
          </a:prstGeom>
          <a:noFill/>
          <a:ln w="28575">
            <a:solidFill>
              <a:srgbClr val="C5400B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438150</xdr:colOff>
      <xdr:row>452</xdr:row>
      <xdr:rowOff>182593</xdr:rowOff>
    </xdr:from>
    <xdr:to>
      <xdr:col>7</xdr:col>
      <xdr:colOff>297568</xdr:colOff>
      <xdr:row>491</xdr:row>
      <xdr:rowOff>88950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610E051-0072-4B89-8239-4FBAB357FA27}"/>
            </a:ext>
          </a:extLst>
        </xdr:cNvPr>
        <xdr:cNvGrpSpPr/>
      </xdr:nvGrpSpPr>
      <xdr:grpSpPr>
        <a:xfrm>
          <a:off x="438150" y="87004873"/>
          <a:ext cx="5703958" cy="7633037"/>
          <a:chOff x="438150" y="86231443"/>
          <a:chExt cx="5555368" cy="7707332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28701" y="86231443"/>
            <a:ext cx="4797369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47A04A12-5EEF-4BCB-9434-35C29469EC1A}"/>
              </a:ext>
            </a:extLst>
          </xdr:cNvPr>
          <xdr:cNvGrpSpPr/>
        </xdr:nvGrpSpPr>
        <xdr:grpSpPr>
          <a:xfrm>
            <a:off x="438150" y="89258775"/>
            <a:ext cx="5555368" cy="4680000"/>
            <a:chOff x="438150" y="89258775"/>
            <a:chExt cx="5555368" cy="468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438150" y="89258775"/>
              <a:ext cx="5555368" cy="46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9" name="Freeform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1595718" y="89694123"/>
              <a:ext cx="2874309" cy="3445249"/>
            </a:xfrm>
            <a:custGeom>
              <a:avLst/>
              <a:gdLst>
                <a:gd name="connsiteX0" fmla="*/ 2924735 w 3070412"/>
                <a:gd name="connsiteY0" fmla="*/ 2711824 h 3473824"/>
                <a:gd name="connsiteX1" fmla="*/ 1591235 w 3070412"/>
                <a:gd name="connsiteY1" fmla="*/ 2420471 h 3473824"/>
                <a:gd name="connsiteX2" fmla="*/ 1277471 w 3070412"/>
                <a:gd name="connsiteY2" fmla="*/ 3473824 h 3473824"/>
                <a:gd name="connsiteX3" fmla="*/ 0 w 3070412"/>
                <a:gd name="connsiteY3" fmla="*/ 2532530 h 3473824"/>
                <a:gd name="connsiteX4" fmla="*/ 100853 w 3070412"/>
                <a:gd name="connsiteY4" fmla="*/ 1748118 h 3473824"/>
                <a:gd name="connsiteX5" fmla="*/ 403412 w 3070412"/>
                <a:gd name="connsiteY5" fmla="*/ 986118 h 3473824"/>
                <a:gd name="connsiteX6" fmla="*/ 280147 w 3070412"/>
                <a:gd name="connsiteY6" fmla="*/ 324971 h 3473824"/>
                <a:gd name="connsiteX7" fmla="*/ 593912 w 3070412"/>
                <a:gd name="connsiteY7" fmla="*/ 0 h 3473824"/>
                <a:gd name="connsiteX8" fmla="*/ 1131794 w 3070412"/>
                <a:gd name="connsiteY8" fmla="*/ 67235 h 3473824"/>
                <a:gd name="connsiteX9" fmla="*/ 1479176 w 3070412"/>
                <a:gd name="connsiteY9" fmla="*/ 1008530 h 3473824"/>
                <a:gd name="connsiteX10" fmla="*/ 1512794 w 3070412"/>
                <a:gd name="connsiteY10" fmla="*/ 1389530 h 3473824"/>
                <a:gd name="connsiteX11" fmla="*/ 2577353 w 3070412"/>
                <a:gd name="connsiteY11" fmla="*/ 1692088 h 3473824"/>
                <a:gd name="connsiteX12" fmla="*/ 3025588 w 3070412"/>
                <a:gd name="connsiteY12" fmla="*/ 1759324 h 3473824"/>
                <a:gd name="connsiteX13" fmla="*/ 3070412 w 3070412"/>
                <a:gd name="connsiteY13" fmla="*/ 1792941 h 3473824"/>
                <a:gd name="connsiteX14" fmla="*/ 2924735 w 3070412"/>
                <a:gd name="connsiteY14" fmla="*/ 2711824 h 34738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3070412" h="3473824">
                  <a:moveTo>
                    <a:pt x="2924735" y="2711824"/>
                  </a:moveTo>
                  <a:lnTo>
                    <a:pt x="1591235" y="2420471"/>
                  </a:lnTo>
                  <a:lnTo>
                    <a:pt x="1277471" y="3473824"/>
                  </a:lnTo>
                  <a:lnTo>
                    <a:pt x="0" y="2532530"/>
                  </a:lnTo>
                  <a:lnTo>
                    <a:pt x="100853" y="1748118"/>
                  </a:lnTo>
                  <a:lnTo>
                    <a:pt x="403412" y="986118"/>
                  </a:lnTo>
                  <a:lnTo>
                    <a:pt x="280147" y="324971"/>
                  </a:lnTo>
                  <a:lnTo>
                    <a:pt x="593912" y="0"/>
                  </a:lnTo>
                  <a:lnTo>
                    <a:pt x="1131794" y="67235"/>
                  </a:lnTo>
                  <a:lnTo>
                    <a:pt x="1479176" y="1008530"/>
                  </a:lnTo>
                  <a:lnTo>
                    <a:pt x="1512794" y="1389530"/>
                  </a:lnTo>
                  <a:lnTo>
                    <a:pt x="2577353" y="1692088"/>
                  </a:lnTo>
                  <a:lnTo>
                    <a:pt x="3025588" y="1759324"/>
                  </a:lnTo>
                  <a:lnTo>
                    <a:pt x="3070412" y="1792941"/>
                  </a:lnTo>
                  <a:lnTo>
                    <a:pt x="2924735" y="2711824"/>
                  </a:lnTo>
                  <a:close/>
                </a:path>
              </a:pathLst>
            </a:cu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</xdr:grpSp>
    <xdr:clientData/>
  </xdr:twoCellAnchor>
  <xdr:twoCellAnchor>
    <xdr:from>
      <xdr:col>8</xdr:col>
      <xdr:colOff>1134595</xdr:colOff>
      <xdr:row>334</xdr:row>
      <xdr:rowOff>21852</xdr:rowOff>
    </xdr:from>
    <xdr:to>
      <xdr:col>12</xdr:col>
      <xdr:colOff>609039</xdr:colOff>
      <xdr:row>337</xdr:row>
      <xdr:rowOff>55470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7611595" y="62239152"/>
          <a:ext cx="2893919" cy="6336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BLDG</a:t>
          </a:r>
          <a:r>
            <a:rPr lang="en-IN" sz="1800" b="1" baseline="0">
              <a:ln>
                <a:noFill/>
              </a:ln>
              <a:solidFill>
                <a:srgbClr val="7030A0"/>
              </a:solidFill>
            </a:rPr>
            <a:t> No. 1</a:t>
          </a:r>
        </a:p>
        <a:p>
          <a:pPr algn="l"/>
          <a:endParaRPr lang="en-IN" sz="1800" b="1">
            <a:ln>
              <a:noFill/>
            </a:ln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445336</xdr:colOff>
      <xdr:row>328</xdr:row>
      <xdr:rowOff>48086</xdr:rowOff>
    </xdr:from>
    <xdr:to>
      <xdr:col>10</xdr:col>
      <xdr:colOff>574102</xdr:colOff>
      <xdr:row>330</xdr:row>
      <xdr:rowOff>20782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922336" y="60036536"/>
          <a:ext cx="2052816" cy="3727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FFFF00"/>
              </a:solidFill>
            </a:rPr>
            <a:t>BLDG</a:t>
          </a:r>
          <a:r>
            <a:rPr lang="en-IN" sz="1800" b="1" baseline="0">
              <a:ln>
                <a:noFill/>
              </a:ln>
              <a:solidFill>
                <a:srgbClr val="FFFF00"/>
              </a:solidFill>
            </a:rPr>
            <a:t> No. 3 A Wing</a:t>
          </a:r>
        </a:p>
        <a:p>
          <a:pPr algn="l"/>
          <a:endParaRPr lang="en-IN" sz="1800" b="1">
            <a:ln>
              <a:noFill/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11</xdr:col>
      <xdr:colOff>224377</xdr:colOff>
      <xdr:row>327</xdr:row>
      <xdr:rowOff>127188</xdr:rowOff>
    </xdr:from>
    <xdr:to>
      <xdr:col>15</xdr:col>
      <xdr:colOff>50991</xdr:colOff>
      <xdr:row>330</xdr:row>
      <xdr:rowOff>162487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416002" y="59915613"/>
          <a:ext cx="2817464" cy="6353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BLDG</a:t>
          </a:r>
          <a:r>
            <a:rPr lang="en-IN" sz="1800" b="1" baseline="0">
              <a:ln>
                <a:noFill/>
              </a:ln>
              <a:solidFill>
                <a:srgbClr val="7030A0"/>
              </a:solidFill>
            </a:rPr>
            <a:t> No. 3 B Wing</a:t>
          </a:r>
        </a:p>
        <a:p>
          <a:pPr algn="l"/>
          <a:endParaRPr lang="en-IN" sz="1800" b="1">
            <a:ln>
              <a:noFill/>
            </a:ln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268487</xdr:colOff>
      <xdr:row>337</xdr:row>
      <xdr:rowOff>38662</xdr:rowOff>
    </xdr:from>
    <xdr:to>
      <xdr:col>11</xdr:col>
      <xdr:colOff>379527</xdr:colOff>
      <xdr:row>340</xdr:row>
      <xdr:rowOff>72279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745487" y="61827337"/>
          <a:ext cx="2825665" cy="6336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BLDG</a:t>
          </a:r>
          <a:r>
            <a:rPr lang="en-IN" sz="1800" b="1" baseline="0">
              <a:ln>
                <a:noFill/>
              </a:ln>
              <a:solidFill>
                <a:srgbClr val="7030A0"/>
              </a:solidFill>
            </a:rPr>
            <a:t> No. 3 C Wing</a:t>
          </a:r>
        </a:p>
        <a:p>
          <a:pPr algn="l"/>
          <a:endParaRPr lang="en-IN" sz="1800" b="1">
            <a:ln>
              <a:noFill/>
            </a:ln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505240</xdr:colOff>
      <xdr:row>343</xdr:row>
      <xdr:rowOff>195341</xdr:rowOff>
    </xdr:from>
    <xdr:to>
      <xdr:col>11</xdr:col>
      <xdr:colOff>600610</xdr:colOff>
      <xdr:row>349</xdr:row>
      <xdr:rowOff>121381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A8EC6368-CA01-4D91-871E-9AE038ED0B61}"/>
            </a:ext>
          </a:extLst>
        </xdr:cNvPr>
        <xdr:cNvSpPr/>
      </xdr:nvSpPr>
      <xdr:spPr>
        <a:xfrm>
          <a:off x="6973957" y="73446732"/>
          <a:ext cx="2803783" cy="111873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BLDG</a:t>
          </a:r>
          <a:r>
            <a:rPr lang="en-IN" sz="1800" b="1" baseline="0">
              <a:ln>
                <a:noFill/>
              </a:ln>
              <a:solidFill>
                <a:srgbClr val="7030A0"/>
              </a:solidFill>
            </a:rPr>
            <a:t> No. 1 </a:t>
          </a:r>
        </a:p>
        <a:p>
          <a:pPr algn="l"/>
          <a:r>
            <a:rPr lang="en-IN" sz="1800" b="1" baseline="0">
              <a:ln>
                <a:noFill/>
              </a:ln>
              <a:solidFill>
                <a:srgbClr val="7030A0"/>
              </a:solidFill>
            </a:rPr>
            <a:t>Commercial</a:t>
          </a:r>
        </a:p>
        <a:p>
          <a:pPr algn="l"/>
          <a:endParaRPr lang="en-IN" sz="1800" b="1">
            <a:ln>
              <a:noFill/>
            </a:ln>
            <a:solidFill>
              <a:srgbClr val="7030A0"/>
            </a:solidFill>
          </a:endParaRPr>
        </a:p>
      </xdr:txBody>
    </xdr:sp>
    <xdr:clientData/>
  </xdr:twoCellAnchor>
  <xdr:twoCellAnchor>
    <xdr:from>
      <xdr:col>9</xdr:col>
      <xdr:colOff>312420</xdr:colOff>
      <xdr:row>322</xdr:row>
      <xdr:rowOff>53340</xdr:rowOff>
    </xdr:from>
    <xdr:to>
      <xdr:col>17</xdr:col>
      <xdr:colOff>206882</xdr:colOff>
      <xdr:row>358</xdr:row>
      <xdr:rowOff>197319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1F4BB0F-FB88-AFB2-62B9-C82F1082A5F9}"/>
            </a:ext>
          </a:extLst>
        </xdr:cNvPr>
        <xdr:cNvGrpSpPr/>
      </xdr:nvGrpSpPr>
      <xdr:grpSpPr>
        <a:xfrm>
          <a:off x="8153400" y="70043040"/>
          <a:ext cx="5998082" cy="7268679"/>
          <a:chOff x="232619" y="298006"/>
          <a:chExt cx="5998082" cy="7268679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420FD1A-16EA-B8DC-11A2-C850A64501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2670" y="3050743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F0BABCD-D6FC-F128-4E7F-D2C6B107C5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0039" y="334801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D61A0748-9458-9091-1DA7-AD70A31E4838}"/>
              </a:ext>
            </a:extLst>
          </xdr:cNvPr>
          <xdr:cNvGrpSpPr/>
        </xdr:nvGrpSpPr>
        <xdr:grpSpPr>
          <a:xfrm>
            <a:off x="1771963" y="5766685"/>
            <a:ext cx="2864182" cy="1800000"/>
            <a:chOff x="772056" y="5766685"/>
            <a:chExt cx="2864182" cy="1800000"/>
          </a:xfrm>
        </xdr:grpSpPr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BDE44236-1505-89F2-2155-E351A3BCC5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2056" y="576668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9B08DF1E-E786-B92A-99AD-0714A4F0B7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87644" y="576668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86DA808E-7608-7BD5-4F27-9643DFE8EF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2620" y="334801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B2E34CDD-AE67-C4B9-8DCC-CE3BC5E11E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2619" y="3050743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F0F1444F-0937-7B3F-CE48-B1C87319BE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7644" y="3050743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720E49A2-5838-B7A3-8F5C-5B0F98FDE4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2669" y="334801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4" name="TextBox 18">
            <a:extLst>
              <a:ext uri="{FF2B5EF4-FFF2-40B4-BE49-F238E27FC236}">
                <a16:creationId xmlns:a16="http://schemas.microsoft.com/office/drawing/2014/main" id="{4D1E4C97-3A99-F9AF-9B3C-4EEE8C272909}"/>
              </a:ext>
            </a:extLst>
          </xdr:cNvPr>
          <xdr:cNvSpPr txBox="1"/>
        </xdr:nvSpPr>
        <xdr:spPr>
          <a:xfrm>
            <a:off x="4418418" y="3364124"/>
            <a:ext cx="92525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Building 4</a:t>
            </a:r>
          </a:p>
        </xdr:txBody>
      </xdr:sp>
      <xdr:sp macro="" textlink="">
        <xdr:nvSpPr>
          <xdr:cNvPr id="45" name="TextBox 19">
            <a:extLst>
              <a:ext uri="{FF2B5EF4-FFF2-40B4-BE49-F238E27FC236}">
                <a16:creationId xmlns:a16="http://schemas.microsoft.com/office/drawing/2014/main" id="{7FD7442B-F08F-F2B2-0AAC-B33DEAF77C71}"/>
              </a:ext>
            </a:extLst>
          </xdr:cNvPr>
          <xdr:cNvSpPr txBox="1"/>
        </xdr:nvSpPr>
        <xdr:spPr>
          <a:xfrm>
            <a:off x="574665" y="3024051"/>
            <a:ext cx="92525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Building 3</a:t>
            </a:r>
          </a:p>
        </xdr:txBody>
      </xdr:sp>
      <xdr:sp macro="" textlink="">
        <xdr:nvSpPr>
          <xdr:cNvPr id="46" name="TextBox 20">
            <a:extLst>
              <a:ext uri="{FF2B5EF4-FFF2-40B4-BE49-F238E27FC236}">
                <a16:creationId xmlns:a16="http://schemas.microsoft.com/office/drawing/2014/main" id="{3C560330-58D2-028C-5836-3980A55BC38C}"/>
              </a:ext>
            </a:extLst>
          </xdr:cNvPr>
          <xdr:cNvSpPr txBox="1"/>
        </xdr:nvSpPr>
        <xdr:spPr>
          <a:xfrm>
            <a:off x="4636145" y="2002972"/>
            <a:ext cx="92525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Building 2</a:t>
            </a:r>
          </a:p>
        </xdr:txBody>
      </xdr:sp>
      <xdr:sp macro="" textlink="">
        <xdr:nvSpPr>
          <xdr:cNvPr id="47" name="TextBox 21">
            <a:extLst>
              <a:ext uri="{FF2B5EF4-FFF2-40B4-BE49-F238E27FC236}">
                <a16:creationId xmlns:a16="http://schemas.microsoft.com/office/drawing/2014/main" id="{B9169FE9-6240-FDD7-B1C4-DB5068905F6C}"/>
              </a:ext>
            </a:extLst>
          </xdr:cNvPr>
          <xdr:cNvSpPr txBox="1"/>
        </xdr:nvSpPr>
        <xdr:spPr>
          <a:xfrm>
            <a:off x="2644380" y="2546429"/>
            <a:ext cx="92525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Building 1</a:t>
            </a:r>
          </a:p>
        </xdr:txBody>
      </xdr:sp>
      <xdr:sp macro="" textlink="">
        <xdr:nvSpPr>
          <xdr:cNvPr id="48" name="TextBox 22">
            <a:extLst>
              <a:ext uri="{FF2B5EF4-FFF2-40B4-BE49-F238E27FC236}">
                <a16:creationId xmlns:a16="http://schemas.microsoft.com/office/drawing/2014/main" id="{73AD024E-38FD-8AE5-B9D7-8ED962A1B839}"/>
              </a:ext>
            </a:extLst>
          </xdr:cNvPr>
          <xdr:cNvSpPr txBox="1"/>
        </xdr:nvSpPr>
        <xdr:spPr>
          <a:xfrm>
            <a:off x="519889" y="298006"/>
            <a:ext cx="92525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Building 1</a:t>
            </a:r>
          </a:p>
        </xdr:txBody>
      </xdr:sp>
      <xdr:sp macro="" textlink="">
        <xdr:nvSpPr>
          <xdr:cNvPr id="49" name="TextBox 23">
            <a:extLst>
              <a:ext uri="{FF2B5EF4-FFF2-40B4-BE49-F238E27FC236}">
                <a16:creationId xmlns:a16="http://schemas.microsoft.com/office/drawing/2014/main" id="{7300B72B-BEA2-E726-7349-A5290034E99F}"/>
              </a:ext>
            </a:extLst>
          </xdr:cNvPr>
          <xdr:cNvSpPr txBox="1"/>
        </xdr:nvSpPr>
        <xdr:spPr>
          <a:xfrm>
            <a:off x="415807" y="3420075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</a:t>
            </a:r>
          </a:p>
        </xdr:txBody>
      </xdr:sp>
      <xdr:sp macro="" textlink="">
        <xdr:nvSpPr>
          <xdr:cNvPr id="50" name="TextBox 24">
            <a:extLst>
              <a:ext uri="{FF2B5EF4-FFF2-40B4-BE49-F238E27FC236}">
                <a16:creationId xmlns:a16="http://schemas.microsoft.com/office/drawing/2014/main" id="{199E5746-6CC5-EB1B-41BB-50F9E95C7D6B}"/>
              </a:ext>
            </a:extLst>
          </xdr:cNvPr>
          <xdr:cNvSpPr txBox="1"/>
        </xdr:nvSpPr>
        <xdr:spPr>
          <a:xfrm>
            <a:off x="1520601" y="3389483"/>
            <a:ext cx="31771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51" name="TextBox 25">
            <a:extLst>
              <a:ext uri="{FF2B5EF4-FFF2-40B4-BE49-F238E27FC236}">
                <a16:creationId xmlns:a16="http://schemas.microsoft.com/office/drawing/2014/main" id="{8BD52885-0289-8BDD-F614-2007011DBF3F}"/>
              </a:ext>
            </a:extLst>
          </xdr:cNvPr>
          <xdr:cNvSpPr txBox="1"/>
        </xdr:nvSpPr>
        <xdr:spPr>
          <a:xfrm>
            <a:off x="3344732" y="3574149"/>
            <a:ext cx="31771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</xdr:grpSp>
    <xdr:clientData/>
  </xdr:twoCellAnchor>
  <xdr:twoCellAnchor>
    <xdr:from>
      <xdr:col>0</xdr:col>
      <xdr:colOff>220980</xdr:colOff>
      <xdr:row>325</xdr:row>
      <xdr:rowOff>22860</xdr:rowOff>
    </xdr:from>
    <xdr:to>
      <xdr:col>7</xdr:col>
      <xdr:colOff>556260</xdr:colOff>
      <xdr:row>362</xdr:row>
      <xdr:rowOff>91440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ADC861-8C38-5A3B-550D-A34CAC47E007}"/>
            </a:ext>
          </a:extLst>
        </xdr:cNvPr>
        <xdr:cNvGrpSpPr/>
      </xdr:nvGrpSpPr>
      <xdr:grpSpPr>
        <a:xfrm>
          <a:off x="220980" y="70606920"/>
          <a:ext cx="6179820" cy="7391400"/>
          <a:chOff x="533888" y="71120"/>
          <a:chExt cx="5956358" cy="7083200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3E9D0225-6170-F4C3-EC49-25314A2E51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68052" y="7112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791FA233-ACC0-D89C-3554-5BD9DBAC55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8970" y="7112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9E5F24A0-AB02-A47F-D6E1-61661421E9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02214" y="270272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64D2A9F6-C33E-AFF8-ECC9-44F6D8E596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68051" y="271272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1AC9046D-4D1C-D713-B88E-51727112F2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9325" y="535432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A514E613-6069-D376-3097-826204297C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84051" y="535432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4CCC2913-54F6-96E1-E534-F838AA908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3888" y="270272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CE370DE9-084D-AB42-A8BA-8E2C2FD280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02215" y="7112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K4rSC4wyxx65R3H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53"/>
  <sheetViews>
    <sheetView tabSelected="1" view="pageBreakPreview" topLeftCell="A58" zoomScaleNormal="100" zoomScaleSheetLayoutView="100" zoomScalePageLayoutView="85" workbookViewId="0">
      <selection activeCell="K69" sqref="K69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8" width="11.6640625" style="38" customWidth="1"/>
    <col min="9" max="9" width="17.44140625" style="19" customWidth="1"/>
    <col min="10" max="10" width="11.44140625" style="19" customWidth="1"/>
    <col min="11" max="11" width="11.88671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57" t="s">
        <v>220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3">
      <c r="A2" s="158" t="s">
        <v>0</v>
      </c>
      <c r="B2" s="158"/>
      <c r="C2" s="158"/>
      <c r="D2" s="158"/>
      <c r="E2" s="158"/>
      <c r="F2" s="158"/>
      <c r="G2" s="158"/>
      <c r="H2" s="158"/>
    </row>
    <row r="3" spans="1:8" x14ac:dyDescent="0.3">
      <c r="A3" s="152" t="s">
        <v>1</v>
      </c>
      <c r="B3" s="152"/>
      <c r="C3" s="152"/>
      <c r="D3" s="152"/>
      <c r="E3" s="152" t="str">
        <f ca="1">TEXT(TODAY(),"DD/MM/YYYY")</f>
        <v>08/09/2025</v>
      </c>
      <c r="F3" s="152"/>
      <c r="G3" s="152"/>
      <c r="H3" s="152"/>
    </row>
    <row r="4" spans="1:8" ht="15" customHeight="1" x14ac:dyDescent="0.3">
      <c r="A4" s="152" t="s">
        <v>2</v>
      </c>
      <c r="B4" s="152"/>
      <c r="C4" s="152"/>
      <c r="D4" s="152"/>
      <c r="E4" s="152" t="s">
        <v>170</v>
      </c>
      <c r="F4" s="152"/>
      <c r="G4" s="152"/>
      <c r="H4" s="152"/>
    </row>
    <row r="5" spans="1:8" x14ac:dyDescent="0.3">
      <c r="A5" s="152" t="s">
        <v>3</v>
      </c>
      <c r="B5" s="152"/>
      <c r="C5" s="152"/>
      <c r="D5" s="152"/>
      <c r="E5" s="156">
        <v>45907</v>
      </c>
      <c r="F5" s="152"/>
      <c r="G5" s="152"/>
      <c r="H5" s="152"/>
    </row>
    <row r="6" spans="1:8" ht="16.5" customHeight="1" x14ac:dyDescent="0.3">
      <c r="A6" s="152" t="s">
        <v>4</v>
      </c>
      <c r="B6" s="152"/>
      <c r="C6" s="152"/>
      <c r="D6" s="152"/>
      <c r="E6" s="152" t="s">
        <v>172</v>
      </c>
      <c r="F6" s="152"/>
      <c r="G6" s="152"/>
      <c r="H6" s="152"/>
    </row>
    <row r="7" spans="1:8" ht="15" customHeight="1" x14ac:dyDescent="0.3">
      <c r="A7" s="152" t="s">
        <v>5</v>
      </c>
      <c r="B7" s="152"/>
      <c r="C7" s="152"/>
      <c r="D7" s="152"/>
      <c r="E7" s="152" t="str">
        <f>E6</f>
        <v>Mansarovar Lifespaces LLP</v>
      </c>
      <c r="F7" s="152"/>
      <c r="G7" s="152"/>
      <c r="H7" s="152"/>
    </row>
    <row r="8" spans="1:8" x14ac:dyDescent="0.3">
      <c r="A8" s="152" t="s">
        <v>6</v>
      </c>
      <c r="B8" s="152"/>
      <c r="C8" s="152"/>
      <c r="D8" s="152"/>
      <c r="E8" s="104" t="s">
        <v>171</v>
      </c>
      <c r="F8" s="104"/>
      <c r="G8" s="104"/>
      <c r="H8" s="104"/>
    </row>
    <row r="9" spans="1:8" x14ac:dyDescent="0.3">
      <c r="A9" s="152" t="s">
        <v>168</v>
      </c>
      <c r="B9" s="152"/>
      <c r="C9" s="152"/>
      <c r="D9" s="152"/>
      <c r="E9" s="152">
        <v>9823702608</v>
      </c>
      <c r="F9" s="152"/>
      <c r="G9" s="152"/>
      <c r="H9" s="152"/>
    </row>
    <row r="10" spans="1:8" x14ac:dyDescent="0.3">
      <c r="A10" s="152" t="s">
        <v>223</v>
      </c>
      <c r="B10" s="152"/>
      <c r="C10" s="152"/>
      <c r="D10" s="152"/>
      <c r="E10" s="152" t="s">
        <v>255</v>
      </c>
      <c r="F10" s="152"/>
      <c r="G10" s="152"/>
      <c r="H10" s="152"/>
    </row>
    <row r="11" spans="1:8" ht="64.5" customHeight="1" x14ac:dyDescent="0.3">
      <c r="A11" s="152" t="s">
        <v>7</v>
      </c>
      <c r="B11" s="152"/>
      <c r="C11" s="152"/>
      <c r="D11" s="152"/>
      <c r="E11" s="130" t="s">
        <v>231</v>
      </c>
      <c r="F11" s="152"/>
      <c r="G11" s="152"/>
      <c r="H11" s="152"/>
    </row>
    <row r="12" spans="1:8" x14ac:dyDescent="0.3">
      <c r="A12" s="120" t="s">
        <v>8</v>
      </c>
      <c r="B12" s="120"/>
      <c r="C12" s="120"/>
      <c r="D12" s="120"/>
      <c r="E12" s="130" t="s">
        <v>213</v>
      </c>
      <c r="F12" s="130"/>
      <c r="G12" s="130"/>
      <c r="H12" s="130"/>
    </row>
    <row r="13" spans="1:8" ht="36.75" customHeight="1" x14ac:dyDescent="0.3">
      <c r="A13" s="120" t="s">
        <v>9</v>
      </c>
      <c r="B13" s="120"/>
      <c r="C13" s="120"/>
      <c r="D13" s="120"/>
      <c r="E13" s="130" t="s">
        <v>232</v>
      </c>
      <c r="F13" s="152"/>
      <c r="G13" s="152"/>
      <c r="H13" s="152"/>
    </row>
    <row r="14" spans="1:8" ht="33.75" customHeight="1" x14ac:dyDescent="0.3">
      <c r="A14" s="117" t="s">
        <v>10</v>
      </c>
      <c r="B14" s="117"/>
      <c r="C14" s="11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Pearl Gardens, Survey No.66/3, near Parshwa Sharnam, Gogte Salt Pan Road, Gokul Angan, Diwanman, Vasai West, Vasai, Palghar - 401202.</v>
      </c>
      <c r="D14" s="117"/>
      <c r="E14" s="117"/>
      <c r="F14" s="117"/>
      <c r="G14" s="117"/>
      <c r="H14" s="117"/>
    </row>
    <row r="15" spans="1:8" x14ac:dyDescent="0.3">
      <c r="A15" s="130" t="s">
        <v>174</v>
      </c>
      <c r="B15" s="130"/>
      <c r="C15" s="130" t="s">
        <v>175</v>
      </c>
      <c r="D15" s="130"/>
      <c r="E15" s="130"/>
      <c r="F15" s="130"/>
      <c r="G15" s="130"/>
      <c r="H15" s="130"/>
    </row>
    <row r="16" spans="1:8" ht="15.75" customHeight="1" x14ac:dyDescent="0.3">
      <c r="A16" s="130" t="s">
        <v>167</v>
      </c>
      <c r="B16" s="130"/>
      <c r="C16" s="130" t="s">
        <v>186</v>
      </c>
      <c r="D16" s="130"/>
      <c r="E16" s="130"/>
      <c r="F16" s="130"/>
      <c r="G16" s="130"/>
      <c r="H16" s="130"/>
    </row>
    <row r="17" spans="1:8" ht="15.75" customHeight="1" x14ac:dyDescent="0.3">
      <c r="A17" s="117" t="s">
        <v>11</v>
      </c>
      <c r="B17" s="117"/>
      <c r="C17" s="152" t="s">
        <v>182</v>
      </c>
      <c r="D17" s="152"/>
      <c r="E17" s="117" t="s">
        <v>74</v>
      </c>
      <c r="F17" s="117"/>
      <c r="G17" s="130" t="s">
        <v>176</v>
      </c>
      <c r="H17" s="130"/>
    </row>
    <row r="18" spans="1:8" x14ac:dyDescent="0.3">
      <c r="A18" s="120" t="s">
        <v>13</v>
      </c>
      <c r="B18" s="120"/>
      <c r="C18" s="130" t="s">
        <v>185</v>
      </c>
      <c r="D18" s="130"/>
      <c r="E18" s="117" t="s">
        <v>12</v>
      </c>
      <c r="F18" s="117"/>
      <c r="G18" s="155" t="s">
        <v>178</v>
      </c>
      <c r="H18" s="155"/>
    </row>
    <row r="19" spans="1:8" x14ac:dyDescent="0.3">
      <c r="A19" s="120" t="s">
        <v>75</v>
      </c>
      <c r="B19" s="120"/>
      <c r="C19" s="130" t="s">
        <v>177</v>
      </c>
      <c r="D19" s="130"/>
      <c r="E19" s="117" t="s">
        <v>14</v>
      </c>
      <c r="F19" s="117"/>
      <c r="G19" s="130">
        <v>401202</v>
      </c>
      <c r="H19" s="130"/>
    </row>
    <row r="20" spans="1:8" ht="32.25" customHeight="1" x14ac:dyDescent="0.3">
      <c r="A20" s="120" t="s">
        <v>125</v>
      </c>
      <c r="B20" s="120"/>
      <c r="C20" s="130" t="s">
        <v>184</v>
      </c>
      <c r="D20" s="130"/>
      <c r="E20" s="117" t="s">
        <v>15</v>
      </c>
      <c r="F20" s="117"/>
      <c r="G20" s="130" t="s">
        <v>188</v>
      </c>
      <c r="H20" s="130"/>
    </row>
    <row r="21" spans="1:8" ht="15" customHeight="1" x14ac:dyDescent="0.3">
      <c r="A21" s="117" t="s">
        <v>78</v>
      </c>
      <c r="B21" s="117"/>
      <c r="C21" s="117"/>
      <c r="D21" s="117"/>
      <c r="E21" s="152" t="s">
        <v>16</v>
      </c>
      <c r="F21" s="152"/>
      <c r="G21" s="152"/>
      <c r="H21" s="152"/>
    </row>
    <row r="22" spans="1:8" ht="18.75" customHeight="1" x14ac:dyDescent="0.3">
      <c r="A22" s="117"/>
      <c r="B22" s="117"/>
      <c r="C22" s="117"/>
      <c r="D22" s="117"/>
      <c r="E22" s="152"/>
      <c r="F22" s="152"/>
      <c r="G22" s="152"/>
      <c r="H22" s="152"/>
    </row>
    <row r="23" spans="1:8" ht="15" customHeight="1" x14ac:dyDescent="0.3">
      <c r="A23" s="117" t="s">
        <v>17</v>
      </c>
      <c r="B23" s="117"/>
      <c r="C23" s="117"/>
      <c r="D23" s="117"/>
      <c r="E23" s="130" t="s">
        <v>18</v>
      </c>
      <c r="F23" s="130"/>
      <c r="G23" s="130"/>
      <c r="H23" s="130"/>
    </row>
    <row r="24" spans="1:8" ht="15" customHeight="1" x14ac:dyDescent="0.3">
      <c r="A24" s="120" t="s">
        <v>19</v>
      </c>
      <c r="B24" s="120"/>
      <c r="C24" s="120"/>
      <c r="D24" s="120"/>
      <c r="E24" s="130" t="str">
        <f>IF(AND(G18="Mumbai"),"Upper Class","Middle Class")</f>
        <v>Middle Class</v>
      </c>
      <c r="F24" s="130"/>
      <c r="G24" s="130"/>
      <c r="H24" s="130"/>
    </row>
    <row r="25" spans="1:8" x14ac:dyDescent="0.3">
      <c r="A25" s="120" t="s">
        <v>20</v>
      </c>
      <c r="B25" s="120"/>
      <c r="C25" s="120"/>
      <c r="D25" s="120"/>
      <c r="E25" s="130" t="s">
        <v>21</v>
      </c>
      <c r="F25" s="130"/>
      <c r="G25" s="130"/>
      <c r="H25" s="130"/>
    </row>
    <row r="26" spans="1:8" ht="15.75" customHeight="1" x14ac:dyDescent="0.3">
      <c r="A26" s="120" t="s">
        <v>22</v>
      </c>
      <c r="B26" s="120"/>
      <c r="C26" s="120"/>
      <c r="D26" s="120"/>
      <c r="E26" s="130" t="str">
        <f>IF(AND(G18="Mumbai"),"Developed","Developing")</f>
        <v>Developing</v>
      </c>
      <c r="F26" s="130"/>
      <c r="G26" s="130"/>
      <c r="H26" s="130"/>
    </row>
    <row r="27" spans="1:8" x14ac:dyDescent="0.3">
      <c r="A27" s="120" t="s">
        <v>23</v>
      </c>
      <c r="B27" s="120"/>
      <c r="C27" s="120"/>
      <c r="D27" s="120"/>
      <c r="E27" s="130" t="s">
        <v>24</v>
      </c>
      <c r="F27" s="130"/>
      <c r="G27" s="130"/>
      <c r="H27" s="130"/>
    </row>
    <row r="28" spans="1:8" ht="15.75" customHeight="1" x14ac:dyDescent="0.3">
      <c r="A28" s="120" t="s">
        <v>83</v>
      </c>
      <c r="B28" s="120"/>
      <c r="C28" s="120"/>
      <c r="D28" s="120"/>
      <c r="E28" s="130" t="s">
        <v>84</v>
      </c>
      <c r="F28" s="130"/>
      <c r="G28" s="130"/>
      <c r="H28" s="130"/>
    </row>
    <row r="29" spans="1:8" ht="15" customHeight="1" x14ac:dyDescent="0.3">
      <c r="A29" s="120" t="s">
        <v>33</v>
      </c>
      <c r="B29" s="120"/>
      <c r="C29" s="120"/>
      <c r="D29" s="120"/>
      <c r="E29" s="13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30"/>
      <c r="G29" s="130"/>
      <c r="H29" s="130"/>
    </row>
    <row r="30" spans="1:8" ht="15.75" customHeight="1" x14ac:dyDescent="0.3">
      <c r="A30" s="120" t="s">
        <v>95</v>
      </c>
      <c r="B30" s="120"/>
      <c r="C30" s="120"/>
      <c r="D30" s="120"/>
      <c r="E30" s="130" t="s">
        <v>34</v>
      </c>
      <c r="F30" s="130"/>
      <c r="G30" s="130"/>
      <c r="H30" s="130"/>
    </row>
    <row r="31" spans="1:8" s="20" customFormat="1" x14ac:dyDescent="0.3">
      <c r="A31" s="154" t="s">
        <v>96</v>
      </c>
      <c r="B31" s="154"/>
      <c r="C31" s="153" t="s">
        <v>29</v>
      </c>
      <c r="D31" s="153"/>
      <c r="E31" s="153"/>
      <c r="F31" s="153" t="s">
        <v>31</v>
      </c>
      <c r="G31" s="153"/>
      <c r="H31" s="153"/>
    </row>
    <row r="32" spans="1:8" s="20" customFormat="1" x14ac:dyDescent="0.3">
      <c r="A32" s="146" t="s">
        <v>25</v>
      </c>
      <c r="B32" s="146" t="s">
        <v>30</v>
      </c>
      <c r="C32" s="147" t="s">
        <v>30</v>
      </c>
      <c r="D32" s="147"/>
      <c r="E32" s="147"/>
      <c r="F32" s="147" t="s">
        <v>181</v>
      </c>
      <c r="G32" s="147"/>
      <c r="H32" s="147"/>
    </row>
    <row r="33" spans="1:8" x14ac:dyDescent="0.3">
      <c r="A33" s="146" t="s">
        <v>26</v>
      </c>
      <c r="B33" s="146" t="s">
        <v>30</v>
      </c>
      <c r="C33" s="147" t="s">
        <v>30</v>
      </c>
      <c r="D33" s="147"/>
      <c r="E33" s="147"/>
      <c r="F33" s="147" t="s">
        <v>183</v>
      </c>
      <c r="G33" s="147"/>
      <c r="H33" s="147"/>
    </row>
    <row r="34" spans="1:8" s="20" customFormat="1" x14ac:dyDescent="0.3">
      <c r="A34" s="146" t="s">
        <v>28</v>
      </c>
      <c r="B34" s="146" t="s">
        <v>30</v>
      </c>
      <c r="C34" s="147" t="s">
        <v>30</v>
      </c>
      <c r="D34" s="147"/>
      <c r="E34" s="147"/>
      <c r="F34" s="147" t="s">
        <v>180</v>
      </c>
      <c r="G34" s="147"/>
      <c r="H34" s="147"/>
    </row>
    <row r="35" spans="1:8" x14ac:dyDescent="0.3">
      <c r="A35" s="146" t="s">
        <v>27</v>
      </c>
      <c r="B35" s="146" t="s">
        <v>30</v>
      </c>
      <c r="C35" s="147" t="s">
        <v>30</v>
      </c>
      <c r="D35" s="147"/>
      <c r="E35" s="147"/>
      <c r="F35" s="147" t="s">
        <v>259</v>
      </c>
      <c r="G35" s="147"/>
      <c r="H35" s="147"/>
    </row>
    <row r="36" spans="1:8" x14ac:dyDescent="0.3">
      <c r="A36" s="120" t="s">
        <v>32</v>
      </c>
      <c r="B36" s="120"/>
      <c r="C36" s="120"/>
      <c r="D36" s="120"/>
      <c r="E36" s="120"/>
      <c r="F36" s="120"/>
      <c r="G36" s="120"/>
      <c r="H36" s="120"/>
    </row>
    <row r="37" spans="1:8" ht="15.75" customHeight="1" x14ac:dyDescent="0.3">
      <c r="A37" s="128" t="s">
        <v>221</v>
      </c>
      <c r="B37" s="128"/>
      <c r="C37" s="86" t="s">
        <v>256</v>
      </c>
      <c r="D37" s="87"/>
      <c r="E37" s="87"/>
      <c r="F37" s="87"/>
      <c r="G37" s="87"/>
      <c r="H37" s="88"/>
    </row>
    <row r="38" spans="1:8" x14ac:dyDescent="0.3">
      <c r="A38" s="128" t="s">
        <v>166</v>
      </c>
      <c r="B38" s="128"/>
      <c r="C38" s="129" t="s">
        <v>187</v>
      </c>
      <c r="D38" s="130"/>
      <c r="E38" s="130"/>
      <c r="F38" s="130"/>
      <c r="G38" s="130"/>
      <c r="H38" s="130"/>
    </row>
    <row r="39" spans="1:8" x14ac:dyDescent="0.3">
      <c r="A39" s="128" t="s">
        <v>35</v>
      </c>
      <c r="B39" s="128"/>
      <c r="C39" s="128"/>
      <c r="D39" s="128"/>
      <c r="E39" s="128"/>
      <c r="F39" s="128"/>
      <c r="G39" s="128"/>
      <c r="H39" s="128"/>
    </row>
    <row r="40" spans="1:8" x14ac:dyDescent="0.3">
      <c r="A40" s="120" t="s">
        <v>36</v>
      </c>
      <c r="B40" s="120"/>
      <c r="C40" s="120"/>
      <c r="D40" s="120"/>
      <c r="E40" s="148">
        <v>11607.37</v>
      </c>
      <c r="F40" s="148"/>
      <c r="G40" s="148"/>
      <c r="H40" s="148"/>
    </row>
    <row r="41" spans="1:8" x14ac:dyDescent="0.3">
      <c r="A41" s="120" t="s">
        <v>37</v>
      </c>
      <c r="B41" s="120"/>
      <c r="C41" s="120"/>
      <c r="D41" s="120"/>
      <c r="E41" s="150">
        <v>1.1000000000000001</v>
      </c>
      <c r="F41" s="150"/>
      <c r="G41" s="150"/>
      <c r="H41" s="150"/>
    </row>
    <row r="42" spans="1:8" x14ac:dyDescent="0.3">
      <c r="A42" s="120" t="s">
        <v>38</v>
      </c>
      <c r="B42" s="120"/>
      <c r="C42" s="120"/>
      <c r="D42" s="120"/>
      <c r="E42" s="150">
        <f>E44/E40-E41</f>
        <v>2.6618047843740658</v>
      </c>
      <c r="F42" s="150"/>
      <c r="G42" s="150"/>
      <c r="H42" s="150"/>
    </row>
    <row r="43" spans="1:8" x14ac:dyDescent="0.3">
      <c r="A43" s="120" t="s">
        <v>39</v>
      </c>
      <c r="B43" s="120"/>
      <c r="C43" s="120"/>
      <c r="D43" s="120"/>
      <c r="E43" s="150">
        <f>E41+E42</f>
        <v>3.7618047843740658</v>
      </c>
      <c r="F43" s="150"/>
      <c r="G43" s="150"/>
      <c r="H43" s="150"/>
    </row>
    <row r="44" spans="1:8" x14ac:dyDescent="0.3">
      <c r="A44" s="120" t="s">
        <v>94</v>
      </c>
      <c r="B44" s="120"/>
      <c r="C44" s="120"/>
      <c r="D44" s="120"/>
      <c r="E44" s="151">
        <v>43664.66</v>
      </c>
      <c r="F44" s="151"/>
      <c r="G44" s="151"/>
      <c r="H44" s="151"/>
    </row>
    <row r="45" spans="1:8" x14ac:dyDescent="0.3">
      <c r="A45" s="152" t="s">
        <v>40</v>
      </c>
      <c r="B45" s="152"/>
      <c r="C45" s="152"/>
      <c r="D45" s="152"/>
      <c r="E45" s="152" t="s">
        <v>240</v>
      </c>
      <c r="F45" s="152"/>
      <c r="G45" s="152"/>
      <c r="H45" s="152"/>
    </row>
    <row r="46" spans="1:8" x14ac:dyDescent="0.3">
      <c r="A46" s="128" t="s">
        <v>41</v>
      </c>
      <c r="B46" s="128"/>
      <c r="C46" s="128"/>
      <c r="D46" s="128"/>
      <c r="E46" s="128"/>
      <c r="F46" s="128"/>
      <c r="G46" s="128"/>
      <c r="H46" s="128"/>
    </row>
    <row r="47" spans="1:8" ht="33.75" customHeight="1" x14ac:dyDescent="0.3">
      <c r="A47" s="131" t="s">
        <v>154</v>
      </c>
      <c r="B47" s="132"/>
      <c r="C47" s="133" t="s">
        <v>173</v>
      </c>
      <c r="D47" s="134"/>
      <c r="E47" s="134"/>
      <c r="F47" s="134"/>
      <c r="G47" s="134"/>
      <c r="H47" s="135"/>
    </row>
    <row r="48" spans="1:8" ht="31.5" customHeight="1" x14ac:dyDescent="0.3">
      <c r="A48" s="131" t="s">
        <v>42</v>
      </c>
      <c r="B48" s="132"/>
      <c r="C48" s="131" t="s">
        <v>233</v>
      </c>
      <c r="D48" s="175"/>
      <c r="E48" s="132"/>
      <c r="F48" s="18" t="s">
        <v>43</v>
      </c>
      <c r="G48" s="176">
        <v>44914</v>
      </c>
      <c r="H48" s="132"/>
    </row>
    <row r="49" spans="1:14" x14ac:dyDescent="0.3">
      <c r="A49" s="131" t="s">
        <v>241</v>
      </c>
      <c r="B49" s="132"/>
      <c r="C49" s="131" t="s">
        <v>216</v>
      </c>
      <c r="D49" s="175"/>
      <c r="E49" s="132"/>
      <c r="F49" s="18" t="s">
        <v>43</v>
      </c>
      <c r="G49" s="176">
        <v>44518</v>
      </c>
      <c r="H49" s="132"/>
    </row>
    <row r="50" spans="1:14" s="21" customFormat="1" x14ac:dyDescent="0.3">
      <c r="A50" s="192" t="s">
        <v>158</v>
      </c>
      <c r="B50" s="193"/>
      <c r="C50" s="131" t="str">
        <f>C49</f>
        <v>VV/CMC/TP/CC/VP/4152/372/2021-22</v>
      </c>
      <c r="D50" s="175"/>
      <c r="E50" s="132"/>
      <c r="F50" s="18" t="s">
        <v>43</v>
      </c>
      <c r="G50" s="176">
        <v>44518</v>
      </c>
      <c r="H50" s="132"/>
    </row>
    <row r="51" spans="1:14" s="21" customFormat="1" ht="78" customHeight="1" x14ac:dyDescent="0.3">
      <c r="A51" s="194"/>
      <c r="B51" s="195"/>
      <c r="C51" s="131" t="s">
        <v>234</v>
      </c>
      <c r="D51" s="175"/>
      <c r="E51" s="175"/>
      <c r="F51" s="175"/>
      <c r="G51" s="175"/>
      <c r="H51" s="132"/>
    </row>
    <row r="52" spans="1:14" ht="110.4" customHeight="1" x14ac:dyDescent="0.3">
      <c r="A52" s="177" t="s">
        <v>44</v>
      </c>
      <c r="B52" s="178"/>
      <c r="C52" s="177" t="s">
        <v>261</v>
      </c>
      <c r="D52" s="179"/>
      <c r="E52" s="178"/>
      <c r="F52" s="42" t="s">
        <v>43</v>
      </c>
      <c r="G52" s="189">
        <v>45813</v>
      </c>
      <c r="H52" s="190"/>
    </row>
    <row r="53" spans="1:14" x14ac:dyDescent="0.3">
      <c r="A53" s="162" t="s">
        <v>46</v>
      </c>
      <c r="B53" s="162"/>
      <c r="C53" s="162"/>
      <c r="D53" s="162"/>
      <c r="E53" s="162"/>
      <c r="F53" s="162"/>
      <c r="G53" s="162"/>
      <c r="H53" s="162"/>
    </row>
    <row r="54" spans="1:14" x14ac:dyDescent="0.3">
      <c r="A54" s="117" t="s">
        <v>93</v>
      </c>
      <c r="B54" s="117"/>
      <c r="C54" s="117"/>
      <c r="D54" s="120">
        <f>41757.01+3371.49</f>
        <v>45128.5</v>
      </c>
      <c r="E54" s="120"/>
      <c r="F54" s="120"/>
      <c r="G54" s="120"/>
      <c r="H54" s="120"/>
    </row>
    <row r="55" spans="1:14" ht="33" customHeight="1" x14ac:dyDescent="0.3">
      <c r="A55" s="130" t="s">
        <v>47</v>
      </c>
      <c r="B55" s="152"/>
      <c r="C55" s="152"/>
      <c r="D55" s="130" t="s">
        <v>252</v>
      </c>
      <c r="E55" s="152"/>
      <c r="F55" s="152"/>
      <c r="G55" s="152"/>
      <c r="H55" s="152"/>
      <c r="I55" s="22"/>
    </row>
    <row r="56" spans="1:14" ht="81.75" customHeight="1" x14ac:dyDescent="0.3">
      <c r="A56" s="180" t="s">
        <v>48</v>
      </c>
      <c r="B56" s="181"/>
      <c r="C56" s="182"/>
      <c r="D56" s="119" t="s">
        <v>257</v>
      </c>
      <c r="E56" s="191"/>
      <c r="F56" s="191"/>
      <c r="G56" s="191"/>
      <c r="H56" s="191"/>
    </row>
    <row r="57" spans="1:14" ht="15.75" customHeight="1" x14ac:dyDescent="0.3">
      <c r="A57" s="180" t="s">
        <v>91</v>
      </c>
      <c r="B57" s="181"/>
      <c r="C57" s="182"/>
      <c r="D57" s="152" t="s">
        <v>258</v>
      </c>
      <c r="E57" s="152"/>
      <c r="F57" s="152"/>
      <c r="G57" s="152"/>
      <c r="H57" s="152"/>
    </row>
    <row r="58" spans="1:14" ht="15.75" customHeight="1" x14ac:dyDescent="0.3">
      <c r="A58" s="183"/>
      <c r="B58" s="184"/>
      <c r="C58" s="185"/>
      <c r="D58" s="152" t="s">
        <v>236</v>
      </c>
      <c r="E58" s="152"/>
      <c r="F58" s="152"/>
      <c r="G58" s="152"/>
      <c r="H58" s="152"/>
    </row>
    <row r="59" spans="1:14" ht="15.75" customHeight="1" x14ac:dyDescent="0.3">
      <c r="A59" s="183"/>
      <c r="B59" s="184"/>
      <c r="C59" s="185"/>
      <c r="D59" s="152" t="s">
        <v>237</v>
      </c>
      <c r="E59" s="152"/>
      <c r="F59" s="152"/>
      <c r="G59" s="152"/>
      <c r="H59" s="152"/>
    </row>
    <row r="60" spans="1:14" ht="15.75" customHeight="1" x14ac:dyDescent="0.3">
      <c r="A60" s="183"/>
      <c r="B60" s="184"/>
      <c r="C60" s="185"/>
      <c r="D60" s="152" t="s">
        <v>238</v>
      </c>
      <c r="E60" s="152"/>
      <c r="F60" s="152"/>
      <c r="G60" s="152"/>
      <c r="H60" s="152"/>
    </row>
    <row r="61" spans="1:14" ht="15.75" customHeight="1" x14ac:dyDescent="0.3">
      <c r="A61" s="183"/>
      <c r="B61" s="184"/>
      <c r="C61" s="185"/>
      <c r="D61" s="152" t="s">
        <v>239</v>
      </c>
      <c r="E61" s="152"/>
      <c r="F61" s="152"/>
      <c r="G61" s="152"/>
      <c r="H61" s="152"/>
    </row>
    <row r="62" spans="1:14" ht="15.75" customHeight="1" x14ac:dyDescent="0.3">
      <c r="A62" s="186"/>
      <c r="B62" s="187"/>
      <c r="C62" s="188"/>
      <c r="D62" s="152" t="s">
        <v>235</v>
      </c>
      <c r="E62" s="152"/>
      <c r="F62" s="152"/>
      <c r="G62" s="152"/>
      <c r="H62" s="152"/>
    </row>
    <row r="63" spans="1:14" ht="15.75" customHeight="1" x14ac:dyDescent="0.3">
      <c r="A63" s="120" t="s">
        <v>45</v>
      </c>
      <c r="B63" s="120"/>
      <c r="C63" s="120"/>
      <c r="D63" s="149" t="s">
        <v>179</v>
      </c>
      <c r="E63" s="149"/>
      <c r="F63" s="149"/>
      <c r="G63" s="149"/>
      <c r="H63" s="149"/>
      <c r="J63" s="23"/>
      <c r="K63" s="22"/>
      <c r="N63" s="22"/>
    </row>
    <row r="64" spans="1:14" ht="15.75" customHeight="1" x14ac:dyDescent="0.3">
      <c r="A64" s="120" t="s">
        <v>89</v>
      </c>
      <c r="B64" s="120"/>
      <c r="C64" s="120"/>
      <c r="D64" s="196" t="s">
        <v>263</v>
      </c>
      <c r="E64" s="196"/>
      <c r="F64" s="196"/>
      <c r="G64" s="196"/>
      <c r="H64" s="196"/>
      <c r="I64" s="19" t="str">
        <f ca="1">(IF(G52="NA","60 Years After Completion",IF(G52&lt;&gt;"NA",""&amp;60-ROUNDDOWN((E3-G52)/360,0)&amp;" Years"," ")))</f>
        <v>60 Years</v>
      </c>
      <c r="N64" s="22"/>
    </row>
    <row r="65" spans="1:14" ht="15.75" customHeight="1" x14ac:dyDescent="0.3">
      <c r="A65" s="120" t="s">
        <v>90</v>
      </c>
      <c r="B65" s="120"/>
      <c r="C65" s="120"/>
      <c r="D65" s="117" t="s">
        <v>24</v>
      </c>
      <c r="E65" s="117"/>
      <c r="F65" s="117"/>
      <c r="G65" s="117"/>
      <c r="H65" s="117"/>
      <c r="J65" s="24"/>
      <c r="K65" s="24"/>
    </row>
    <row r="66" spans="1:14" ht="30" hidden="1" customHeight="1" x14ac:dyDescent="0.3">
      <c r="A66" s="120" t="s">
        <v>76</v>
      </c>
      <c r="B66" s="120"/>
      <c r="C66" s="120"/>
      <c r="D66" s="130" t="s">
        <v>169</v>
      </c>
      <c r="E66" s="117"/>
      <c r="F66" s="117"/>
      <c r="G66" s="117"/>
      <c r="H66" s="117"/>
    </row>
    <row r="67" spans="1:14" x14ac:dyDescent="0.3">
      <c r="A67" s="117" t="s">
        <v>151</v>
      </c>
      <c r="B67" s="117"/>
      <c r="C67" s="117"/>
      <c r="D67" s="117" t="s">
        <v>30</v>
      </c>
      <c r="E67" s="117"/>
      <c r="F67" s="117"/>
      <c r="G67" s="117"/>
      <c r="H67" s="117"/>
      <c r="I67" s="25"/>
      <c r="J67" s="25"/>
      <c r="K67" s="25"/>
      <c r="L67" s="25"/>
      <c r="M67" s="25"/>
      <c r="N67" s="25"/>
    </row>
    <row r="68" spans="1:14" ht="15.75" customHeight="1" x14ac:dyDescent="0.3">
      <c r="A68" s="118" t="s">
        <v>88</v>
      </c>
      <c r="B68" s="118"/>
      <c r="C68" s="118"/>
      <c r="D68" s="119" t="str">
        <f ca="1">(IF(G88&gt;95%,"Nothing",IF(G88&gt;0%,"Cement, Aggregate, Steel, etc",IF(G88=0%,"Work not yet Started"))))</f>
        <v>Cement, Aggregate, Steel, etc</v>
      </c>
      <c r="E68" s="119"/>
      <c r="F68" s="119"/>
      <c r="G68" s="119"/>
      <c r="H68" s="119"/>
      <c r="J68" s="24"/>
    </row>
    <row r="69" spans="1:14" ht="33.75" customHeight="1" thickBot="1" x14ac:dyDescent="0.35">
      <c r="A69" s="159" t="s">
        <v>120</v>
      </c>
      <c r="B69" s="159"/>
      <c r="C69" s="159"/>
      <c r="D69" s="119" t="str">
        <f ca="1">(IF(D68="Nothing","Yes",IF(D68="Cement, Aggregate, Steel, etc","Under Construction",IF(D68="Work not yet Started","Work not yet Started"))))</f>
        <v>Under Construction</v>
      </c>
      <c r="E69" s="119"/>
      <c r="F69" s="119" t="str">
        <f ca="1">(IF(D68="Nothing","Yes",IF(D68="Cement, Aggregate, Steel, etc","Under Construction",IF(D68="Work not yet Started","Work not yet Started"))))</f>
        <v>Under Construction</v>
      </c>
      <c r="G69" s="119"/>
      <c r="H69" s="119"/>
    </row>
    <row r="70" spans="1:14" ht="15.75" customHeight="1" x14ac:dyDescent="0.3">
      <c r="A70" s="98" t="s">
        <v>143</v>
      </c>
      <c r="B70" s="99"/>
      <c r="C70" s="100" t="str">
        <f>D57</f>
        <v>Building  No.1 = Commercial = G + 1st to 4th Floor</v>
      </c>
      <c r="D70" s="101"/>
      <c r="E70" s="101"/>
      <c r="F70" s="101"/>
      <c r="G70" s="101"/>
      <c r="H70" s="102"/>
      <c r="I70" s="44" t="str">
        <f ca="1">IF(D83=100%,"All work Completed. Possession granted to the Building.",IF(D82=100%,"All work Completed, Waiting for OC",I71&amp;""&amp;I72&amp;""&amp;J71&amp;""&amp;J70&amp;" "&amp;J72))</f>
        <v>All work Completed. Possession granted to the Building.</v>
      </c>
      <c r="J70" s="45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/>
      </c>
    </row>
    <row r="71" spans="1:14" x14ac:dyDescent="0.3">
      <c r="A71" s="16" t="s">
        <v>145</v>
      </c>
      <c r="B71" s="48">
        <v>0</v>
      </c>
      <c r="C71" s="48" t="s">
        <v>73</v>
      </c>
      <c r="D71" s="48">
        <v>1</v>
      </c>
      <c r="E71" s="48" t="s">
        <v>72</v>
      </c>
      <c r="F71" s="48">
        <v>0</v>
      </c>
      <c r="G71" s="48" t="s">
        <v>82</v>
      </c>
      <c r="H71" s="17">
        <f ca="1">--TRIM(RIGHT(SUBSTITUTE(LEFT(C70,_xlfn.AGGREGATE(16,6,FIND({0,1,2,3,4,5,6,7,8,9},C70,ROW(INDIRECT("1:"&amp;LEN(C70)))),1))," ",REPT(" ",LEN(C70))),LEN(C70)))</f>
        <v>4</v>
      </c>
      <c r="I71" s="46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Plaster, External Plaster, Flooring, Painting, Building common Amenities</v>
      </c>
      <c r="J71" s="47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x14ac:dyDescent="0.3">
      <c r="A72" s="103" t="s">
        <v>92</v>
      </c>
      <c r="B72" s="104"/>
      <c r="C72" s="105" t="str">
        <f ca="1">I70</f>
        <v>All work Completed. Possession granted to the Building.</v>
      </c>
      <c r="D72" s="105"/>
      <c r="E72" s="105"/>
      <c r="F72" s="105"/>
      <c r="G72" s="105"/>
      <c r="H72" s="106"/>
      <c r="I72" s="46" t="str">
        <f ca="1">IF(I71&lt;&gt;""," Completed","")</f>
        <v xml:space="preserve"> Completed</v>
      </c>
      <c r="J72" s="47" t="str">
        <f ca="1">IF(J70&lt;&gt;"","Completed","")</f>
        <v/>
      </c>
    </row>
    <row r="73" spans="1:14" ht="15.75" customHeight="1" x14ac:dyDescent="0.3">
      <c r="A73" s="75" t="s">
        <v>49</v>
      </c>
      <c r="B73" s="76"/>
      <c r="C73" s="49" t="s">
        <v>142</v>
      </c>
      <c r="D73" s="49" t="s">
        <v>85</v>
      </c>
      <c r="E73" s="76" t="s">
        <v>87</v>
      </c>
      <c r="F73" s="76"/>
      <c r="G73" s="76" t="s">
        <v>86</v>
      </c>
      <c r="H73" s="107"/>
      <c r="I73" s="14" t="s">
        <v>144</v>
      </c>
      <c r="J73" s="26">
        <f ca="1">H71*25%</f>
        <v>1</v>
      </c>
    </row>
    <row r="74" spans="1:14" x14ac:dyDescent="0.3">
      <c r="A74" s="75" t="s">
        <v>131</v>
      </c>
      <c r="B74" s="76"/>
      <c r="C74" s="49">
        <f ca="1">J75</f>
        <v>4</v>
      </c>
      <c r="D74" s="50">
        <f ca="1">((100/H71)*C74)/100</f>
        <v>1</v>
      </c>
      <c r="E74" s="108">
        <f ca="1">(((C75/H71*10)+(40/(D71+F71+H71)*C76)+(7.5/(H71)*C77)+(7.5/(H71)*C78)+(10/H71*C79)+(10/H71*C80)+(5/H71*C81)+(5/H71*C82)+(5/H71*C83))/100)</f>
        <v>1</v>
      </c>
      <c r="F74" s="109"/>
      <c r="G74" s="108">
        <f ca="1">((((C74/H71)*20)+((C75/H71)*25)+(30/(H71+F71+D71)*C76)+(5/H71*C77)+(5/H71*C78)+(5/H71*C79)+(5/H71*C80)+(0/H71*C81)+(0/H71*C82)+(5/H71*C83))/100)</f>
        <v>1</v>
      </c>
      <c r="H74" s="114"/>
      <c r="I74" s="14" t="s">
        <v>103</v>
      </c>
      <c r="J74" s="27">
        <f ca="1">H71*50%</f>
        <v>2</v>
      </c>
    </row>
    <row r="75" spans="1:14" x14ac:dyDescent="0.3">
      <c r="A75" s="75" t="s">
        <v>50</v>
      </c>
      <c r="B75" s="76"/>
      <c r="C75" s="49">
        <f ca="1">J83</f>
        <v>4</v>
      </c>
      <c r="D75" s="50">
        <f ca="1">((100/H71)*C75)/100</f>
        <v>1</v>
      </c>
      <c r="E75" s="110"/>
      <c r="F75" s="111"/>
      <c r="G75" s="110"/>
      <c r="H75" s="115"/>
      <c r="I75" s="14" t="s">
        <v>104</v>
      </c>
      <c r="J75" s="27">
        <f ca="1">H71</f>
        <v>4</v>
      </c>
    </row>
    <row r="76" spans="1:14" ht="15.75" customHeight="1" x14ac:dyDescent="0.3">
      <c r="A76" s="75" t="s">
        <v>132</v>
      </c>
      <c r="B76" s="76"/>
      <c r="C76" s="49">
        <v>5</v>
      </c>
      <c r="D76" s="50">
        <f ca="1">((100/(D71+F71+H71))*C76)/100</f>
        <v>1</v>
      </c>
      <c r="E76" s="110"/>
      <c r="F76" s="111"/>
      <c r="G76" s="110"/>
      <c r="H76" s="115"/>
      <c r="I76" s="14" t="s">
        <v>105</v>
      </c>
      <c r="J76" s="28">
        <f ca="1">(IF(B71&gt;1,(H71/(B71+2)),H71/4))</f>
        <v>1</v>
      </c>
    </row>
    <row r="77" spans="1:14" ht="15.75" customHeight="1" x14ac:dyDescent="0.3">
      <c r="A77" s="75" t="s">
        <v>139</v>
      </c>
      <c r="B77" s="76" t="s">
        <v>133</v>
      </c>
      <c r="C77" s="49">
        <v>4</v>
      </c>
      <c r="D77" s="50">
        <f ca="1">((100/H71)*C77)/100</f>
        <v>1</v>
      </c>
      <c r="E77" s="110"/>
      <c r="F77" s="111"/>
      <c r="G77" s="110"/>
      <c r="H77" s="115"/>
      <c r="I77" s="14" t="s">
        <v>106</v>
      </c>
      <c r="J77" s="28">
        <f ca="1">(IF(B71&gt;1,(H71/(B71+2)+J76),H71/4+J76))</f>
        <v>2</v>
      </c>
    </row>
    <row r="78" spans="1:14" ht="15.75" customHeight="1" x14ac:dyDescent="0.3">
      <c r="A78" s="75" t="s">
        <v>140</v>
      </c>
      <c r="B78" s="76" t="s">
        <v>133</v>
      </c>
      <c r="C78" s="49">
        <v>4</v>
      </c>
      <c r="D78" s="50">
        <f ca="1">((100/H71)*C78)/100</f>
        <v>1</v>
      </c>
      <c r="E78" s="110"/>
      <c r="F78" s="111"/>
      <c r="G78" s="110"/>
      <c r="H78" s="115"/>
      <c r="I78" s="14" t="s">
        <v>149</v>
      </c>
      <c r="J78" s="28">
        <f>(IF(B71&gt;1,(H71/(B71+2)+J77),0))</f>
        <v>0</v>
      </c>
    </row>
    <row r="79" spans="1:14" ht="15" customHeight="1" x14ac:dyDescent="0.3">
      <c r="A79" s="75" t="s">
        <v>138</v>
      </c>
      <c r="B79" s="76" t="s">
        <v>135</v>
      </c>
      <c r="C79" s="49">
        <v>4</v>
      </c>
      <c r="D79" s="50">
        <f ca="1">((100/(H71))*C79)/100</f>
        <v>1</v>
      </c>
      <c r="E79" s="110"/>
      <c r="F79" s="111"/>
      <c r="G79" s="110"/>
      <c r="H79" s="115"/>
      <c r="I79" s="14" t="s">
        <v>146</v>
      </c>
      <c r="J79" s="28">
        <f>(IF(B71&gt;2,(H71/(B71+2)+J78),0))</f>
        <v>0</v>
      </c>
    </row>
    <row r="80" spans="1:14" ht="15.75" customHeight="1" x14ac:dyDescent="0.3">
      <c r="A80" s="75" t="s">
        <v>134</v>
      </c>
      <c r="B80" s="76" t="s">
        <v>134</v>
      </c>
      <c r="C80" s="49">
        <v>4</v>
      </c>
      <c r="D80" s="50">
        <f ca="1">((100/H71)*C80)/100</f>
        <v>1</v>
      </c>
      <c r="E80" s="110"/>
      <c r="F80" s="111"/>
      <c r="G80" s="110"/>
      <c r="H80" s="115"/>
      <c r="I80" s="14" t="s">
        <v>147</v>
      </c>
      <c r="J80" s="29">
        <f>(IF(B71&gt;3,(H71/(B71+2)+J79),0))</f>
        <v>0</v>
      </c>
    </row>
    <row r="81" spans="1:10" ht="15.75" customHeight="1" x14ac:dyDescent="0.3">
      <c r="A81" s="75" t="s">
        <v>141</v>
      </c>
      <c r="B81" s="76"/>
      <c r="C81" s="49">
        <v>4</v>
      </c>
      <c r="D81" s="50">
        <f ca="1">((100/H71)*C81)/100</f>
        <v>1</v>
      </c>
      <c r="E81" s="110"/>
      <c r="F81" s="111"/>
      <c r="G81" s="110"/>
      <c r="H81" s="115"/>
      <c r="I81" s="14" t="s">
        <v>148</v>
      </c>
      <c r="J81" s="28">
        <f>(IF(B71&gt;4,(H71/(B71+2)+J80),0))</f>
        <v>0</v>
      </c>
    </row>
    <row r="82" spans="1:10" ht="15.75" customHeight="1" x14ac:dyDescent="0.3">
      <c r="A82" s="75" t="s">
        <v>136</v>
      </c>
      <c r="B82" s="76" t="s">
        <v>136</v>
      </c>
      <c r="C82" s="49">
        <v>4</v>
      </c>
      <c r="D82" s="50">
        <f ca="1">((100/(H71))*C82)/100</f>
        <v>1</v>
      </c>
      <c r="E82" s="110"/>
      <c r="F82" s="111"/>
      <c r="G82" s="110"/>
      <c r="H82" s="115"/>
      <c r="I82" s="14" t="s">
        <v>150</v>
      </c>
      <c r="J82" s="28">
        <f ca="1">(IF(B71=1,(H71/(B71+3)+J77),IF(B71=0,(H71/4+J77),IF(B71&gt;1,0))))</f>
        <v>3</v>
      </c>
    </row>
    <row r="83" spans="1:10" ht="16.2" thickBot="1" x14ac:dyDescent="0.35">
      <c r="A83" s="77" t="s">
        <v>137</v>
      </c>
      <c r="B83" s="78"/>
      <c r="C83" s="51">
        <v>4</v>
      </c>
      <c r="D83" s="52">
        <f ca="1">((100/(H71))*C83)/100</f>
        <v>1</v>
      </c>
      <c r="E83" s="112"/>
      <c r="F83" s="113"/>
      <c r="G83" s="112"/>
      <c r="H83" s="116"/>
      <c r="I83" s="15" t="s">
        <v>107</v>
      </c>
      <c r="J83" s="30">
        <f ca="1">(IF(B71&gt;1.5,(H71/(B71+2)+J77+MAX(0,J78-J77)+MAX(0,J79-J78)+MAX(0,J80-J79)+MAX(0,J81-J80)+MAX(0,J82-J81)),IF(B71=1,(H71/(B71+3)+J82),IF(B71=0,H71/4+J82))))</f>
        <v>4</v>
      </c>
    </row>
    <row r="84" spans="1:10" ht="15.75" customHeight="1" x14ac:dyDescent="0.3">
      <c r="A84" s="98" t="s">
        <v>143</v>
      </c>
      <c r="B84" s="99"/>
      <c r="C84" s="100" t="str">
        <f>D58</f>
        <v>Building  No.2 = G + 1st Floor</v>
      </c>
      <c r="D84" s="101"/>
      <c r="E84" s="101"/>
      <c r="F84" s="101"/>
      <c r="G84" s="101"/>
      <c r="H84" s="102"/>
      <c r="I84" s="44" t="str">
        <f ca="1">IF(D97=100%,"All work Completed. Possession granted to the Building.",IF(D96=100%,"All work Completed, Waiting for OC",I85&amp;""&amp;I86&amp;""&amp;J85&amp;""&amp;J84&amp;" "&amp;J86))</f>
        <v xml:space="preserve">Excavation, Plinth Completed </v>
      </c>
      <c r="J84" s="45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/>
      </c>
    </row>
    <row r="85" spans="1:10" x14ac:dyDescent="0.3">
      <c r="A85" s="16" t="s">
        <v>145</v>
      </c>
      <c r="B85" s="48">
        <v>0</v>
      </c>
      <c r="C85" s="48" t="s">
        <v>73</v>
      </c>
      <c r="D85" s="48">
        <v>1</v>
      </c>
      <c r="E85" s="48" t="s">
        <v>72</v>
      </c>
      <c r="F85" s="48">
        <v>0</v>
      </c>
      <c r="G85" s="48" t="s">
        <v>82</v>
      </c>
      <c r="H85" s="17">
        <f ca="1">--TRIM(RIGHT(SUBSTITUTE(LEFT(C84,_xlfn.AGGREGATE(16,6,FIND({0,1,2,3,4,5,6,7,8,9},C84,ROW(INDIRECT("1:"&amp;LEN(C84)))),1))," ",REPT(" ",LEN(C84))),LEN(C84)))</f>
        <v>1</v>
      </c>
      <c r="I85" s="46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</v>
      </c>
      <c r="J85" s="47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0" x14ac:dyDescent="0.3">
      <c r="A86" s="103" t="s">
        <v>92</v>
      </c>
      <c r="B86" s="104"/>
      <c r="C86" s="105" t="str">
        <f ca="1">I84</f>
        <v xml:space="preserve">Excavation, Plinth Completed </v>
      </c>
      <c r="D86" s="105"/>
      <c r="E86" s="105"/>
      <c r="F86" s="105"/>
      <c r="G86" s="105"/>
      <c r="H86" s="106"/>
      <c r="I86" s="46" t="str">
        <f ca="1">IF(I85&lt;&gt;""," Completed","")</f>
        <v xml:space="preserve"> Completed</v>
      </c>
      <c r="J86" s="47" t="str">
        <f ca="1">IF(J84&lt;&gt;"","Completed","")</f>
        <v/>
      </c>
    </row>
    <row r="87" spans="1:10" ht="15.75" customHeight="1" x14ac:dyDescent="0.3">
      <c r="A87" s="75" t="s">
        <v>49</v>
      </c>
      <c r="B87" s="76"/>
      <c r="C87" s="49" t="s">
        <v>142</v>
      </c>
      <c r="D87" s="49" t="s">
        <v>85</v>
      </c>
      <c r="E87" s="76" t="s">
        <v>87</v>
      </c>
      <c r="F87" s="76"/>
      <c r="G87" s="76" t="s">
        <v>86</v>
      </c>
      <c r="H87" s="107"/>
      <c r="I87" s="14" t="s">
        <v>144</v>
      </c>
      <c r="J87" s="26">
        <f ca="1">H85*25%</f>
        <v>0.25</v>
      </c>
    </row>
    <row r="88" spans="1:10" x14ac:dyDescent="0.3">
      <c r="A88" s="75" t="s">
        <v>131</v>
      </c>
      <c r="B88" s="76"/>
      <c r="C88" s="49">
        <f ca="1">J89</f>
        <v>1</v>
      </c>
      <c r="D88" s="50">
        <f ca="1">((100/H85)*C88)/100</f>
        <v>1</v>
      </c>
      <c r="E88" s="108">
        <f ca="1">(((C89/H85*10)+(40/(D85+F85+H85)*C90)+(7.5/(H85)*C91)+(7.5/(H85)*C92)+(10/H85*C93)+(10/H85*C94)+(5/H85*C95)+(5/H85*C96)+(5/H85*C97))/100)</f>
        <v>0.1</v>
      </c>
      <c r="F88" s="109"/>
      <c r="G88" s="108">
        <f ca="1">((((C88/H85)*20)+((C89/H85)*25)+(30/(H85+F85+D85)*C90)+(5/H85*C91)+(5/H85*C92)+(5/H85*C93)+(5/H85*C94)+(0/H85*C95)+(0/H85*C96)+(5/H85*C97))/100)</f>
        <v>0.45</v>
      </c>
      <c r="H88" s="114"/>
      <c r="I88" s="14" t="s">
        <v>103</v>
      </c>
      <c r="J88" s="27">
        <f ca="1">H85*50%</f>
        <v>0.5</v>
      </c>
    </row>
    <row r="89" spans="1:10" x14ac:dyDescent="0.3">
      <c r="A89" s="75" t="s">
        <v>50</v>
      </c>
      <c r="B89" s="76"/>
      <c r="C89" s="58">
        <f ca="1">J97</f>
        <v>1</v>
      </c>
      <c r="D89" s="50">
        <f ca="1">((100/H85)*C89)/100</f>
        <v>1</v>
      </c>
      <c r="E89" s="110"/>
      <c r="F89" s="111"/>
      <c r="G89" s="110"/>
      <c r="H89" s="115"/>
      <c r="I89" s="14" t="s">
        <v>104</v>
      </c>
      <c r="J89" s="27">
        <f ca="1">H85</f>
        <v>1</v>
      </c>
    </row>
    <row r="90" spans="1:10" ht="15.75" customHeight="1" x14ac:dyDescent="0.3">
      <c r="A90" s="75" t="s">
        <v>132</v>
      </c>
      <c r="B90" s="76"/>
      <c r="C90" s="49">
        <v>0</v>
      </c>
      <c r="D90" s="50">
        <f ca="1">((100/(D85+F85+H85))*C90)/100</f>
        <v>0</v>
      </c>
      <c r="E90" s="110"/>
      <c r="F90" s="111"/>
      <c r="G90" s="110"/>
      <c r="H90" s="115"/>
      <c r="I90" s="14" t="s">
        <v>105</v>
      </c>
      <c r="J90" s="28">
        <f ca="1">(IF(B85&gt;1,(H85/(B85+2)),H85/4))</f>
        <v>0.25</v>
      </c>
    </row>
    <row r="91" spans="1:10" ht="15.75" customHeight="1" x14ac:dyDescent="0.3">
      <c r="A91" s="75" t="s">
        <v>139</v>
      </c>
      <c r="B91" s="76" t="s">
        <v>133</v>
      </c>
      <c r="C91" s="49">
        <v>0</v>
      </c>
      <c r="D91" s="50">
        <f ca="1">((100/H85)*C91)/100</f>
        <v>0</v>
      </c>
      <c r="E91" s="110"/>
      <c r="F91" s="111"/>
      <c r="G91" s="110"/>
      <c r="H91" s="115"/>
      <c r="I91" s="14" t="s">
        <v>106</v>
      </c>
      <c r="J91" s="28">
        <f ca="1">(IF(B85&gt;1,(H85/(B85+2)+J90),H85/4+J90))</f>
        <v>0.5</v>
      </c>
    </row>
    <row r="92" spans="1:10" ht="15.75" customHeight="1" x14ac:dyDescent="0.3">
      <c r="A92" s="75" t="s">
        <v>140</v>
      </c>
      <c r="B92" s="76" t="s">
        <v>133</v>
      </c>
      <c r="C92" s="49">
        <v>0</v>
      </c>
      <c r="D92" s="50">
        <f ca="1">((100/H85)*C92)/100</f>
        <v>0</v>
      </c>
      <c r="E92" s="110"/>
      <c r="F92" s="111"/>
      <c r="G92" s="110"/>
      <c r="H92" s="115"/>
      <c r="I92" s="14" t="s">
        <v>149</v>
      </c>
      <c r="J92" s="28">
        <f>(IF(B85&gt;1,(H85/(B85+2)+J91),0))</f>
        <v>0</v>
      </c>
    </row>
    <row r="93" spans="1:10" ht="15" customHeight="1" x14ac:dyDescent="0.3">
      <c r="A93" s="75" t="s">
        <v>138</v>
      </c>
      <c r="B93" s="76" t="s">
        <v>135</v>
      </c>
      <c r="C93" s="49">
        <v>0</v>
      </c>
      <c r="D93" s="50">
        <f ca="1">((100/(H85))*C93)/100</f>
        <v>0</v>
      </c>
      <c r="E93" s="110"/>
      <c r="F93" s="111"/>
      <c r="G93" s="110"/>
      <c r="H93" s="115"/>
      <c r="I93" s="14" t="s">
        <v>146</v>
      </c>
      <c r="J93" s="28">
        <f>(IF(B85&gt;2,(H85/(B85+2)+J92),0))</f>
        <v>0</v>
      </c>
    </row>
    <row r="94" spans="1:10" ht="15.75" customHeight="1" x14ac:dyDescent="0.3">
      <c r="A94" s="75" t="s">
        <v>134</v>
      </c>
      <c r="B94" s="76" t="s">
        <v>134</v>
      </c>
      <c r="C94" s="49">
        <v>0</v>
      </c>
      <c r="D94" s="50">
        <f ca="1">((100/H85)*C94)/100</f>
        <v>0</v>
      </c>
      <c r="E94" s="110"/>
      <c r="F94" s="111"/>
      <c r="G94" s="110"/>
      <c r="H94" s="115"/>
      <c r="I94" s="14" t="s">
        <v>147</v>
      </c>
      <c r="J94" s="29">
        <f>(IF(B85&gt;3,(H85/(B85+2)+J93),0))</f>
        <v>0</v>
      </c>
    </row>
    <row r="95" spans="1:10" ht="15.75" customHeight="1" x14ac:dyDescent="0.3">
      <c r="A95" s="75" t="s">
        <v>141</v>
      </c>
      <c r="B95" s="76"/>
      <c r="C95" s="49">
        <v>0</v>
      </c>
      <c r="D95" s="50">
        <f ca="1">((100/H85)*C95)/100</f>
        <v>0</v>
      </c>
      <c r="E95" s="110"/>
      <c r="F95" s="111"/>
      <c r="G95" s="110"/>
      <c r="H95" s="115"/>
      <c r="I95" s="14" t="s">
        <v>148</v>
      </c>
      <c r="J95" s="28">
        <f>(IF(B85&gt;4,(H85/(B85+2)+J94),0))</f>
        <v>0</v>
      </c>
    </row>
    <row r="96" spans="1:10" ht="15.75" customHeight="1" x14ac:dyDescent="0.3">
      <c r="A96" s="75" t="s">
        <v>136</v>
      </c>
      <c r="B96" s="76" t="s">
        <v>136</v>
      </c>
      <c r="C96" s="49">
        <v>0</v>
      </c>
      <c r="D96" s="50">
        <f ca="1">((100/(H85))*C96)/100</f>
        <v>0</v>
      </c>
      <c r="E96" s="110"/>
      <c r="F96" s="111"/>
      <c r="G96" s="110"/>
      <c r="H96" s="115"/>
      <c r="I96" s="14" t="s">
        <v>150</v>
      </c>
      <c r="J96" s="28">
        <f ca="1">(IF(B85=1,(H85/(B85+3)+J91),IF(B85=0,(H85/4+J91),IF(B85&gt;1,0))))</f>
        <v>0.75</v>
      </c>
    </row>
    <row r="97" spans="1:12" ht="16.2" thickBot="1" x14ac:dyDescent="0.35">
      <c r="A97" s="77" t="s">
        <v>137</v>
      </c>
      <c r="B97" s="78"/>
      <c r="C97" s="51">
        <v>0</v>
      </c>
      <c r="D97" s="52">
        <f ca="1">((100/(H85))*C97)/100</f>
        <v>0</v>
      </c>
      <c r="E97" s="112"/>
      <c r="F97" s="113"/>
      <c r="G97" s="112"/>
      <c r="H97" s="116"/>
      <c r="I97" s="15" t="s">
        <v>107</v>
      </c>
      <c r="J97" s="30">
        <f ca="1">(IF(B85&gt;1.5,(H85/(B85+2)+J91+MAX(0,J92-J91)+MAX(0,J93-J92)+MAX(0,J94-J93)+MAX(0,J95-J94)+MAX(0,J96-J95)),IF(B85=1,(H85/(B85+3)+J96),IF(B85=0,H85/4+J96))))</f>
        <v>1</v>
      </c>
    </row>
    <row r="98" spans="1:12" ht="15.75" customHeight="1" x14ac:dyDescent="0.3">
      <c r="A98" s="98" t="s">
        <v>143</v>
      </c>
      <c r="B98" s="99"/>
      <c r="C98" s="100" t="str">
        <f>D59</f>
        <v>Building  No.3 (A Wing)  = G + 1st to 22nd Floor</v>
      </c>
      <c r="D98" s="101"/>
      <c r="E98" s="101"/>
      <c r="F98" s="101"/>
      <c r="G98" s="101"/>
      <c r="H98" s="102"/>
      <c r="I98" s="44" t="str">
        <f ca="1">IF(D111=100%,"All work Completed. Possession granted to the Building.",IF(D110=100%,"All work Completed, Waiting for OC",I99&amp;""&amp;I100&amp;""&amp;J99&amp;""&amp;J98&amp;" "&amp;J100))</f>
        <v>All work Completed. Possession granted to the Building.</v>
      </c>
      <c r="J98" s="45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/>
      </c>
    </row>
    <row r="99" spans="1:12" x14ac:dyDescent="0.3">
      <c r="A99" s="16" t="s">
        <v>145</v>
      </c>
      <c r="B99" s="48">
        <v>0</v>
      </c>
      <c r="C99" s="48" t="s">
        <v>73</v>
      </c>
      <c r="D99" s="48">
        <v>1</v>
      </c>
      <c r="E99" s="48" t="s">
        <v>72</v>
      </c>
      <c r="F99" s="48">
        <v>0</v>
      </c>
      <c r="G99" s="48" t="s">
        <v>82</v>
      </c>
      <c r="H99" s="17">
        <f ca="1">--TRIM(RIGHT(SUBSTITUTE(LEFT(C98,_xlfn.AGGREGATE(16,6,FIND({0,1,2,3,4,5,6,7,8,9},C98,ROW(INDIRECT("1:"&amp;LEN(C98)))),1))," ",REPT(" ",LEN(C98))),LEN(C98)))</f>
        <v>22</v>
      </c>
      <c r="I99" s="46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Plinth, RCC Slab, Brickwork, Internal Plaster, External Plaster, Flooring, Painting, Building common Amenities</v>
      </c>
      <c r="J99" s="47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</row>
    <row r="100" spans="1:12" x14ac:dyDescent="0.3">
      <c r="A100" s="103" t="s">
        <v>92</v>
      </c>
      <c r="B100" s="104"/>
      <c r="C100" s="105" t="str">
        <f ca="1">I98</f>
        <v>All work Completed. Possession granted to the Building.</v>
      </c>
      <c r="D100" s="105"/>
      <c r="E100" s="105"/>
      <c r="F100" s="105"/>
      <c r="G100" s="105"/>
      <c r="H100" s="106"/>
      <c r="I100" s="46" t="str">
        <f ca="1">IF(I99&lt;&gt;""," Completed","")</f>
        <v xml:space="preserve"> Completed</v>
      </c>
      <c r="J100" s="47" t="str">
        <f ca="1">IF(J98&lt;&gt;"","Completed","")</f>
        <v/>
      </c>
      <c r="L100" s="19" t="s">
        <v>253</v>
      </c>
    </row>
    <row r="101" spans="1:12" ht="15.75" customHeight="1" x14ac:dyDescent="0.3">
      <c r="A101" s="75" t="s">
        <v>49</v>
      </c>
      <c r="B101" s="76"/>
      <c r="C101" s="49" t="s">
        <v>142</v>
      </c>
      <c r="D101" s="49" t="s">
        <v>85</v>
      </c>
      <c r="E101" s="76" t="s">
        <v>87</v>
      </c>
      <c r="F101" s="76"/>
      <c r="G101" s="76" t="s">
        <v>86</v>
      </c>
      <c r="H101" s="107"/>
      <c r="I101" s="14" t="s">
        <v>144</v>
      </c>
      <c r="J101" s="26">
        <f ca="1">H99*25%</f>
        <v>5.5</v>
      </c>
    </row>
    <row r="102" spans="1:12" x14ac:dyDescent="0.3">
      <c r="A102" s="75" t="s">
        <v>131</v>
      </c>
      <c r="B102" s="76"/>
      <c r="C102" s="49">
        <f ca="1">J103</f>
        <v>22</v>
      </c>
      <c r="D102" s="50">
        <f ca="1">((100/H99)*C102)/100</f>
        <v>1.0000000000000002</v>
      </c>
      <c r="E102" s="108">
        <f ca="1">(((C103/H99*10)+(40/(D99+F99+H99)*C104)+(7.5/(H99)*C105)+(7.5/(H99)*C106)+(10/H99*C107)+(10/H99*C108)+(5/H99*C109)+(5/H99*C110)+(5/H99*C111))/100)</f>
        <v>1</v>
      </c>
      <c r="F102" s="109"/>
      <c r="G102" s="108">
        <f ca="1">((((C102/H99)*20)+((C103/H99)*25)+(30/(H99+F99+D99)*C104)+(5/H99*C105)+(5/H99*C106)+(5/H99*C107)+(5/H99*C108)+(0/H99*C109)+(0/H99*C110)+(5/H99*C111))/100)</f>
        <v>1</v>
      </c>
      <c r="H102" s="114"/>
      <c r="I102" s="14" t="s">
        <v>103</v>
      </c>
      <c r="J102" s="27">
        <f ca="1">H99*50%</f>
        <v>11</v>
      </c>
    </row>
    <row r="103" spans="1:12" x14ac:dyDescent="0.3">
      <c r="A103" s="75" t="s">
        <v>50</v>
      </c>
      <c r="B103" s="76"/>
      <c r="C103" s="49">
        <f ca="1">J111</f>
        <v>22</v>
      </c>
      <c r="D103" s="50">
        <f ca="1">((100/H99)*C103)/100</f>
        <v>1.0000000000000002</v>
      </c>
      <c r="E103" s="110"/>
      <c r="F103" s="111"/>
      <c r="G103" s="110"/>
      <c r="H103" s="115"/>
      <c r="I103" s="14" t="s">
        <v>104</v>
      </c>
      <c r="J103" s="27">
        <f ca="1">H99</f>
        <v>22</v>
      </c>
    </row>
    <row r="104" spans="1:12" ht="15.75" customHeight="1" x14ac:dyDescent="0.3">
      <c r="A104" s="75" t="s">
        <v>132</v>
      </c>
      <c r="B104" s="76"/>
      <c r="C104" s="49">
        <v>23</v>
      </c>
      <c r="D104" s="50">
        <f ca="1">((100/(D99+F99+H99))*C104)/100</f>
        <v>1</v>
      </c>
      <c r="E104" s="110"/>
      <c r="F104" s="111"/>
      <c r="G104" s="110"/>
      <c r="H104" s="115"/>
      <c r="I104" s="14" t="s">
        <v>105</v>
      </c>
      <c r="J104" s="28">
        <f ca="1">(IF(B99&gt;1,(H99/(B99+2)),H99/4))</f>
        <v>5.5</v>
      </c>
    </row>
    <row r="105" spans="1:12" ht="15.75" customHeight="1" x14ac:dyDescent="0.3">
      <c r="A105" s="75" t="s">
        <v>139</v>
      </c>
      <c r="B105" s="76" t="s">
        <v>133</v>
      </c>
      <c r="C105" s="49">
        <v>22</v>
      </c>
      <c r="D105" s="50">
        <f ca="1">((100/H99)*C105)/100</f>
        <v>1.0000000000000002</v>
      </c>
      <c r="E105" s="110"/>
      <c r="F105" s="111"/>
      <c r="G105" s="110"/>
      <c r="H105" s="115"/>
      <c r="I105" s="14" t="s">
        <v>106</v>
      </c>
      <c r="J105" s="28">
        <f ca="1">(IF(B99&gt;1,(H99/(B99+2)+J104),H99/4+J104))</f>
        <v>11</v>
      </c>
    </row>
    <row r="106" spans="1:12" ht="15.75" customHeight="1" x14ac:dyDescent="0.3">
      <c r="A106" s="75" t="s">
        <v>140</v>
      </c>
      <c r="B106" s="76" t="s">
        <v>133</v>
      </c>
      <c r="C106" s="49">
        <v>22</v>
      </c>
      <c r="D106" s="50">
        <f ca="1">((100/H99)*C106)/100</f>
        <v>1.0000000000000002</v>
      </c>
      <c r="E106" s="110"/>
      <c r="F106" s="111"/>
      <c r="G106" s="110"/>
      <c r="H106" s="115"/>
      <c r="I106" s="14" t="s">
        <v>149</v>
      </c>
      <c r="J106" s="28">
        <f>(IF(B99&gt;1,(H99/(B99+2)+J105),0))</f>
        <v>0</v>
      </c>
    </row>
    <row r="107" spans="1:12" ht="15" customHeight="1" x14ac:dyDescent="0.3">
      <c r="A107" s="75" t="s">
        <v>138</v>
      </c>
      <c r="B107" s="76" t="s">
        <v>135</v>
      </c>
      <c r="C107" s="49">
        <v>22</v>
      </c>
      <c r="D107" s="50">
        <f ca="1">((100/(H99))*C107)/100</f>
        <v>1.0000000000000002</v>
      </c>
      <c r="E107" s="110"/>
      <c r="F107" s="111"/>
      <c r="G107" s="110"/>
      <c r="H107" s="115"/>
      <c r="I107" s="14" t="s">
        <v>146</v>
      </c>
      <c r="J107" s="28">
        <f>(IF(B99&gt;2,(H99/(B99+2)+J106),0))</f>
        <v>0</v>
      </c>
    </row>
    <row r="108" spans="1:12" ht="15.75" customHeight="1" x14ac:dyDescent="0.3">
      <c r="A108" s="75" t="s">
        <v>134</v>
      </c>
      <c r="B108" s="76" t="s">
        <v>134</v>
      </c>
      <c r="C108" s="49">
        <v>22</v>
      </c>
      <c r="D108" s="50">
        <f ca="1">((100/H99)*C108)/100</f>
        <v>1.0000000000000002</v>
      </c>
      <c r="E108" s="110"/>
      <c r="F108" s="111"/>
      <c r="G108" s="110"/>
      <c r="H108" s="115"/>
      <c r="I108" s="14" t="s">
        <v>147</v>
      </c>
      <c r="J108" s="29">
        <f>(IF(B99&gt;3,(H99/(B99+2)+J107),0))</f>
        <v>0</v>
      </c>
    </row>
    <row r="109" spans="1:12" ht="15.75" customHeight="1" x14ac:dyDescent="0.3">
      <c r="A109" s="75" t="s">
        <v>141</v>
      </c>
      <c r="B109" s="76"/>
      <c r="C109" s="49">
        <v>22</v>
      </c>
      <c r="D109" s="50">
        <f ca="1">((100/H99)*C109)/100</f>
        <v>1.0000000000000002</v>
      </c>
      <c r="E109" s="110"/>
      <c r="F109" s="111"/>
      <c r="G109" s="110"/>
      <c r="H109" s="115"/>
      <c r="I109" s="14" t="s">
        <v>148</v>
      </c>
      <c r="J109" s="28">
        <f>(IF(B99&gt;4,(H99/(B99+2)+J108),0))</f>
        <v>0</v>
      </c>
    </row>
    <row r="110" spans="1:12" ht="15.75" customHeight="1" x14ac:dyDescent="0.3">
      <c r="A110" s="75" t="s">
        <v>136</v>
      </c>
      <c r="B110" s="76" t="s">
        <v>136</v>
      </c>
      <c r="C110" s="49">
        <v>22</v>
      </c>
      <c r="D110" s="50">
        <f ca="1">((100/(H99))*C110)/100</f>
        <v>1.0000000000000002</v>
      </c>
      <c r="E110" s="110"/>
      <c r="F110" s="111"/>
      <c r="G110" s="110"/>
      <c r="H110" s="115"/>
      <c r="I110" s="14" t="s">
        <v>150</v>
      </c>
      <c r="J110" s="28">
        <f ca="1">(IF(B99=1,(H99/(B99+3)+J105),IF(B99=0,(H99/4+J105),IF(B99&gt;1,0))))</f>
        <v>16.5</v>
      </c>
    </row>
    <row r="111" spans="1:12" ht="16.2" thickBot="1" x14ac:dyDescent="0.35">
      <c r="A111" s="77" t="s">
        <v>137</v>
      </c>
      <c r="B111" s="78"/>
      <c r="C111" s="51">
        <v>22</v>
      </c>
      <c r="D111" s="52">
        <f ca="1">((100/(H99))*C111)/100</f>
        <v>1.0000000000000002</v>
      </c>
      <c r="E111" s="112"/>
      <c r="F111" s="113"/>
      <c r="G111" s="112"/>
      <c r="H111" s="116"/>
      <c r="I111" s="15" t="s">
        <v>107</v>
      </c>
      <c r="J111" s="30">
        <f ca="1">(IF(B99&gt;1.5,(H99/(B99+2)+J105+MAX(0,J106-J105)+MAX(0,J107-J106)+MAX(0,J108-J107)+MAX(0,J109-J108)+MAX(0,J110-J109)),IF(B99=1,(H99/(B99+3)+J110),IF(B99=0,H99/4+J110))))</f>
        <v>22</v>
      </c>
    </row>
    <row r="112" spans="1:12" ht="15.75" customHeight="1" x14ac:dyDescent="0.3">
      <c r="A112" s="98" t="s">
        <v>143</v>
      </c>
      <c r="B112" s="99"/>
      <c r="C112" s="100" t="str">
        <f>D60</f>
        <v>Building  No.3 (B Wing)  = G + 1st to 22nd Floor</v>
      </c>
      <c r="D112" s="101"/>
      <c r="E112" s="101"/>
      <c r="F112" s="101"/>
      <c r="G112" s="101"/>
      <c r="H112" s="102"/>
      <c r="I112" s="44" t="str">
        <f ca="1">IF(D125=100%,"All work Completed. Possession granted to the Building.",IF(D124=100%,"All work Completed, Waiting for OC",I113&amp;""&amp;I114&amp;""&amp;J113&amp;""&amp;J112&amp;" "&amp;J114))</f>
        <v>Excavation, Plinth, RCC Slab, Brickwork Completed, Internal Plaster upto 21 Floor, External Plaster upto 21 Floor, Flooring upto 18 Floor, Painting upto 18 Floor Completed</v>
      </c>
      <c r="J112" s="45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>, Internal Plaster upto 21 Floor, External Plaster upto 21 Floor, Flooring upto 18 Floor, Painting upto 18 Floor</v>
      </c>
    </row>
    <row r="113" spans="1:16" x14ac:dyDescent="0.3">
      <c r="A113" s="16" t="s">
        <v>145</v>
      </c>
      <c r="B113" s="48">
        <v>0</v>
      </c>
      <c r="C113" s="48" t="s">
        <v>73</v>
      </c>
      <c r="D113" s="48">
        <v>1</v>
      </c>
      <c r="E113" s="48" t="s">
        <v>72</v>
      </c>
      <c r="F113" s="48">
        <v>0</v>
      </c>
      <c r="G113" s="48" t="s">
        <v>82</v>
      </c>
      <c r="H113" s="17">
        <f ca="1">--TRIM(RIGHT(SUBSTITUTE(LEFT(C112,_xlfn.AGGREGATE(16,6,FIND({0,1,2,3,4,5,6,7,8,9},C112,ROW(INDIRECT("1:"&amp;LEN(C112)))),1))," ",REPT(" ",LEN(C112))),LEN(C112)))</f>
        <v>22</v>
      </c>
      <c r="I113" s="46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Excavation, Plinth, RCC Slab, Brickwork</v>
      </c>
      <c r="J113" s="47" t="str">
        <f ca="1"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/>
      </c>
      <c r="K113" s="54" t="s">
        <v>217</v>
      </c>
      <c r="L113" s="54"/>
      <c r="M113" s="54"/>
      <c r="N113" s="54"/>
      <c r="O113" s="54"/>
      <c r="P113" s="54"/>
    </row>
    <row r="114" spans="1:16" ht="45.6" customHeight="1" x14ac:dyDescent="0.3">
      <c r="A114" s="103" t="s">
        <v>92</v>
      </c>
      <c r="B114" s="104"/>
      <c r="C114" s="105" t="str">
        <f ca="1">I112</f>
        <v>Excavation, Plinth, RCC Slab, Brickwork Completed, Internal Plaster upto 21 Floor, External Plaster upto 21 Floor, Flooring upto 18 Floor, Painting upto 18 Floor Completed</v>
      </c>
      <c r="D114" s="105"/>
      <c r="E114" s="105"/>
      <c r="F114" s="105"/>
      <c r="G114" s="105"/>
      <c r="H114" s="106"/>
      <c r="I114" s="46" t="str">
        <f ca="1">IF(I113&lt;&gt;""," Completed","")</f>
        <v xml:space="preserve"> Completed</v>
      </c>
      <c r="J114" s="47" t="str">
        <f ca="1">IF(J112&lt;&gt;"","Completed","")</f>
        <v>Completed</v>
      </c>
    </row>
    <row r="115" spans="1:16" ht="15.75" customHeight="1" x14ac:dyDescent="0.3">
      <c r="A115" s="75" t="s">
        <v>49</v>
      </c>
      <c r="B115" s="76"/>
      <c r="C115" s="49" t="s">
        <v>142</v>
      </c>
      <c r="D115" s="49" t="s">
        <v>85</v>
      </c>
      <c r="E115" s="76" t="s">
        <v>87</v>
      </c>
      <c r="F115" s="76"/>
      <c r="G115" s="76" t="s">
        <v>86</v>
      </c>
      <c r="H115" s="107"/>
      <c r="I115" s="14" t="s">
        <v>144</v>
      </c>
      <c r="J115" s="26">
        <f ca="1">H113*25%</f>
        <v>5.5</v>
      </c>
    </row>
    <row r="116" spans="1:16" x14ac:dyDescent="0.3">
      <c r="A116" s="75" t="s">
        <v>131</v>
      </c>
      <c r="B116" s="76"/>
      <c r="C116" s="49">
        <f ca="1">J117</f>
        <v>22</v>
      </c>
      <c r="D116" s="50">
        <f ca="1">((100/H113)*C116)/100</f>
        <v>1.0000000000000002</v>
      </c>
      <c r="E116" s="108">
        <f ca="1">(((C117/H113*10)+(40/(D113+F113+H113)*C118)+(7.5/(H113)*C119)+(7.5/(H113)*C120)+(10/H113*C121)+(10/H113*C122)+(5/H113*C123)+(5/H113*C124)+(5/H113*C125))/100)</f>
        <v>0.86477272727272736</v>
      </c>
      <c r="F116" s="109"/>
      <c r="G116" s="108">
        <f ca="1">((((C116/H113)*20)+((C117/H113)*25)+(30/(H113+F113+D113)*C118)+(5/H113*C119)+(5/H113*C120)+(5/H113*C121)+(5/H113*C122)+(0/H113*C123)+(0/H113*C124)+(5/H113*C125))/100)</f>
        <v>0.93636363636363629</v>
      </c>
      <c r="H116" s="114"/>
      <c r="I116" s="14" t="s">
        <v>103</v>
      </c>
      <c r="J116" s="27">
        <f ca="1">H113*50%</f>
        <v>11</v>
      </c>
    </row>
    <row r="117" spans="1:16" x14ac:dyDescent="0.3">
      <c r="A117" s="75" t="s">
        <v>50</v>
      </c>
      <c r="B117" s="76"/>
      <c r="C117" s="49">
        <f ca="1">J125</f>
        <v>22</v>
      </c>
      <c r="D117" s="50">
        <f ca="1">((100/H113)*C117)/100</f>
        <v>1.0000000000000002</v>
      </c>
      <c r="E117" s="110"/>
      <c r="F117" s="111"/>
      <c r="G117" s="110"/>
      <c r="H117" s="115"/>
      <c r="I117" s="14" t="s">
        <v>104</v>
      </c>
      <c r="J117" s="27">
        <f ca="1">H113</f>
        <v>22</v>
      </c>
    </row>
    <row r="118" spans="1:16" ht="15.75" customHeight="1" x14ac:dyDescent="0.3">
      <c r="A118" s="75" t="s">
        <v>132</v>
      </c>
      <c r="B118" s="76"/>
      <c r="C118" s="49">
        <v>23</v>
      </c>
      <c r="D118" s="50">
        <f ca="1">((100/(D113+F113+H113))*C118)/100</f>
        <v>1</v>
      </c>
      <c r="E118" s="110"/>
      <c r="F118" s="111"/>
      <c r="G118" s="110"/>
      <c r="H118" s="115"/>
      <c r="I118" s="14" t="s">
        <v>105</v>
      </c>
      <c r="J118" s="28">
        <f ca="1">(IF(B113&gt;1,(H113/(B113+2)),H113/4))</f>
        <v>5.5</v>
      </c>
    </row>
    <row r="119" spans="1:16" ht="15.75" customHeight="1" x14ac:dyDescent="0.3">
      <c r="A119" s="75" t="s">
        <v>139</v>
      </c>
      <c r="B119" s="76" t="s">
        <v>133</v>
      </c>
      <c r="C119" s="49">
        <v>22</v>
      </c>
      <c r="D119" s="50">
        <f ca="1">((100/H113)*C119)/100</f>
        <v>1.0000000000000002</v>
      </c>
      <c r="E119" s="110"/>
      <c r="F119" s="111"/>
      <c r="G119" s="110"/>
      <c r="H119" s="115"/>
      <c r="I119" s="14" t="s">
        <v>106</v>
      </c>
      <c r="J119" s="28">
        <f ca="1">(IF(B113&gt;1,(H113/(B113+2)+J118),H113/4+J118))</f>
        <v>11</v>
      </c>
    </row>
    <row r="120" spans="1:16" ht="15.75" customHeight="1" x14ac:dyDescent="0.3">
      <c r="A120" s="75" t="s">
        <v>140</v>
      </c>
      <c r="B120" s="76" t="s">
        <v>133</v>
      </c>
      <c r="C120" s="58">
        <v>21</v>
      </c>
      <c r="D120" s="50">
        <f ca="1">((100/H113)*C120)/100</f>
        <v>0.9545454545454547</v>
      </c>
      <c r="E120" s="110"/>
      <c r="F120" s="111"/>
      <c r="G120" s="110"/>
      <c r="H120" s="115"/>
      <c r="I120" s="14" t="s">
        <v>149</v>
      </c>
      <c r="J120" s="28">
        <f>(IF(B113&gt;1,(H113/(B113+2)+J119),0))</f>
        <v>0</v>
      </c>
    </row>
    <row r="121" spans="1:16" ht="15" customHeight="1" x14ac:dyDescent="0.3">
      <c r="A121" s="75" t="s">
        <v>138</v>
      </c>
      <c r="B121" s="76" t="s">
        <v>135</v>
      </c>
      <c r="C121" s="58">
        <v>21</v>
      </c>
      <c r="D121" s="50">
        <f ca="1">((100/(H113))*C121)/100</f>
        <v>0.9545454545454547</v>
      </c>
      <c r="E121" s="110"/>
      <c r="F121" s="111"/>
      <c r="G121" s="110"/>
      <c r="H121" s="115"/>
      <c r="I121" s="14" t="s">
        <v>146</v>
      </c>
      <c r="J121" s="28">
        <f>(IF(B113&gt;2,(H113/(B113+2)+J120),0))</f>
        <v>0</v>
      </c>
    </row>
    <row r="122" spans="1:16" ht="15.75" customHeight="1" x14ac:dyDescent="0.3">
      <c r="A122" s="75" t="s">
        <v>134</v>
      </c>
      <c r="B122" s="76" t="s">
        <v>134</v>
      </c>
      <c r="C122" s="49">
        <v>18</v>
      </c>
      <c r="D122" s="50">
        <f ca="1">((100/H113)*C122)/100</f>
        <v>0.81818181818181823</v>
      </c>
      <c r="E122" s="110"/>
      <c r="F122" s="111"/>
      <c r="G122" s="110"/>
      <c r="H122" s="115"/>
      <c r="I122" s="14" t="s">
        <v>147</v>
      </c>
      <c r="J122" s="29">
        <f>(IF(B113&gt;3,(H113/(B113+2)+J121),0))</f>
        <v>0</v>
      </c>
    </row>
    <row r="123" spans="1:16" ht="15.75" customHeight="1" x14ac:dyDescent="0.3">
      <c r="A123" s="75" t="s">
        <v>141</v>
      </c>
      <c r="B123" s="76"/>
      <c r="C123" s="49">
        <v>18</v>
      </c>
      <c r="D123" s="50">
        <f ca="1">((100/H113)*C123)/100</f>
        <v>0.81818181818181823</v>
      </c>
      <c r="E123" s="110"/>
      <c r="F123" s="111"/>
      <c r="G123" s="110"/>
      <c r="H123" s="115"/>
      <c r="I123" s="14" t="s">
        <v>148</v>
      </c>
      <c r="J123" s="28">
        <f>(IF(B113&gt;4,(H113/(B113+2)+J122),0))</f>
        <v>0</v>
      </c>
    </row>
    <row r="124" spans="1:16" ht="15.75" customHeight="1" x14ac:dyDescent="0.3">
      <c r="A124" s="75" t="s">
        <v>136</v>
      </c>
      <c r="B124" s="76" t="s">
        <v>136</v>
      </c>
      <c r="C124" s="49">
        <v>0</v>
      </c>
      <c r="D124" s="50">
        <f ca="1">((100/(H113))*C124)/100</f>
        <v>0</v>
      </c>
      <c r="E124" s="110"/>
      <c r="F124" s="111"/>
      <c r="G124" s="110"/>
      <c r="H124" s="115"/>
      <c r="I124" s="14" t="s">
        <v>150</v>
      </c>
      <c r="J124" s="28">
        <f ca="1">(IF(B113=1,(H113/(B113+3)+J119),IF(B113=0,(H113/4+J119),IF(B113&gt;1,0))))</f>
        <v>16.5</v>
      </c>
    </row>
    <row r="125" spans="1:16" ht="16.2" thickBot="1" x14ac:dyDescent="0.35">
      <c r="A125" s="77" t="s">
        <v>137</v>
      </c>
      <c r="B125" s="78"/>
      <c r="C125" s="51">
        <v>0</v>
      </c>
      <c r="D125" s="52">
        <f ca="1">((100/(H113))*C125)/100</f>
        <v>0</v>
      </c>
      <c r="E125" s="112"/>
      <c r="F125" s="113"/>
      <c r="G125" s="112"/>
      <c r="H125" s="116"/>
      <c r="I125" s="15" t="s">
        <v>107</v>
      </c>
      <c r="J125" s="30">
        <f ca="1">(IF(B113&gt;1.5,(H113/(B113+2)+J119+MAX(0,J120-J119)+MAX(0,J121-J120)+MAX(0,J122-J121)+MAX(0,J123-J122)+MAX(0,J124-J123)),IF(B113=1,(H113/(B113+3)+J124),IF(B113=0,H113/4+J124))))</f>
        <v>22</v>
      </c>
    </row>
    <row r="126" spans="1:16" ht="15.75" customHeight="1" x14ac:dyDescent="0.3">
      <c r="A126" s="98" t="s">
        <v>143</v>
      </c>
      <c r="B126" s="99"/>
      <c r="C126" s="100" t="str">
        <f>D61</f>
        <v>Building  No.3 (C Wing)  = G + 1st to 22nd Floor</v>
      </c>
      <c r="D126" s="101"/>
      <c r="E126" s="101"/>
      <c r="F126" s="101"/>
      <c r="G126" s="101"/>
      <c r="H126" s="102"/>
      <c r="I126" s="44" t="str">
        <f ca="1">IF(D139=100%,"All work Completed. Possession granted to the Building.",IF(D138=100%,"All work Completed, Waiting for OC",I127&amp;""&amp;I128&amp;""&amp;J127&amp;""&amp;J126&amp;" "&amp;J128))</f>
        <v>Excavation, Plinth Completed, RCC upto 18 Slab Completed</v>
      </c>
      <c r="J126" s="45" t="str">
        <f ca="1">(IF(C132=(D127+F127+H127),"",IF(C132&gt;0,", RCC upto "&amp;C132&amp;" Slab","")))&amp;(IF(C133=H127,"",IF(C133&gt;0,", Brickwork upto "&amp;C133&amp;" Floor","")))&amp;(IF(C134=H127,"",IF(C134&gt;0,", Internal Plaster upto "&amp;C134&amp;" Floor","")))&amp;(IF(C135=H127,"",IF(C135&gt;0,", External Plaster upto "&amp;C135&amp;" Floor","")))&amp;(IF(C136=H127,"",IF(C136&gt;0,", Flooring upto "&amp;C136&amp;" Floor","")))&amp;(IF(C137=H127,"",IF(C137&gt;0,", Painting upto "&amp;C137&amp;" Floor","")))&amp;(IF(C138=H127,"",IF(C138&gt;0,", Finishing upto "&amp;C138&amp;" Floor","")))&amp;(IF(C139=H127,"",IF(C139&gt;0,", Possession upto "&amp;C139&amp;" Floor","")))</f>
        <v>, RCC upto 18 Slab</v>
      </c>
    </row>
    <row r="127" spans="1:16" x14ac:dyDescent="0.3">
      <c r="A127" s="16" t="s">
        <v>145</v>
      </c>
      <c r="B127" s="48">
        <v>0</v>
      </c>
      <c r="C127" s="48" t="s">
        <v>73</v>
      </c>
      <c r="D127" s="48">
        <v>1</v>
      </c>
      <c r="E127" s="48" t="s">
        <v>72</v>
      </c>
      <c r="F127" s="48">
        <v>0</v>
      </c>
      <c r="G127" s="48" t="s">
        <v>82</v>
      </c>
      <c r="H127" s="17">
        <f ca="1">--TRIM(RIGHT(SUBSTITUTE(LEFT(C126,_xlfn.AGGREGATE(16,6,FIND({0,1,2,3,4,5,6,7,8,9},C126,ROW(INDIRECT("1:"&amp;LEN(C126)))),1))," ",REPT(" ",LEN(C126))),LEN(C126)))</f>
        <v>22</v>
      </c>
      <c r="I127" s="46" t="str">
        <f ca="1">IF(D130=100%,"Excavation","")&amp;IF(D131=100%,", Plinth","")&amp;IF(D132=100%,", RCC Slab","")&amp;IF(D133=100%,", Brickwork","")&amp;IF(D134=100%,", Internal Plaster","")&amp;IF(D135=100%,", External Plaster","")&amp;IF(D136=100%,", Flooring","")&amp;IF(D137=100%,", Painting","")&amp;IF(D138=100%,", Building common Amenities","")</f>
        <v>Excavation, Plinth</v>
      </c>
      <c r="J127" s="47" t="str">
        <f ca="1">(IF(C130=0,"Work not yet Started.",IF(D130=25%,"Piling work in process",IF(D130=50%,"Excavation work in process",IF(D130=100%,"","0")))))&amp;(IF(C131=0%,"",IF(C131=J132,", Footing work is process",IF(C131=J133,", Footing work Completed",IF(C131=J134,", 1st Basement Completed",IF(C131=J135,", 1st &amp; 2nd Basement Completed",IF(C131=J136,", 1st to 3rd Basement Completed",IF(C131=J137,", 1st to 4th Basement Completed",IF(C131=J138,", Plinth work is process",IF(C131=J139,"","0"))))))))))</f>
        <v/>
      </c>
    </row>
    <row r="128" spans="1:16" x14ac:dyDescent="0.3">
      <c r="A128" s="103" t="s">
        <v>92</v>
      </c>
      <c r="B128" s="104"/>
      <c r="C128" s="105" t="str">
        <f ca="1">I126</f>
        <v>Excavation, Plinth Completed, RCC upto 18 Slab Completed</v>
      </c>
      <c r="D128" s="105"/>
      <c r="E128" s="105"/>
      <c r="F128" s="105"/>
      <c r="G128" s="105"/>
      <c r="H128" s="106"/>
      <c r="I128" s="46" t="str">
        <f ca="1">IF(I127&lt;&gt;""," Completed","")</f>
        <v xml:space="preserve"> Completed</v>
      </c>
      <c r="J128" s="47" t="str">
        <f ca="1">IF(J126&lt;&gt;"","Completed","")</f>
        <v>Completed</v>
      </c>
    </row>
    <row r="129" spans="1:10" ht="15.75" customHeight="1" x14ac:dyDescent="0.3">
      <c r="A129" s="75" t="s">
        <v>49</v>
      </c>
      <c r="B129" s="76"/>
      <c r="C129" s="49" t="s">
        <v>142</v>
      </c>
      <c r="D129" s="49" t="s">
        <v>85</v>
      </c>
      <c r="E129" s="76" t="s">
        <v>87</v>
      </c>
      <c r="F129" s="76"/>
      <c r="G129" s="76" t="s">
        <v>86</v>
      </c>
      <c r="H129" s="107"/>
      <c r="I129" s="14" t="s">
        <v>144</v>
      </c>
      <c r="J129" s="26">
        <f ca="1">H127*25%</f>
        <v>5.5</v>
      </c>
    </row>
    <row r="130" spans="1:10" x14ac:dyDescent="0.3">
      <c r="A130" s="75" t="s">
        <v>131</v>
      </c>
      <c r="B130" s="76"/>
      <c r="C130" s="49">
        <f ca="1">J131</f>
        <v>22</v>
      </c>
      <c r="D130" s="50">
        <f ca="1">((100/H127)*C130)/100</f>
        <v>1.0000000000000002</v>
      </c>
      <c r="E130" s="108">
        <f ca="1">(((C131/H127*10)+(40/(D127+F127+H127)*C132)+(7.5/(H127)*C133)+(7.5/(H127)*C134)+(10/H127*C135)+(10/H127*C136)+(5/H127*C137)+(5/H127*C138)+(5/H127*C139))/100)</f>
        <v>0.41304347826086951</v>
      </c>
      <c r="F130" s="109"/>
      <c r="G130" s="108">
        <f ca="1">((((C130/H127)*20)+((C131/H127)*25)+(30/(H127+F127+D127)*C132)+(5/H127*C133)+(5/H127*C134)+(5/H127*C135)+(5/H127*C136)+(0/H127*C137)+(0/H127*C138)+(5/H127*C139))/100)</f>
        <v>0.68478260869565222</v>
      </c>
      <c r="H130" s="114"/>
      <c r="I130" s="14" t="s">
        <v>103</v>
      </c>
      <c r="J130" s="27">
        <f ca="1">H127*50%</f>
        <v>11</v>
      </c>
    </row>
    <row r="131" spans="1:10" x14ac:dyDescent="0.3">
      <c r="A131" s="75" t="s">
        <v>50</v>
      </c>
      <c r="B131" s="76"/>
      <c r="C131" s="58">
        <f ca="1">J139</f>
        <v>22</v>
      </c>
      <c r="D131" s="50">
        <f ca="1">((100/H127)*C131)/100</f>
        <v>1.0000000000000002</v>
      </c>
      <c r="E131" s="110"/>
      <c r="F131" s="111"/>
      <c r="G131" s="110"/>
      <c r="H131" s="115"/>
      <c r="I131" s="14" t="s">
        <v>104</v>
      </c>
      <c r="J131" s="27">
        <f ca="1">H127</f>
        <v>22</v>
      </c>
    </row>
    <row r="132" spans="1:10" ht="15.75" customHeight="1" x14ac:dyDescent="0.3">
      <c r="A132" s="75" t="s">
        <v>132</v>
      </c>
      <c r="B132" s="76"/>
      <c r="C132" s="49">
        <v>18</v>
      </c>
      <c r="D132" s="50">
        <f ca="1">((100/(D127+F127+H127))*C132)/100</f>
        <v>0.78260869565217395</v>
      </c>
      <c r="E132" s="110"/>
      <c r="F132" s="111"/>
      <c r="G132" s="110"/>
      <c r="H132" s="115"/>
      <c r="I132" s="14" t="s">
        <v>105</v>
      </c>
      <c r="J132" s="28">
        <f ca="1">(IF(B127&gt;1,(H127/(B127+2)),H127/4))</f>
        <v>5.5</v>
      </c>
    </row>
    <row r="133" spans="1:10" ht="15.75" customHeight="1" x14ac:dyDescent="0.3">
      <c r="A133" s="75" t="s">
        <v>139</v>
      </c>
      <c r="B133" s="76" t="s">
        <v>133</v>
      </c>
      <c r="C133" s="49">
        <v>0</v>
      </c>
      <c r="D133" s="50">
        <f ca="1">((100/H127)*C133)/100</f>
        <v>0</v>
      </c>
      <c r="E133" s="110"/>
      <c r="F133" s="111"/>
      <c r="G133" s="110"/>
      <c r="H133" s="115"/>
      <c r="I133" s="14" t="s">
        <v>106</v>
      </c>
      <c r="J133" s="28">
        <f ca="1">(IF(B127&gt;1,(H127/(B127+2)+J132),H127/4+J132))</f>
        <v>11</v>
      </c>
    </row>
    <row r="134" spans="1:10" ht="15.75" customHeight="1" x14ac:dyDescent="0.3">
      <c r="A134" s="75" t="s">
        <v>140</v>
      </c>
      <c r="B134" s="76" t="s">
        <v>133</v>
      </c>
      <c r="C134" s="49">
        <v>0</v>
      </c>
      <c r="D134" s="50">
        <f ca="1">((100/H127)*C134)/100</f>
        <v>0</v>
      </c>
      <c r="E134" s="110"/>
      <c r="F134" s="111"/>
      <c r="G134" s="110"/>
      <c r="H134" s="115"/>
      <c r="I134" s="14" t="s">
        <v>149</v>
      </c>
      <c r="J134" s="28">
        <f>(IF(B127&gt;1,(H127/(B127+2)+J133),0))</f>
        <v>0</v>
      </c>
    </row>
    <row r="135" spans="1:10" ht="15" customHeight="1" x14ac:dyDescent="0.3">
      <c r="A135" s="75" t="s">
        <v>138</v>
      </c>
      <c r="B135" s="76" t="s">
        <v>135</v>
      </c>
      <c r="C135" s="49">
        <v>0</v>
      </c>
      <c r="D135" s="50">
        <f ca="1">((100/(H127))*C135)/100</f>
        <v>0</v>
      </c>
      <c r="E135" s="110"/>
      <c r="F135" s="111"/>
      <c r="G135" s="110"/>
      <c r="H135" s="115"/>
      <c r="I135" s="14" t="s">
        <v>146</v>
      </c>
      <c r="J135" s="28">
        <f>(IF(B127&gt;2,(H127/(B127+2)+J134),0))</f>
        <v>0</v>
      </c>
    </row>
    <row r="136" spans="1:10" ht="15.75" customHeight="1" x14ac:dyDescent="0.3">
      <c r="A136" s="75" t="s">
        <v>134</v>
      </c>
      <c r="B136" s="76" t="s">
        <v>134</v>
      </c>
      <c r="C136" s="49">
        <v>0</v>
      </c>
      <c r="D136" s="50">
        <f ca="1">((100/H127)*C136)/100</f>
        <v>0</v>
      </c>
      <c r="E136" s="110"/>
      <c r="F136" s="111"/>
      <c r="G136" s="110"/>
      <c r="H136" s="115"/>
      <c r="I136" s="14" t="s">
        <v>147</v>
      </c>
      <c r="J136" s="29">
        <f>(IF(B127&gt;3,(H127/(B127+2)+J135),0))</f>
        <v>0</v>
      </c>
    </row>
    <row r="137" spans="1:10" ht="15.75" customHeight="1" x14ac:dyDescent="0.3">
      <c r="A137" s="75" t="s">
        <v>141</v>
      </c>
      <c r="B137" s="76"/>
      <c r="C137" s="49">
        <v>0</v>
      </c>
      <c r="D137" s="50">
        <f ca="1">((100/H127)*C137)/100</f>
        <v>0</v>
      </c>
      <c r="E137" s="110"/>
      <c r="F137" s="111"/>
      <c r="G137" s="110"/>
      <c r="H137" s="115"/>
      <c r="I137" s="14" t="s">
        <v>148</v>
      </c>
      <c r="J137" s="28">
        <f>(IF(B127&gt;4,(H127/(B127+2)+J136),0))</f>
        <v>0</v>
      </c>
    </row>
    <row r="138" spans="1:10" ht="15.75" customHeight="1" x14ac:dyDescent="0.3">
      <c r="A138" s="75" t="s">
        <v>136</v>
      </c>
      <c r="B138" s="76" t="s">
        <v>136</v>
      </c>
      <c r="C138" s="49">
        <v>0</v>
      </c>
      <c r="D138" s="50">
        <f ca="1">((100/(H127))*C138)/100</f>
        <v>0</v>
      </c>
      <c r="E138" s="110"/>
      <c r="F138" s="111"/>
      <c r="G138" s="110"/>
      <c r="H138" s="115"/>
      <c r="I138" s="14" t="s">
        <v>150</v>
      </c>
      <c r="J138" s="28">
        <f ca="1">(IF(B127=1,(H127/(B127+3)+J133),IF(B127=0,(H127/4+J133),IF(B127&gt;1,0))))</f>
        <v>16.5</v>
      </c>
    </row>
    <row r="139" spans="1:10" ht="16.2" thickBot="1" x14ac:dyDescent="0.35">
      <c r="A139" s="77" t="s">
        <v>137</v>
      </c>
      <c r="B139" s="78"/>
      <c r="C139" s="51">
        <v>0</v>
      </c>
      <c r="D139" s="52">
        <f ca="1">((100/(H127))*C139)/100</f>
        <v>0</v>
      </c>
      <c r="E139" s="112"/>
      <c r="F139" s="113"/>
      <c r="G139" s="112"/>
      <c r="H139" s="116"/>
      <c r="I139" s="15" t="s">
        <v>107</v>
      </c>
      <c r="J139" s="30">
        <f ca="1">(IF(B127&gt;1.5,(H127/(B127+2)+J133+MAX(0,J134-J133)+MAX(0,J135-J134)+MAX(0,J136-J135)+MAX(0,J137-J136)+MAX(0,J138-J137)),IF(B127=1,(H127/(B127+3)+J138),IF(B127=0,H127/4+J138))))</f>
        <v>22</v>
      </c>
    </row>
    <row r="140" spans="1:10" ht="15.75" customHeight="1" x14ac:dyDescent="0.3">
      <c r="A140" s="98" t="s">
        <v>143</v>
      </c>
      <c r="B140" s="99"/>
      <c r="C140" s="100" t="str">
        <f>D62</f>
        <v>Building  No.4 = G + 1st to 14th Floor</v>
      </c>
      <c r="D140" s="101"/>
      <c r="E140" s="101"/>
      <c r="F140" s="101"/>
      <c r="G140" s="101"/>
      <c r="H140" s="102"/>
      <c r="I140" s="44" t="str">
        <f ca="1">IF(D153=100%,"All work Completed. Possession granted to the Building.",IF(D152=100%,"All work Completed, Waiting for OC",I141&amp;""&amp;I142&amp;""&amp;J141&amp;""&amp;J140&amp;" "&amp;J142))</f>
        <v>All work Completed. Possession granted to the Building.</v>
      </c>
      <c r="J140" s="45" t="str">
        <f ca="1">(IF(C146=(D141+F141+H141),"",IF(C146&gt;0,", RCC upto "&amp;C146&amp;" Slab","")))&amp;(IF(C147=H141,"",IF(C147&gt;0,", Brickwork upto "&amp;C147&amp;" Floor","")))&amp;(IF(C148=H141,"",IF(C148&gt;0,", Internal Plaster upto "&amp;C148&amp;" Floor","")))&amp;(IF(C149=H141,"",IF(C149&gt;0,", External Plaster upto "&amp;C149&amp;" Floor","")))&amp;(IF(C150=H141,"",IF(C150&gt;0,", Flooring upto "&amp;C150&amp;" Floor","")))&amp;(IF(C151=H141,"",IF(C151&gt;0,", Painting upto "&amp;C151&amp;" Floor","")))&amp;(IF(C152=H141,"",IF(C152&gt;0,", Finishing upto "&amp;C152&amp;" Floor","")))&amp;(IF(C153=H141,"",IF(C153&gt;0,", Possession upto "&amp;C153&amp;" Floor","")))</f>
        <v/>
      </c>
    </row>
    <row r="141" spans="1:10" x14ac:dyDescent="0.3">
      <c r="A141" s="16" t="s">
        <v>145</v>
      </c>
      <c r="B141" s="48">
        <v>0</v>
      </c>
      <c r="C141" s="48" t="s">
        <v>73</v>
      </c>
      <c r="D141" s="48">
        <v>1</v>
      </c>
      <c r="E141" s="48" t="s">
        <v>72</v>
      </c>
      <c r="F141" s="48">
        <v>0</v>
      </c>
      <c r="G141" s="48" t="s">
        <v>82</v>
      </c>
      <c r="H141" s="17">
        <f ca="1">--TRIM(RIGHT(SUBSTITUTE(LEFT(C140,_xlfn.AGGREGATE(16,6,FIND({0,1,2,3,4,5,6,7,8,9},C140,ROW(INDIRECT("1:"&amp;LEN(C140)))),1))," ",REPT(" ",LEN(C140))),LEN(C140)))</f>
        <v>14</v>
      </c>
      <c r="I141" s="46" t="str">
        <f ca="1">IF(D144=100%,"Excavation","")&amp;IF(D145=100%,", Plinth","")&amp;IF(D146=100%,", RCC Slab","")&amp;IF(D147=100%,", Brickwork","")&amp;IF(D148=100%,", Internal Plaster","")&amp;IF(D149=100%,", External Plaster","")&amp;IF(D150=100%,", Flooring","")&amp;IF(D151=100%,", Painting","")&amp;IF(D152=100%,", Building common Amenities","")</f>
        <v>Excavation, Plinth, RCC Slab, Brickwork, Internal Plaster, External Plaster, Flooring, Painting, Building common Amenities</v>
      </c>
      <c r="J141" s="47" t="str">
        <f ca="1">(IF(C144=0,"Work not yet Started.",IF(D144=25%,"Piling work in process",IF(D144=50%,"Excavation work in process",IF(D144=100%,"","0")))))&amp;(IF(C145=0%,"",IF(C145=J146,", Footing work is process",IF(C145=J147,", Footing work Completed",IF(C145=J148,", 1st Basement Completed",IF(C145=J149,", 1st &amp; 2nd Basement Completed",IF(C145=J150,", 1st to 3rd Basement Completed",IF(C145=J151,", 1st to 4th Basement Completed",IF(C145=J152,", Plinth work is process",IF(C145=J153,"","0"))))))))))</f>
        <v/>
      </c>
    </row>
    <row r="142" spans="1:10" x14ac:dyDescent="0.3">
      <c r="A142" s="103" t="s">
        <v>92</v>
      </c>
      <c r="B142" s="104"/>
      <c r="C142" s="105" t="str">
        <f ca="1">I140</f>
        <v>All work Completed. Possession granted to the Building.</v>
      </c>
      <c r="D142" s="105"/>
      <c r="E142" s="105"/>
      <c r="F142" s="105"/>
      <c r="G142" s="105"/>
      <c r="H142" s="106"/>
      <c r="I142" s="46" t="str">
        <f ca="1">IF(I141&lt;&gt;""," Completed","")</f>
        <v xml:space="preserve"> Completed</v>
      </c>
      <c r="J142" s="47" t="str">
        <f ca="1">IF(J140&lt;&gt;"","Completed","")</f>
        <v/>
      </c>
    </row>
    <row r="143" spans="1:10" ht="15.75" customHeight="1" x14ac:dyDescent="0.3">
      <c r="A143" s="75" t="s">
        <v>49</v>
      </c>
      <c r="B143" s="76"/>
      <c r="C143" s="49" t="s">
        <v>142</v>
      </c>
      <c r="D143" s="49" t="s">
        <v>85</v>
      </c>
      <c r="E143" s="76" t="s">
        <v>87</v>
      </c>
      <c r="F143" s="76"/>
      <c r="G143" s="76" t="s">
        <v>86</v>
      </c>
      <c r="H143" s="107"/>
      <c r="I143" s="14" t="s">
        <v>144</v>
      </c>
      <c r="J143" s="26">
        <f ca="1">H141*25%</f>
        <v>3.5</v>
      </c>
    </row>
    <row r="144" spans="1:10" x14ac:dyDescent="0.3">
      <c r="A144" s="75" t="s">
        <v>131</v>
      </c>
      <c r="B144" s="76"/>
      <c r="C144" s="58">
        <f ca="1">J145</f>
        <v>14</v>
      </c>
      <c r="D144" s="50">
        <f ca="1">((100/H141)*C144)/100</f>
        <v>1</v>
      </c>
      <c r="E144" s="108">
        <f ca="1">(((C145/H141*10)+(40/(D141+F141+H141)*C146)+(7.5/(H141)*C147)+(7.5/(H141)*C148)+(10/H141*C149)+(10/H141*C150)+(5/H141*C151)+(5/H141*C152)+(5/H141*C153))/100)</f>
        <v>1</v>
      </c>
      <c r="F144" s="109"/>
      <c r="G144" s="108">
        <f ca="1">((((C144/H141)*20)+((C145/H141)*25)+(30/(H141+F141+D141)*C146)+(5/H141*C147)+(5/H141*C148)+(5/H141*C149)+(5/H141*C150)+(0/H141*C151)+(0/H141*C152)+(5/H141*C153))/100)</f>
        <v>1</v>
      </c>
      <c r="H144" s="114"/>
      <c r="I144" s="14" t="s">
        <v>103</v>
      </c>
      <c r="J144" s="27">
        <f ca="1">H141*50%</f>
        <v>7</v>
      </c>
    </row>
    <row r="145" spans="1:12" x14ac:dyDescent="0.3">
      <c r="A145" s="75" t="s">
        <v>50</v>
      </c>
      <c r="B145" s="76"/>
      <c r="C145" s="58">
        <f ca="1">J153</f>
        <v>14</v>
      </c>
      <c r="D145" s="50">
        <f ca="1">((100/H141)*C145)/100</f>
        <v>1</v>
      </c>
      <c r="E145" s="110"/>
      <c r="F145" s="111"/>
      <c r="G145" s="110"/>
      <c r="H145" s="115"/>
      <c r="I145" s="14" t="s">
        <v>104</v>
      </c>
      <c r="J145" s="27">
        <f ca="1">H141</f>
        <v>14</v>
      </c>
    </row>
    <row r="146" spans="1:12" ht="15.75" customHeight="1" x14ac:dyDescent="0.3">
      <c r="A146" s="75" t="s">
        <v>132</v>
      </c>
      <c r="B146" s="76"/>
      <c r="C146" s="49">
        <v>15</v>
      </c>
      <c r="D146" s="50">
        <f ca="1">((100/(D141+F141+H141))*C146)/100</f>
        <v>1</v>
      </c>
      <c r="E146" s="110"/>
      <c r="F146" s="111"/>
      <c r="G146" s="110"/>
      <c r="H146" s="115"/>
      <c r="I146" s="14" t="s">
        <v>105</v>
      </c>
      <c r="J146" s="28">
        <f ca="1">(IF(B141&gt;1,(H141/(B141+2)),H141/4))</f>
        <v>3.5</v>
      </c>
    </row>
    <row r="147" spans="1:12" ht="15.75" customHeight="1" x14ac:dyDescent="0.3">
      <c r="A147" s="75" t="s">
        <v>139</v>
      </c>
      <c r="B147" s="76" t="s">
        <v>133</v>
      </c>
      <c r="C147" s="49">
        <v>14</v>
      </c>
      <c r="D147" s="50">
        <f ca="1">((100/H141)*C147)/100</f>
        <v>1</v>
      </c>
      <c r="E147" s="110"/>
      <c r="F147" s="111"/>
      <c r="G147" s="110"/>
      <c r="H147" s="115"/>
      <c r="I147" s="14" t="s">
        <v>106</v>
      </c>
      <c r="J147" s="28">
        <f ca="1">(IF(B141&gt;1,(H141/(B141+2)+J146),H141/4+J146))</f>
        <v>7</v>
      </c>
    </row>
    <row r="148" spans="1:12" ht="15.75" customHeight="1" x14ac:dyDescent="0.3">
      <c r="A148" s="75" t="s">
        <v>140</v>
      </c>
      <c r="B148" s="76" t="s">
        <v>133</v>
      </c>
      <c r="C148" s="49">
        <v>14</v>
      </c>
      <c r="D148" s="50">
        <f ca="1">((100/H141)*C148)/100</f>
        <v>1</v>
      </c>
      <c r="E148" s="110"/>
      <c r="F148" s="111"/>
      <c r="G148" s="110"/>
      <c r="H148" s="115"/>
      <c r="I148" s="14" t="s">
        <v>149</v>
      </c>
      <c r="J148" s="28">
        <f>(IF(B141&gt;1,(H141/(B141+2)+J147),0))</f>
        <v>0</v>
      </c>
    </row>
    <row r="149" spans="1:12" ht="15" customHeight="1" x14ac:dyDescent="0.3">
      <c r="A149" s="75" t="s">
        <v>138</v>
      </c>
      <c r="B149" s="76" t="s">
        <v>135</v>
      </c>
      <c r="C149" s="49">
        <v>14</v>
      </c>
      <c r="D149" s="50">
        <f ca="1">((100/(H141))*C149)/100</f>
        <v>1</v>
      </c>
      <c r="E149" s="110"/>
      <c r="F149" s="111"/>
      <c r="G149" s="110"/>
      <c r="H149" s="115"/>
      <c r="I149" s="14" t="s">
        <v>146</v>
      </c>
      <c r="J149" s="28">
        <f>(IF(B141&gt;2,(H141/(B141+2)+J148),0))</f>
        <v>0</v>
      </c>
    </row>
    <row r="150" spans="1:12" ht="15.75" customHeight="1" x14ac:dyDescent="0.3">
      <c r="A150" s="75" t="s">
        <v>134</v>
      </c>
      <c r="B150" s="76" t="s">
        <v>134</v>
      </c>
      <c r="C150" s="49">
        <v>14</v>
      </c>
      <c r="D150" s="50">
        <f ca="1">((100/H141)*C150)/100</f>
        <v>1</v>
      </c>
      <c r="E150" s="110"/>
      <c r="F150" s="111"/>
      <c r="G150" s="110"/>
      <c r="H150" s="115"/>
      <c r="I150" s="14" t="s">
        <v>147</v>
      </c>
      <c r="J150" s="29">
        <f>(IF(B141&gt;3,(H141/(B141+2)+J149),0))</f>
        <v>0</v>
      </c>
    </row>
    <row r="151" spans="1:12" ht="15.75" customHeight="1" x14ac:dyDescent="0.3">
      <c r="A151" s="75" t="s">
        <v>141</v>
      </c>
      <c r="B151" s="76"/>
      <c r="C151" s="49">
        <v>14</v>
      </c>
      <c r="D151" s="50">
        <f ca="1">((100/H141)*C151)/100</f>
        <v>1</v>
      </c>
      <c r="E151" s="110"/>
      <c r="F151" s="111"/>
      <c r="G151" s="110"/>
      <c r="H151" s="115"/>
      <c r="I151" s="14" t="s">
        <v>148</v>
      </c>
      <c r="J151" s="28">
        <f>(IF(B141&gt;4,(H141/(B141+2)+J150),0))</f>
        <v>0</v>
      </c>
    </row>
    <row r="152" spans="1:12" ht="15.75" customHeight="1" x14ac:dyDescent="0.3">
      <c r="A152" s="75" t="s">
        <v>136</v>
      </c>
      <c r="B152" s="76" t="s">
        <v>136</v>
      </c>
      <c r="C152" s="49">
        <v>14</v>
      </c>
      <c r="D152" s="50">
        <f ca="1">((100/(H141))*C152)/100</f>
        <v>1</v>
      </c>
      <c r="E152" s="110"/>
      <c r="F152" s="111"/>
      <c r="G152" s="110"/>
      <c r="H152" s="115"/>
      <c r="I152" s="14" t="s">
        <v>150</v>
      </c>
      <c r="J152" s="28">
        <f ca="1">(IF(B141=1,(H141/(B141+3)+J147),IF(B141=0,(H141/4+J147),IF(B141&gt;1,0))))</f>
        <v>10.5</v>
      </c>
    </row>
    <row r="153" spans="1:12" ht="16.2" thickBot="1" x14ac:dyDescent="0.35">
      <c r="A153" s="77" t="s">
        <v>137</v>
      </c>
      <c r="B153" s="78"/>
      <c r="C153" s="51">
        <v>14</v>
      </c>
      <c r="D153" s="52">
        <f ca="1">((100/(H141))*C153)/100</f>
        <v>1</v>
      </c>
      <c r="E153" s="112"/>
      <c r="F153" s="113"/>
      <c r="G153" s="112"/>
      <c r="H153" s="116"/>
      <c r="I153" s="15" t="s">
        <v>107</v>
      </c>
      <c r="J153" s="30">
        <f ca="1">(IF(B141&gt;1.5,(H141/(B141+2)+J147+MAX(0,J148-J147)+MAX(0,J149-J148)+MAX(0,J150-J149)+MAX(0,J151-J150)+MAX(0,J152-J151)),IF(B141=1,(H141/(B141+3)+J152),IF(B141=0,H141/4+J152))))</f>
        <v>14</v>
      </c>
    </row>
    <row r="154" spans="1:12" x14ac:dyDescent="0.3">
      <c r="A154" s="161" t="s">
        <v>159</v>
      </c>
      <c r="B154" s="161"/>
      <c r="C154" s="161"/>
      <c r="D154" s="161"/>
      <c r="E154" s="161"/>
      <c r="F154" s="142" t="s">
        <v>164</v>
      </c>
      <c r="G154" s="142"/>
      <c r="H154" s="142"/>
    </row>
    <row r="155" spans="1:12" x14ac:dyDescent="0.3">
      <c r="A155" s="120" t="s">
        <v>162</v>
      </c>
      <c r="B155" s="120"/>
      <c r="C155" s="120"/>
      <c r="D155" s="120"/>
      <c r="E155" s="120"/>
      <c r="F155" s="121">
        <v>8500</v>
      </c>
      <c r="G155" s="121"/>
      <c r="H155" s="121"/>
      <c r="I155" s="54" t="s">
        <v>224</v>
      </c>
      <c r="J155" s="54" t="s">
        <v>225</v>
      </c>
      <c r="K155" s="57">
        <v>45143</v>
      </c>
      <c r="L155" s="54" t="s">
        <v>226</v>
      </c>
    </row>
    <row r="156" spans="1:12" x14ac:dyDescent="0.3">
      <c r="A156" s="120" t="s">
        <v>161</v>
      </c>
      <c r="B156" s="120"/>
      <c r="C156" s="120"/>
      <c r="D156" s="120"/>
      <c r="E156" s="120"/>
      <c r="F156" s="121">
        <v>13000</v>
      </c>
      <c r="G156" s="121"/>
      <c r="H156" s="121"/>
      <c r="I156" s="54" t="s">
        <v>228</v>
      </c>
      <c r="J156" s="54" t="s">
        <v>229</v>
      </c>
      <c r="K156" s="57">
        <v>45371</v>
      </c>
      <c r="L156" s="19" t="s">
        <v>230</v>
      </c>
    </row>
    <row r="157" spans="1:12" x14ac:dyDescent="0.3">
      <c r="A157" s="120" t="s">
        <v>163</v>
      </c>
      <c r="B157" s="120"/>
      <c r="C157" s="120"/>
      <c r="D157" s="120"/>
      <c r="E157" s="120"/>
      <c r="F157" s="121">
        <v>10000</v>
      </c>
      <c r="G157" s="121"/>
      <c r="H157" s="121"/>
    </row>
    <row r="158" spans="1:12" s="31" customFormat="1" hidden="1" x14ac:dyDescent="0.25">
      <c r="A158" s="120" t="s">
        <v>160</v>
      </c>
      <c r="B158" s="120"/>
      <c r="C158" s="120"/>
      <c r="D158" s="120"/>
      <c r="E158" s="120"/>
      <c r="F158" s="121"/>
      <c r="G158" s="121"/>
      <c r="H158" s="121"/>
    </row>
    <row r="159" spans="1:12" s="31" customFormat="1" hidden="1" x14ac:dyDescent="0.25">
      <c r="A159" s="120" t="s">
        <v>97</v>
      </c>
      <c r="B159" s="120"/>
      <c r="C159" s="120"/>
      <c r="D159" s="120"/>
      <c r="E159" s="120"/>
      <c r="F159" s="121"/>
      <c r="G159" s="121"/>
      <c r="H159" s="121"/>
    </row>
    <row r="160" spans="1:12" s="31" customFormat="1" hidden="1" x14ac:dyDescent="0.25">
      <c r="A160" s="120" t="s">
        <v>98</v>
      </c>
      <c r="B160" s="120"/>
      <c r="C160" s="120"/>
      <c r="D160" s="120"/>
      <c r="E160" s="120"/>
      <c r="F160" s="121"/>
      <c r="G160" s="121"/>
      <c r="H160" s="121"/>
    </row>
    <row r="161" spans="1:10" s="31" customFormat="1" hidden="1" x14ac:dyDescent="0.25">
      <c r="A161" s="120" t="s">
        <v>165</v>
      </c>
      <c r="B161" s="120"/>
      <c r="C161" s="120"/>
      <c r="D161" s="120"/>
      <c r="E161" s="120"/>
      <c r="F161" s="121"/>
      <c r="G161" s="121"/>
      <c r="H161" s="121"/>
    </row>
    <row r="162" spans="1:10" s="31" customFormat="1" hidden="1" x14ac:dyDescent="0.25">
      <c r="A162" s="120" t="s">
        <v>99</v>
      </c>
      <c r="B162" s="120"/>
      <c r="C162" s="120"/>
      <c r="D162" s="120"/>
      <c r="E162" s="120"/>
      <c r="F162" s="121"/>
      <c r="G162" s="121"/>
      <c r="H162" s="121"/>
    </row>
    <row r="163" spans="1:10" s="31" customFormat="1" hidden="1" x14ac:dyDescent="0.25">
      <c r="A163" s="120" t="s">
        <v>100</v>
      </c>
      <c r="B163" s="120"/>
      <c r="C163" s="120"/>
      <c r="D163" s="120"/>
      <c r="E163" s="120"/>
      <c r="F163" s="121"/>
      <c r="G163" s="121"/>
      <c r="H163" s="121"/>
    </row>
    <row r="164" spans="1:10" s="31" customFormat="1" hidden="1" x14ac:dyDescent="0.25">
      <c r="A164" s="120" t="s">
        <v>101</v>
      </c>
      <c r="B164" s="120"/>
      <c r="C164" s="120"/>
      <c r="D164" s="120"/>
      <c r="E164" s="120"/>
      <c r="F164" s="121"/>
      <c r="G164" s="121"/>
      <c r="H164" s="121"/>
    </row>
    <row r="165" spans="1:10" s="31" customFormat="1" hidden="1" x14ac:dyDescent="0.25">
      <c r="A165" s="120" t="s">
        <v>102</v>
      </c>
      <c r="B165" s="120"/>
      <c r="C165" s="120"/>
      <c r="D165" s="120"/>
      <c r="E165" s="120"/>
      <c r="F165" s="121"/>
      <c r="G165" s="121"/>
      <c r="H165" s="121"/>
    </row>
    <row r="166" spans="1:10" s="31" customFormat="1" x14ac:dyDescent="0.25">
      <c r="A166" s="120" t="s">
        <v>218</v>
      </c>
      <c r="B166" s="120"/>
      <c r="C166" s="120"/>
      <c r="D166" s="120"/>
      <c r="E166" s="120"/>
      <c r="F166" s="121">
        <v>250000</v>
      </c>
      <c r="G166" s="121"/>
      <c r="H166" s="121"/>
      <c r="I166" s="55" t="s">
        <v>219</v>
      </c>
      <c r="J166" s="56">
        <v>45011</v>
      </c>
    </row>
    <row r="167" spans="1:10" x14ac:dyDescent="0.3">
      <c r="A167" s="120" t="s">
        <v>51</v>
      </c>
      <c r="B167" s="120"/>
      <c r="C167" s="120"/>
      <c r="D167" s="120"/>
      <c r="E167" s="120"/>
      <c r="F167" s="121">
        <v>300000</v>
      </c>
      <c r="G167" s="121"/>
      <c r="H167" s="121"/>
    </row>
    <row r="168" spans="1:10" s="32" customFormat="1" x14ac:dyDescent="0.3">
      <c r="A168" s="128" t="s">
        <v>52</v>
      </c>
      <c r="B168" s="128"/>
      <c r="C168" s="128"/>
      <c r="D168" s="128"/>
      <c r="E168" s="128"/>
      <c r="F168" s="121">
        <f>F155*0.8</f>
        <v>6800</v>
      </c>
      <c r="G168" s="121"/>
      <c r="H168" s="121"/>
    </row>
    <row r="169" spans="1:10" s="33" customFormat="1" ht="15.75" customHeight="1" x14ac:dyDescent="0.3">
      <c r="A169" s="127" t="s">
        <v>77</v>
      </c>
      <c r="B169" s="127"/>
      <c r="C169" s="127"/>
      <c r="D169" s="127"/>
      <c r="E169" s="127"/>
      <c r="F169" s="127"/>
      <c r="G169" s="127"/>
      <c r="H169" s="127"/>
    </row>
    <row r="170" spans="1:10" s="33" customFormat="1" ht="15.75" customHeight="1" x14ac:dyDescent="0.3">
      <c r="A170" s="124" t="s">
        <v>53</v>
      </c>
      <c r="B170" s="124"/>
      <c r="C170" s="123" t="s">
        <v>80</v>
      </c>
      <c r="D170" s="123"/>
      <c r="E170" s="160" t="s">
        <v>54</v>
      </c>
      <c r="F170" s="160"/>
      <c r="G170" s="124" t="s">
        <v>55</v>
      </c>
      <c r="H170" s="124"/>
    </row>
    <row r="171" spans="1:10" s="33" customFormat="1" x14ac:dyDescent="0.3">
      <c r="A171" s="82" t="s">
        <v>209</v>
      </c>
      <c r="B171" s="43" t="s">
        <v>191</v>
      </c>
      <c r="C171" s="80">
        <f>COUNT(D189:D194)</f>
        <v>6</v>
      </c>
      <c r="D171" s="125"/>
      <c r="E171" s="81">
        <f>SUM(D189:D194)</f>
        <v>2546.5202099999997</v>
      </c>
      <c r="F171" s="126"/>
      <c r="G171" s="81">
        <f>SUM(F189:F194)</f>
        <v>4074.4323359999994</v>
      </c>
      <c r="H171" s="126"/>
    </row>
    <row r="172" spans="1:10" s="33" customFormat="1" x14ac:dyDescent="0.3">
      <c r="A172" s="122"/>
      <c r="B172" s="43" t="s">
        <v>192</v>
      </c>
      <c r="C172" s="80">
        <f>COUNT(D196:D197)*3+COUNT(D199:D200)</f>
        <v>8</v>
      </c>
      <c r="D172" s="80"/>
      <c r="E172" s="81">
        <f>SUM(D196:D197)*3+SUM(D199:D200)</f>
        <v>12483.279899999998</v>
      </c>
      <c r="F172" s="81"/>
      <c r="G172" s="81">
        <f>SUM(F196:F197)*3+SUM(F199:F200)</f>
        <v>22377.322655999993</v>
      </c>
      <c r="H172" s="81"/>
    </row>
    <row r="173" spans="1:10" s="33" customFormat="1" x14ac:dyDescent="0.3">
      <c r="A173" s="127" t="s">
        <v>153</v>
      </c>
      <c r="B173" s="127"/>
      <c r="C173" s="197">
        <f>SUM(C171:C172)</f>
        <v>14</v>
      </c>
      <c r="D173" s="123"/>
      <c r="E173" s="198">
        <f>SUM(E171:E172)</f>
        <v>15029.800109999996</v>
      </c>
      <c r="F173" s="160"/>
      <c r="G173" s="124">
        <f>SUM(G171:G172)</f>
        <v>26451.754991999991</v>
      </c>
      <c r="H173" s="124"/>
    </row>
    <row r="174" spans="1:10" s="33" customFormat="1" x14ac:dyDescent="0.3">
      <c r="A174" s="127" t="s">
        <v>71</v>
      </c>
      <c r="B174" s="127"/>
      <c r="C174" s="127"/>
      <c r="D174" s="127"/>
      <c r="E174" s="127"/>
      <c r="F174" s="127"/>
      <c r="G174" s="127"/>
      <c r="H174" s="127"/>
    </row>
    <row r="175" spans="1:10" s="33" customFormat="1" ht="15.75" customHeight="1" x14ac:dyDescent="0.3">
      <c r="A175" s="124" t="s">
        <v>53</v>
      </c>
      <c r="B175" s="124"/>
      <c r="C175" s="123" t="s">
        <v>80</v>
      </c>
      <c r="D175" s="123"/>
      <c r="E175" s="160" t="s">
        <v>54</v>
      </c>
      <c r="F175" s="160"/>
      <c r="G175" s="124" t="s">
        <v>55</v>
      </c>
      <c r="H175" s="124"/>
    </row>
    <row r="176" spans="1:10" s="33" customFormat="1" x14ac:dyDescent="0.3">
      <c r="A176" s="84" t="s">
        <v>195</v>
      </c>
      <c r="B176" s="85"/>
      <c r="C176" s="80">
        <f>COUNT(D207:D216)</f>
        <v>10</v>
      </c>
      <c r="D176" s="125"/>
      <c r="E176" s="81">
        <f>SUM(D207:D216)</f>
        <v>4685.3808299999992</v>
      </c>
      <c r="F176" s="126"/>
      <c r="G176" s="81">
        <f>SUM(F207:F216)</f>
        <v>7028.0712450000001</v>
      </c>
      <c r="H176" s="126"/>
    </row>
    <row r="177" spans="1:14" s="33" customFormat="1" ht="15.75" customHeight="1" x14ac:dyDescent="0.3">
      <c r="A177" s="82" t="s">
        <v>203</v>
      </c>
      <c r="B177" s="43" t="s">
        <v>210</v>
      </c>
      <c r="C177" s="125">
        <f>COUNT(D221:D228)*19+COUNT(D231:D237)*3</f>
        <v>173</v>
      </c>
      <c r="D177" s="125"/>
      <c r="E177" s="81">
        <f>SUM(D221:D228)*19+SUM(D231:D237)*3</f>
        <v>74864.534939999983</v>
      </c>
      <c r="F177" s="81"/>
      <c r="G177" s="81">
        <f>SUM(F221:F228)*19+SUM(F231:F237)*3</f>
        <v>112296.80240999996</v>
      </c>
      <c r="H177" s="81"/>
    </row>
    <row r="178" spans="1:14" s="33" customFormat="1" x14ac:dyDescent="0.3">
      <c r="A178" s="83"/>
      <c r="B178" s="43" t="s">
        <v>211</v>
      </c>
      <c r="C178" s="80">
        <f>COUNT(D242:D249)*19+COUNT(D251:D252,D254:D258)*3</f>
        <v>173</v>
      </c>
      <c r="D178" s="80"/>
      <c r="E178" s="81">
        <f>SUM(D242:D249)*19+SUM(D251:D252,D254:D258)*3</f>
        <v>74429.615519999992</v>
      </c>
      <c r="F178" s="81"/>
      <c r="G178" s="81">
        <f>SUM(F242:F249)*19+SUM(F251:F252,F254:F258)*3</f>
        <v>111644.42328</v>
      </c>
      <c r="H178" s="81"/>
    </row>
    <row r="179" spans="1:14" s="33" customFormat="1" x14ac:dyDescent="0.3">
      <c r="A179" s="83"/>
      <c r="B179" s="43" t="s">
        <v>212</v>
      </c>
      <c r="C179" s="80">
        <f>COUNT(D262:D269)*13+COUNT(D271:D272,D274:D278)*2</f>
        <v>101</v>
      </c>
      <c r="D179" s="80"/>
      <c r="E179" s="81">
        <f>SUM(D262:D269)*13+SUM(D271:D272,D274:D278)*2</f>
        <v>47865.947219999987</v>
      </c>
      <c r="F179" s="81"/>
      <c r="G179" s="81">
        <f>SUM(F262:F269)*13+SUM(F271:F272,F274:F278)*2</f>
        <v>71798.920829999988</v>
      </c>
      <c r="H179" s="81"/>
    </row>
    <row r="180" spans="1:14" s="33" customFormat="1" x14ac:dyDescent="0.3">
      <c r="A180" s="84" t="s">
        <v>251</v>
      </c>
      <c r="B180" s="85"/>
      <c r="C180" s="80">
        <f>COUNT(D283:D286)*12+COUNT(D289:D291,D293,D295:D297)</f>
        <v>55</v>
      </c>
      <c r="D180" s="80"/>
      <c r="E180" s="81">
        <f>SUM(D283:D286)*12+SUM(D289:D291,D293,D295:D297)</f>
        <v>23163.778169999994</v>
      </c>
      <c r="F180" s="81"/>
      <c r="G180" s="81">
        <f>SUM(F283:F286)*12+SUM(F289:F291,F293,F295:F297)</f>
        <v>34745.667254999993</v>
      </c>
      <c r="H180" s="81"/>
    </row>
    <row r="181" spans="1:14" s="33" customFormat="1" ht="16.2" thickBot="1" x14ac:dyDescent="0.35">
      <c r="A181" s="143" t="s">
        <v>153</v>
      </c>
      <c r="B181" s="143"/>
      <c r="C181" s="199">
        <f>SUM(C176:C180)</f>
        <v>512</v>
      </c>
      <c r="D181" s="200"/>
      <c r="E181" s="144">
        <f>SUM(E176:E180)</f>
        <v>225009.25667999993</v>
      </c>
      <c r="F181" s="145"/>
      <c r="G181" s="97">
        <f>SUM(G176:G180)</f>
        <v>337513.88501999993</v>
      </c>
      <c r="H181" s="97"/>
    </row>
    <row r="182" spans="1:14" s="33" customFormat="1" ht="16.2" thickBot="1" x14ac:dyDescent="0.35">
      <c r="A182" s="89" t="s">
        <v>222</v>
      </c>
      <c r="B182" s="90"/>
      <c r="C182" s="91">
        <f>C173+C181</f>
        <v>526</v>
      </c>
      <c r="D182" s="92"/>
      <c r="E182" s="93">
        <f>E173+E181</f>
        <v>240039.05678999994</v>
      </c>
      <c r="F182" s="94"/>
      <c r="G182" s="95">
        <f>G173+G181</f>
        <v>363965.64001199993</v>
      </c>
      <c r="H182" s="96"/>
    </row>
    <row r="183" spans="1:14" s="32" customFormat="1" x14ac:dyDescent="0.3">
      <c r="A183" s="142" t="s">
        <v>56</v>
      </c>
      <c r="B183" s="142"/>
      <c r="C183" s="142"/>
      <c r="D183" s="142"/>
      <c r="E183" s="142"/>
      <c r="F183" s="142"/>
      <c r="G183" s="142"/>
      <c r="H183" s="142"/>
    </row>
    <row r="184" spans="1:14" x14ac:dyDescent="0.3">
      <c r="A184" s="158" t="s">
        <v>57</v>
      </c>
      <c r="B184" s="158"/>
      <c r="C184" s="158"/>
      <c r="D184" s="158"/>
      <c r="E184" s="158"/>
      <c r="F184" s="158"/>
      <c r="G184" s="158"/>
      <c r="H184" s="158"/>
    </row>
    <row r="185" spans="1:14" ht="47.25" customHeight="1" x14ac:dyDescent="0.3">
      <c r="A185" s="136" t="s">
        <v>122</v>
      </c>
      <c r="B185" s="136" t="s">
        <v>121</v>
      </c>
      <c r="C185" s="136" t="s">
        <v>58</v>
      </c>
      <c r="D185" s="136" t="s">
        <v>59</v>
      </c>
      <c r="E185" s="173" t="s">
        <v>60</v>
      </c>
      <c r="F185" s="41" t="s">
        <v>152</v>
      </c>
      <c r="G185" s="138" t="s">
        <v>61</v>
      </c>
      <c r="H185" s="139"/>
    </row>
    <row r="186" spans="1:14" s="35" customFormat="1" x14ac:dyDescent="0.3">
      <c r="A186" s="137"/>
      <c r="B186" s="137"/>
      <c r="C186" s="137"/>
      <c r="D186" s="137"/>
      <c r="E186" s="174"/>
      <c r="F186" s="13">
        <v>0.6</v>
      </c>
      <c r="G186" s="140"/>
      <c r="H186" s="141"/>
      <c r="J186" s="53">
        <v>10.763999999999999</v>
      </c>
    </row>
    <row r="187" spans="1:14" s="35" customFormat="1" x14ac:dyDescent="0.3">
      <c r="A187" s="72" t="s">
        <v>189</v>
      </c>
      <c r="B187" s="73"/>
      <c r="C187" s="73"/>
      <c r="D187" s="73"/>
      <c r="E187" s="73"/>
      <c r="F187" s="73"/>
      <c r="G187" s="73"/>
      <c r="H187" s="74"/>
      <c r="J187" s="34"/>
    </row>
    <row r="188" spans="1:14" s="35" customFormat="1" x14ac:dyDescent="0.3">
      <c r="A188" s="72" t="s">
        <v>190</v>
      </c>
      <c r="B188" s="73"/>
      <c r="C188" s="73"/>
      <c r="D188" s="73"/>
      <c r="E188" s="73"/>
      <c r="F188" s="73"/>
      <c r="G188" s="73"/>
      <c r="H188" s="74"/>
      <c r="J188" s="34"/>
    </row>
    <row r="189" spans="1:14" s="35" customFormat="1" x14ac:dyDescent="0.3">
      <c r="A189" s="70">
        <v>1</v>
      </c>
      <c r="B189" s="71"/>
      <c r="C189" s="40" t="s">
        <v>191</v>
      </c>
      <c r="D189" s="53">
        <f>(10.55*3.65+2.05*1.4)*10.764</f>
        <v>445.38740999999993</v>
      </c>
      <c r="E189" s="40">
        <v>0</v>
      </c>
      <c r="F189" s="40">
        <f>(D189+E189)*(($F$186)+1)</f>
        <v>712.61985599999991</v>
      </c>
      <c r="G189" s="70" t="str">
        <f>A188</f>
        <v>Ground Floor For Entrance Lobby &amp; Commercial</v>
      </c>
      <c r="H189" s="71"/>
      <c r="I189" s="34"/>
      <c r="L189" s="60"/>
      <c r="M189" s="60"/>
      <c r="N189" s="34"/>
    </row>
    <row r="190" spans="1:14" s="35" customFormat="1" x14ac:dyDescent="0.3">
      <c r="A190" s="70">
        <f t="shared" ref="A190:A194" si="0">A189+1</f>
        <v>2</v>
      </c>
      <c r="B190" s="71"/>
      <c r="C190" s="40" t="s">
        <v>191</v>
      </c>
      <c r="D190" s="53">
        <f>(12.6*3.05)*10.764</f>
        <v>413.66051999999996</v>
      </c>
      <c r="E190" s="40">
        <v>0</v>
      </c>
      <c r="F190" s="40">
        <f t="shared" ref="F190:F192" si="1">(D190+E190)*(($F$186)+1)</f>
        <v>661.85683199999994</v>
      </c>
      <c r="G190" s="70" t="str">
        <f t="shared" ref="G190:G194" si="2">G189</f>
        <v>Ground Floor For Entrance Lobby &amp; Commercial</v>
      </c>
      <c r="H190" s="71"/>
      <c r="I190" s="34">
        <f>15000000/F190</f>
        <v>22663.511615756808</v>
      </c>
      <c r="L190" s="60"/>
      <c r="M190" s="60"/>
      <c r="N190" s="34"/>
    </row>
    <row r="191" spans="1:14" s="35" customFormat="1" x14ac:dyDescent="0.3">
      <c r="A191" s="70">
        <f t="shared" si="0"/>
        <v>3</v>
      </c>
      <c r="B191" s="71"/>
      <c r="C191" s="40" t="s">
        <v>191</v>
      </c>
      <c r="D191" s="53">
        <f>(12.6*3.05)*10.764</f>
        <v>413.66051999999996</v>
      </c>
      <c r="E191" s="40">
        <v>0</v>
      </c>
      <c r="F191" s="40">
        <f t="shared" si="1"/>
        <v>661.85683199999994</v>
      </c>
      <c r="G191" s="70" t="str">
        <f t="shared" si="2"/>
        <v>Ground Floor For Entrance Lobby &amp; Commercial</v>
      </c>
      <c r="H191" s="71"/>
      <c r="I191" s="34">
        <f>8000000/F191</f>
        <v>12087.206195070297</v>
      </c>
      <c r="L191" s="60"/>
      <c r="M191" s="60"/>
      <c r="N191" s="34"/>
    </row>
    <row r="192" spans="1:14" s="35" customFormat="1" x14ac:dyDescent="0.3">
      <c r="A192" s="70">
        <f t="shared" si="0"/>
        <v>4</v>
      </c>
      <c r="B192" s="71"/>
      <c r="C192" s="40" t="s">
        <v>191</v>
      </c>
      <c r="D192" s="53">
        <f>(12.6*3.05)*10.764</f>
        <v>413.66051999999996</v>
      </c>
      <c r="E192" s="40">
        <v>0</v>
      </c>
      <c r="F192" s="40">
        <f t="shared" si="1"/>
        <v>661.85683199999994</v>
      </c>
      <c r="G192" s="70" t="str">
        <f t="shared" si="2"/>
        <v>Ground Floor For Entrance Lobby &amp; Commercial</v>
      </c>
      <c r="H192" s="71"/>
      <c r="I192" s="34"/>
      <c r="L192" s="60"/>
      <c r="M192" s="60"/>
      <c r="N192" s="34"/>
    </row>
    <row r="193" spans="1:14" s="35" customFormat="1" x14ac:dyDescent="0.3">
      <c r="A193" s="70">
        <f t="shared" si="0"/>
        <v>5</v>
      </c>
      <c r="B193" s="71"/>
      <c r="C193" s="40" t="s">
        <v>191</v>
      </c>
      <c r="D193" s="53">
        <f>(12.6*3.05)*10.764</f>
        <v>413.66051999999996</v>
      </c>
      <c r="E193" s="40">
        <v>0</v>
      </c>
      <c r="F193" s="40">
        <f t="shared" ref="F193:F194" si="3">(D193+E193)*(($F$186)+1)</f>
        <v>661.85683199999994</v>
      </c>
      <c r="G193" s="70" t="str">
        <f t="shared" si="2"/>
        <v>Ground Floor For Entrance Lobby &amp; Commercial</v>
      </c>
      <c r="H193" s="71"/>
      <c r="I193" s="34"/>
      <c r="L193" s="60"/>
      <c r="M193" s="60"/>
      <c r="N193" s="34"/>
    </row>
    <row r="194" spans="1:14" s="35" customFormat="1" x14ac:dyDescent="0.3">
      <c r="A194" s="70">
        <f t="shared" si="0"/>
        <v>6</v>
      </c>
      <c r="B194" s="71"/>
      <c r="C194" s="40" t="s">
        <v>191</v>
      </c>
      <c r="D194" s="53">
        <f>(10.55*3.65+2.05*1.45)*10.764</f>
        <v>446.49071999999995</v>
      </c>
      <c r="E194" s="40">
        <v>0</v>
      </c>
      <c r="F194" s="40">
        <f t="shared" si="3"/>
        <v>714.38515199999995</v>
      </c>
      <c r="G194" s="70" t="str">
        <f t="shared" si="2"/>
        <v>Ground Floor For Entrance Lobby &amp; Commercial</v>
      </c>
      <c r="H194" s="71"/>
      <c r="I194" s="34"/>
      <c r="L194" s="60"/>
      <c r="M194" s="60"/>
      <c r="N194" s="34"/>
    </row>
    <row r="195" spans="1:14" s="35" customFormat="1" x14ac:dyDescent="0.3">
      <c r="A195" s="72" t="s">
        <v>193</v>
      </c>
      <c r="B195" s="73"/>
      <c r="C195" s="73"/>
      <c r="D195" s="73"/>
      <c r="E195" s="73"/>
      <c r="F195" s="73"/>
      <c r="G195" s="73"/>
      <c r="H195" s="74"/>
      <c r="J195" s="34"/>
    </row>
    <row r="196" spans="1:14" s="35" customFormat="1" x14ac:dyDescent="0.3">
      <c r="A196" s="70">
        <v>1</v>
      </c>
      <c r="B196" s="71"/>
      <c r="C196" s="40" t="s">
        <v>192</v>
      </c>
      <c r="D196" s="53">
        <f>(14.1*9.3+14.1*2.25)*10.764</f>
        <v>1752.9712199999997</v>
      </c>
      <c r="E196" s="40">
        <v>0</v>
      </c>
      <c r="F196" s="40">
        <f>(D196+E196)*(($F$186)+1)</f>
        <v>2804.7539519999996</v>
      </c>
      <c r="G196" s="70" t="str">
        <f>A195</f>
        <v>1st to 3rd Floor</v>
      </c>
      <c r="H196" s="71"/>
      <c r="I196" s="34"/>
      <c r="L196" s="60"/>
      <c r="M196" s="60"/>
      <c r="N196" s="34"/>
    </row>
    <row r="197" spans="1:14" s="35" customFormat="1" x14ac:dyDescent="0.3">
      <c r="A197" s="70">
        <f t="shared" ref="A197" si="4">A196+1</f>
        <v>2</v>
      </c>
      <c r="B197" s="71"/>
      <c r="C197" s="40" t="s">
        <v>192</v>
      </c>
      <c r="D197" s="53">
        <f>(14.1*9.35+14.1*2.25)*10.764</f>
        <v>1760.5598399999997</v>
      </c>
      <c r="E197" s="40">
        <v>0</v>
      </c>
      <c r="F197" s="40">
        <f t="shared" ref="F197" si="5">(D197+E197)*(($F$186)+1)</f>
        <v>2816.8957439999995</v>
      </c>
      <c r="G197" s="70" t="str">
        <f t="shared" ref="G197" si="6">G196</f>
        <v>1st to 3rd Floor</v>
      </c>
      <c r="H197" s="71"/>
      <c r="I197" s="34"/>
      <c r="L197" s="60"/>
      <c r="M197" s="60"/>
      <c r="N197" s="34"/>
    </row>
    <row r="198" spans="1:14" s="35" customFormat="1" x14ac:dyDescent="0.3">
      <c r="A198" s="72" t="s">
        <v>194</v>
      </c>
      <c r="B198" s="73"/>
      <c r="C198" s="73"/>
      <c r="D198" s="73"/>
      <c r="E198" s="73"/>
      <c r="F198" s="73"/>
      <c r="G198" s="73"/>
      <c r="H198" s="74"/>
      <c r="J198" s="34"/>
    </row>
    <row r="199" spans="1:14" s="35" customFormat="1" x14ac:dyDescent="0.3">
      <c r="A199" s="70">
        <v>1</v>
      </c>
      <c r="B199" s="71"/>
      <c r="C199" s="40" t="s">
        <v>192</v>
      </c>
      <c r="D199" s="53">
        <f>(14.1*6.4)*10.764</f>
        <v>971.34336000000008</v>
      </c>
      <c r="E199" s="53">
        <f>(14.1*4.95)*10.764</f>
        <v>751.27337999999997</v>
      </c>
      <c r="F199" s="40">
        <f>(D199+E199)*(($F$186)+1)</f>
        <v>2756.186784</v>
      </c>
      <c r="G199" s="70" t="str">
        <f>A198</f>
        <v>4th Floor</v>
      </c>
      <c r="H199" s="71"/>
      <c r="I199" s="34"/>
      <c r="L199" s="60"/>
      <c r="M199" s="60"/>
      <c r="N199" s="34"/>
    </row>
    <row r="200" spans="1:14" s="35" customFormat="1" x14ac:dyDescent="0.3">
      <c r="A200" s="70">
        <f t="shared" ref="A200" si="7">A199+1</f>
        <v>2</v>
      </c>
      <c r="B200" s="71"/>
      <c r="C200" s="40" t="s">
        <v>192</v>
      </c>
      <c r="D200" s="53">
        <f>(14.1*6.4)*10.764</f>
        <v>971.34336000000008</v>
      </c>
      <c r="E200" s="53">
        <f>(14.1*4.95)*10.764</f>
        <v>751.27337999999997</v>
      </c>
      <c r="F200" s="40">
        <f t="shared" ref="F200" si="8">(D200+E200)*(($F$186)+1)</f>
        <v>2756.186784</v>
      </c>
      <c r="G200" s="70" t="str">
        <f t="shared" ref="G200" si="9">G199</f>
        <v>4th Floor</v>
      </c>
      <c r="H200" s="71"/>
      <c r="I200" s="34"/>
      <c r="L200" s="60"/>
      <c r="M200" s="60"/>
      <c r="N200" s="34"/>
    </row>
    <row r="201" spans="1:14" s="35" customFormat="1" x14ac:dyDescent="0.3">
      <c r="A201" s="70"/>
      <c r="B201" s="79"/>
      <c r="C201" s="79"/>
      <c r="D201" s="79"/>
      <c r="E201" s="79"/>
      <c r="F201" s="79"/>
      <c r="G201" s="79"/>
      <c r="H201" s="71"/>
      <c r="I201" s="34"/>
      <c r="N201" s="34"/>
    </row>
    <row r="202" spans="1:14" ht="47.25" customHeight="1" x14ac:dyDescent="0.3">
      <c r="A202" s="138" t="s">
        <v>123</v>
      </c>
      <c r="B202" s="138" t="s">
        <v>124</v>
      </c>
      <c r="C202" s="136" t="s">
        <v>58</v>
      </c>
      <c r="D202" s="136" t="s">
        <v>59</v>
      </c>
      <c r="E202" s="173" t="s">
        <v>60</v>
      </c>
      <c r="F202" s="41" t="s">
        <v>152</v>
      </c>
      <c r="G202" s="138" t="s">
        <v>61</v>
      </c>
      <c r="H202" s="139"/>
      <c r="I202" s="34"/>
    </row>
    <row r="203" spans="1:14" s="35" customFormat="1" x14ac:dyDescent="0.3">
      <c r="A203" s="140"/>
      <c r="B203" s="140"/>
      <c r="C203" s="137"/>
      <c r="D203" s="137"/>
      <c r="E203" s="174"/>
      <c r="F203" s="13">
        <v>0.5</v>
      </c>
      <c r="G203" s="140"/>
      <c r="H203" s="141"/>
      <c r="I203" s="34"/>
    </row>
    <row r="204" spans="1:14" s="35" customFormat="1" x14ac:dyDescent="0.3">
      <c r="A204" s="72" t="s">
        <v>195</v>
      </c>
      <c r="B204" s="73"/>
      <c r="C204" s="73"/>
      <c r="D204" s="73"/>
      <c r="E204" s="73"/>
      <c r="F204" s="73"/>
      <c r="G204" s="73"/>
      <c r="H204" s="74"/>
      <c r="J204" s="34"/>
    </row>
    <row r="205" spans="1:14" s="35" customFormat="1" x14ac:dyDescent="0.3">
      <c r="A205" s="72" t="s">
        <v>196</v>
      </c>
      <c r="B205" s="73"/>
      <c r="C205" s="73"/>
      <c r="D205" s="73"/>
      <c r="E205" s="73"/>
      <c r="F205" s="73"/>
      <c r="G205" s="73"/>
      <c r="H205" s="74"/>
      <c r="J205" s="34"/>
    </row>
    <row r="206" spans="1:14" s="35" customFormat="1" x14ac:dyDescent="0.3">
      <c r="A206" s="72" t="s">
        <v>199</v>
      </c>
      <c r="B206" s="73"/>
      <c r="C206" s="73"/>
      <c r="D206" s="73"/>
      <c r="E206" s="73"/>
      <c r="F206" s="73"/>
      <c r="G206" s="73"/>
      <c r="H206" s="74"/>
      <c r="J206" s="34"/>
    </row>
    <row r="207" spans="1:14" s="35" customFormat="1" ht="15.75" customHeight="1" x14ac:dyDescent="0.3">
      <c r="A207" s="70">
        <v>1</v>
      </c>
      <c r="B207" s="71"/>
      <c r="C207" s="40" t="s">
        <v>197</v>
      </c>
      <c r="D207" s="53">
        <f>(2.9*4.45+2.15*3.05+2.9*3.05+2.9*3.7+1.65*0.6+1.7*1.2+2*1.2+0.9*0.6+0.9*5.6+1*2.9)*10.764</f>
        <v>569.92688999999984</v>
      </c>
      <c r="E207" s="40">
        <v>0</v>
      </c>
      <c r="F207" s="40">
        <f t="shared" ref="F207:F216" si="10">D207*(($F$203)+1)+(IF(E207&lt;101,E207,IF(E207&lt;201,E207/2,IF(E207&lt;=301,E207/3,E207/4))))</f>
        <v>854.89033499999982</v>
      </c>
      <c r="G207" s="61" t="str">
        <f>A206</f>
        <v>1st Floor For Residential</v>
      </c>
      <c r="H207" s="62"/>
      <c r="I207" s="34">
        <f>2.9*4.45+2.15*3.05+2.9*3.05+2.9*3.7+1.65*0.6+1.7*1.2+2*1.2+0.9*0.6+0.9*5.6+1*2.9</f>
        <v>52.947499999999991</v>
      </c>
      <c r="L207" s="60"/>
      <c r="M207" s="60"/>
      <c r="N207" s="34"/>
    </row>
    <row r="208" spans="1:14" s="35" customFormat="1" ht="15.75" customHeight="1" x14ac:dyDescent="0.3">
      <c r="A208" s="70">
        <f t="shared" ref="A208:A216" si="11">A207+1</f>
        <v>2</v>
      </c>
      <c r="B208" s="71"/>
      <c r="C208" s="40" t="s">
        <v>198</v>
      </c>
      <c r="D208" s="53">
        <f>(2.9*4.45+2.15*2.1+2.9*3.15+1.85*0.65+1.8*1.2+1.35*1.95+1.35*0.6+0.9*2.15)*10.764</f>
        <v>379.91537999999997</v>
      </c>
      <c r="E208" s="40">
        <v>0</v>
      </c>
      <c r="F208" s="40">
        <f t="shared" si="10"/>
        <v>569.87306999999998</v>
      </c>
      <c r="G208" s="63"/>
      <c r="H208" s="64"/>
      <c r="I208" s="34">
        <f>2.9*4.45+2.15*2.1+2.9*3.15+1.85*0.65+1.8*1.2+1.35*1.95+1.35*0.6+0.9*2.15</f>
        <v>35.295000000000002</v>
      </c>
      <c r="J208" s="35">
        <f t="shared" ref="J208:J213" si="12">4600000/F209</f>
        <v>8071.9729395179174</v>
      </c>
      <c r="L208" s="60"/>
      <c r="M208" s="60"/>
      <c r="N208" s="34"/>
    </row>
    <row r="209" spans="1:14" s="35" customFormat="1" ht="15.75" customHeight="1" x14ac:dyDescent="0.3">
      <c r="A209" s="70">
        <f t="shared" si="11"/>
        <v>3</v>
      </c>
      <c r="B209" s="71"/>
      <c r="C209" s="40" t="s">
        <v>198</v>
      </c>
      <c r="D209" s="53">
        <f>(2.9*4.45+2.15*2.1+2.9*3.15+1.85*0.65+1.8*1.2+1.35*1.95+1.35*0.6+0.9*2.15)*10.764</f>
        <v>379.91537999999997</v>
      </c>
      <c r="E209" s="40">
        <v>0</v>
      </c>
      <c r="F209" s="40">
        <f t="shared" si="10"/>
        <v>569.87306999999998</v>
      </c>
      <c r="G209" s="63"/>
      <c r="H209" s="64"/>
      <c r="I209" s="34"/>
      <c r="J209" s="35">
        <f t="shared" si="12"/>
        <v>8071.9729395179174</v>
      </c>
      <c r="L209" s="60"/>
      <c r="M209" s="60"/>
      <c r="N209" s="34"/>
    </row>
    <row r="210" spans="1:14" s="35" customFormat="1" ht="15.75" customHeight="1" x14ac:dyDescent="0.3">
      <c r="A210" s="70">
        <f t="shared" si="11"/>
        <v>4</v>
      </c>
      <c r="B210" s="71"/>
      <c r="C210" s="40" t="s">
        <v>198</v>
      </c>
      <c r="D210" s="53">
        <f>(2.9*4.45+2.15*2.1+2.9*3.15+1.85*0.65+1.8*1.2+1.35*1.95+1.35*0.6+0.9*2.15)*10.764</f>
        <v>379.91537999999997</v>
      </c>
      <c r="E210" s="40">
        <v>0</v>
      </c>
      <c r="F210" s="40">
        <f t="shared" si="10"/>
        <v>569.87306999999998</v>
      </c>
      <c r="G210" s="63"/>
      <c r="H210" s="64"/>
      <c r="I210" s="34"/>
      <c r="J210" s="35">
        <f>4600000/F210</f>
        <v>8071.9729395179174</v>
      </c>
      <c r="L210" s="60"/>
      <c r="M210" s="60"/>
      <c r="N210" s="34"/>
    </row>
    <row r="211" spans="1:14" s="35" customFormat="1" ht="15.75" customHeight="1" x14ac:dyDescent="0.3">
      <c r="A211" s="70">
        <f t="shared" si="11"/>
        <v>5</v>
      </c>
      <c r="B211" s="71"/>
      <c r="C211" s="40" t="s">
        <v>197</v>
      </c>
      <c r="D211" s="53">
        <f>(2.9*4.45+2.15*3.05+2.9*3.05+2.9*3.7+1.65*0.6+1.7*1.2+2*1.2+0.9*0.6+0.9*5.6+1*2.9)*10.764</f>
        <v>569.92688999999984</v>
      </c>
      <c r="E211" s="40">
        <v>0</v>
      </c>
      <c r="F211" s="40">
        <f t="shared" si="10"/>
        <v>854.89033499999982</v>
      </c>
      <c r="G211" s="63"/>
      <c r="H211" s="64"/>
      <c r="I211" s="34"/>
      <c r="L211" s="60"/>
      <c r="M211" s="60"/>
      <c r="N211" s="34"/>
    </row>
    <row r="212" spans="1:14" s="35" customFormat="1" ht="15.75" customHeight="1" x14ac:dyDescent="0.3">
      <c r="A212" s="70">
        <f t="shared" si="11"/>
        <v>6</v>
      </c>
      <c r="B212" s="71"/>
      <c r="C212" s="40" t="s">
        <v>197</v>
      </c>
      <c r="D212" s="53">
        <f>(2.9*4.45+2.15*3.05+2.9*3.05+2.9*3.7+1.65*0.6+1.7*1.2+2*1.2+0.9*0.6+0.9*5.6+1*2.9)*10.764</f>
        <v>569.92688999999984</v>
      </c>
      <c r="E212" s="40">
        <v>0</v>
      </c>
      <c r="F212" s="40">
        <f t="shared" si="10"/>
        <v>854.89033499999982</v>
      </c>
      <c r="G212" s="63"/>
      <c r="H212" s="64"/>
      <c r="I212" s="34"/>
      <c r="L212" s="60"/>
      <c r="M212" s="60"/>
      <c r="N212" s="34"/>
    </row>
    <row r="213" spans="1:14" s="35" customFormat="1" ht="15.75" customHeight="1" x14ac:dyDescent="0.3">
      <c r="A213" s="70">
        <f t="shared" si="11"/>
        <v>7</v>
      </c>
      <c r="B213" s="71"/>
      <c r="C213" s="40" t="s">
        <v>198</v>
      </c>
      <c r="D213" s="53">
        <f>(2.9*4.45+2.15*2.45+2.9*3.5+1.8*0.65+2*1.2+1.1*2.25+0.9*2.15+1*2.9)*10.764</f>
        <v>421.97570999999999</v>
      </c>
      <c r="E213" s="40">
        <v>0</v>
      </c>
      <c r="F213" s="40">
        <f t="shared" si="10"/>
        <v>632.96356500000002</v>
      </c>
      <c r="G213" s="63"/>
      <c r="H213" s="64"/>
      <c r="I213" s="34"/>
      <c r="J213" s="35">
        <f t="shared" si="12"/>
        <v>7267.4009285194797</v>
      </c>
      <c r="L213" s="60"/>
      <c r="M213" s="60"/>
      <c r="N213" s="34"/>
    </row>
    <row r="214" spans="1:14" s="35" customFormat="1" ht="15.75" customHeight="1" x14ac:dyDescent="0.3">
      <c r="A214" s="70">
        <f t="shared" si="11"/>
        <v>8</v>
      </c>
      <c r="B214" s="71"/>
      <c r="C214" s="40" t="s">
        <v>198</v>
      </c>
      <c r="D214" s="53">
        <f>(2.9*4.45+2.15*2.45+2.9*3.5+1.8*0.65+2*1.2+1.1*2.25+0.9*2.15+1*2.9)*10.764</f>
        <v>421.97570999999999</v>
      </c>
      <c r="E214" s="40">
        <v>0</v>
      </c>
      <c r="F214" s="40">
        <f t="shared" si="10"/>
        <v>632.96356500000002</v>
      </c>
      <c r="G214" s="63"/>
      <c r="H214" s="64"/>
      <c r="I214" s="34"/>
      <c r="J214" s="35">
        <f>4600000/F215</f>
        <v>7267.4009285194797</v>
      </c>
      <c r="L214" s="60"/>
      <c r="M214" s="60"/>
      <c r="N214" s="34"/>
    </row>
    <row r="215" spans="1:14" s="35" customFormat="1" ht="15.75" customHeight="1" x14ac:dyDescent="0.3">
      <c r="A215" s="70">
        <f t="shared" si="11"/>
        <v>9</v>
      </c>
      <c r="B215" s="71"/>
      <c r="C215" s="40" t="s">
        <v>198</v>
      </c>
      <c r="D215" s="53">
        <f>(2.9*4.45+2.15*2.45+2.9*3.5+1.8*0.65+2*1.2+1.1*2.25+0.9*2.15+1*2.9)*10.764</f>
        <v>421.97570999999999</v>
      </c>
      <c r="E215" s="40">
        <v>0</v>
      </c>
      <c r="F215" s="40">
        <f t="shared" si="10"/>
        <v>632.96356500000002</v>
      </c>
      <c r="G215" s="63"/>
      <c r="H215" s="64"/>
      <c r="I215" s="34"/>
      <c r="L215" s="60"/>
      <c r="M215" s="60"/>
      <c r="N215" s="34"/>
    </row>
    <row r="216" spans="1:14" s="35" customFormat="1" ht="15.75" customHeight="1" x14ac:dyDescent="0.3">
      <c r="A216" s="70">
        <f t="shared" si="11"/>
        <v>10</v>
      </c>
      <c r="B216" s="71"/>
      <c r="C216" s="40" t="s">
        <v>197</v>
      </c>
      <c r="D216" s="53">
        <f>(2.9*4.45+2.15*3.05+2.9*3.05+2.9*3.7+1.65*0.6+1.7*1.2+2*1.2+0.9*0.6+0.9*5.6+1*2.9)*10.764</f>
        <v>569.92688999999984</v>
      </c>
      <c r="E216" s="40">
        <v>0</v>
      </c>
      <c r="F216" s="40">
        <f t="shared" si="10"/>
        <v>854.89033499999982</v>
      </c>
      <c r="G216" s="65"/>
      <c r="H216" s="66"/>
      <c r="I216" s="34"/>
      <c r="L216" s="60"/>
      <c r="M216" s="60"/>
      <c r="N216" s="34"/>
    </row>
    <row r="217" spans="1:14" s="35" customFormat="1" x14ac:dyDescent="0.3">
      <c r="A217" s="72" t="s">
        <v>203</v>
      </c>
      <c r="B217" s="73"/>
      <c r="C217" s="73"/>
      <c r="D217" s="73"/>
      <c r="E217" s="73"/>
      <c r="F217" s="73"/>
      <c r="G217" s="73"/>
      <c r="H217" s="74"/>
      <c r="J217" s="34"/>
    </row>
    <row r="218" spans="1:14" s="35" customFormat="1" x14ac:dyDescent="0.3">
      <c r="A218" s="72" t="s">
        <v>215</v>
      </c>
      <c r="B218" s="73"/>
      <c r="C218" s="73"/>
      <c r="D218" s="73"/>
      <c r="E218" s="73"/>
      <c r="F218" s="73"/>
      <c r="G218" s="73"/>
      <c r="H218" s="74"/>
      <c r="J218" s="34"/>
    </row>
    <row r="219" spans="1:14" s="35" customFormat="1" x14ac:dyDescent="0.3">
      <c r="A219" s="72" t="s">
        <v>196</v>
      </c>
      <c r="B219" s="73"/>
      <c r="C219" s="73"/>
      <c r="D219" s="73"/>
      <c r="E219" s="73"/>
      <c r="F219" s="73"/>
      <c r="G219" s="73"/>
      <c r="H219" s="74"/>
      <c r="J219" s="34"/>
    </row>
    <row r="220" spans="1:14" s="35" customFormat="1" x14ac:dyDescent="0.3">
      <c r="A220" s="72" t="s">
        <v>200</v>
      </c>
      <c r="B220" s="73"/>
      <c r="C220" s="73"/>
      <c r="D220" s="73"/>
      <c r="E220" s="73"/>
      <c r="F220" s="73"/>
      <c r="G220" s="73"/>
      <c r="H220" s="74"/>
      <c r="J220" s="34"/>
    </row>
    <row r="221" spans="1:14" s="35" customFormat="1" ht="15.75" customHeight="1" x14ac:dyDescent="0.3">
      <c r="A221" s="70">
        <v>1</v>
      </c>
      <c r="B221" s="71"/>
      <c r="C221" s="40" t="s">
        <v>198</v>
      </c>
      <c r="D221" s="53">
        <f>(2.9*4.45+2.15*2.1+2.9*3.15+1.85*0.65+1.8*1.2+1.35*1.95+1.35*0.8+0.9*2.15)*10.764</f>
        <v>382.82165999999995</v>
      </c>
      <c r="E221" s="40">
        <v>0</v>
      </c>
      <c r="F221" s="40">
        <f t="shared" ref="F221:F228" si="13">D221*(($F$203)+1)+(IF(E221&lt;101,E221,IF(E221&lt;201,E221/2,IF(E221&lt;=301,E221/3,E221/4))))</f>
        <v>574.23248999999987</v>
      </c>
      <c r="G221" s="61" t="str">
        <f>A220</f>
        <v>1st to 7th, 9th to 12th, 14th to 17th, 19th to 22nd Floor For Residential</v>
      </c>
      <c r="H221" s="62"/>
      <c r="I221" s="34"/>
      <c r="J221" s="53">
        <v>10.763999999999999</v>
      </c>
      <c r="L221" s="60"/>
      <c r="M221" s="60"/>
      <c r="N221" s="34"/>
    </row>
    <row r="222" spans="1:14" s="35" customFormat="1" ht="15.75" customHeight="1" x14ac:dyDescent="0.3">
      <c r="A222" s="70">
        <f t="shared" ref="A222:A228" si="14">A221+1</f>
        <v>2</v>
      </c>
      <c r="B222" s="71"/>
      <c r="C222" s="40" t="s">
        <v>197</v>
      </c>
      <c r="D222" s="53">
        <f>(2.9*4.45+2.15*2.3+2.9*2.75+2.9*3.35+1.8*1.2+1.7*1.2+0.9*2.9+1*2.9)*10.764</f>
        <v>487.0709999999998</v>
      </c>
      <c r="E222" s="40">
        <v>0</v>
      </c>
      <c r="F222" s="40">
        <f t="shared" si="13"/>
        <v>730.60649999999964</v>
      </c>
      <c r="G222" s="63"/>
      <c r="H222" s="64"/>
      <c r="I222" s="34"/>
      <c r="L222" s="60"/>
      <c r="M222" s="60"/>
      <c r="N222" s="34"/>
    </row>
    <row r="223" spans="1:14" s="35" customFormat="1" ht="15.75" customHeight="1" x14ac:dyDescent="0.3">
      <c r="A223" s="70">
        <f t="shared" si="14"/>
        <v>3</v>
      </c>
      <c r="B223" s="71"/>
      <c r="C223" s="40" t="s">
        <v>197</v>
      </c>
      <c r="D223" s="53">
        <f>(2.9*4.45+2.15*2.3+2.9*2.75+2.9*3.35+1.8*1.2+1.7*1.2+0.9*2.9+1*2.9)*10.764</f>
        <v>487.0709999999998</v>
      </c>
      <c r="E223" s="40">
        <v>0</v>
      </c>
      <c r="F223" s="40">
        <f t="shared" si="13"/>
        <v>730.60649999999964</v>
      </c>
      <c r="G223" s="63"/>
      <c r="H223" s="64"/>
      <c r="I223" s="34"/>
      <c r="L223" s="60"/>
      <c r="M223" s="60"/>
      <c r="N223" s="34"/>
    </row>
    <row r="224" spans="1:14" s="35" customFormat="1" ht="15.75" customHeight="1" x14ac:dyDescent="0.3">
      <c r="A224" s="70">
        <f t="shared" si="14"/>
        <v>4</v>
      </c>
      <c r="B224" s="71"/>
      <c r="C224" s="40" t="s">
        <v>198</v>
      </c>
      <c r="D224" s="53">
        <f>(2.9*4.45+2.15*2.1+2.9*3.15+1.85*0.65+1.8*1.2+1.35*1.8+1.35*0.8+0.9*2.15)*10.764</f>
        <v>380.64195000000001</v>
      </c>
      <c r="E224" s="40">
        <v>0</v>
      </c>
      <c r="F224" s="40">
        <f t="shared" si="13"/>
        <v>570.96292500000004</v>
      </c>
      <c r="G224" s="63"/>
      <c r="H224" s="64"/>
      <c r="I224" s="34"/>
      <c r="L224" s="60"/>
      <c r="M224" s="60"/>
      <c r="N224" s="34"/>
    </row>
    <row r="225" spans="1:14" s="35" customFormat="1" ht="15.75" customHeight="1" x14ac:dyDescent="0.3">
      <c r="A225" s="70">
        <f t="shared" si="14"/>
        <v>5</v>
      </c>
      <c r="B225" s="71"/>
      <c r="C225" s="40" t="s">
        <v>198</v>
      </c>
      <c r="D225" s="53">
        <f>(2.9*4.45+2.15*2.1+2.9*3.15+1.85*0.65+1.8*1.2+1.35*1.95+1.35*0.8+0.9*2.15)*10.764</f>
        <v>382.82165999999995</v>
      </c>
      <c r="E225" s="40">
        <v>0</v>
      </c>
      <c r="F225" s="40">
        <f t="shared" si="13"/>
        <v>574.23248999999987</v>
      </c>
      <c r="G225" s="63"/>
      <c r="H225" s="64"/>
      <c r="I225" s="34"/>
      <c r="L225" s="60"/>
      <c r="M225" s="60"/>
      <c r="N225" s="34"/>
    </row>
    <row r="226" spans="1:14" s="35" customFormat="1" ht="15.75" customHeight="1" x14ac:dyDescent="0.3">
      <c r="A226" s="70">
        <f t="shared" si="14"/>
        <v>6</v>
      </c>
      <c r="B226" s="71"/>
      <c r="C226" s="40" t="s">
        <v>197</v>
      </c>
      <c r="D226" s="53">
        <f>(4.45*2.9+2.3*2.15+2.75*3.05+3.35*2.9+1.2*1.8+1.2*1.7+0.9*3.05+1*2.9)*10.764</f>
        <v>492.96428999999989</v>
      </c>
      <c r="E226" s="40">
        <v>0</v>
      </c>
      <c r="F226" s="40">
        <f t="shared" si="13"/>
        <v>739.44643499999984</v>
      </c>
      <c r="G226" s="63"/>
      <c r="H226" s="64"/>
      <c r="I226" s="34"/>
      <c r="L226" s="60"/>
      <c r="M226" s="60"/>
      <c r="N226" s="34"/>
    </row>
    <row r="227" spans="1:14" s="35" customFormat="1" ht="15.75" customHeight="1" x14ac:dyDescent="0.3">
      <c r="A227" s="70">
        <f t="shared" si="14"/>
        <v>7</v>
      </c>
      <c r="B227" s="71"/>
      <c r="C227" s="40" t="s">
        <v>198</v>
      </c>
      <c r="D227" s="53">
        <f>(4.45*2.9+2.45*2.15+3.5*2.9+1.85*0.65+1.2*2.15+1.8*1.2+0.9*2.15+1*2.9)*10.764</f>
        <v>420.87239999999997</v>
      </c>
      <c r="E227" s="40">
        <v>0</v>
      </c>
      <c r="F227" s="40">
        <f t="shared" si="13"/>
        <v>631.30859999999996</v>
      </c>
      <c r="G227" s="63"/>
      <c r="H227" s="64"/>
      <c r="I227" s="34"/>
      <c r="L227" s="60"/>
      <c r="M227" s="60"/>
      <c r="N227" s="34"/>
    </row>
    <row r="228" spans="1:14" s="35" customFormat="1" ht="15.75" customHeight="1" x14ac:dyDescent="0.3">
      <c r="A228" s="70">
        <f t="shared" si="14"/>
        <v>8</v>
      </c>
      <c r="B228" s="71"/>
      <c r="C228" s="40" t="s">
        <v>198</v>
      </c>
      <c r="D228" s="53">
        <f>(4.45*2.9+2.45*2.15+3.5*2.9+1.85*0.65+1.2*2.15+1.8*1.2+0.9*2.15+1*2.9)*10.764</f>
        <v>420.87239999999997</v>
      </c>
      <c r="E228" s="40">
        <v>0</v>
      </c>
      <c r="F228" s="40">
        <f t="shared" si="13"/>
        <v>631.30859999999996</v>
      </c>
      <c r="G228" s="65"/>
      <c r="H228" s="66"/>
      <c r="I228" s="34"/>
      <c r="L228" s="60"/>
      <c r="M228" s="60"/>
      <c r="N228" s="34"/>
    </row>
    <row r="229" spans="1:14" s="35" customFormat="1" x14ac:dyDescent="0.3">
      <c r="A229" s="72" t="s">
        <v>201</v>
      </c>
      <c r="B229" s="73"/>
      <c r="C229" s="73"/>
      <c r="D229" s="73"/>
      <c r="E229" s="73"/>
      <c r="F229" s="73"/>
      <c r="G229" s="73"/>
      <c r="H229" s="74"/>
      <c r="J229" s="34"/>
    </row>
    <row r="230" spans="1:14" s="35" customFormat="1" ht="15.75" customHeight="1" x14ac:dyDescent="0.3">
      <c r="A230" s="70">
        <v>1</v>
      </c>
      <c r="B230" s="71"/>
      <c r="C230" s="70" t="s">
        <v>202</v>
      </c>
      <c r="D230" s="79"/>
      <c r="E230" s="79"/>
      <c r="F230" s="71"/>
      <c r="G230" s="61" t="str">
        <f>A229</f>
        <v>8th, 13th &amp; 18th Floor (Part Refuge Area)</v>
      </c>
      <c r="H230" s="62"/>
      <c r="I230" s="34"/>
      <c r="J230" s="53">
        <v>10.763999999999999</v>
      </c>
      <c r="L230" s="60"/>
      <c r="M230" s="60"/>
      <c r="N230" s="34"/>
    </row>
    <row r="231" spans="1:14" s="35" customFormat="1" ht="15.75" customHeight="1" x14ac:dyDescent="0.3">
      <c r="A231" s="70">
        <f t="shared" ref="A231:A237" si="15">A230+1</f>
        <v>2</v>
      </c>
      <c r="B231" s="71"/>
      <c r="C231" s="40" t="s">
        <v>197</v>
      </c>
      <c r="D231" s="53">
        <f>(2.9*4.45+2.15*2.3+2.9*2.75+2.9*3.35+1.8*1.2+1.7*1.2+0.9*2.9+1*2.9)*10.764</f>
        <v>487.0709999999998</v>
      </c>
      <c r="E231" s="40">
        <v>0</v>
      </c>
      <c r="F231" s="40">
        <f t="shared" ref="F231:F237" si="16">D231*(($F$203)+1)+(IF(E231&lt;101,E231,IF(E231&lt;201,E231/2,IF(E231&lt;=301,E231/3,E231/4))))</f>
        <v>730.60649999999964</v>
      </c>
      <c r="G231" s="63"/>
      <c r="H231" s="64"/>
      <c r="I231" s="34"/>
      <c r="L231" s="60"/>
      <c r="M231" s="60"/>
      <c r="N231" s="34"/>
    </row>
    <row r="232" spans="1:14" s="35" customFormat="1" ht="15.75" customHeight="1" x14ac:dyDescent="0.3">
      <c r="A232" s="70">
        <f t="shared" si="15"/>
        <v>3</v>
      </c>
      <c r="B232" s="71"/>
      <c r="C232" s="40" t="s">
        <v>197</v>
      </c>
      <c r="D232" s="53">
        <f>(2.9*4.45+2.15*2.3+2.9*2.75+2.9*3.35+1.8*1.2+1.7*1.2+0.9*2.9+1*2.9)*10.764</f>
        <v>487.0709999999998</v>
      </c>
      <c r="E232" s="40">
        <v>0</v>
      </c>
      <c r="F232" s="40">
        <f t="shared" si="16"/>
        <v>730.60649999999964</v>
      </c>
      <c r="G232" s="63"/>
      <c r="H232" s="64"/>
      <c r="I232" s="34"/>
      <c r="L232" s="60"/>
      <c r="M232" s="60"/>
      <c r="N232" s="34"/>
    </row>
    <row r="233" spans="1:14" s="35" customFormat="1" ht="15.75" customHeight="1" x14ac:dyDescent="0.3">
      <c r="A233" s="70">
        <f t="shared" si="15"/>
        <v>4</v>
      </c>
      <c r="B233" s="71"/>
      <c r="C233" s="40" t="s">
        <v>198</v>
      </c>
      <c r="D233" s="53">
        <f>(2.9*4.45+2.15*2.1+2.9*3.15+1.85*0.65+1.8*1.2+1.35*1.8+1.35*0.8+0.9*2.15)*10.764</f>
        <v>380.64195000000001</v>
      </c>
      <c r="E233" s="40">
        <v>0</v>
      </c>
      <c r="F233" s="40">
        <f t="shared" si="16"/>
        <v>570.96292500000004</v>
      </c>
      <c r="G233" s="63"/>
      <c r="H233" s="64"/>
      <c r="I233" s="34"/>
      <c r="L233" s="60"/>
      <c r="M233" s="60"/>
      <c r="N233" s="34"/>
    </row>
    <row r="234" spans="1:14" s="35" customFormat="1" ht="15.75" customHeight="1" x14ac:dyDescent="0.3">
      <c r="A234" s="70">
        <f t="shared" si="15"/>
        <v>5</v>
      </c>
      <c r="B234" s="71"/>
      <c r="C234" s="40" t="s">
        <v>198</v>
      </c>
      <c r="D234" s="53">
        <f>(2.9*4.45+2.15*2.1+2.9*3.15+1.85*0.65+1.8*1.2+1.35*1.95+1.35*0.8+0.9*2.15)*10.764</f>
        <v>382.82165999999995</v>
      </c>
      <c r="E234" s="40">
        <v>0</v>
      </c>
      <c r="F234" s="40">
        <f t="shared" si="16"/>
        <v>574.23248999999987</v>
      </c>
      <c r="G234" s="63"/>
      <c r="H234" s="64"/>
      <c r="I234" s="34"/>
      <c r="L234" s="60"/>
      <c r="M234" s="60"/>
      <c r="N234" s="34"/>
    </row>
    <row r="235" spans="1:14" s="35" customFormat="1" ht="15.75" customHeight="1" x14ac:dyDescent="0.3">
      <c r="A235" s="70">
        <f t="shared" si="15"/>
        <v>6</v>
      </c>
      <c r="B235" s="71"/>
      <c r="C235" s="40" t="s">
        <v>197</v>
      </c>
      <c r="D235" s="53">
        <f>(4.45*2.9+2.3*2.15+2.75*3.05+3.35*2.9+1.2*1.8+1.2*1.7+0.9*3.05+1*2.9)*10.764</f>
        <v>492.96428999999989</v>
      </c>
      <c r="E235" s="40">
        <v>0</v>
      </c>
      <c r="F235" s="40">
        <f t="shared" si="16"/>
        <v>739.44643499999984</v>
      </c>
      <c r="G235" s="63"/>
      <c r="H235" s="64"/>
      <c r="I235" s="34"/>
      <c r="L235" s="60"/>
      <c r="M235" s="60"/>
      <c r="N235" s="34"/>
    </row>
    <row r="236" spans="1:14" s="35" customFormat="1" ht="15.75" customHeight="1" x14ac:dyDescent="0.3">
      <c r="A236" s="70">
        <f t="shared" si="15"/>
        <v>7</v>
      </c>
      <c r="B236" s="71"/>
      <c r="C236" s="40" t="s">
        <v>198</v>
      </c>
      <c r="D236" s="53">
        <f>(4.45*2.9+2.45*2.15+3.5*2.9+1.85*0.65+1.2*2.15+1.8*1.2+0.9*2.15+1*2.9)*10.764</f>
        <v>420.87239999999997</v>
      </c>
      <c r="E236" s="40">
        <v>0</v>
      </c>
      <c r="F236" s="40">
        <f t="shared" si="16"/>
        <v>631.30859999999996</v>
      </c>
      <c r="G236" s="63"/>
      <c r="H236" s="64"/>
      <c r="I236" s="34"/>
      <c r="L236" s="60"/>
      <c r="M236" s="60"/>
      <c r="N236" s="34"/>
    </row>
    <row r="237" spans="1:14" s="35" customFormat="1" ht="15.75" customHeight="1" x14ac:dyDescent="0.3">
      <c r="A237" s="70">
        <f t="shared" si="15"/>
        <v>8</v>
      </c>
      <c r="B237" s="71"/>
      <c r="C237" s="40" t="s">
        <v>198</v>
      </c>
      <c r="D237" s="53">
        <f>(4.45*2.9+2.45*2.15+3.5*2.9+1.85*0.65+1.2*2.15+1.8*1.2+0.9*2.15+1*2.9)*10.764</f>
        <v>420.87239999999997</v>
      </c>
      <c r="E237" s="40">
        <v>0</v>
      </c>
      <c r="F237" s="40">
        <f t="shared" si="16"/>
        <v>631.30859999999996</v>
      </c>
      <c r="G237" s="65"/>
      <c r="H237" s="66"/>
      <c r="I237" s="34"/>
      <c r="L237" s="60"/>
      <c r="M237" s="60"/>
      <c r="N237" s="34"/>
    </row>
    <row r="238" spans="1:14" s="35" customFormat="1" x14ac:dyDescent="0.3">
      <c r="A238" s="72" t="s">
        <v>203</v>
      </c>
      <c r="B238" s="73"/>
      <c r="C238" s="73"/>
      <c r="D238" s="73"/>
      <c r="E238" s="73"/>
      <c r="F238" s="73"/>
      <c r="G238" s="73"/>
      <c r="H238" s="74"/>
      <c r="J238" s="34"/>
    </row>
    <row r="239" spans="1:14" s="35" customFormat="1" x14ac:dyDescent="0.3">
      <c r="A239" s="72" t="s">
        <v>204</v>
      </c>
      <c r="B239" s="73"/>
      <c r="C239" s="73"/>
      <c r="D239" s="73"/>
      <c r="E239" s="73"/>
      <c r="F239" s="73"/>
      <c r="G239" s="73"/>
      <c r="H239" s="74"/>
      <c r="J239" s="34"/>
    </row>
    <row r="240" spans="1:14" s="35" customFormat="1" x14ac:dyDescent="0.3">
      <c r="A240" s="72" t="s">
        <v>196</v>
      </c>
      <c r="B240" s="73"/>
      <c r="C240" s="73"/>
      <c r="D240" s="73"/>
      <c r="E240" s="73"/>
      <c r="F240" s="73"/>
      <c r="G240" s="73"/>
      <c r="H240" s="74"/>
      <c r="J240" s="34"/>
    </row>
    <row r="241" spans="1:14" s="35" customFormat="1" x14ac:dyDescent="0.3">
      <c r="A241" s="72" t="s">
        <v>200</v>
      </c>
      <c r="B241" s="73"/>
      <c r="C241" s="73"/>
      <c r="D241" s="73"/>
      <c r="E241" s="73"/>
      <c r="F241" s="73"/>
      <c r="G241" s="73"/>
      <c r="H241" s="74"/>
      <c r="J241" s="34"/>
    </row>
    <row r="242" spans="1:14" s="35" customFormat="1" ht="15.75" customHeight="1" x14ac:dyDescent="0.3">
      <c r="A242" s="70">
        <v>1</v>
      </c>
      <c r="B242" s="71"/>
      <c r="C242" s="40" t="s">
        <v>197</v>
      </c>
      <c r="D242" s="53">
        <f>(4.45*2.9+2.3*2.15+2.75*2.9+3.35*2.9+1.2*1.7+1.2*1.8+0.9*2.9+1*2.9)*10.764</f>
        <v>487.07099999999991</v>
      </c>
      <c r="E242" s="40">
        <v>0</v>
      </c>
      <c r="F242" s="40">
        <f t="shared" ref="F242:F249" si="17">D242*(($F$203)+1)+(IF(E242&lt;101,E242,IF(E242&lt;201,E242/2,IF(E242&lt;=301,E242/3,E242/4))))</f>
        <v>730.60649999999987</v>
      </c>
      <c r="G242" s="61" t="str">
        <f>A241</f>
        <v>1st to 7th, 9th to 12th, 14th to 17th, 19th to 22nd Floor For Residential</v>
      </c>
      <c r="H242" s="62"/>
      <c r="I242" s="34"/>
      <c r="J242" s="53">
        <v>10.763999999999999</v>
      </c>
      <c r="L242" s="60"/>
      <c r="M242" s="60"/>
      <c r="N242" s="34"/>
    </row>
    <row r="243" spans="1:14" s="35" customFormat="1" ht="15.75" customHeight="1" x14ac:dyDescent="0.3">
      <c r="A243" s="70">
        <f t="shared" ref="A243:A249" si="18">A242+1</f>
        <v>2</v>
      </c>
      <c r="B243" s="71"/>
      <c r="C243" s="40" t="s">
        <v>198</v>
      </c>
      <c r="D243" s="53">
        <f>(4.45*2.9+2.1*2.15+3.15*2.9+0.65*1.85+1.95*1.35+1.2*1.8+0.9*2.15+0.7*1.35)*10.764</f>
        <v>381.36851999999999</v>
      </c>
      <c r="E243" s="40">
        <v>0</v>
      </c>
      <c r="F243" s="40">
        <f t="shared" si="17"/>
        <v>572.05277999999998</v>
      </c>
      <c r="G243" s="63"/>
      <c r="H243" s="64"/>
      <c r="I243" s="34"/>
      <c r="L243" s="60"/>
      <c r="M243" s="60"/>
      <c r="N243" s="34"/>
    </row>
    <row r="244" spans="1:14" s="35" customFormat="1" ht="15.75" customHeight="1" x14ac:dyDescent="0.3">
      <c r="A244" s="70">
        <f t="shared" si="18"/>
        <v>3</v>
      </c>
      <c r="B244" s="71"/>
      <c r="C244" s="40" t="s">
        <v>198</v>
      </c>
      <c r="D244" s="53">
        <f>(4.45*2.9+2.1*2.15+3.15*2.9+0.65*1.85+1.95*1.35+1.2*1.8+0.9*2.15+0.7*1.35)*10.764</f>
        <v>381.36851999999999</v>
      </c>
      <c r="E244" s="40">
        <v>0</v>
      </c>
      <c r="F244" s="40">
        <f t="shared" si="17"/>
        <v>572.05277999999998</v>
      </c>
      <c r="G244" s="63"/>
      <c r="H244" s="64"/>
      <c r="I244" s="34"/>
      <c r="L244" s="60"/>
      <c r="M244" s="60"/>
      <c r="N244" s="34"/>
    </row>
    <row r="245" spans="1:14" s="35" customFormat="1" ht="15.75" customHeight="1" x14ac:dyDescent="0.3">
      <c r="A245" s="70">
        <f t="shared" si="18"/>
        <v>4</v>
      </c>
      <c r="B245" s="71"/>
      <c r="C245" s="40" t="s">
        <v>198</v>
      </c>
      <c r="D245" s="53">
        <f>(4.45*2.9+2.45*2.25+3.5*2.9+0.65*1.65+1.2*2.15+1.65*1.2+0.9*2.25+1*2.9)*10.764</f>
        <v>421.14149999999995</v>
      </c>
      <c r="E245" s="40">
        <v>0</v>
      </c>
      <c r="F245" s="40">
        <f t="shared" si="17"/>
        <v>631.71224999999993</v>
      </c>
      <c r="G245" s="63"/>
      <c r="H245" s="64"/>
      <c r="I245" s="34"/>
      <c r="L245" s="60"/>
      <c r="M245" s="60"/>
      <c r="N245" s="34"/>
    </row>
    <row r="246" spans="1:14" s="35" customFormat="1" ht="15.75" customHeight="1" x14ac:dyDescent="0.3">
      <c r="A246" s="70">
        <f t="shared" si="18"/>
        <v>5</v>
      </c>
      <c r="B246" s="71"/>
      <c r="C246" s="40" t="s">
        <v>198</v>
      </c>
      <c r="D246" s="53">
        <f>(4.45*2.9+2.45*2.25+3.5*2.9+0.65*1.65+1.2*2.15+1.65*1.2+0.9*2.25+1*2.9)*10.764</f>
        <v>421.14149999999995</v>
      </c>
      <c r="E246" s="40">
        <v>0</v>
      </c>
      <c r="F246" s="40">
        <f t="shared" si="17"/>
        <v>631.71224999999993</v>
      </c>
      <c r="G246" s="63"/>
      <c r="H246" s="64"/>
      <c r="I246" s="34"/>
      <c r="L246" s="60"/>
      <c r="M246" s="60"/>
      <c r="N246" s="34"/>
    </row>
    <row r="247" spans="1:14" s="35" customFormat="1" ht="15.75" customHeight="1" x14ac:dyDescent="0.3">
      <c r="A247" s="70">
        <f t="shared" si="18"/>
        <v>6</v>
      </c>
      <c r="B247" s="71"/>
      <c r="C247" s="40" t="s">
        <v>198</v>
      </c>
      <c r="D247" s="53">
        <f>(4.45*2.9+2.45*2.25+3.5*2.9+0.65*1.8+1.2*2+2.25*1.2+0.9*2.25+1*2.9)*10.764</f>
        <v>428.00355000000002</v>
      </c>
      <c r="E247" s="40">
        <v>0</v>
      </c>
      <c r="F247" s="40">
        <f t="shared" si="17"/>
        <v>642.00532500000008</v>
      </c>
      <c r="G247" s="63"/>
      <c r="H247" s="64"/>
      <c r="I247" s="34"/>
      <c r="L247" s="60"/>
      <c r="M247" s="60"/>
      <c r="N247" s="34"/>
    </row>
    <row r="248" spans="1:14" s="35" customFormat="1" ht="15.75" customHeight="1" x14ac:dyDescent="0.3">
      <c r="A248" s="70">
        <f t="shared" si="18"/>
        <v>7</v>
      </c>
      <c r="B248" s="71"/>
      <c r="C248" s="40" t="s">
        <v>198</v>
      </c>
      <c r="D248" s="53">
        <f>(4.45*2.9+2.45*2.25+3.5*2.9+0.65*1.8+1.2*2+2.25*1.2+0.9*2.25+1*2.9)*10.764</f>
        <v>428.00355000000002</v>
      </c>
      <c r="E248" s="40">
        <v>0</v>
      </c>
      <c r="F248" s="40">
        <f t="shared" si="17"/>
        <v>642.00532500000008</v>
      </c>
      <c r="G248" s="63"/>
      <c r="H248" s="64"/>
      <c r="I248" s="34"/>
      <c r="L248" s="60"/>
      <c r="M248" s="60"/>
      <c r="N248" s="34"/>
    </row>
    <row r="249" spans="1:14" s="35" customFormat="1" ht="15.75" customHeight="1" x14ac:dyDescent="0.3">
      <c r="A249" s="70">
        <f t="shared" si="18"/>
        <v>8</v>
      </c>
      <c r="B249" s="71"/>
      <c r="C249" s="40" t="s">
        <v>197</v>
      </c>
      <c r="D249" s="53">
        <f>(4.45*2.9+2.3*2.15+2.75*2.9+3.35*2.9+1.2*1.7+1.2*1.8+0.9*2.9+1*2.9)*10.764</f>
        <v>487.07099999999991</v>
      </c>
      <c r="E249" s="40">
        <v>0</v>
      </c>
      <c r="F249" s="40">
        <f t="shared" si="17"/>
        <v>730.60649999999987</v>
      </c>
      <c r="G249" s="65"/>
      <c r="H249" s="66"/>
      <c r="I249" s="34"/>
      <c r="L249" s="60"/>
      <c r="M249" s="60"/>
      <c r="N249" s="34"/>
    </row>
    <row r="250" spans="1:14" s="35" customFormat="1" x14ac:dyDescent="0.3">
      <c r="A250" s="72" t="s">
        <v>201</v>
      </c>
      <c r="B250" s="73"/>
      <c r="C250" s="73"/>
      <c r="D250" s="73"/>
      <c r="E250" s="73"/>
      <c r="F250" s="73"/>
      <c r="G250" s="73"/>
      <c r="H250" s="74"/>
      <c r="J250" s="34"/>
    </row>
    <row r="251" spans="1:14" s="35" customFormat="1" ht="15.75" customHeight="1" x14ac:dyDescent="0.3">
      <c r="A251" s="70">
        <v>1</v>
      </c>
      <c r="B251" s="71"/>
      <c r="C251" s="40" t="s">
        <v>197</v>
      </c>
      <c r="D251" s="53">
        <f>(4.45*2.9+2.3*2.15+2.75*2.9+3.35*2.9+1.2*1.7+1.2*1.8+0.9*2.9+1*2.9)*10.764</f>
        <v>487.07099999999991</v>
      </c>
      <c r="E251" s="40">
        <v>0</v>
      </c>
      <c r="F251" s="40">
        <f>D251*(($F$203)+1)+(IF(E251&lt;101,E251,IF(E251&lt;201,E251/2,IF(E251&lt;=301,E251/3,E251/4))))</f>
        <v>730.60649999999987</v>
      </c>
      <c r="G251" s="61" t="str">
        <f>A250</f>
        <v>8th, 13th &amp; 18th Floor (Part Refuge Area)</v>
      </c>
      <c r="H251" s="62"/>
      <c r="I251" s="34"/>
      <c r="J251" s="53">
        <v>10.763999999999999</v>
      </c>
      <c r="L251" s="60"/>
      <c r="M251" s="60"/>
      <c r="N251" s="34"/>
    </row>
    <row r="252" spans="1:14" s="35" customFormat="1" ht="15.75" customHeight="1" x14ac:dyDescent="0.3">
      <c r="A252" s="70">
        <f t="shared" ref="A252:A258" si="19">A251+1</f>
        <v>2</v>
      </c>
      <c r="B252" s="71"/>
      <c r="C252" s="40" t="s">
        <v>198</v>
      </c>
      <c r="D252" s="53">
        <f>(4.45*2.9+2.1*2.15+3.15*2.9+0.65*1.85+1.95*1.35+1.2*1.8+0.9*2.15+0.7*1.35)*10.764</f>
        <v>381.36851999999999</v>
      </c>
      <c r="E252" s="40">
        <v>0</v>
      </c>
      <c r="F252" s="40">
        <f>D252*(($F$203)+1)+(IF(E252&lt;101,E252,IF(E252&lt;201,E252/2,IF(E252&lt;=301,E252/3,E252/4))))</f>
        <v>572.05277999999998</v>
      </c>
      <c r="G252" s="63"/>
      <c r="H252" s="64"/>
      <c r="I252" s="34"/>
      <c r="L252" s="60"/>
      <c r="M252" s="60"/>
      <c r="N252" s="34"/>
    </row>
    <row r="253" spans="1:14" s="35" customFormat="1" ht="15.75" customHeight="1" x14ac:dyDescent="0.3">
      <c r="A253" s="70">
        <f t="shared" si="19"/>
        <v>3</v>
      </c>
      <c r="B253" s="71"/>
      <c r="C253" s="70" t="s">
        <v>202</v>
      </c>
      <c r="D253" s="79"/>
      <c r="E253" s="79"/>
      <c r="F253" s="71"/>
      <c r="G253" s="63"/>
      <c r="H253" s="64"/>
      <c r="I253" s="34"/>
      <c r="L253" s="60"/>
      <c r="M253" s="60"/>
      <c r="N253" s="34"/>
    </row>
    <row r="254" spans="1:14" s="35" customFormat="1" ht="15.75" customHeight="1" x14ac:dyDescent="0.3">
      <c r="A254" s="70">
        <f t="shared" si="19"/>
        <v>4</v>
      </c>
      <c r="B254" s="71"/>
      <c r="C254" s="40" t="s">
        <v>198</v>
      </c>
      <c r="D254" s="53">
        <f>(4.45*2.9+2.45*2.25+3.5*2.9+0.65*1.65+1.2*2.15+1.65*1.2+0.9*2.25+1*2.9)*10.764</f>
        <v>421.14149999999995</v>
      </c>
      <c r="E254" s="40">
        <v>0</v>
      </c>
      <c r="F254" s="40">
        <f>D254*(($F$203)+1)+(IF(E254&lt;101,E254,IF(E254&lt;201,E254/2,IF(E254&lt;=301,E254/3,E254/4))))</f>
        <v>631.71224999999993</v>
      </c>
      <c r="G254" s="63"/>
      <c r="H254" s="64"/>
      <c r="I254" s="34"/>
      <c r="L254" s="60"/>
      <c r="M254" s="60"/>
      <c r="N254" s="34"/>
    </row>
    <row r="255" spans="1:14" s="35" customFormat="1" ht="15.75" customHeight="1" x14ac:dyDescent="0.3">
      <c r="A255" s="70">
        <f t="shared" si="19"/>
        <v>5</v>
      </c>
      <c r="B255" s="71"/>
      <c r="C255" s="40" t="s">
        <v>198</v>
      </c>
      <c r="D255" s="53">
        <f>(4.45*2.9+2.45*2.25+3.5*2.9+0.65*1.65+1.2*2.15+1.65*1.2+0.9*2.25+1*2.9)*10.764</f>
        <v>421.14149999999995</v>
      </c>
      <c r="E255" s="40">
        <v>0</v>
      </c>
      <c r="F255" s="40">
        <f>D255*(($F$203)+1)+(IF(E255&lt;101,E255,IF(E255&lt;201,E255/2,IF(E255&lt;=301,E255/3,E255/4))))</f>
        <v>631.71224999999993</v>
      </c>
      <c r="G255" s="63"/>
      <c r="H255" s="64"/>
      <c r="I255" s="34"/>
      <c r="L255" s="60"/>
      <c r="M255" s="60"/>
      <c r="N255" s="34"/>
    </row>
    <row r="256" spans="1:14" s="35" customFormat="1" ht="15.75" customHeight="1" x14ac:dyDescent="0.3">
      <c r="A256" s="70">
        <f t="shared" si="19"/>
        <v>6</v>
      </c>
      <c r="B256" s="71"/>
      <c r="C256" s="40" t="s">
        <v>198</v>
      </c>
      <c r="D256" s="53">
        <f>(4.45*2.9+2.45*2.25+3.5*2.9+0.65*1.8+1.2*2+2.25*1.2+0.9*2.25+1*2.9)*10.764</f>
        <v>428.00355000000002</v>
      </c>
      <c r="E256" s="40">
        <v>0</v>
      </c>
      <c r="F256" s="40">
        <f>D256*(($F$203)+1)+(IF(E256&lt;101,E256,IF(E256&lt;201,E256/2,IF(E256&lt;=301,E256/3,E256/4))))</f>
        <v>642.00532500000008</v>
      </c>
      <c r="G256" s="63"/>
      <c r="H256" s="64"/>
      <c r="I256" s="34"/>
      <c r="L256" s="60"/>
      <c r="M256" s="60"/>
      <c r="N256" s="34"/>
    </row>
    <row r="257" spans="1:14" s="35" customFormat="1" ht="15.75" customHeight="1" x14ac:dyDescent="0.3">
      <c r="A257" s="70">
        <f t="shared" si="19"/>
        <v>7</v>
      </c>
      <c r="B257" s="71"/>
      <c r="C257" s="40" t="s">
        <v>198</v>
      </c>
      <c r="D257" s="53">
        <f>(4.45*2.9+2.45*2.25+3.5*2.9+0.65*1.8+1.2*2+2.25*1.2+0.9*2.25+1*2.9)*10.764</f>
        <v>428.00355000000002</v>
      </c>
      <c r="E257" s="40">
        <v>0</v>
      </c>
      <c r="F257" s="40">
        <f>D257*(($F$203)+1)+(IF(E257&lt;101,E257,IF(E257&lt;201,E257/2,IF(E257&lt;=301,E257/3,E257/4))))</f>
        <v>642.00532500000008</v>
      </c>
      <c r="G257" s="63"/>
      <c r="H257" s="64"/>
      <c r="I257" s="34"/>
      <c r="L257" s="60"/>
      <c r="M257" s="60"/>
      <c r="N257" s="34"/>
    </row>
    <row r="258" spans="1:14" s="35" customFormat="1" ht="15.75" customHeight="1" x14ac:dyDescent="0.3">
      <c r="A258" s="70">
        <f t="shared" si="19"/>
        <v>8</v>
      </c>
      <c r="B258" s="71"/>
      <c r="C258" s="40" t="s">
        <v>197</v>
      </c>
      <c r="D258" s="53">
        <f>(4.45*2.9+2.3*2.15+2.75*2.9+3.35*2.9+1.2*1.7+1.2*1.8+0.9*2.9+1*2.9)*10.764</f>
        <v>487.07099999999991</v>
      </c>
      <c r="E258" s="40">
        <v>0</v>
      </c>
      <c r="F258" s="40">
        <f>D258*(($F$203)+1)+(IF(E258&lt;101,E258,IF(E258&lt;201,E258/2,IF(E258&lt;=301,E258/3,E258/4))))</f>
        <v>730.60649999999987</v>
      </c>
      <c r="G258" s="65"/>
      <c r="H258" s="66"/>
      <c r="I258" s="34"/>
      <c r="L258" s="60"/>
      <c r="M258" s="60"/>
      <c r="N258" s="34"/>
    </row>
    <row r="259" spans="1:14" s="35" customFormat="1" x14ac:dyDescent="0.3">
      <c r="A259" s="72" t="s">
        <v>203</v>
      </c>
      <c r="B259" s="73"/>
      <c r="C259" s="73"/>
      <c r="D259" s="73"/>
      <c r="E259" s="73"/>
      <c r="F259" s="73"/>
      <c r="G259" s="73"/>
      <c r="H259" s="74"/>
      <c r="J259" s="34"/>
    </row>
    <row r="260" spans="1:14" s="35" customFormat="1" x14ac:dyDescent="0.3">
      <c r="A260" s="72" t="s">
        <v>205</v>
      </c>
      <c r="B260" s="73"/>
      <c r="C260" s="73"/>
      <c r="D260" s="73"/>
      <c r="E260" s="73"/>
      <c r="F260" s="73"/>
      <c r="G260" s="73"/>
      <c r="H260" s="74"/>
      <c r="J260" s="34"/>
    </row>
    <row r="261" spans="1:14" s="35" customFormat="1" x14ac:dyDescent="0.3">
      <c r="A261" s="72" t="s">
        <v>196</v>
      </c>
      <c r="B261" s="73"/>
      <c r="C261" s="73"/>
      <c r="D261" s="73"/>
      <c r="E261" s="73"/>
      <c r="F261" s="73"/>
      <c r="G261" s="73"/>
      <c r="H261" s="74"/>
      <c r="J261" s="34"/>
    </row>
    <row r="262" spans="1:14" s="35" customFormat="1" x14ac:dyDescent="0.3">
      <c r="A262" s="72" t="s">
        <v>206</v>
      </c>
      <c r="B262" s="73"/>
      <c r="C262" s="73"/>
      <c r="D262" s="73"/>
      <c r="E262" s="73"/>
      <c r="F262" s="73"/>
      <c r="G262" s="73"/>
      <c r="H262" s="74"/>
      <c r="J262" s="34"/>
    </row>
    <row r="263" spans="1:14" s="35" customFormat="1" ht="15.75" customHeight="1" x14ac:dyDescent="0.3">
      <c r="A263" s="70">
        <v>1</v>
      </c>
      <c r="B263" s="71"/>
      <c r="C263" s="40" t="s">
        <v>197</v>
      </c>
      <c r="D263" s="53">
        <f>(4.45*2.9+2.3*2.15+2.75*2.9+3.35*2.9+1.2*1.7+1.2*1.8+0.9*2.9+1*2.9)*10.764</f>
        <v>487.07099999999991</v>
      </c>
      <c r="E263" s="40">
        <v>0</v>
      </c>
      <c r="F263" s="40">
        <f t="shared" ref="F263:F270" si="20">D263*(($F$203)+1)+(IF(E263&lt;101,E263,IF(E263&lt;201,E263/2,IF(E263&lt;=301,E263/3,E263/4))))</f>
        <v>730.60649999999987</v>
      </c>
      <c r="G263" s="61" t="str">
        <f>A262</f>
        <v>1st to 7th, 9th to 12th, 14th &amp; 15th Floor For Residential</v>
      </c>
      <c r="H263" s="62"/>
      <c r="I263" s="34"/>
      <c r="J263" s="53">
        <v>10.763999999999999</v>
      </c>
      <c r="L263" s="60"/>
      <c r="M263" s="60"/>
      <c r="N263" s="34"/>
    </row>
    <row r="264" spans="1:14" s="35" customFormat="1" ht="15.75" customHeight="1" x14ac:dyDescent="0.3">
      <c r="A264" s="70">
        <f t="shared" ref="A264:A270" si="21">A263+1</f>
        <v>2</v>
      </c>
      <c r="B264" s="71"/>
      <c r="C264" s="40" t="s">
        <v>198</v>
      </c>
      <c r="D264" s="53">
        <f>(4.45*2.9+2.1*2.15+3.15*2.9+0.65*1.85+1.95*1.35+1.2*1.8+0.9*2.15+0.7*1.35)*10.764</f>
        <v>381.36851999999999</v>
      </c>
      <c r="E264" s="40">
        <v>0</v>
      </c>
      <c r="F264" s="40">
        <f t="shared" si="20"/>
        <v>572.05277999999998</v>
      </c>
      <c r="G264" s="63"/>
      <c r="H264" s="64"/>
      <c r="I264" s="34"/>
      <c r="L264" s="60"/>
      <c r="M264" s="60"/>
      <c r="N264" s="34"/>
    </row>
    <row r="265" spans="1:14" s="35" customFormat="1" ht="15.75" customHeight="1" x14ac:dyDescent="0.3">
      <c r="A265" s="70">
        <f t="shared" si="21"/>
        <v>3</v>
      </c>
      <c r="B265" s="71"/>
      <c r="C265" s="40" t="s">
        <v>198</v>
      </c>
      <c r="D265" s="53">
        <f>(4.45*2.9+2.1*2.15+3.15*2.9+0.65*1.85+1.95*1.35+1.2*1.8+0.9*2.15+0.7*1.35)*10.764</f>
        <v>381.36851999999999</v>
      </c>
      <c r="E265" s="40">
        <v>0</v>
      </c>
      <c r="F265" s="40">
        <f t="shared" si="20"/>
        <v>572.05277999999998</v>
      </c>
      <c r="G265" s="63"/>
      <c r="H265" s="64"/>
      <c r="I265" s="34"/>
      <c r="L265" s="60"/>
      <c r="M265" s="60"/>
      <c r="N265" s="34"/>
    </row>
    <row r="266" spans="1:14" s="35" customFormat="1" ht="15.75" customHeight="1" x14ac:dyDescent="0.3">
      <c r="A266" s="70">
        <f t="shared" si="21"/>
        <v>4</v>
      </c>
      <c r="B266" s="71"/>
      <c r="C266" s="40" t="s">
        <v>197</v>
      </c>
      <c r="D266" s="53">
        <f>(4.45*2.9+1.35*1.5+3.05*2.25+3.05*2.9+3.7*2.9+0.65*1.65+1.2*1.7+1.2*2+0.6*0.9+0.9*5.35+1*2.9)*10.764</f>
        <v>593.47313999999983</v>
      </c>
      <c r="E266" s="40">
        <v>0</v>
      </c>
      <c r="F266" s="40">
        <f t="shared" si="20"/>
        <v>890.20970999999975</v>
      </c>
      <c r="G266" s="63"/>
      <c r="H266" s="64"/>
      <c r="I266" s="34"/>
      <c r="L266" s="60"/>
      <c r="M266" s="60"/>
      <c r="N266" s="34"/>
    </row>
    <row r="267" spans="1:14" s="35" customFormat="1" ht="15.75" customHeight="1" x14ac:dyDescent="0.3">
      <c r="A267" s="70">
        <f t="shared" si="21"/>
        <v>5</v>
      </c>
      <c r="B267" s="71"/>
      <c r="C267" s="40" t="s">
        <v>197</v>
      </c>
      <c r="D267" s="53">
        <f>(4.45*2.9+1.35*1.5+3.05*2.25+3.05*2.9+3.7*2.9+0.65*1.65+1.2*1.7+1.2*2+0.6*0.9+0.9*5.35+1*2.9)*10.764</f>
        <v>593.47313999999983</v>
      </c>
      <c r="E267" s="40">
        <v>0</v>
      </c>
      <c r="F267" s="40">
        <f t="shared" si="20"/>
        <v>890.20970999999975</v>
      </c>
      <c r="G267" s="63"/>
      <c r="H267" s="64"/>
      <c r="I267" s="34"/>
      <c r="L267" s="60"/>
      <c r="M267" s="60"/>
      <c r="N267" s="34"/>
    </row>
    <row r="268" spans="1:14" s="35" customFormat="1" ht="15.75" customHeight="1" x14ac:dyDescent="0.3">
      <c r="A268" s="70">
        <f t="shared" si="21"/>
        <v>6</v>
      </c>
      <c r="B268" s="71"/>
      <c r="C268" s="40" t="s">
        <v>198</v>
      </c>
      <c r="D268" s="53">
        <f>(4.45*2.9+2.45*2.25+3.5*2.9+0.65*1.8+1.2*2+2.25*1.2+0.9*2.25+1*2.9)*10.764</f>
        <v>428.00355000000002</v>
      </c>
      <c r="E268" s="40">
        <v>0</v>
      </c>
      <c r="F268" s="40">
        <f t="shared" si="20"/>
        <v>642.00532500000008</v>
      </c>
      <c r="G268" s="63"/>
      <c r="H268" s="64"/>
      <c r="I268" s="34"/>
      <c r="L268" s="60"/>
      <c r="M268" s="60"/>
      <c r="N268" s="34"/>
    </row>
    <row r="269" spans="1:14" s="35" customFormat="1" ht="15.75" customHeight="1" x14ac:dyDescent="0.3">
      <c r="A269" s="70">
        <f t="shared" si="21"/>
        <v>7</v>
      </c>
      <c r="B269" s="71"/>
      <c r="C269" s="40" t="s">
        <v>198</v>
      </c>
      <c r="D269" s="53">
        <f>(4.45*2.9+2.45*2.25+3.5*2.9+0.65*1.8+1.2*2+2.25*1.2+0.9*2.25+1*2.9)*10.764</f>
        <v>428.00355000000002</v>
      </c>
      <c r="E269" s="40">
        <v>0</v>
      </c>
      <c r="F269" s="40">
        <f t="shared" si="20"/>
        <v>642.00532500000008</v>
      </c>
      <c r="G269" s="63"/>
      <c r="H269" s="64"/>
      <c r="I269" s="34"/>
      <c r="L269" s="60"/>
      <c r="M269" s="60"/>
      <c r="N269" s="34"/>
    </row>
    <row r="270" spans="1:14" s="35" customFormat="1" ht="15.75" customHeight="1" x14ac:dyDescent="0.3">
      <c r="A270" s="70">
        <f t="shared" si="21"/>
        <v>8</v>
      </c>
      <c r="B270" s="71"/>
      <c r="C270" s="40" t="s">
        <v>197</v>
      </c>
      <c r="D270" s="53">
        <f>(4.45*2.9+2.3*2.15+2.75*2.9+3.35*2.9+1.2*1.7+1.2*1.8+0.9*2.9+1*2.9)*10.764</f>
        <v>487.07099999999991</v>
      </c>
      <c r="E270" s="40">
        <v>0</v>
      </c>
      <c r="F270" s="40">
        <f t="shared" si="20"/>
        <v>730.60649999999987</v>
      </c>
      <c r="G270" s="65"/>
      <c r="H270" s="66"/>
      <c r="I270" s="34"/>
      <c r="L270" s="60"/>
      <c r="M270" s="60"/>
      <c r="N270" s="34"/>
    </row>
    <row r="271" spans="1:14" s="35" customFormat="1" x14ac:dyDescent="0.3">
      <c r="A271" s="72" t="s">
        <v>207</v>
      </c>
      <c r="B271" s="73"/>
      <c r="C271" s="73"/>
      <c r="D271" s="73"/>
      <c r="E271" s="73"/>
      <c r="F271" s="73"/>
      <c r="G271" s="73"/>
      <c r="H271" s="74"/>
      <c r="J271" s="34"/>
    </row>
    <row r="272" spans="1:14" s="35" customFormat="1" ht="15.75" customHeight="1" x14ac:dyDescent="0.3">
      <c r="A272" s="70">
        <v>1</v>
      </c>
      <c r="B272" s="71"/>
      <c r="C272" s="40" t="s">
        <v>197</v>
      </c>
      <c r="D272" s="53">
        <f>(4.45*2.9+2.3*2.15+2.75*2.9+3.35*2.9+1.2*1.7+1.2*1.8+0.9*2.9+1*2.9)*10.764</f>
        <v>487.07099999999991</v>
      </c>
      <c r="E272" s="40">
        <v>0</v>
      </c>
      <c r="F272" s="40">
        <f>D272*(($F$203)+1)+(IF(E272&lt;101,E272,IF(E272&lt;201,E272/2,IF(E272&lt;=301,E272/3,E272/4))))</f>
        <v>730.60649999999987</v>
      </c>
      <c r="G272" s="61" t="str">
        <f>A271</f>
        <v>8th &amp; 13th Floor (Part Refuge Area)</v>
      </c>
      <c r="H272" s="62"/>
      <c r="I272" s="34"/>
      <c r="J272" s="53">
        <v>10.763999999999999</v>
      </c>
      <c r="L272" s="60"/>
      <c r="M272" s="60"/>
      <c r="N272" s="34"/>
    </row>
    <row r="273" spans="1:14" s="35" customFormat="1" ht="15.75" customHeight="1" x14ac:dyDescent="0.3">
      <c r="A273" s="70">
        <f t="shared" ref="A273:A279" si="22">A272+1</f>
        <v>2</v>
      </c>
      <c r="B273" s="71"/>
      <c r="C273" s="40" t="s">
        <v>198</v>
      </c>
      <c r="D273" s="53">
        <f>(4.45*2.9+2.1*2.15+3.15*2.9+0.65*1.85+1.95*1.35+1.2*1.8+0.9*2.15+0.7*1.35)*10.764</f>
        <v>381.36851999999999</v>
      </c>
      <c r="E273" s="40">
        <v>0</v>
      </c>
      <c r="F273" s="40">
        <f>D273*(($F$203)+1)+(IF(E273&lt;101,E273,IF(E273&lt;201,E273/2,IF(E273&lt;=301,E273/3,E273/4))))</f>
        <v>572.05277999999998</v>
      </c>
      <c r="G273" s="63"/>
      <c r="H273" s="64"/>
      <c r="I273" s="34"/>
      <c r="L273" s="60"/>
      <c r="M273" s="60"/>
      <c r="N273" s="34"/>
    </row>
    <row r="274" spans="1:14" s="35" customFormat="1" ht="15.75" customHeight="1" x14ac:dyDescent="0.3">
      <c r="A274" s="70">
        <f t="shared" si="22"/>
        <v>3</v>
      </c>
      <c r="B274" s="71"/>
      <c r="C274" s="70" t="s">
        <v>202</v>
      </c>
      <c r="D274" s="79"/>
      <c r="E274" s="79"/>
      <c r="F274" s="71"/>
      <c r="G274" s="63"/>
      <c r="H274" s="64"/>
      <c r="I274" s="34"/>
      <c r="L274" s="60"/>
      <c r="M274" s="60"/>
      <c r="N274" s="34"/>
    </row>
    <row r="275" spans="1:14" s="35" customFormat="1" ht="15.75" customHeight="1" x14ac:dyDescent="0.3">
      <c r="A275" s="70">
        <f t="shared" si="22"/>
        <v>4</v>
      </c>
      <c r="B275" s="71"/>
      <c r="C275" s="40" t="s">
        <v>197</v>
      </c>
      <c r="D275" s="53">
        <f>(4.45*2.9+1.35*1.5+3.05*2.25+3.05*2.9+3.7*2.9+0.65*1.65+1.2*1.7+1.2*2+0.6*0.9+0.9*5.35+1*2.9)*10.764</f>
        <v>593.47313999999983</v>
      </c>
      <c r="E275" s="40">
        <v>0</v>
      </c>
      <c r="F275" s="40">
        <f>D275*(($F$203)+1)+(IF(E275&lt;101,E275,IF(E275&lt;201,E275/2,IF(E275&lt;=301,E275/3,E275/4))))</f>
        <v>890.20970999999975</v>
      </c>
      <c r="G275" s="63"/>
      <c r="H275" s="64"/>
      <c r="I275" s="34"/>
      <c r="J275" s="35">
        <f>8000*F275</f>
        <v>7121677.6799999978</v>
      </c>
      <c r="L275" s="60"/>
      <c r="M275" s="60"/>
      <c r="N275" s="34"/>
    </row>
    <row r="276" spans="1:14" s="35" customFormat="1" ht="15.75" customHeight="1" x14ac:dyDescent="0.3">
      <c r="A276" s="70">
        <f t="shared" si="22"/>
        <v>5</v>
      </c>
      <c r="B276" s="71"/>
      <c r="C276" s="40" t="s">
        <v>197</v>
      </c>
      <c r="D276" s="53">
        <f>(4.45*2.9+1.35*1.5+3.05*2.25+3.05*2.9+3.7*2.9+0.65*1.65+1.2*1.7+1.2*2+0.6*0.9+0.9*5.35+1*2.9)*10.764</f>
        <v>593.47313999999983</v>
      </c>
      <c r="E276" s="40">
        <v>0</v>
      </c>
      <c r="F276" s="40">
        <f>D276*(($F$203)+1)+(IF(E276&lt;101,E276,IF(E276&lt;201,E276/2,IF(E276&lt;=301,E276/3,E276/4))))</f>
        <v>890.20970999999975</v>
      </c>
      <c r="G276" s="63"/>
      <c r="H276" s="64"/>
      <c r="I276" s="34"/>
      <c r="L276" s="60"/>
      <c r="M276" s="60"/>
      <c r="N276" s="34"/>
    </row>
    <row r="277" spans="1:14" s="35" customFormat="1" ht="15.75" customHeight="1" x14ac:dyDescent="0.3">
      <c r="A277" s="70">
        <f t="shared" si="22"/>
        <v>6</v>
      </c>
      <c r="B277" s="71"/>
      <c r="C277" s="40" t="s">
        <v>198</v>
      </c>
      <c r="D277" s="53">
        <f>(4.45*2.9+2.45*2.25+3.5*2.9+0.65*1.8+1.2*2+2.25*1.2+0.9*2.25+1*2.9)*10.764</f>
        <v>428.00355000000002</v>
      </c>
      <c r="E277" s="40">
        <v>0</v>
      </c>
      <c r="F277" s="40">
        <f>D277*(($F$203)+1)+(IF(E277&lt;101,E277,IF(E277&lt;201,E277/2,IF(E277&lt;=301,E277/3,E277/4))))</f>
        <v>642.00532500000008</v>
      </c>
      <c r="G277" s="63"/>
      <c r="H277" s="64"/>
      <c r="I277" s="34"/>
      <c r="L277" s="60"/>
      <c r="M277" s="60"/>
      <c r="N277" s="34"/>
    </row>
    <row r="278" spans="1:14" s="35" customFormat="1" ht="15.75" customHeight="1" x14ac:dyDescent="0.3">
      <c r="A278" s="70">
        <f t="shared" si="22"/>
        <v>7</v>
      </c>
      <c r="B278" s="71"/>
      <c r="C278" s="40" t="s">
        <v>198</v>
      </c>
      <c r="D278" s="53">
        <f>(4.45*2.9+2.45*2.25+3.5*2.9+0.65*1.8+1.2*2+2.25*1.2+0.9*2.25+1*2.9)*10.764</f>
        <v>428.00355000000002</v>
      </c>
      <c r="E278" s="40">
        <v>0</v>
      </c>
      <c r="F278" s="40">
        <f>D278*(($F$203)+1)+(IF(E278&lt;101,E278,IF(E278&lt;201,E278/2,IF(E278&lt;=301,E278/3,E278/4))))</f>
        <v>642.00532500000008</v>
      </c>
      <c r="G278" s="63"/>
      <c r="H278" s="64"/>
      <c r="I278" s="34"/>
      <c r="L278" s="60"/>
      <c r="M278" s="60"/>
      <c r="N278" s="34"/>
    </row>
    <row r="279" spans="1:14" s="35" customFormat="1" ht="15.75" customHeight="1" x14ac:dyDescent="0.3">
      <c r="A279" s="70">
        <f t="shared" si="22"/>
        <v>8</v>
      </c>
      <c r="B279" s="71"/>
      <c r="C279" s="40" t="s">
        <v>197</v>
      </c>
      <c r="D279" s="53">
        <f>(4.45*2.9+2.3*2.15+2.75*2.9+3.35*2.9+1.2*1.7+1.2*1.8+0.9*2.9+1*2.9)*10.764</f>
        <v>487.07099999999991</v>
      </c>
      <c r="E279" s="40">
        <v>0</v>
      </c>
      <c r="F279" s="40">
        <f>D279*(($F$203)+1)+(IF(E279&lt;101,E279,IF(E279&lt;201,E279/2,IF(E279&lt;=301,E279/3,E279/4))))</f>
        <v>730.60649999999987</v>
      </c>
      <c r="G279" s="65"/>
      <c r="H279" s="66"/>
      <c r="I279" s="34"/>
      <c r="L279" s="60"/>
      <c r="M279" s="60"/>
      <c r="N279" s="34"/>
    </row>
    <row r="280" spans="1:14" s="35" customFormat="1" x14ac:dyDescent="0.3">
      <c r="A280" s="72" t="s">
        <v>242</v>
      </c>
      <c r="B280" s="73"/>
      <c r="C280" s="73"/>
      <c r="D280" s="73"/>
      <c r="E280" s="73"/>
      <c r="F280" s="73"/>
      <c r="G280" s="73"/>
      <c r="H280" s="74"/>
      <c r="J280" s="34"/>
    </row>
    <row r="281" spans="1:14" s="35" customFormat="1" x14ac:dyDescent="0.3">
      <c r="A281" s="72" t="s">
        <v>243</v>
      </c>
      <c r="B281" s="73"/>
      <c r="C281" s="73"/>
      <c r="D281" s="73"/>
      <c r="E281" s="73"/>
      <c r="F281" s="73"/>
      <c r="G281" s="73"/>
      <c r="H281" s="74"/>
      <c r="J281" s="34"/>
    </row>
    <row r="282" spans="1:14" s="35" customFormat="1" x14ac:dyDescent="0.3">
      <c r="A282" s="72" t="s">
        <v>244</v>
      </c>
      <c r="B282" s="73"/>
      <c r="C282" s="73"/>
      <c r="D282" s="73"/>
      <c r="E282" s="73"/>
      <c r="F282" s="73"/>
      <c r="G282" s="73"/>
      <c r="H282" s="74"/>
      <c r="J282" s="34"/>
    </row>
    <row r="283" spans="1:14" s="35" customFormat="1" ht="15.75" customHeight="1" x14ac:dyDescent="0.3">
      <c r="A283" s="70">
        <v>1</v>
      </c>
      <c r="B283" s="71"/>
      <c r="C283" s="40" t="s">
        <v>198</v>
      </c>
      <c r="D283" s="53">
        <f t="shared" ref="D283:D284" si="23">(4.6*2.9+2.25*2.25+3.3*2.9+1.2*1.8+1.95*1.35+0.9*2.25+1.35*0.5)*10.764</f>
        <v>381.74525999999992</v>
      </c>
      <c r="E283" s="40">
        <v>0</v>
      </c>
      <c r="F283" s="40">
        <f t="shared" ref="F283:F286" si="24">D283*(($F$203)+1)+(IF(E283&lt;101,E283,IF(E283&lt;201,E283/2,IF(E283&lt;=301,E283/3,E283/4))))</f>
        <v>572.61788999999987</v>
      </c>
      <c r="G283" s="61" t="str">
        <f>A282</f>
        <v>1st to 7th, 9th to 12th &amp; 14th Floor For Residential</v>
      </c>
      <c r="H283" s="62"/>
      <c r="I283" s="34"/>
      <c r="J283" s="53">
        <v>10.763999999999999</v>
      </c>
      <c r="L283" s="60"/>
      <c r="M283" s="60"/>
      <c r="N283" s="34"/>
    </row>
    <row r="284" spans="1:14" s="35" customFormat="1" ht="15.75" customHeight="1" x14ac:dyDescent="0.3">
      <c r="A284" s="70">
        <f t="shared" ref="A284:A286" si="25">A283+1</f>
        <v>2</v>
      </c>
      <c r="B284" s="71"/>
      <c r="C284" s="40" t="s">
        <v>198</v>
      </c>
      <c r="D284" s="53">
        <f t="shared" si="23"/>
        <v>381.74525999999992</v>
      </c>
      <c r="E284" s="40">
        <v>0</v>
      </c>
      <c r="F284" s="40">
        <f t="shared" si="24"/>
        <v>572.61788999999987</v>
      </c>
      <c r="G284" s="63"/>
      <c r="H284" s="64"/>
      <c r="I284" s="34"/>
      <c r="L284" s="60"/>
      <c r="M284" s="60"/>
      <c r="N284" s="34"/>
    </row>
    <row r="285" spans="1:14" s="35" customFormat="1" ht="15.75" customHeight="1" x14ac:dyDescent="0.3">
      <c r="A285" s="70">
        <f t="shared" si="25"/>
        <v>3</v>
      </c>
      <c r="B285" s="71"/>
      <c r="C285" s="40" t="s">
        <v>245</v>
      </c>
      <c r="D285" s="53">
        <f>(4.35*2.9+2.75*3.2+2.3*2.15+3.35*2.8+1.2*1.8+1.2*1.7+0.9*3.2)*10.764</f>
        <v>460.91447999999991</v>
      </c>
      <c r="E285" s="40">
        <v>0</v>
      </c>
      <c r="F285" s="40">
        <f t="shared" si="24"/>
        <v>691.37171999999987</v>
      </c>
      <c r="G285" s="63"/>
      <c r="H285" s="64"/>
      <c r="I285" s="34"/>
      <c r="L285" s="60"/>
      <c r="M285" s="60"/>
      <c r="N285" s="34"/>
    </row>
    <row r="286" spans="1:14" s="35" customFormat="1" ht="15.75" customHeight="1" x14ac:dyDescent="0.3">
      <c r="A286" s="70">
        <f t="shared" si="25"/>
        <v>4</v>
      </c>
      <c r="B286" s="71"/>
      <c r="C286" s="40" t="s">
        <v>245</v>
      </c>
      <c r="D286" s="53">
        <f>(4.35*2.9+2.75*3.2+2.3*2.15+3.35*2.8+1.2*1.8+1.2*1.7+0.9*3.2)*10.764</f>
        <v>460.91447999999991</v>
      </c>
      <c r="E286" s="40">
        <v>0</v>
      </c>
      <c r="F286" s="40">
        <f t="shared" si="24"/>
        <v>691.37171999999987</v>
      </c>
      <c r="G286" s="63"/>
      <c r="H286" s="64"/>
      <c r="I286" s="34"/>
      <c r="L286" s="60"/>
      <c r="M286" s="60"/>
      <c r="N286" s="34"/>
    </row>
    <row r="287" spans="1:14" s="35" customFormat="1" ht="15.75" customHeight="1" x14ac:dyDescent="0.3">
      <c r="A287" s="72" t="s">
        <v>247</v>
      </c>
      <c r="B287" s="73"/>
      <c r="C287" s="73"/>
      <c r="D287" s="73"/>
      <c r="E287" s="73"/>
      <c r="F287" s="73"/>
      <c r="G287" s="73"/>
      <c r="H287" s="74"/>
      <c r="J287" s="34"/>
    </row>
    <row r="288" spans="1:14" s="35" customFormat="1" ht="15.75" customHeight="1" x14ac:dyDescent="0.3">
      <c r="A288" s="70">
        <v>1</v>
      </c>
      <c r="B288" s="71"/>
      <c r="C288" s="70" t="s">
        <v>202</v>
      </c>
      <c r="D288" s="79"/>
      <c r="E288" s="79"/>
      <c r="F288" s="71"/>
      <c r="G288" s="61" t="str">
        <f>A287</f>
        <v>8th Floor (Part Refuge Area)</v>
      </c>
      <c r="H288" s="62"/>
      <c r="I288" s="34"/>
      <c r="J288" s="53">
        <v>10.763999999999999</v>
      </c>
      <c r="L288" s="60"/>
      <c r="M288" s="60"/>
      <c r="N288" s="34"/>
    </row>
    <row r="289" spans="1:14" s="35" customFormat="1" ht="15.75" customHeight="1" x14ac:dyDescent="0.3">
      <c r="A289" s="70">
        <f t="shared" ref="A289:A291" si="26">A288+1</f>
        <v>2</v>
      </c>
      <c r="B289" s="71"/>
      <c r="C289" s="40" t="s">
        <v>198</v>
      </c>
      <c r="D289" s="53">
        <f t="shared" ref="D289" si="27">(4.6*2.9+2.25*2.25+3.3*2.9+1.2*1.8+1.95*1.35+0.9*2.25+1.35*0.5)*10.764</f>
        <v>381.74525999999992</v>
      </c>
      <c r="E289" s="40">
        <v>0</v>
      </c>
      <c r="F289" s="40">
        <f>D289*(($F$203)+1)+(IF(E289&lt;101,E289,IF(E289&lt;201,E289/2,IF(E289&lt;=301,E289/3,E289/4))))</f>
        <v>572.61788999999987</v>
      </c>
      <c r="G289" s="63"/>
      <c r="H289" s="64"/>
      <c r="I289" s="34"/>
      <c r="L289" s="60"/>
      <c r="M289" s="60"/>
      <c r="N289" s="34"/>
    </row>
    <row r="290" spans="1:14" s="35" customFormat="1" ht="15.75" customHeight="1" x14ac:dyDescent="0.3">
      <c r="A290" s="70">
        <f t="shared" si="26"/>
        <v>3</v>
      </c>
      <c r="B290" s="71"/>
      <c r="C290" s="40" t="s">
        <v>245</v>
      </c>
      <c r="D290" s="53">
        <f>(4.35*2.9+2.75*3.2+2.3*2.15+3.35*2.8+1.2*1.8+1.2*1.7+0.9*3.2)*10.764</f>
        <v>460.91447999999991</v>
      </c>
      <c r="E290" s="40">
        <v>0</v>
      </c>
      <c r="F290" s="40">
        <f>D290*(($F$203)+1)+(IF(E290&lt;101,E290,IF(E290&lt;201,E290/2,IF(E290&lt;=301,E290/3,E290/4))))</f>
        <v>691.37171999999987</v>
      </c>
      <c r="G290" s="63"/>
      <c r="H290" s="64"/>
      <c r="I290" s="34"/>
      <c r="L290" s="60"/>
      <c r="M290" s="60"/>
      <c r="N290" s="34"/>
    </row>
    <row r="291" spans="1:14" s="35" customFormat="1" ht="15.75" customHeight="1" x14ac:dyDescent="0.3">
      <c r="A291" s="70">
        <f t="shared" si="26"/>
        <v>4</v>
      </c>
      <c r="B291" s="71"/>
      <c r="C291" s="40" t="s">
        <v>245</v>
      </c>
      <c r="D291" s="53">
        <f>(4.35*2.9+2.75*3.2+2.3*2.15+3.35*2.8+1.2*1.8+1.2*1.7+0.9*3.2)*10.764</f>
        <v>460.91447999999991</v>
      </c>
      <c r="E291" s="40">
        <v>0</v>
      </c>
      <c r="F291" s="40">
        <f>D291*(($F$203)+1)+(IF(E291&lt;101,E291,IF(E291&lt;201,E291/2,IF(E291&lt;=301,E291/3,E291/4))))</f>
        <v>691.37171999999987</v>
      </c>
      <c r="G291" s="63"/>
      <c r="H291" s="64"/>
      <c r="I291" s="34"/>
      <c r="L291" s="60"/>
      <c r="M291" s="60"/>
      <c r="N291" s="34"/>
    </row>
    <row r="292" spans="1:14" s="35" customFormat="1" x14ac:dyDescent="0.3">
      <c r="A292" s="72" t="s">
        <v>248</v>
      </c>
      <c r="B292" s="73"/>
      <c r="C292" s="73"/>
      <c r="D292" s="73"/>
      <c r="E292" s="73"/>
      <c r="F292" s="73"/>
      <c r="G292" s="73"/>
      <c r="H292" s="74"/>
      <c r="J292" s="34"/>
    </row>
    <row r="293" spans="1:14" s="35" customFormat="1" ht="15.75" customHeight="1" x14ac:dyDescent="0.3">
      <c r="A293" s="70">
        <v>1</v>
      </c>
      <c r="B293" s="71"/>
      <c r="C293" s="40" t="s">
        <v>198</v>
      </c>
      <c r="D293" s="53">
        <f>(2.75*4.4+2.25*2.25+3.3*2.9+1.2*1.8+0.9*2.25)*10.764</f>
        <v>332.79597000000001</v>
      </c>
      <c r="E293" s="40">
        <v>0</v>
      </c>
      <c r="F293" s="40">
        <f t="shared" ref="F293" si="28">D293*(($F$203)+1)+(IF(E293&lt;101,E293,IF(E293&lt;201,E293/2,IF(E293&lt;=301,E293/3,E293/4))))</f>
        <v>499.19395500000002</v>
      </c>
      <c r="G293" s="61" t="str">
        <f>A292</f>
        <v>13th Floor (Part Refuge Area)</v>
      </c>
      <c r="H293" s="62"/>
      <c r="I293" s="34"/>
      <c r="J293" s="53">
        <v>10.763999999999999</v>
      </c>
      <c r="L293" s="60"/>
      <c r="M293" s="60"/>
      <c r="N293" s="34"/>
    </row>
    <row r="294" spans="1:14" s="35" customFormat="1" ht="15.75" customHeight="1" x14ac:dyDescent="0.3">
      <c r="A294" s="70" t="s">
        <v>246</v>
      </c>
      <c r="B294" s="71"/>
      <c r="C294" s="70" t="s">
        <v>202</v>
      </c>
      <c r="D294" s="79"/>
      <c r="E294" s="79"/>
      <c r="F294" s="71"/>
      <c r="G294" s="63"/>
      <c r="H294" s="64"/>
      <c r="I294" s="34"/>
      <c r="L294" s="60"/>
      <c r="M294" s="60"/>
      <c r="N294" s="34"/>
    </row>
    <row r="295" spans="1:14" s="35" customFormat="1" ht="15.75" customHeight="1" x14ac:dyDescent="0.3">
      <c r="A295" s="70">
        <v>2</v>
      </c>
      <c r="B295" s="71"/>
      <c r="C295" s="40" t="s">
        <v>198</v>
      </c>
      <c r="D295" s="53">
        <f>(4.6*2.9+2.25*2.25+3.3*2.9+1.2*1.8+1.95*1.35+0.9*2.25+1.35*0.5)*10.764</f>
        <v>381.74525999999992</v>
      </c>
      <c r="E295" s="40">
        <v>0</v>
      </c>
      <c r="F295" s="40">
        <f t="shared" ref="F295:F297" si="29">D295*(($F$203)+1)+(IF(E295&lt;101,E295,IF(E295&lt;201,E295/2,IF(E295&lt;=301,E295/3,E295/4))))</f>
        <v>572.61788999999987</v>
      </c>
      <c r="G295" s="63"/>
      <c r="H295" s="64"/>
      <c r="I295" s="34"/>
      <c r="L295" s="60"/>
      <c r="M295" s="60"/>
      <c r="N295" s="34"/>
    </row>
    <row r="296" spans="1:14" s="35" customFormat="1" ht="15.75" customHeight="1" x14ac:dyDescent="0.3">
      <c r="A296" s="70">
        <v>3</v>
      </c>
      <c r="B296" s="71"/>
      <c r="C296" s="40" t="s">
        <v>245</v>
      </c>
      <c r="D296" s="53">
        <f>(4.35*2.9+2.75*3.2+2.3*2.15+3.35*2.8+1.2*1.8+1.2*1.7+0.9*3.2)*10.764</f>
        <v>460.91447999999991</v>
      </c>
      <c r="E296" s="40">
        <v>0</v>
      </c>
      <c r="F296" s="40">
        <f t="shared" si="29"/>
        <v>691.37171999999987</v>
      </c>
      <c r="G296" s="63"/>
      <c r="H296" s="64"/>
      <c r="I296" s="34"/>
      <c r="L296" s="60"/>
      <c r="M296" s="60"/>
      <c r="N296" s="34"/>
    </row>
    <row r="297" spans="1:14" s="35" customFormat="1" ht="15.75" customHeight="1" x14ac:dyDescent="0.3">
      <c r="A297" s="70">
        <f t="shared" ref="A297" si="30">A296+1</f>
        <v>4</v>
      </c>
      <c r="B297" s="71"/>
      <c r="C297" s="40" t="s">
        <v>245</v>
      </c>
      <c r="D297" s="53">
        <f>(4.35*2.9+2.75*3.2+2.3*2.15+3.35*2.8+1.2*1.8+1.2*1.7+0.9*3.2)*10.764</f>
        <v>460.91447999999991</v>
      </c>
      <c r="E297" s="40">
        <v>0</v>
      </c>
      <c r="F297" s="40">
        <f t="shared" si="29"/>
        <v>691.37171999999987</v>
      </c>
      <c r="G297" s="63"/>
      <c r="H297" s="64"/>
      <c r="I297" s="34"/>
      <c r="J297" s="35">
        <f>8000*F297</f>
        <v>5530973.7599999988</v>
      </c>
      <c r="L297" s="60"/>
      <c r="M297" s="60"/>
      <c r="N297" s="34"/>
    </row>
    <row r="298" spans="1:14" s="33" customFormat="1" x14ac:dyDescent="0.3">
      <c r="A298" s="166" t="s">
        <v>69</v>
      </c>
      <c r="B298" s="166"/>
      <c r="C298" s="166"/>
      <c r="D298" s="166"/>
      <c r="E298" s="166"/>
      <c r="F298" s="166"/>
      <c r="G298" s="166"/>
      <c r="H298" s="166"/>
    </row>
    <row r="299" spans="1:14" s="33" customFormat="1" ht="69" customHeight="1" x14ac:dyDescent="0.3">
      <c r="A299" s="43" t="s">
        <v>156</v>
      </c>
      <c r="B299" s="167" t="s">
        <v>264</v>
      </c>
      <c r="C299" s="168"/>
      <c r="D299" s="168"/>
      <c r="E299" s="168"/>
      <c r="F299" s="168"/>
      <c r="G299" s="168"/>
      <c r="H299" s="169"/>
    </row>
    <row r="300" spans="1:14" s="33" customFormat="1" x14ac:dyDescent="0.3">
      <c r="A300" s="43" t="s">
        <v>156</v>
      </c>
      <c r="B300" s="167" t="str">
        <f>(IF(F202="Saleable area Loading :","We have considered Saleable area of Flats as per our Calculation.","We considered Saleable area of Flat as per Builder area Sheet."))</f>
        <v>We have considered Saleable area of Flats as per our Calculation.</v>
      </c>
      <c r="C300" s="168"/>
      <c r="D300" s="168"/>
      <c r="E300" s="168"/>
      <c r="F300" s="168"/>
      <c r="G300" s="168"/>
      <c r="H300" s="169"/>
    </row>
    <row r="301" spans="1:14" s="33" customFormat="1" x14ac:dyDescent="0.3">
      <c r="A301" s="43" t="s">
        <v>156</v>
      </c>
      <c r="B301" s="167" t="str">
        <f>(IF(F185="Saleable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01" s="168"/>
      <c r="D301" s="168"/>
      <c r="E301" s="168"/>
      <c r="F301" s="168"/>
      <c r="G301" s="168"/>
      <c r="H301" s="169"/>
    </row>
    <row r="302" spans="1:14" s="33" customFormat="1" x14ac:dyDescent="0.3">
      <c r="A302" s="43" t="s">
        <v>156</v>
      </c>
      <c r="B302" s="67" t="s">
        <v>126</v>
      </c>
      <c r="C302" s="68"/>
      <c r="D302" s="68"/>
      <c r="E302" s="68"/>
      <c r="F302" s="68"/>
      <c r="G302" s="68"/>
      <c r="H302" s="69"/>
    </row>
    <row r="303" spans="1:14" s="33" customFormat="1" x14ac:dyDescent="0.3">
      <c r="A303" s="43" t="s">
        <v>156</v>
      </c>
      <c r="B303" s="67" t="s">
        <v>214</v>
      </c>
      <c r="C303" s="68"/>
      <c r="D303" s="68"/>
      <c r="E303" s="68"/>
      <c r="F303" s="68"/>
      <c r="G303" s="68"/>
      <c r="H303" s="69"/>
    </row>
    <row r="304" spans="1:14" s="33" customFormat="1" x14ac:dyDescent="0.3">
      <c r="A304" s="43" t="s">
        <v>156</v>
      </c>
      <c r="B304" s="67" t="s">
        <v>155</v>
      </c>
      <c r="C304" s="68"/>
      <c r="D304" s="68"/>
      <c r="E304" s="68"/>
      <c r="F304" s="68"/>
      <c r="G304" s="68"/>
      <c r="H304" s="69"/>
    </row>
    <row r="305" spans="1:8" s="33" customFormat="1" x14ac:dyDescent="0.3">
      <c r="A305" s="43" t="s">
        <v>156</v>
      </c>
      <c r="B305" s="67" t="s">
        <v>127</v>
      </c>
      <c r="C305" s="68"/>
      <c r="D305" s="68"/>
      <c r="E305" s="68"/>
      <c r="F305" s="68"/>
      <c r="G305" s="68"/>
      <c r="H305" s="69"/>
    </row>
    <row r="306" spans="1:8" s="33" customFormat="1" ht="34.5" customHeight="1" x14ac:dyDescent="0.3">
      <c r="A306" s="43" t="s">
        <v>156</v>
      </c>
      <c r="B306" s="67" t="s">
        <v>157</v>
      </c>
      <c r="C306" s="68"/>
      <c r="D306" s="68"/>
      <c r="E306" s="68"/>
      <c r="F306" s="68"/>
      <c r="G306" s="68"/>
      <c r="H306" s="69"/>
    </row>
    <row r="307" spans="1:8" s="33" customFormat="1" x14ac:dyDescent="0.3">
      <c r="A307" s="43" t="s">
        <v>156</v>
      </c>
      <c r="B307" s="67" t="s">
        <v>128</v>
      </c>
      <c r="C307" s="68"/>
      <c r="D307" s="68"/>
      <c r="E307" s="68"/>
      <c r="F307" s="68"/>
      <c r="G307" s="68"/>
      <c r="H307" s="69"/>
    </row>
    <row r="308" spans="1:8" s="33" customFormat="1" ht="33.75" customHeight="1" x14ac:dyDescent="0.3">
      <c r="A308" s="59" t="s">
        <v>156</v>
      </c>
      <c r="B308" s="163" t="s">
        <v>254</v>
      </c>
      <c r="C308" s="164"/>
      <c r="D308" s="164"/>
      <c r="E308" s="164"/>
      <c r="F308" s="164"/>
      <c r="G308" s="164"/>
      <c r="H308" s="165"/>
    </row>
    <row r="309" spans="1:8" s="33" customFormat="1" x14ac:dyDescent="0.3">
      <c r="A309" s="43" t="s">
        <v>156</v>
      </c>
      <c r="B309" s="67" t="s">
        <v>249</v>
      </c>
      <c r="C309" s="68"/>
      <c r="D309" s="68"/>
      <c r="E309" s="68"/>
      <c r="F309" s="68"/>
      <c r="G309" s="68"/>
      <c r="H309" s="69"/>
    </row>
    <row r="310" spans="1:8" s="33" customFormat="1" x14ac:dyDescent="0.3">
      <c r="A310" s="43" t="s">
        <v>156</v>
      </c>
      <c r="B310" s="67" t="s">
        <v>250</v>
      </c>
      <c r="C310" s="68"/>
      <c r="D310" s="68"/>
      <c r="E310" s="68"/>
      <c r="F310" s="68"/>
      <c r="G310" s="68"/>
      <c r="H310" s="69"/>
    </row>
    <row r="311" spans="1:8" s="33" customFormat="1" x14ac:dyDescent="0.3">
      <c r="A311" s="43" t="s">
        <v>156</v>
      </c>
      <c r="B311" s="67" t="s">
        <v>262</v>
      </c>
      <c r="C311" s="68"/>
      <c r="D311" s="68"/>
      <c r="E311" s="68"/>
      <c r="F311" s="68"/>
      <c r="G311" s="68"/>
      <c r="H311" s="69"/>
    </row>
    <row r="312" spans="1:8" x14ac:dyDescent="0.3">
      <c r="A312" s="162" t="s">
        <v>62</v>
      </c>
      <c r="B312" s="162"/>
      <c r="C312" s="162"/>
      <c r="D312" s="162"/>
      <c r="E312" s="162"/>
      <c r="F312" s="162"/>
      <c r="G312" s="162"/>
      <c r="H312" s="162"/>
    </row>
    <row r="313" spans="1:8" x14ac:dyDescent="0.3">
      <c r="A313" s="120" t="s">
        <v>63</v>
      </c>
      <c r="B313" s="120"/>
      <c r="C313" s="120"/>
      <c r="D313" s="120"/>
      <c r="E313" s="120"/>
      <c r="F313" s="120"/>
      <c r="G313" s="120"/>
      <c r="H313" s="120"/>
    </row>
    <row r="314" spans="1:8" ht="15.75" customHeight="1" x14ac:dyDescent="0.3">
      <c r="A314" s="172" t="s">
        <v>64</v>
      </c>
      <c r="B314" s="172"/>
      <c r="C314" s="172"/>
      <c r="D314" s="172"/>
      <c r="E314" s="172"/>
      <c r="F314" s="172"/>
      <c r="G314" s="172"/>
      <c r="H314" s="172"/>
    </row>
    <row r="315" spans="1:8" x14ac:dyDescent="0.3">
      <c r="A315" s="120" t="s">
        <v>65</v>
      </c>
      <c r="B315" s="120"/>
      <c r="C315" s="120"/>
      <c r="D315" s="120"/>
      <c r="E315" s="120"/>
      <c r="F315" s="120"/>
      <c r="G315" s="120"/>
      <c r="H315" s="120"/>
    </row>
    <row r="316" spans="1:8" x14ac:dyDescent="0.3">
      <c r="A316" s="120" t="s">
        <v>66</v>
      </c>
      <c r="B316" s="120"/>
      <c r="C316" s="120"/>
      <c r="D316" s="120"/>
      <c r="E316" s="120"/>
      <c r="F316" s="120"/>
      <c r="G316" s="120"/>
      <c r="H316" s="120"/>
    </row>
    <row r="317" spans="1:8" x14ac:dyDescent="0.3">
      <c r="A317" s="120" t="s">
        <v>129</v>
      </c>
      <c r="B317" s="120"/>
      <c r="C317" s="120"/>
      <c r="D317" s="120"/>
      <c r="E317" s="120"/>
      <c r="F317" s="120"/>
      <c r="G317" s="120"/>
      <c r="H317" s="120"/>
    </row>
    <row r="318" spans="1:8" ht="33" customHeight="1" x14ac:dyDescent="0.3">
      <c r="A318" s="117" t="s">
        <v>130</v>
      </c>
      <c r="B318" s="117"/>
      <c r="C318" s="117"/>
      <c r="D318" s="117"/>
      <c r="E318" s="117"/>
      <c r="F318" s="117"/>
      <c r="G318" s="117"/>
      <c r="H318" s="117"/>
    </row>
    <row r="319" spans="1:8" x14ac:dyDescent="0.3">
      <c r="A319" s="171" t="s">
        <v>79</v>
      </c>
      <c r="B319" s="171"/>
      <c r="C319" s="171" t="s">
        <v>227</v>
      </c>
      <c r="D319" s="171"/>
      <c r="E319" s="171" t="s">
        <v>108</v>
      </c>
      <c r="F319" s="171"/>
      <c r="G319" s="171" t="s">
        <v>260</v>
      </c>
      <c r="H319" s="171"/>
    </row>
    <row r="320" spans="1:8" x14ac:dyDescent="0.3">
      <c r="A320" s="170" t="s">
        <v>81</v>
      </c>
      <c r="B320" s="170"/>
      <c r="C320" s="170"/>
      <c r="D320" s="170"/>
      <c r="E320" s="170"/>
      <c r="F320" s="170"/>
      <c r="G320" s="170"/>
      <c r="H320" s="170"/>
    </row>
    <row r="321" spans="1:8" x14ac:dyDescent="0.3">
      <c r="A321" s="170"/>
      <c r="B321" s="170"/>
      <c r="C321" s="170"/>
      <c r="D321" s="170"/>
      <c r="E321" s="170"/>
      <c r="F321" s="170"/>
      <c r="G321" s="170"/>
      <c r="H321" s="170"/>
    </row>
    <row r="322" spans="1:8" x14ac:dyDescent="0.3">
      <c r="A322" s="170"/>
      <c r="B322" s="170"/>
      <c r="C322" s="170"/>
      <c r="D322" s="170"/>
      <c r="E322" s="170"/>
      <c r="F322" s="170"/>
      <c r="G322" s="170"/>
      <c r="H322" s="170"/>
    </row>
    <row r="323" spans="1:8" x14ac:dyDescent="0.3">
      <c r="A323" s="170"/>
      <c r="B323" s="170"/>
      <c r="C323" s="170"/>
      <c r="D323" s="170"/>
      <c r="E323" s="170"/>
      <c r="F323" s="170"/>
      <c r="G323" s="170"/>
      <c r="H323" s="170"/>
    </row>
    <row r="324" spans="1:8" x14ac:dyDescent="0.3">
      <c r="A324" s="36" t="s">
        <v>67</v>
      </c>
      <c r="B324" s="37"/>
      <c r="C324" s="37"/>
      <c r="D324" s="36" t="str">
        <f>E8</f>
        <v>Pearl Gardens</v>
      </c>
      <c r="F324" s="37"/>
      <c r="G324" s="37"/>
      <c r="H324" s="37"/>
    </row>
    <row r="325" spans="1:8" x14ac:dyDescent="0.3">
      <c r="A325" s="37"/>
      <c r="B325" s="37"/>
      <c r="C325" s="37"/>
      <c r="D325" s="37"/>
      <c r="E325" s="37"/>
      <c r="F325" s="37"/>
      <c r="G325" s="37"/>
      <c r="H325" s="37"/>
    </row>
    <row r="326" spans="1:8" x14ac:dyDescent="0.3">
      <c r="A326" s="37"/>
      <c r="B326" s="37"/>
      <c r="C326" s="37"/>
      <c r="D326" s="37"/>
      <c r="E326" s="37"/>
      <c r="F326" s="37"/>
      <c r="G326" s="37"/>
      <c r="H326" s="37"/>
    </row>
    <row r="327" spans="1:8" ht="15" customHeight="1" x14ac:dyDescent="0.3"/>
    <row r="366" spans="1:1" x14ac:dyDescent="0.3">
      <c r="A366" s="39" t="s">
        <v>208</v>
      </c>
    </row>
    <row r="408" spans="1:1" hidden="1" x14ac:dyDescent="0.3"/>
    <row r="409" spans="1:1" hidden="1" x14ac:dyDescent="0.3">
      <c r="A409" s="19"/>
    </row>
    <row r="410" spans="1:1" hidden="1" x14ac:dyDescent="0.3"/>
    <row r="411" spans="1:1" hidden="1" x14ac:dyDescent="0.3"/>
    <row r="412" spans="1:1" hidden="1" x14ac:dyDescent="0.3"/>
    <row r="413" spans="1:1" hidden="1" x14ac:dyDescent="0.3"/>
    <row r="414" spans="1:1" hidden="1" x14ac:dyDescent="0.3"/>
    <row r="415" spans="1:1" hidden="1" x14ac:dyDescent="0.3"/>
    <row r="416" spans="1:1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spans="1:1" hidden="1" x14ac:dyDescent="0.3"/>
    <row r="450" spans="1:1" hidden="1" x14ac:dyDescent="0.3"/>
    <row r="451" spans="1:1" hidden="1" x14ac:dyDescent="0.3"/>
    <row r="452" spans="1:1" hidden="1" x14ac:dyDescent="0.3"/>
    <row r="453" spans="1:1" x14ac:dyDescent="0.3">
      <c r="A453" s="39" t="s">
        <v>68</v>
      </c>
    </row>
  </sheetData>
  <mergeCells count="587">
    <mergeCell ref="B309:H309"/>
    <mergeCell ref="B310:H310"/>
    <mergeCell ref="A287:H287"/>
    <mergeCell ref="A288:B288"/>
    <mergeCell ref="G288:H291"/>
    <mergeCell ref="L288:M288"/>
    <mergeCell ref="A289:B289"/>
    <mergeCell ref="L289:M289"/>
    <mergeCell ref="A290:B290"/>
    <mergeCell ref="L290:M290"/>
    <mergeCell ref="A291:B291"/>
    <mergeCell ref="L291:M291"/>
    <mergeCell ref="B307:H307"/>
    <mergeCell ref="B299:H299"/>
    <mergeCell ref="B300:H300"/>
    <mergeCell ref="A292:H292"/>
    <mergeCell ref="A293:B293"/>
    <mergeCell ref="G293:H297"/>
    <mergeCell ref="L293:M293"/>
    <mergeCell ref="A294:B294"/>
    <mergeCell ref="L294:M294"/>
    <mergeCell ref="A296:B296"/>
    <mergeCell ref="L296:M296"/>
    <mergeCell ref="C288:F288"/>
    <mergeCell ref="L268:M268"/>
    <mergeCell ref="A269:B269"/>
    <mergeCell ref="L269:M269"/>
    <mergeCell ref="A270:B270"/>
    <mergeCell ref="L270:M270"/>
    <mergeCell ref="L263:M263"/>
    <mergeCell ref="A264:B264"/>
    <mergeCell ref="L277:M277"/>
    <mergeCell ref="A278:B278"/>
    <mergeCell ref="L278:M278"/>
    <mergeCell ref="A274:B274"/>
    <mergeCell ref="C274:F274"/>
    <mergeCell ref="L274:M274"/>
    <mergeCell ref="A275:B275"/>
    <mergeCell ref="L275:M275"/>
    <mergeCell ref="A276:B276"/>
    <mergeCell ref="L276:M276"/>
    <mergeCell ref="L264:M264"/>
    <mergeCell ref="A265:B265"/>
    <mergeCell ref="L265:M265"/>
    <mergeCell ref="A266:B266"/>
    <mergeCell ref="L266:M266"/>
    <mergeCell ref="A267:B267"/>
    <mergeCell ref="L267:M267"/>
    <mergeCell ref="A279:B279"/>
    <mergeCell ref="L279:M279"/>
    <mergeCell ref="A238:H238"/>
    <mergeCell ref="A217:H217"/>
    <mergeCell ref="A218:H218"/>
    <mergeCell ref="A219:H219"/>
    <mergeCell ref="A220:H220"/>
    <mergeCell ref="A221:B221"/>
    <mergeCell ref="G221:H228"/>
    <mergeCell ref="L221:M221"/>
    <mergeCell ref="A222:B222"/>
    <mergeCell ref="L222:M222"/>
    <mergeCell ref="A223:B223"/>
    <mergeCell ref="L223:M223"/>
    <mergeCell ref="A224:B224"/>
    <mergeCell ref="L224:M224"/>
    <mergeCell ref="A225:B225"/>
    <mergeCell ref="L225:M225"/>
    <mergeCell ref="A226:B226"/>
    <mergeCell ref="L226:M226"/>
    <mergeCell ref="A227:B227"/>
    <mergeCell ref="L272:M272"/>
    <mergeCell ref="A273:B273"/>
    <mergeCell ref="L273:M273"/>
    <mergeCell ref="A257:B257"/>
    <mergeCell ref="L257:M257"/>
    <mergeCell ref="A258:B258"/>
    <mergeCell ref="L258:M258"/>
    <mergeCell ref="L242:M242"/>
    <mergeCell ref="C180:D180"/>
    <mergeCell ref="E180:F180"/>
    <mergeCell ref="G180:H180"/>
    <mergeCell ref="L227:M227"/>
    <mergeCell ref="A228:B228"/>
    <mergeCell ref="L228:M228"/>
    <mergeCell ref="A229:H229"/>
    <mergeCell ref="A230:B230"/>
    <mergeCell ref="G230:H237"/>
    <mergeCell ref="L230:M230"/>
    <mergeCell ref="A231:B231"/>
    <mergeCell ref="L231:M231"/>
    <mergeCell ref="A232:B232"/>
    <mergeCell ref="L232:M232"/>
    <mergeCell ref="A233:B233"/>
    <mergeCell ref="L233:M233"/>
    <mergeCell ref="A205:H205"/>
    <mergeCell ref="A244:B244"/>
    <mergeCell ref="L244:M244"/>
    <mergeCell ref="A245:B245"/>
    <mergeCell ref="A211:B211"/>
    <mergeCell ref="L211:M211"/>
    <mergeCell ref="L234:M234"/>
    <mergeCell ref="L245:M245"/>
    <mergeCell ref="A242:B242"/>
    <mergeCell ref="G242:H249"/>
    <mergeCell ref="A215:B215"/>
    <mergeCell ref="L215:M215"/>
    <mergeCell ref="A234:B234"/>
    <mergeCell ref="L212:M212"/>
    <mergeCell ref="A213:B213"/>
    <mergeCell ref="L213:M213"/>
    <mergeCell ref="L214:M214"/>
    <mergeCell ref="A235:B235"/>
    <mergeCell ref="L235:M235"/>
    <mergeCell ref="A236:B236"/>
    <mergeCell ref="L236:M236"/>
    <mergeCell ref="A237:B237"/>
    <mergeCell ref="L237:M237"/>
    <mergeCell ref="L216:M216"/>
    <mergeCell ref="G207:H216"/>
    <mergeCell ref="A243:B243"/>
    <mergeCell ref="L243:M243"/>
    <mergeCell ref="L210:M210"/>
    <mergeCell ref="L207:M207"/>
    <mergeCell ref="L208:M208"/>
    <mergeCell ref="L209:M209"/>
    <mergeCell ref="A209:B209"/>
    <mergeCell ref="G272:H279"/>
    <mergeCell ref="A277:B277"/>
    <mergeCell ref="A247:B247"/>
    <mergeCell ref="C253:F253"/>
    <mergeCell ref="A246:B246"/>
    <mergeCell ref="L246:M246"/>
    <mergeCell ref="L247:M247"/>
    <mergeCell ref="A248:B248"/>
    <mergeCell ref="L248:M248"/>
    <mergeCell ref="A249:B249"/>
    <mergeCell ref="L249:M249"/>
    <mergeCell ref="A250:H250"/>
    <mergeCell ref="A251:B251"/>
    <mergeCell ref="G251:H258"/>
    <mergeCell ref="L251:M251"/>
    <mergeCell ref="A252:B252"/>
    <mergeCell ref="L252:M252"/>
    <mergeCell ref="A253:B253"/>
    <mergeCell ref="L253:M253"/>
    <mergeCell ref="L254:M254"/>
    <mergeCell ref="A255:B255"/>
    <mergeCell ref="A256:B256"/>
    <mergeCell ref="L255:M255"/>
    <mergeCell ref="L256:M256"/>
    <mergeCell ref="A65:C65"/>
    <mergeCell ref="D65:H65"/>
    <mergeCell ref="C72:H72"/>
    <mergeCell ref="A75:B75"/>
    <mergeCell ref="L193:M193"/>
    <mergeCell ref="A194:B194"/>
    <mergeCell ref="G194:H194"/>
    <mergeCell ref="L194:M194"/>
    <mergeCell ref="A173:B173"/>
    <mergeCell ref="C173:D173"/>
    <mergeCell ref="E173:F173"/>
    <mergeCell ref="A170:B170"/>
    <mergeCell ref="G171:H171"/>
    <mergeCell ref="A166:E166"/>
    <mergeCell ref="A165:E165"/>
    <mergeCell ref="A185:A186"/>
    <mergeCell ref="L191:M191"/>
    <mergeCell ref="L190:M190"/>
    <mergeCell ref="L189:M189"/>
    <mergeCell ref="A81:B81"/>
    <mergeCell ref="F161:H161"/>
    <mergeCell ref="A155:E155"/>
    <mergeCell ref="A98:B98"/>
    <mergeCell ref="C181:D181"/>
    <mergeCell ref="D55:H55"/>
    <mergeCell ref="G52:H52"/>
    <mergeCell ref="D59:H59"/>
    <mergeCell ref="D56:H56"/>
    <mergeCell ref="A56:C56"/>
    <mergeCell ref="G49:H49"/>
    <mergeCell ref="A50:B51"/>
    <mergeCell ref="L199:M199"/>
    <mergeCell ref="A200:B200"/>
    <mergeCell ref="G200:H200"/>
    <mergeCell ref="L200:M200"/>
    <mergeCell ref="C51:H51"/>
    <mergeCell ref="A64:C64"/>
    <mergeCell ref="E74:F83"/>
    <mergeCell ref="G74:H83"/>
    <mergeCell ref="A82:B82"/>
    <mergeCell ref="A83:B83"/>
    <mergeCell ref="D64:H64"/>
    <mergeCell ref="A183:H183"/>
    <mergeCell ref="A80:B80"/>
    <mergeCell ref="A73:B73"/>
    <mergeCell ref="A76:B76"/>
    <mergeCell ref="A72:B72"/>
    <mergeCell ref="A70:B70"/>
    <mergeCell ref="A16:B16"/>
    <mergeCell ref="C16:H16"/>
    <mergeCell ref="E41:H41"/>
    <mergeCell ref="A41:D41"/>
    <mergeCell ref="A79:B79"/>
    <mergeCell ref="A48:B48"/>
    <mergeCell ref="C48:E48"/>
    <mergeCell ref="G48:H48"/>
    <mergeCell ref="G50:H50"/>
    <mergeCell ref="D54:H54"/>
    <mergeCell ref="C50:E50"/>
    <mergeCell ref="D57:H57"/>
    <mergeCell ref="D58:H58"/>
    <mergeCell ref="C49:E49"/>
    <mergeCell ref="A52:B52"/>
    <mergeCell ref="C52:E52"/>
    <mergeCell ref="A55:C55"/>
    <mergeCell ref="A49:B49"/>
    <mergeCell ref="A53:H53"/>
    <mergeCell ref="A54:C54"/>
    <mergeCell ref="D62:H62"/>
    <mergeCell ref="A57:C62"/>
    <mergeCell ref="A21:D22"/>
    <mergeCell ref="E21:H22"/>
    <mergeCell ref="A175:B175"/>
    <mergeCell ref="D202:D203"/>
    <mergeCell ref="A259:H259"/>
    <mergeCell ref="G202:H203"/>
    <mergeCell ref="C178:D178"/>
    <mergeCell ref="C175:D175"/>
    <mergeCell ref="E178:F178"/>
    <mergeCell ref="E176:F176"/>
    <mergeCell ref="A184:H184"/>
    <mergeCell ref="A204:H204"/>
    <mergeCell ref="A195:H195"/>
    <mergeCell ref="A196:B196"/>
    <mergeCell ref="G196:H196"/>
    <mergeCell ref="A254:B254"/>
    <mergeCell ref="C230:F230"/>
    <mergeCell ref="A216:B216"/>
    <mergeCell ref="A214:B214"/>
    <mergeCell ref="G175:H175"/>
    <mergeCell ref="A176:B176"/>
    <mergeCell ref="G176:H176"/>
    <mergeCell ref="A188:H188"/>
    <mergeCell ref="E185:E186"/>
    <mergeCell ref="A197:B197"/>
    <mergeCell ref="G197:H197"/>
    <mergeCell ref="A320:H323"/>
    <mergeCell ref="A319:B319"/>
    <mergeCell ref="E319:F319"/>
    <mergeCell ref="C319:D319"/>
    <mergeCell ref="G319:H319"/>
    <mergeCell ref="G190:H190"/>
    <mergeCell ref="G192:H192"/>
    <mergeCell ref="A187:H187"/>
    <mergeCell ref="A193:B193"/>
    <mergeCell ref="G193:H193"/>
    <mergeCell ref="A198:H198"/>
    <mergeCell ref="A199:B199"/>
    <mergeCell ref="G199:H199"/>
    <mergeCell ref="A212:B212"/>
    <mergeCell ref="A239:H239"/>
    <mergeCell ref="A240:H240"/>
    <mergeCell ref="A241:H241"/>
    <mergeCell ref="A317:H317"/>
    <mergeCell ref="A314:H314"/>
    <mergeCell ref="E202:E203"/>
    <mergeCell ref="C202:C203"/>
    <mergeCell ref="A262:H262"/>
    <mergeCell ref="A263:B263"/>
    <mergeCell ref="A315:H315"/>
    <mergeCell ref="A174:H174"/>
    <mergeCell ref="A318:H318"/>
    <mergeCell ref="A316:H316"/>
    <mergeCell ref="A312:H312"/>
    <mergeCell ref="A313:H313"/>
    <mergeCell ref="E175:F175"/>
    <mergeCell ref="B308:H308"/>
    <mergeCell ref="G191:H191"/>
    <mergeCell ref="G189:H189"/>
    <mergeCell ref="A201:H201"/>
    <mergeCell ref="A202:A203"/>
    <mergeCell ref="B302:H302"/>
    <mergeCell ref="B303:H303"/>
    <mergeCell ref="A298:H298"/>
    <mergeCell ref="C185:C186"/>
    <mergeCell ref="B202:B203"/>
    <mergeCell ref="A210:B210"/>
    <mergeCell ref="A207:B207"/>
    <mergeCell ref="B305:H305"/>
    <mergeCell ref="B301:H301"/>
    <mergeCell ref="A260:H260"/>
    <mergeCell ref="A268:B268"/>
    <mergeCell ref="A271:H271"/>
    <mergeCell ref="A261:H261"/>
    <mergeCell ref="A66:C66"/>
    <mergeCell ref="D66:H66"/>
    <mergeCell ref="A69:C69"/>
    <mergeCell ref="D69:H69"/>
    <mergeCell ref="A139:B139"/>
    <mergeCell ref="E170:F170"/>
    <mergeCell ref="F157:H157"/>
    <mergeCell ref="A162:E162"/>
    <mergeCell ref="A105:B105"/>
    <mergeCell ref="A106:B106"/>
    <mergeCell ref="A107:B107"/>
    <mergeCell ref="A109:B109"/>
    <mergeCell ref="A110:B110"/>
    <mergeCell ref="A157:E157"/>
    <mergeCell ref="A154:E154"/>
    <mergeCell ref="F158:H158"/>
    <mergeCell ref="A112:B112"/>
    <mergeCell ref="C112:H112"/>
    <mergeCell ref="A114:B114"/>
    <mergeCell ref="C98:H98"/>
    <mergeCell ref="A117:B117"/>
    <mergeCell ref="A118:B118"/>
    <mergeCell ref="A78:B78"/>
    <mergeCell ref="A120:B12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3:C63"/>
    <mergeCell ref="D63:H63"/>
    <mergeCell ref="A42:D42"/>
    <mergeCell ref="E42:H42"/>
    <mergeCell ref="E43:H43"/>
    <mergeCell ref="E44:H44"/>
    <mergeCell ref="E45:H45"/>
    <mergeCell ref="A43:D43"/>
    <mergeCell ref="F35:H35"/>
    <mergeCell ref="A37:B37"/>
    <mergeCell ref="D60:H60"/>
    <mergeCell ref="D61:H61"/>
    <mergeCell ref="A44:D44"/>
    <mergeCell ref="A45:D45"/>
    <mergeCell ref="A46:H46"/>
    <mergeCell ref="A38:B38"/>
    <mergeCell ref="G185:H186"/>
    <mergeCell ref="A88:B88"/>
    <mergeCell ref="E88:F97"/>
    <mergeCell ref="A95:B95"/>
    <mergeCell ref="A96:B96"/>
    <mergeCell ref="A97:B97"/>
    <mergeCell ref="A102:B102"/>
    <mergeCell ref="E102:F111"/>
    <mergeCell ref="F154:H154"/>
    <mergeCell ref="F159:H159"/>
    <mergeCell ref="A181:B181"/>
    <mergeCell ref="E181:F181"/>
    <mergeCell ref="F164:H164"/>
    <mergeCell ref="B185:B186"/>
    <mergeCell ref="C114:H114"/>
    <mergeCell ref="A115:B115"/>
    <mergeCell ref="E115:F115"/>
    <mergeCell ref="G115:H115"/>
    <mergeCell ref="A116:B116"/>
    <mergeCell ref="E116:F125"/>
    <mergeCell ref="G116:H125"/>
    <mergeCell ref="A137:B137"/>
    <mergeCell ref="A138:B138"/>
    <mergeCell ref="A119:B119"/>
    <mergeCell ref="A121:B121"/>
    <mergeCell ref="A122:B122"/>
    <mergeCell ref="A123:B123"/>
    <mergeCell ref="A124:B124"/>
    <mergeCell ref="A125:B125"/>
    <mergeCell ref="C38:H38"/>
    <mergeCell ref="B306:H306"/>
    <mergeCell ref="A47:B47"/>
    <mergeCell ref="C47:H47"/>
    <mergeCell ref="B304:H304"/>
    <mergeCell ref="A103:B103"/>
    <mergeCell ref="A104:B104"/>
    <mergeCell ref="G88:H97"/>
    <mergeCell ref="A89:B89"/>
    <mergeCell ref="A90:B90"/>
    <mergeCell ref="A91:B91"/>
    <mergeCell ref="F156:H156"/>
    <mergeCell ref="A156:E156"/>
    <mergeCell ref="D185:D186"/>
    <mergeCell ref="A158:E158"/>
    <mergeCell ref="A189:B189"/>
    <mergeCell ref="A190:B190"/>
    <mergeCell ref="A191:B191"/>
    <mergeCell ref="A192:B192"/>
    <mergeCell ref="A159:E159"/>
    <mergeCell ref="G173:H173"/>
    <mergeCell ref="C176:D176"/>
    <mergeCell ref="C177:D177"/>
    <mergeCell ref="A101:B101"/>
    <mergeCell ref="E101:F101"/>
    <mergeCell ref="G102:H111"/>
    <mergeCell ref="G101:H101"/>
    <mergeCell ref="F155:H155"/>
    <mergeCell ref="A140:B140"/>
    <mergeCell ref="C140:H140"/>
    <mergeCell ref="A142:B142"/>
    <mergeCell ref="C142:H142"/>
    <mergeCell ref="A143:B143"/>
    <mergeCell ref="E143:F143"/>
    <mergeCell ref="G143:H143"/>
    <mergeCell ref="A144:B144"/>
    <mergeCell ref="E144:F153"/>
    <mergeCell ref="G144:H153"/>
    <mergeCell ref="A145:B145"/>
    <mergeCell ref="A146:B146"/>
    <mergeCell ref="A147:B147"/>
    <mergeCell ref="A148:B148"/>
    <mergeCell ref="A149:B149"/>
    <mergeCell ref="C171:D171"/>
    <mergeCell ref="E171:F171"/>
    <mergeCell ref="F166:H166"/>
    <mergeCell ref="A169:H169"/>
    <mergeCell ref="A167:E167"/>
    <mergeCell ref="F167:H167"/>
    <mergeCell ref="A168:E168"/>
    <mergeCell ref="F168:H168"/>
    <mergeCell ref="G172:H172"/>
    <mergeCell ref="A67:C67"/>
    <mergeCell ref="D67:H67"/>
    <mergeCell ref="A68:C68"/>
    <mergeCell ref="D68:H68"/>
    <mergeCell ref="A74:B74"/>
    <mergeCell ref="G73:H73"/>
    <mergeCell ref="C86:H86"/>
    <mergeCell ref="A87:B87"/>
    <mergeCell ref="E87:F87"/>
    <mergeCell ref="G87:H87"/>
    <mergeCell ref="C70:H70"/>
    <mergeCell ref="A77:B77"/>
    <mergeCell ref="E73:F73"/>
    <mergeCell ref="A100:B100"/>
    <mergeCell ref="C100:H100"/>
    <mergeCell ref="A84:B84"/>
    <mergeCell ref="C84:H84"/>
    <mergeCell ref="A92:B92"/>
    <mergeCell ref="A93:B93"/>
    <mergeCell ref="A94:B94"/>
    <mergeCell ref="A108:B108"/>
    <mergeCell ref="A111:B111"/>
    <mergeCell ref="A86:B86"/>
    <mergeCell ref="C37:H37"/>
    <mergeCell ref="A182:B182"/>
    <mergeCell ref="C182:D182"/>
    <mergeCell ref="E182:F182"/>
    <mergeCell ref="G182:H182"/>
    <mergeCell ref="G181:H181"/>
    <mergeCell ref="C172:D172"/>
    <mergeCell ref="E172:F172"/>
    <mergeCell ref="A126:B126"/>
    <mergeCell ref="C126:H126"/>
    <mergeCell ref="A128:B128"/>
    <mergeCell ref="C128:H128"/>
    <mergeCell ref="A129:B129"/>
    <mergeCell ref="E129:F129"/>
    <mergeCell ref="G129:H129"/>
    <mergeCell ref="A130:B130"/>
    <mergeCell ref="E130:F139"/>
    <mergeCell ref="G130:H139"/>
    <mergeCell ref="A131:B131"/>
    <mergeCell ref="A132:B132"/>
    <mergeCell ref="A133:B133"/>
    <mergeCell ref="A134:B134"/>
    <mergeCell ref="A135:B135"/>
    <mergeCell ref="A136:B136"/>
    <mergeCell ref="A150:B150"/>
    <mergeCell ref="A151:B151"/>
    <mergeCell ref="A152:B152"/>
    <mergeCell ref="A153:B153"/>
    <mergeCell ref="C294:F294"/>
    <mergeCell ref="C179:D179"/>
    <mergeCell ref="E179:F179"/>
    <mergeCell ref="G179:H179"/>
    <mergeCell ref="A177:A179"/>
    <mergeCell ref="A180:B180"/>
    <mergeCell ref="G178:H178"/>
    <mergeCell ref="E177:F177"/>
    <mergeCell ref="G177:H177"/>
    <mergeCell ref="A160:E160"/>
    <mergeCell ref="F160:H160"/>
    <mergeCell ref="A161:E161"/>
    <mergeCell ref="A163:E163"/>
    <mergeCell ref="A171:A172"/>
    <mergeCell ref="F162:H162"/>
    <mergeCell ref="C170:D170"/>
    <mergeCell ref="F165:H165"/>
    <mergeCell ref="F163:H163"/>
    <mergeCell ref="G170:H170"/>
    <mergeCell ref="A164:E164"/>
    <mergeCell ref="L192:M192"/>
    <mergeCell ref="G263:H270"/>
    <mergeCell ref="B311:H311"/>
    <mergeCell ref="A297:B297"/>
    <mergeCell ref="L297:M297"/>
    <mergeCell ref="A295:B295"/>
    <mergeCell ref="L295:M295"/>
    <mergeCell ref="A280:H280"/>
    <mergeCell ref="A281:H281"/>
    <mergeCell ref="A282:H282"/>
    <mergeCell ref="A283:B283"/>
    <mergeCell ref="G283:H286"/>
    <mergeCell ref="L283:M283"/>
    <mergeCell ref="A284:B284"/>
    <mergeCell ref="L284:M284"/>
    <mergeCell ref="A285:B285"/>
    <mergeCell ref="L285:M285"/>
    <mergeCell ref="A286:B286"/>
    <mergeCell ref="L286:M286"/>
    <mergeCell ref="A206:H206"/>
    <mergeCell ref="A208:B208"/>
    <mergeCell ref="L196:M196"/>
    <mergeCell ref="L197:M197"/>
    <mergeCell ref="A272:B27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97" max="16383" man="1"/>
    <brk id="182" max="7" man="1"/>
    <brk id="216" max="16383" man="1"/>
    <brk id="323" max="16383" man="1"/>
    <brk id="365" max="16383" man="1"/>
    <brk id="40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1" t="s">
        <v>109</v>
      </c>
      <c r="C3" s="201"/>
      <c r="D3" s="201"/>
      <c r="E3" s="201"/>
      <c r="F3" s="201"/>
      <c r="G3" s="201"/>
      <c r="H3" s="201"/>
    </row>
    <row r="4" spans="1:9" x14ac:dyDescent="0.3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2025-09-08T12:54:44Z</cp:lastPrinted>
  <dcterms:created xsi:type="dcterms:W3CDTF">2019-07-16T09:29:46Z</dcterms:created>
  <dcterms:modified xsi:type="dcterms:W3CDTF">2025-09-08T12:58:32Z</dcterms:modified>
</cp:coreProperties>
</file>