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30F1A57F-D308-4C10-976C-BA880E4A80FF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1" l="1"/>
  <c r="C85" i="1" l="1"/>
  <c r="C87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5" i="1"/>
  <c r="B181" i="1"/>
  <c r="D178" i="1"/>
  <c r="F178" i="1" s="1"/>
  <c r="D176" i="1"/>
  <c r="F176" i="1" s="1"/>
  <c r="D175" i="1"/>
  <c r="F175" i="1" s="1"/>
  <c r="D174" i="1"/>
  <c r="F174" i="1" s="1"/>
  <c r="D173" i="1"/>
  <c r="F173" i="1" s="1"/>
  <c r="D172" i="1"/>
  <c r="F172" i="1" s="1"/>
  <c r="G171" i="1"/>
  <c r="D171" i="1"/>
  <c r="F171" i="1" s="1"/>
  <c r="F169" i="1"/>
  <c r="D169" i="1"/>
  <c r="F168" i="1"/>
  <c r="D168" i="1"/>
  <c r="F167" i="1"/>
  <c r="D167" i="1"/>
  <c r="D166" i="1"/>
  <c r="F166" i="1" s="1"/>
  <c r="F165" i="1"/>
  <c r="D165" i="1"/>
  <c r="F164" i="1"/>
  <c r="D164" i="1"/>
  <c r="C111" i="1" s="1"/>
  <c r="F163" i="1"/>
  <c r="D163" i="1"/>
  <c r="I162" i="1"/>
  <c r="G162" i="1"/>
  <c r="F162" i="1"/>
  <c r="D162" i="1"/>
  <c r="E111" i="1" s="1"/>
  <c r="F155" i="1"/>
  <c r="D155" i="1"/>
  <c r="F153" i="1"/>
  <c r="D153" i="1"/>
  <c r="D152" i="1"/>
  <c r="F152" i="1" s="1"/>
  <c r="I152" i="1" s="1"/>
  <c r="D151" i="1"/>
  <c r="F151" i="1" s="1"/>
  <c r="D150" i="1"/>
  <c r="F150" i="1" s="1"/>
  <c r="D149" i="1"/>
  <c r="F149" i="1" s="1"/>
  <c r="G148" i="1"/>
  <c r="F148" i="1"/>
  <c r="D148" i="1"/>
  <c r="F146" i="1"/>
  <c r="D146" i="1"/>
  <c r="D145" i="1"/>
  <c r="F145" i="1" s="1"/>
  <c r="K145" i="1" s="1"/>
  <c r="D144" i="1"/>
  <c r="F144" i="1" s="1"/>
  <c r="D143" i="1"/>
  <c r="F143" i="1" s="1"/>
  <c r="D142" i="1"/>
  <c r="C110" i="1" s="1"/>
  <c r="C112" i="1" s="1"/>
  <c r="I141" i="1"/>
  <c r="D141" i="1"/>
  <c r="F141" i="1" s="1"/>
  <c r="K141" i="1" s="1"/>
  <c r="D140" i="1"/>
  <c r="F140" i="1" s="1"/>
  <c r="I139" i="1"/>
  <c r="G139" i="1"/>
  <c r="D139" i="1"/>
  <c r="F139" i="1" s="1"/>
  <c r="E129" i="1"/>
  <c r="D129" i="1"/>
  <c r="F129" i="1" s="1"/>
  <c r="E128" i="1"/>
  <c r="D128" i="1"/>
  <c r="F128" i="1" s="1"/>
  <c r="E127" i="1"/>
  <c r="D127" i="1"/>
  <c r="F127" i="1" s="1"/>
  <c r="E126" i="1"/>
  <c r="D126" i="1"/>
  <c r="F126" i="1" s="1"/>
  <c r="E125" i="1"/>
  <c r="D125" i="1"/>
  <c r="F125" i="1" s="1"/>
  <c r="E124" i="1"/>
  <c r="D124" i="1"/>
  <c r="F124" i="1" s="1"/>
  <c r="E123" i="1"/>
  <c r="D123" i="1"/>
  <c r="F123" i="1" s="1"/>
  <c r="E122" i="1"/>
  <c r="D122" i="1"/>
  <c r="F122" i="1" s="1"/>
  <c r="E121" i="1"/>
  <c r="D121" i="1"/>
  <c r="F121" i="1" s="1"/>
  <c r="A121" i="1"/>
  <c r="A122" i="1" s="1"/>
  <c r="A123" i="1" s="1"/>
  <c r="A124" i="1" s="1"/>
  <c r="A125" i="1" s="1"/>
  <c r="A126" i="1" s="1"/>
  <c r="A127" i="1" s="1"/>
  <c r="A128" i="1" s="1"/>
  <c r="A129" i="1" s="1"/>
  <c r="I120" i="1"/>
  <c r="G120" i="1"/>
  <c r="E120" i="1"/>
  <c r="F120" i="1" s="1"/>
  <c r="G107" i="1" s="1"/>
  <c r="D120" i="1"/>
  <c r="C107" i="1" s="1"/>
  <c r="E107" i="1"/>
  <c r="F104" i="1"/>
  <c r="J89" i="1"/>
  <c r="J88" i="1"/>
  <c r="J87" i="1"/>
  <c r="J86" i="1"/>
  <c r="J75" i="1"/>
  <c r="J74" i="1"/>
  <c r="J73" i="1"/>
  <c r="J72" i="1"/>
  <c r="C71" i="1"/>
  <c r="C72" i="1" s="1"/>
  <c r="C64" i="1"/>
  <c r="D58" i="1"/>
  <c r="D52" i="1"/>
  <c r="G47" i="1"/>
  <c r="C47" i="1"/>
  <c r="E40" i="1"/>
  <c r="E41" i="1" s="1"/>
  <c r="E27" i="1"/>
  <c r="E24" i="1"/>
  <c r="E22" i="1"/>
  <c r="C13" i="1"/>
  <c r="E7" i="1"/>
  <c r="E3" i="1"/>
  <c r="H79" i="1"/>
  <c r="H65" i="1"/>
  <c r="G111" i="1" l="1"/>
  <c r="J139" i="1"/>
  <c r="K139" i="1"/>
  <c r="F142" i="1"/>
  <c r="G110" i="1" s="1"/>
  <c r="G112" i="1" s="1"/>
  <c r="E110" i="1"/>
  <c r="E112" i="1" s="1"/>
  <c r="C73" i="1"/>
  <c r="D73" i="1" s="1"/>
  <c r="C86" i="1"/>
  <c r="D86" i="1" s="1"/>
  <c r="D91" i="1"/>
  <c r="D87" i="1"/>
  <c r="D90" i="1"/>
  <c r="J82" i="1"/>
  <c r="D88" i="1"/>
  <c r="D89" i="1"/>
  <c r="D85" i="1"/>
  <c r="J84" i="1"/>
  <c r="J85" i="1" s="1"/>
  <c r="J90" i="1" s="1"/>
  <c r="J91" i="1" s="1"/>
  <c r="C83" i="1" s="1"/>
  <c r="E82" i="1" s="1"/>
  <c r="D84" i="1"/>
  <c r="J83" i="1"/>
  <c r="C82" i="1" s="1"/>
  <c r="J81" i="1"/>
  <c r="D72" i="1"/>
  <c r="D75" i="1"/>
  <c r="J68" i="1"/>
  <c r="D74" i="1"/>
  <c r="D71" i="1"/>
  <c r="D70" i="1"/>
  <c r="D77" i="1"/>
  <c r="J70" i="1"/>
  <c r="J71" i="1" s="1"/>
  <c r="J76" i="1" s="1"/>
  <c r="J77" i="1" s="1"/>
  <c r="C69" i="1" s="1"/>
  <c r="D76" i="1"/>
  <c r="J69" i="1"/>
  <c r="C68" i="1" s="1"/>
  <c r="D68" i="1" s="1"/>
  <c r="J67" i="1"/>
  <c r="D83" i="1" l="1"/>
  <c r="E68" i="1"/>
  <c r="I64" i="1" s="1"/>
  <c r="C66" i="1" s="1"/>
  <c r="D69" i="1"/>
  <c r="G82" i="1"/>
  <c r="D82" i="1"/>
  <c r="G68" i="1"/>
  <c r="D62" i="1" s="1"/>
  <c r="I78" i="1" l="1"/>
  <c r="C80" i="1" s="1"/>
  <c r="F63" i="1"/>
  <c r="D63" i="1"/>
</calcChain>
</file>

<file path=xl/sharedStrings.xml><?xml version="1.0" encoding="utf-8"?>
<sst xmlns="http://schemas.openxmlformats.org/spreadsheetml/2006/main" count="360" uniqueCount="232">
  <si>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</si>
  <si>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</si>
  <si>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</si>
  <si>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</si>
  <si>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</si>
  <si>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</si>
  <si>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</si>
  <si>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M/s.Puranik Builders Limited</t>
  </si>
  <si>
    <t>Name of the builder company</t>
  </si>
  <si>
    <t>Name of the Project</t>
  </si>
  <si>
    <t>Puraniks Unicorn Phase I &amp; II</t>
  </si>
  <si>
    <t>Contact Details ( Name &amp; Contact No.)</t>
  </si>
  <si>
    <t>Mr. Prathamesh Gawane - 9152034971</t>
  </si>
  <si>
    <t>Name / No of the Building</t>
  </si>
  <si>
    <t>Phase I = Building Type - T6A (Celestia)
Phase II = Building Type - T6B (Asta)</t>
  </si>
  <si>
    <t>Docouments Provided</t>
  </si>
  <si>
    <t>Approved Plans, CC, Sale Plans, Cost Sheet</t>
  </si>
  <si>
    <t>RERA No.</t>
  </si>
  <si>
    <t xml:space="preserve">Phase I = Building Type - T6A = P51700032292
Phase II = Building Type - T6B = P51700047561
</t>
  </si>
  <si>
    <t xml:space="preserve">Project location details       </t>
  </si>
  <si>
    <t>Survey No</t>
  </si>
  <si>
    <t>55/1/C</t>
  </si>
  <si>
    <t>Road</t>
  </si>
  <si>
    <t>Ghodbunder Road</t>
  </si>
  <si>
    <t>Locality/Village</t>
  </si>
  <si>
    <t>Mogharpada</t>
  </si>
  <si>
    <t>City</t>
  </si>
  <si>
    <t>Thane West</t>
  </si>
  <si>
    <t>District</t>
  </si>
  <si>
    <t>Thane</t>
  </si>
  <si>
    <t>Taluka</t>
  </si>
  <si>
    <t>Pin Code</t>
  </si>
  <si>
    <t>Nearby Landmark</t>
  </si>
  <si>
    <t>Puranik City Reserva</t>
  </si>
  <si>
    <t xml:space="preserve">Distance from city centre: </t>
  </si>
  <si>
    <t>13.7KM from Thane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</si>
  <si>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</si>
  <si>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</si>
  <si>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</si>
  <si>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</si>
  <si>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</si>
  <si>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</si>
  <si>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</si>
  <si>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</si>
  <si>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</si>
  <si>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</si>
  <si>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</si>
  <si>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</si>
  <si>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</si>
  <si>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</si>
  <si>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</si>
  <si>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</si>
  <si>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</si>
  <si>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</si>
  <si>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</si>
  <si>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</si>
  <si>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Open Plot</t>
  </si>
  <si>
    <t>West</t>
  </si>
  <si>
    <t>North</t>
  </si>
  <si>
    <t>South</t>
  </si>
  <si>
    <t>Does the boundaries at site match, as mentioned in the Docoumentation: NA</t>
  </si>
  <si>
    <t>Location Link</t>
  </si>
  <si>
    <t>https://goo.gl/maps/jxzCuyv2murpxj2w7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</si>
  <si>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</si>
  <si>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</si>
  <si>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</si>
  <si>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</si>
  <si>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</si>
  <si>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</si>
  <si>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</si>
  <si>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1 Building</t>
  </si>
  <si>
    <t xml:space="preserve">Approval Detail : Plan approval </t>
  </si>
  <si>
    <t>Name of Municipal Corporation/Authority</t>
  </si>
  <si>
    <t xml:space="preserve">Thane Municipal Corporation (TMC)
</t>
  </si>
  <si>
    <t>Layout Approval No</t>
  </si>
  <si>
    <t>V.P.S06/0367/21/TMC/TD-DP/TPS/4085/22</t>
  </si>
  <si>
    <t>Dated</t>
  </si>
  <si>
    <t xml:space="preserve">Approved Floor plan No.
 </t>
  </si>
  <si>
    <t xml:space="preserve">Commencement-CC No
Valid Up to: </t>
  </si>
  <si>
    <t>V.P.No.S06/0367/21/TMC/TDD/4195/22</t>
  </si>
  <si>
    <t>Building Type T6A = LG + G + Stilt(pt)/ Podium(pt) + 1st to 32nd Floors
Building Type T6B = LG + G + Stilt(pt)/Podium(pt) + 1st to 32nd Floors</t>
  </si>
  <si>
    <t xml:space="preserve">O. Certificate No.: </t>
  </si>
  <si>
    <t>NA
Approved upto : NA</t>
  </si>
  <si>
    <t xml:space="preserve">Date of approval: </t>
  </si>
  <si>
    <t>Building wise Construction details</t>
  </si>
  <si>
    <t>Approved area of building (Sq.Mt)</t>
  </si>
  <si>
    <t>Approved no of units</t>
  </si>
  <si>
    <t>Flats - 508, Shops - 10</t>
  </si>
  <si>
    <t>Approved no of Floors</t>
  </si>
  <si>
    <t xml:space="preserve">Phase I = Building Type T6A = LG + G + Stilt(pt)/ Podium(pt) + 1st to 32nd Floor
Phase II = Building Type T6B = LG + G + Stilt(pt)/Podium(pt) + 1st to 33rd Floor
</t>
  </si>
  <si>
    <t>Proposed no of Floors</t>
  </si>
  <si>
    <t>Phase I = Building Type T6A = LG + G + Stilt(pt)/ Podium(pt) + 1st to 32nd Floor</t>
  </si>
  <si>
    <t>Expected Completion</t>
  </si>
  <si>
    <t>As per RERA - Building Type T6A = 31/12/2028
                         Building Type T6B = 31/12/2029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</si>
  <si>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</si>
  <si>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</si>
  <si>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</si>
  <si>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Vitrified tiles flooring, Kitchen Platform, Decorative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</si>
  <si>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</si>
  <si>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</si>
  <si>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</si>
  <si>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</si>
  <si>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</si>
  <si>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</si>
  <si>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</si>
  <si>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</si>
  <si>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</si>
  <si>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</si>
  <si>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</si>
  <si>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</si>
  <si>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</si>
  <si>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</si>
  <si>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</si>
  <si>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</si>
  <si>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</si>
  <si>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</si>
  <si>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</si>
  <si>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</si>
  <si>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</si>
  <si>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</si>
  <si>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</si>
  <si>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</si>
  <si>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</si>
  <si>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</si>
  <si>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</si>
  <si>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</si>
  <si>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</si>
  <si>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</si>
  <si>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</si>
  <si>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</si>
  <si>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</si>
  <si>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</si>
  <si>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</si>
  <si>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</si>
  <si>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</si>
  <si>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</si>
  <si>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Recommended Rates of the Property :</t>
  </si>
  <si>
    <t>Recommended rate of the Flat Per Sq. Ft. (on Saleable area)</t>
  </si>
  <si>
    <t>Recommended rate of the Shop Per Sq. Ft. (on Saleable area)</t>
  </si>
  <si>
    <t>MSEB Deposit Charges</t>
  </si>
  <si>
    <t>Water Connection Charges</t>
  </si>
  <si>
    <t>Society Reg Charges</t>
  </si>
  <si>
    <t>Club Charges</t>
  </si>
  <si>
    <t>Legal Services Charges</t>
  </si>
  <si>
    <t>Gas Connection Charges</t>
  </si>
  <si>
    <t>Water, Electricity, Drainages, Sewerage Connection</t>
  </si>
  <si>
    <t>Advance Maintenance Charges</t>
  </si>
  <si>
    <t xml:space="preserve">Recommended rate of Parking 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</si>
  <si>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</si>
  <si>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</si>
  <si>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</si>
  <si>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</si>
  <si>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</si>
  <si>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</si>
  <si>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Building Type - T6B (Asta)</t>
  </si>
  <si>
    <t>Shop</t>
  </si>
  <si>
    <t>Residential Area Details :</t>
  </si>
  <si>
    <t>Building Type - T6A (Celestia)</t>
  </si>
  <si>
    <t>Flats</t>
  </si>
  <si>
    <t>Total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</si>
  <si>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</si>
  <si>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</si>
  <si>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</si>
  <si>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</si>
  <si>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</si>
  <si>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</si>
  <si>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Loft area</t>
  </si>
  <si>
    <t>Saleable area Loading :</t>
  </si>
  <si>
    <t>Floor</t>
  </si>
  <si>
    <t>Phase II</t>
  </si>
  <si>
    <t>Ground Floor for Commercial &amp; Parking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</si>
  <si>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</si>
  <si>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</si>
  <si>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Attached Terrace area</t>
  </si>
  <si>
    <t>Phase I</t>
  </si>
  <si>
    <t>Lower Ground Floor For Parking</t>
  </si>
  <si>
    <t>Ground Floor For Parking</t>
  </si>
  <si>
    <t>Stilt / Podium Floor For Society Office, Drivers Room &amp; Parking</t>
  </si>
  <si>
    <t>1st to 5th, 7th to 10th, 12th to 15th, 17th to 20th, 22nd to 25th, 27th to 30th &amp; 32nd Floor for Residential</t>
  </si>
  <si>
    <t>1BHK</t>
  </si>
  <si>
    <t>2BHK</t>
  </si>
  <si>
    <t>6th, 11th, 16th, 21st, 26th &amp; 31st Floor (Part Refuge Area)</t>
  </si>
  <si>
    <t>Refuge Area</t>
  </si>
  <si>
    <t>Stilt / Podium Floor For Meter Room &amp; Parking</t>
  </si>
  <si>
    <t>Ground Floor For Commercial &amp; Parking</t>
  </si>
  <si>
    <t>1st to 5th, 7th to 10th, 12th to 15th, 17th to 20th, 22nd to 25th, 27th to 30th, 32nd &amp; 33rd Floor for Residential</t>
  </si>
  <si>
    <t xml:space="preserve">Remarks:  </t>
  </si>
  <si>
    <t>*</t>
  </si>
  <si>
    <t>We considered Carpet area as per Approved Plan.</t>
  </si>
  <si>
    <t>We considered Gross carpet area = Net carpet.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</si>
  <si>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</si>
  <si>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</si>
  <si>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</si>
  <si>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</si>
  <si>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We have update latest approved floor plan &amp; CC of Building Type - T6A &amp; T6B (On 23/01/2023).</t>
  </si>
  <si>
    <t>On Site, we meet Mr.Nikhil (Sales) - 8108660034.</t>
  </si>
  <si>
    <t>We refer latest CC from Rera site.</t>
  </si>
  <si>
    <t>As per Rera, Building Type - T6A is named as Celestia &amp; Building Type - T6B is Asta.</t>
  </si>
  <si>
    <t>Also, building type T6A belongs to phase I, and building type T6B belongs to phase II.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</si>
  <si>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</si>
  <si>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</si>
  <si>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</si>
  <si>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</si>
  <si>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</si>
  <si>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</si>
  <si>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</si>
  <si>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</si>
  <si>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Ajay Songare</t>
  </si>
  <si>
    <t>Report By :</t>
  </si>
  <si>
    <t>Authorized Signatory
Name &amp; Seal of the agency</t>
  </si>
  <si>
    <t xml:space="preserve">PHOTOGRAPHS OF PROPERTY : 
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</si>
  <si>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</si>
  <si>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</si>
  <si>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</si>
  <si>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</si>
  <si>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</si>
  <si>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</si>
  <si>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</si>
  <si>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</si>
  <si>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</si>
  <si>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99 Acres</t>
  </si>
  <si>
    <t>1bhk</t>
  </si>
  <si>
    <t>100 Acres</t>
  </si>
  <si>
    <t>2bhk</t>
  </si>
  <si>
    <t>Magic Brick</t>
  </si>
  <si>
    <t>Average</t>
  </si>
  <si>
    <t xml:space="preserve">Valuation Adopted </t>
  </si>
  <si>
    <t xml:space="preserve">Building Type - T6A &amp; T6B = Construction work is in process at the time of visit. (Internal photographs not allowed)
</t>
  </si>
  <si>
    <t>Phase II = Building Type T6B = LG + G + Stilt(pt)/ Podium(pt) + 1st to 33rd Floor</t>
  </si>
  <si>
    <t>Kunal Kadam</t>
  </si>
  <si>
    <t>Latitude,Longitude</t>
  </si>
  <si>
    <t>19.27953,72.965725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</si>
</sst>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dd\/mm\/yyyy"/>
    <numFmt numFmtId="167" formatCode="0.0"/>
    <numFmt numFmtId="168" formatCode="_ * #,##0_ ;_ * \-#,##0_ ;_ * &quot;-&quot;??_ ;_ @_ "/>
  </numFmts>
  <fonts count="24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u/>
      <sz val="12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1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1" fillId="0" borderId="0"/>
    <xf numFmtId="0" fontId="2" fillId="0" borderId="0"/>
  </cellStyleXfs>
  <cellXfs count="175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10" fillId="2" borderId="1" xfId="8" applyFont="1" applyFill="1" applyBorder="1" applyAlignment="1" applyProtection="1">
      <alignment horizontal="left" vertical="top"/>
      <protection locked="0"/>
    </xf>
    <xf numFmtId="0" fontId="10" fillId="2" borderId="1" xfId="8" applyFont="1" applyFill="1" applyBorder="1" applyAlignment="1" applyProtection="1">
      <alignment vertical="top"/>
      <protection locked="0"/>
    </xf>
    <xf numFmtId="0" fontId="13" fillId="2" borderId="1" xfId="8" applyFont="1" applyFill="1" applyBorder="1" applyAlignment="1" applyProtection="1">
      <alignment horizontal="left" vertical="top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17" fillId="0" borderId="0" xfId="8" applyFont="1"/>
    <xf numFmtId="0" fontId="10" fillId="0" borderId="17" xfId="8" applyFont="1" applyBorder="1" applyProtection="1">
      <protection hidden="1"/>
    </xf>
    <xf numFmtId="0" fontId="10" fillId="0" borderId="18" xfId="8" applyFont="1" applyBorder="1" applyProtection="1">
      <protection hidden="1"/>
    </xf>
    <xf numFmtId="0" fontId="7" fillId="0" borderId="19" xfId="8" applyFont="1" applyBorder="1" applyAlignment="1" applyProtection="1">
      <alignment horizontal="center" vertical="top"/>
      <protection locked="0"/>
    </xf>
    <xf numFmtId="0" fontId="7" fillId="0" borderId="20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center" wrapText="1"/>
      <protection locked="0"/>
    </xf>
    <xf numFmtId="9" fontId="7" fillId="2" borderId="1" xfId="8" applyNumberFormat="1" applyFont="1" applyFill="1" applyBorder="1" applyAlignment="1" applyProtection="1">
      <alignment horizontal="center" vertical="center" wrapText="1"/>
      <protection hidden="1"/>
    </xf>
    <xf numFmtId="1" fontId="7" fillId="0" borderId="1" xfId="8" applyNumberFormat="1" applyFont="1" applyBorder="1" applyAlignment="1" applyProtection="1">
      <alignment horizontal="center" wrapText="1"/>
      <protection locked="0"/>
    </xf>
    <xf numFmtId="0" fontId="7" fillId="0" borderId="22" xfId="8" applyFont="1" applyBorder="1" applyAlignment="1" applyProtection="1">
      <alignment horizontal="center" wrapText="1"/>
      <protection locked="0"/>
    </xf>
    <xf numFmtId="9" fontId="7" fillId="2" borderId="22" xfId="8" applyNumberFormat="1" applyFont="1" applyFill="1" applyBorder="1" applyAlignment="1" applyProtection="1">
      <alignment horizontal="center" vertical="center" wrapText="1"/>
      <protection hidden="1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9" fontId="12" fillId="0" borderId="24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1" xfId="8" applyNumberFormat="1" applyFont="1" applyBorder="1" applyAlignment="1">
      <alignment horizontal="center" vertical="center"/>
    </xf>
    <xf numFmtId="0" fontId="7" fillId="0" borderId="0" xfId="8" applyFont="1" applyProtection="1">
      <protection hidden="1"/>
    </xf>
    <xf numFmtId="0" fontId="7" fillId="0" borderId="27" xfId="8" applyFont="1" applyBorder="1" applyProtection="1">
      <protection hidden="1"/>
    </xf>
    <xf numFmtId="0" fontId="19" fillId="0" borderId="0" xfId="0" applyFont="1" applyProtection="1">
      <protection hidden="1"/>
    </xf>
    <xf numFmtId="0" fontId="7" fillId="0" borderId="27" xfId="8" applyFont="1" applyBorder="1"/>
    <xf numFmtId="0" fontId="19" fillId="0" borderId="27" xfId="0" applyFont="1" applyBorder="1" applyProtection="1">
      <protection hidden="1"/>
    </xf>
    <xf numFmtId="1" fontId="20" fillId="0" borderId="27" xfId="0" applyNumberFormat="1" applyFont="1" applyBorder="1"/>
    <xf numFmtId="1" fontId="20" fillId="0" borderId="27" xfId="0" applyNumberFormat="1" applyFont="1" applyBorder="1" applyAlignment="1">
      <alignment horizontal="right"/>
    </xf>
    <xf numFmtId="0" fontId="19" fillId="0" borderId="28" xfId="0" applyFont="1" applyBorder="1" applyProtection="1">
      <protection hidden="1"/>
    </xf>
    <xf numFmtId="1" fontId="20" fillId="0" borderId="29" xfId="0" applyNumberFormat="1" applyFont="1" applyBorder="1"/>
    <xf numFmtId="1" fontId="10" fillId="0" borderId="0" xfId="8" applyNumberFormat="1" applyFont="1" applyAlignment="1">
      <alignment horizontal="center" vertical="center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5" fillId="0" borderId="0" xfId="8" applyFont="1" applyProtection="1"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166" fontId="9" fillId="0" borderId="1" xfId="8" applyNumberFormat="1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center" wrapText="1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9" fillId="2" borderId="1" xfId="8" applyFont="1" applyFill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2" fontId="9" fillId="0" borderId="1" xfId="8" applyNumberFormat="1" applyFont="1" applyBorder="1" applyAlignment="1" applyProtection="1">
      <alignment horizontal="left" vertical="top" wrapText="1"/>
      <protection locked="0"/>
    </xf>
    <xf numFmtId="167" fontId="9" fillId="0" borderId="1" xfId="8" applyNumberFormat="1" applyFont="1" applyBorder="1" applyAlignment="1" applyProtection="1">
      <alignment horizontal="left" vertical="top"/>
      <protection locked="0"/>
    </xf>
    <xf numFmtId="2" fontId="9" fillId="0" borderId="1" xfId="8" applyNumberFormat="1" applyFont="1" applyBorder="1" applyAlignment="1" applyProtection="1">
      <alignment horizontal="left" vertical="top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0" fontId="15" fillId="0" borderId="2" xfId="8" applyFont="1" applyBorder="1" applyAlignment="1" applyProtection="1">
      <alignment horizontal="left" vertical="top" wrapText="1"/>
      <protection locked="0"/>
    </xf>
    <xf numFmtId="0" fontId="15" fillId="0" borderId="3" xfId="8" applyFont="1" applyBorder="1" applyAlignment="1" applyProtection="1">
      <alignment horizontal="left" vertical="top"/>
      <protection locked="0"/>
    </xf>
    <xf numFmtId="0" fontId="15" fillId="0" borderId="4" xfId="8" applyFont="1" applyBorder="1" applyAlignment="1" applyProtection="1">
      <alignment horizontal="left" vertical="top"/>
      <protection locked="0"/>
    </xf>
    <xf numFmtId="0" fontId="10" fillId="2" borderId="1" xfId="8" applyFont="1" applyFill="1" applyBorder="1" applyAlignment="1" applyProtection="1">
      <alignment horizontal="left" vertical="top" wrapText="1"/>
      <protection locked="0"/>
    </xf>
    <xf numFmtId="166" fontId="10" fillId="0" borderId="1" xfId="8" applyNumberFormat="1" applyFont="1" applyBorder="1" applyAlignment="1" applyProtection="1">
      <alignment horizontal="left" vertical="top" wrapText="1"/>
      <protection locked="0"/>
    </xf>
    <xf numFmtId="0" fontId="10" fillId="2" borderId="1" xfId="8" applyFont="1" applyFill="1" applyBorder="1" applyAlignment="1" applyProtection="1">
      <alignment horizontal="left" vertical="top"/>
      <protection locked="0"/>
    </xf>
    <xf numFmtId="0" fontId="10" fillId="2" borderId="2" xfId="8" applyFont="1" applyFill="1" applyBorder="1" applyAlignment="1" applyProtection="1">
      <alignment horizontal="left" vertical="top" wrapText="1"/>
      <protection locked="0"/>
    </xf>
    <xf numFmtId="0" fontId="10" fillId="2" borderId="3" xfId="8" applyFont="1" applyFill="1" applyBorder="1" applyAlignment="1" applyProtection="1">
      <alignment horizontal="left" vertical="top" wrapText="1"/>
      <protection locked="0"/>
    </xf>
    <xf numFmtId="0" fontId="10" fillId="2" borderId="4" xfId="8" applyFont="1" applyFill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2" borderId="1" xfId="8" applyFont="1" applyFill="1" applyBorder="1" applyAlignment="1" applyProtection="1">
      <alignment horizontal="left" vertical="top" wrapText="1"/>
      <protection locked="0"/>
    </xf>
    <xf numFmtId="0" fontId="13" fillId="2" borderId="1" xfId="8" applyFont="1" applyFill="1" applyBorder="1" applyAlignment="1" applyProtection="1">
      <alignment horizontal="left" vertical="top"/>
      <protection locked="0"/>
    </xf>
    <xf numFmtId="166" fontId="13" fillId="0" borderId="1" xfId="8" applyNumberFormat="1" applyFont="1" applyBorder="1" applyAlignment="1" applyProtection="1">
      <alignment horizontal="left"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10" fillId="0" borderId="1" xfId="8" applyFont="1" applyBorder="1" applyAlignment="1" applyProtection="1">
      <alignment horizontal="left" vertical="top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7" fillId="0" borderId="7" xfId="8" applyFont="1" applyBorder="1" applyAlignment="1" applyProtection="1">
      <alignment horizontal="left" vertical="top" wrapText="1"/>
      <protection locked="0"/>
    </xf>
    <xf numFmtId="0" fontId="10" fillId="0" borderId="8" xfId="8" applyFont="1" applyBorder="1" applyAlignment="1" applyProtection="1">
      <alignment horizontal="left" vertical="top" wrapText="1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/>
      <protection locked="0"/>
    </xf>
    <xf numFmtId="0" fontId="7" fillId="0" borderId="8" xfId="8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 wrapText="1"/>
      <protection locked="0"/>
    </xf>
    <xf numFmtId="0" fontId="12" fillId="0" borderId="12" xfId="8" applyFont="1" applyBorder="1" applyAlignment="1" applyProtection="1">
      <alignment horizontal="left" vertical="top" wrapText="1"/>
      <protection locked="0"/>
    </xf>
    <xf numFmtId="0" fontId="12" fillId="0" borderId="13" xfId="8" applyFont="1" applyBorder="1" applyAlignment="1" applyProtection="1">
      <alignment horizontal="left" vertical="top" wrapText="1"/>
      <protection locked="0"/>
    </xf>
    <xf numFmtId="0" fontId="12" fillId="0" borderId="14" xfId="8" applyFont="1" applyBorder="1" applyAlignment="1" applyProtection="1">
      <alignment horizontal="left" vertical="top" wrapText="1"/>
      <protection locked="0"/>
    </xf>
    <xf numFmtId="0" fontId="12" fillId="0" borderId="15" xfId="8" applyFont="1" applyBorder="1" applyAlignment="1" applyProtection="1">
      <alignment horizontal="left" vertical="top" wrapText="1"/>
      <protection locked="0"/>
    </xf>
    <xf numFmtId="0" fontId="12" fillId="0" borderId="16" xfId="8" applyFont="1" applyBorder="1" applyAlignment="1" applyProtection="1">
      <alignment horizontal="left" vertical="top" wrapText="1"/>
      <protection locked="0"/>
    </xf>
    <xf numFmtId="0" fontId="13" fillId="0" borderId="19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13" fillId="0" borderId="20" xfId="8" applyFont="1" applyBorder="1" applyAlignment="1" applyProtection="1">
      <alignment horizontal="left" vertical="top" wrapText="1"/>
      <protection locked="0"/>
    </xf>
    <xf numFmtId="0" fontId="7" fillId="0" borderId="19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0" fontId="7" fillId="0" borderId="20" xfId="8" applyFont="1" applyBorder="1" applyAlignment="1" applyProtection="1">
      <alignment horizontal="center" vertical="top" wrapText="1"/>
      <protection locked="0"/>
    </xf>
    <xf numFmtId="0" fontId="7" fillId="0" borderId="21" xfId="8" applyFont="1" applyBorder="1" applyAlignment="1" applyProtection="1">
      <alignment horizontal="center" vertical="top" wrapText="1"/>
      <protection locked="0"/>
    </xf>
    <xf numFmtId="0" fontId="7" fillId="0" borderId="22" xfId="8" applyFont="1" applyBorder="1" applyAlignment="1" applyProtection="1">
      <alignment horizontal="center" vertical="top" wrapText="1"/>
      <protection locked="0"/>
    </xf>
    <xf numFmtId="168" fontId="13" fillId="2" borderId="1" xfId="1" applyNumberFormat="1" applyFont="1" applyFill="1" applyBorder="1" applyAlignment="1" applyProtection="1">
      <alignment horizontal="left" vertical="top"/>
      <protection locked="0"/>
    </xf>
    <xf numFmtId="168" fontId="7" fillId="2" borderId="1" xfId="1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horizontal="center" vertical="center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0" fontId="9" fillId="0" borderId="1" xfId="8" applyFont="1" applyBorder="1" applyAlignment="1" applyProtection="1">
      <alignment vertical="top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1" fontId="12" fillId="0" borderId="24" xfId="8" applyNumberFormat="1" applyFont="1" applyBorder="1" applyAlignment="1" applyProtection="1">
      <alignment horizontal="center" vertical="top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9" xfId="8" applyNumberFormat="1" applyFont="1" applyBorder="1" applyAlignment="1" applyProtection="1">
      <alignment horizontal="center" vertical="top" wrapText="1"/>
      <protection locked="0"/>
    </xf>
    <xf numFmtId="1" fontId="18" fillId="0" borderId="8" xfId="8" applyNumberFormat="1" applyFont="1" applyBorder="1" applyAlignment="1" applyProtection="1">
      <alignment horizontal="center" vertical="top" wrapText="1"/>
      <protection locked="0"/>
    </xf>
    <xf numFmtId="1" fontId="18" fillId="0" borderId="24" xfId="8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0" fontId="16" fillId="0" borderId="1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7" fillId="0" borderId="11" xfId="8" applyFont="1" applyBorder="1" applyAlignment="1" applyProtection="1">
      <alignment horizontal="left" vertical="top" wrapText="1"/>
      <protection locked="0"/>
    </xf>
    <xf numFmtId="9" fontId="7" fillId="2" borderId="1" xfId="8" applyNumberFormat="1" applyFont="1" applyFill="1" applyBorder="1" applyAlignment="1" applyProtection="1">
      <alignment horizontal="center" vertical="center" wrapText="1"/>
      <protection hidden="1"/>
    </xf>
    <xf numFmtId="9" fontId="7" fillId="2" borderId="22" xfId="8" applyNumberFormat="1" applyFont="1" applyFill="1" applyBorder="1" applyAlignment="1" applyProtection="1">
      <alignment horizontal="center" vertical="center" wrapText="1"/>
      <protection hidden="1"/>
    </xf>
    <xf numFmtId="9" fontId="7" fillId="2" borderId="20" xfId="8" applyNumberFormat="1" applyFont="1" applyFill="1" applyBorder="1" applyAlignment="1" applyProtection="1">
      <alignment horizontal="center" vertical="center" wrapText="1"/>
      <protection hidden="1"/>
    </xf>
    <xf numFmtId="9" fontId="7" fillId="2" borderId="23" xfId="8" applyNumberFormat="1" applyFont="1" applyFill="1" applyBorder="1" applyAlignment="1" applyProtection="1">
      <alignment horizontal="center" vertical="center" wrapText="1"/>
      <protection hidden="1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11" xfId="8" applyNumberFormat="1" applyFont="1" applyBorder="1" applyAlignment="1" applyProtection="1">
      <alignment horizontal="center" vertical="top" wrapText="1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25" xfId="8" applyNumberFormat="1" applyFont="1" applyBorder="1" applyAlignment="1" applyProtection="1">
      <alignment horizontal="center" vertical="center" wrapText="1"/>
      <protection locked="0"/>
    </xf>
    <xf numFmtId="1" fontId="9" fillId="0" borderId="26" xfId="8" applyNumberFormat="1" applyFont="1" applyBorder="1" applyAlignment="1" applyProtection="1">
      <alignment horizontal="center" vertical="center" wrapText="1"/>
      <protection locked="0"/>
    </xf>
    <xf numFmtId="1" fontId="9" fillId="0" borderId="9" xfId="8" applyNumberFormat="1" applyFont="1" applyBorder="1" applyAlignment="1" applyProtection="1">
      <alignment horizontal="center" vertical="center" wrapText="1"/>
      <protection locked="0"/>
    </xf>
    <xf numFmtId="1" fontId="9" fillId="0" borderId="11" xfId="8" applyNumberFormat="1" applyFont="1" applyBorder="1" applyAlignment="1" applyProtection="1">
      <alignment horizontal="center" vertical="center" wrapText="1"/>
      <protection locked="0"/>
    </xf>
    <xf numFmtId="0" fontId="19" fillId="0" borderId="1" xfId="8" applyFont="1" applyBorder="1" applyAlignment="1" applyProtection="1">
      <alignment horizontal="center" vertical="top" wrapText="1"/>
      <protection locked="0"/>
    </xf>
    <xf numFmtId="1" fontId="9" fillId="0" borderId="8" xfId="0" applyNumberFormat="1" applyFont="1" applyBorder="1" applyAlignment="1" applyProtection="1">
      <alignment horizontal="center" vertical="center" wrapText="1"/>
      <protection locked="0"/>
    </xf>
    <xf numFmtId="1" fontId="9" fillId="0" borderId="24" xfId="0" applyNumberFormat="1" applyFont="1" applyBorder="1" applyAlignment="1" applyProtection="1">
      <alignment horizontal="center" vertical="center" wrapText="1"/>
      <protection locked="0"/>
    </xf>
    <xf numFmtId="0" fontId="3" fillId="0" borderId="1" xfId="10" applyFont="1" applyBorder="1" applyAlignment="1">
      <alignment horizontal="left"/>
    </xf>
    <xf numFmtId="0" fontId="10" fillId="0" borderId="3" xfId="8" applyFont="1" applyBorder="1" applyAlignment="1" applyProtection="1">
      <alignment horizontal="left"/>
      <protection locked="0"/>
    </xf>
    <xf numFmtId="0" fontId="10" fillId="0" borderId="4" xfId="8" applyFont="1" applyBorder="1" applyAlignment="1" applyProtection="1">
      <alignment horizontal="left"/>
      <protection locked="0"/>
    </xf>
    <xf numFmtId="0" fontId="14" fillId="0" borderId="2" xfId="3" applyBorder="1" applyAlignment="1" applyProtection="1">
      <alignment horizontal="left" wrapText="1"/>
      <protection locked="0"/>
    </xf>
    <xf numFmtId="0" fontId="15" fillId="0" borderId="2" xfId="8" applyFont="1" applyBorder="1" applyAlignment="1" applyProtection="1">
      <alignment horizontal="left"/>
      <protection locked="0"/>
    </xf>
    <xf numFmtId="0" fontId="15" fillId="0" borderId="3" xfId="8" applyFont="1" applyBorder="1" applyAlignment="1" applyProtection="1">
      <alignment horizontal="left"/>
      <protection locked="0"/>
    </xf>
    <xf numFmtId="0" fontId="15" fillId="0" borderId="4" xfId="8" applyFont="1" applyBorder="1" applyAlignment="1" applyProtection="1">
      <alignment horizontal="left"/>
      <protection locked="0"/>
    </xf>
  </cellXfs>
  <cellStyles count="11">
    <cellStyle name="Comma" xfId="1" builtinId="3"/>
    <cellStyle name="Comma 2" xfId="4" xr:uid="{00000000-0005-0000-0000-000001000000}"/>
    <cellStyle name="Excel Built-in Normal" xfId="5" xr:uid="{00000000-0005-0000-0000-000002000000}"/>
    <cellStyle name="Excel Built-in Normal 2" xfId="6" xr:uid="{00000000-0005-0000-0000-000003000000}"/>
    <cellStyle name="Hyperlink" xfId="3" builtinId="8"/>
    <cellStyle name="Normal" xfId="0" builtinId="0"/>
    <cellStyle name="Normal 2" xfId="7" xr:uid="{00000000-0005-0000-0000-000006000000}"/>
    <cellStyle name="Normal 3" xfId="8" xr:uid="{00000000-0005-0000-0000-000007000000}"/>
    <cellStyle name="Normal 3 3" xfId="9" xr:uid="{00000000-0005-0000-0000-000008000000}"/>
    <cellStyle name="Normal 4" xfId="10" xr:uid="{00000000-0005-0000-0000-000009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645718</xdr:colOff>
      <xdr:row>259</xdr:row>
      <xdr:rowOff>107674</xdr:rowOff>
    </xdr:from>
    <xdr:to>
      <xdr:col>6</xdr:col>
      <xdr:colOff>192717</xdr:colOff>
      <xdr:row>277</xdr:row>
      <xdr:rowOff>60485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rcRect t="1307"/>
        <a:stretch>
          <a:fillRect/>
        </a:stretch>
      </xdr:blipFill>
      <xdr:spPr>
        <a:xfrm>
          <a:off x="1407160" y="57656095"/>
          <a:ext cx="3700145" cy="35534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645718</xdr:colOff>
      <xdr:row>241</xdr:row>
      <xdr:rowOff>9924</xdr:rowOff>
    </xdr:from>
    <xdr:to>
      <xdr:col>6</xdr:col>
      <xdr:colOff>192717</xdr:colOff>
      <xdr:row>259</xdr:row>
      <xdr:rowOff>11062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1407160" y="53957855"/>
          <a:ext cx="3700145" cy="36017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187325</xdr:colOff>
      <xdr:row>78</xdr:row>
      <xdr:rowOff>57150</xdr:rowOff>
    </xdr:from>
    <xdr:to>
      <xdr:col>18</xdr:col>
      <xdr:colOff>94782</xdr:colOff>
      <xdr:row>91</xdr:row>
      <xdr:rowOff>135825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9340850" y="19836765"/>
          <a:ext cx="4898390" cy="31000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546100</xdr:colOff>
      <xdr:row>63</xdr:row>
      <xdr:rowOff>269875</xdr:rowOff>
    </xdr:from>
    <xdr:to>
      <xdr:col>18</xdr:col>
      <xdr:colOff>15200</xdr:colOff>
      <xdr:row>76</xdr:row>
      <xdr:rowOff>166795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34254" t="42925" r="31933" b="20990"/>
        <a:stretch>
          <a:fillRect/>
        </a:stretch>
      </xdr:blipFill>
      <xdr:spPr>
        <a:xfrm>
          <a:off x="8994775" y="16217265"/>
          <a:ext cx="5164455" cy="31000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231913</xdr:colOff>
      <xdr:row>204</xdr:row>
      <xdr:rowOff>134468</xdr:rowOff>
    </xdr:from>
    <xdr:to>
      <xdr:col>17</xdr:col>
      <xdr:colOff>566802</xdr:colOff>
      <xdr:row>230</xdr:row>
      <xdr:rowOff>154241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8126233" y="47241308"/>
          <a:ext cx="6347069" cy="5163273"/>
          <a:chOff x="94422" y="47722113"/>
          <a:chExt cx="6192681" cy="5179838"/>
        </a:xfrm>
      </xdr:grpSpPr>
      <xdr:pic>
        <xdr:nvPicPr>
          <xdr:cNvPr id="17" name="Picture 16" descr="https://vsjcllp.vsjadon.com/upload/insp-236420-1525.jp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93434" y="5073926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36420-849.jp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28260" y="50741951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36420-851.jp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86638" y="47727705"/>
            <a:ext cx="2200465" cy="293701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36420-843.jpg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4422" y="47722113"/>
            <a:ext cx="3912390" cy="293701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396240</xdr:colOff>
      <xdr:row>206</xdr:row>
      <xdr:rowOff>15240</xdr:rowOff>
    </xdr:from>
    <xdr:to>
      <xdr:col>7</xdr:col>
      <xdr:colOff>463446</xdr:colOff>
      <xdr:row>237</xdr:row>
      <xdr:rowOff>30275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F263D573-55C7-70DD-9449-06A3616A21BD}"/>
            </a:ext>
          </a:extLst>
        </xdr:cNvPr>
        <xdr:cNvGrpSpPr/>
      </xdr:nvGrpSpPr>
      <xdr:grpSpPr>
        <a:xfrm>
          <a:off x="396240" y="47518320"/>
          <a:ext cx="5911746" cy="6149135"/>
          <a:chOff x="473128" y="381228"/>
          <a:chExt cx="5911746" cy="6149135"/>
        </a:xfrm>
      </xdr:grpSpPr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2F840D08-B2A0-1EEB-497D-FA3F67FA46C7}"/>
              </a:ext>
            </a:extLst>
          </xdr:cNvPr>
          <xdr:cNvGrpSpPr/>
        </xdr:nvGrpSpPr>
        <xdr:grpSpPr>
          <a:xfrm>
            <a:off x="1103972" y="4370363"/>
            <a:ext cx="4650058" cy="2160000"/>
            <a:chOff x="473128" y="4370363"/>
            <a:chExt cx="4650058" cy="2160000"/>
          </a:xfrm>
        </xdr:grpSpPr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1C329761-C18D-593C-5A93-270AA98B20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04874" y="4370363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703BE13C-B439-DC0B-DC79-7AB7BD0F22C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73128" y="4370363"/>
              <a:ext cx="287733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7E97D037-EBEB-CC5B-4002-AB620EA26067}"/>
              </a:ext>
            </a:extLst>
          </xdr:cNvPr>
          <xdr:cNvGrpSpPr/>
        </xdr:nvGrpSpPr>
        <xdr:grpSpPr>
          <a:xfrm>
            <a:off x="473128" y="381228"/>
            <a:ext cx="5911746" cy="3853211"/>
            <a:chOff x="473128" y="381228"/>
            <a:chExt cx="5911746" cy="3853211"/>
          </a:xfrm>
        </xdr:grpSpPr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BEA293EA-1016-24A8-7B79-C2B0DC8B0B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04874" y="390434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DCEC84C0-CE13-D114-0560-BE37546588C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73128" y="381228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3" name="TextBox 11">
            <a:extLst>
              <a:ext uri="{FF2B5EF4-FFF2-40B4-BE49-F238E27FC236}">
                <a16:creationId xmlns:a16="http://schemas.microsoft.com/office/drawing/2014/main" id="{45FB1C9B-F31A-950F-72F5-36F5391C23BE}"/>
              </a:ext>
            </a:extLst>
          </xdr:cNvPr>
          <xdr:cNvSpPr txBox="1"/>
        </xdr:nvSpPr>
        <xdr:spPr>
          <a:xfrm>
            <a:off x="2360140" y="988541"/>
            <a:ext cx="55496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T6B</a:t>
            </a:r>
            <a:endParaRPr lang="en-IN" b="1"/>
          </a:p>
        </xdr:txBody>
      </xdr:sp>
      <xdr:sp macro="" textlink="">
        <xdr:nvSpPr>
          <xdr:cNvPr id="24" name="TextBox 12">
            <a:extLst>
              <a:ext uri="{FF2B5EF4-FFF2-40B4-BE49-F238E27FC236}">
                <a16:creationId xmlns:a16="http://schemas.microsoft.com/office/drawing/2014/main" id="{B8CF3BD3-B9E6-77BF-4D29-3307F7BAE90D}"/>
              </a:ext>
            </a:extLst>
          </xdr:cNvPr>
          <xdr:cNvSpPr txBox="1"/>
        </xdr:nvSpPr>
        <xdr:spPr>
          <a:xfrm>
            <a:off x="646670" y="708454"/>
            <a:ext cx="55496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T6A</a:t>
            </a:r>
            <a:endParaRPr lang="en-IN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676525"/>
          <a:ext cx="6859905" cy="3855720"/>
        </a:xfrm>
        <a:prstGeom prst="rect">
          <a:avLst/>
        </a:prstGeom>
      </xdr:spPr>
    </xdr:pic>
    <xdr:clientData/>
  </xdr:twoCellAnchor>
  <xdr:twoCellAnchor editAs="oneCell">
    <xdr:from>
      <xdr:col>6</xdr:col>
      <xdr:colOff>802341</xdr:colOff>
      <xdr:row>14</xdr:row>
      <xdr:rowOff>0</xdr:rowOff>
    </xdr:from>
    <xdr:to>
      <xdr:col>16</xdr:col>
      <xdr:colOff>567018</xdr:colOff>
      <xdr:row>34</xdr:row>
      <xdr:rowOff>45742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830" y="2676525"/>
          <a:ext cx="6841490" cy="38557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464464</xdr:colOff>
      <xdr:row>22</xdr:row>
      <xdr:rowOff>47524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065010" cy="4047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xzCuyv2murpxj2w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40"/>
  <sheetViews>
    <sheetView tabSelected="1" view="pageBreakPreview" zoomScaleNormal="100" zoomScaleSheetLayoutView="100" zoomScalePageLayoutView="96" workbookViewId="0">
      <selection activeCell="J7" sqref="J7"/>
    </sheetView>
  </sheetViews>
  <sheetFormatPr defaultColWidth="9.109375" defaultRowHeight="15.6"/>
  <cols>
    <col min="1" max="1" width="11.44140625" style="19" customWidth="1"/>
    <col min="2" max="2" width="12" style="19" customWidth="1"/>
    <col min="3" max="3" width="12.6640625" style="19" customWidth="1"/>
    <col min="4" max="4" width="14.109375" style="19" customWidth="1"/>
    <col min="5" max="7" width="11.6640625" style="19" customWidth="1"/>
    <col min="8" max="8" width="12.44140625" style="19" customWidth="1"/>
    <col min="9" max="9" width="17.44140625" style="20" customWidth="1"/>
    <col min="10" max="10" width="11.44140625" style="20" customWidth="1"/>
    <col min="11" max="12" width="10.5546875" style="20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8" ht="46.5" customHeight="1">
      <c r="A1" s="57" t="s">
        <v>0</v>
      </c>
      <c r="B1" s="57"/>
      <c r="C1" s="57"/>
      <c r="D1" s="57"/>
      <c r="E1" s="57"/>
      <c r="F1" s="57"/>
      <c r="G1" s="57"/>
      <c r="H1" s="57"/>
    </row>
    <row r="2" spans="1:8" ht="16.5" customHeight="1">
      <c r="A2" s="58" t="s">
        <v>1</v>
      </c>
      <c r="B2" s="58"/>
      <c r="C2" s="58"/>
      <c r="D2" s="58"/>
      <c r="E2" s="58"/>
      <c r="F2" s="58"/>
      <c r="G2" s="58"/>
      <c r="H2" s="58"/>
    </row>
    <row r="3" spans="1:8">
      <c r="A3" s="59" t="s">
        <v>2</v>
      </c>
      <c r="B3" s="59"/>
      <c r="C3" s="59"/>
      <c r="D3" s="59"/>
      <c r="E3" s="60" t="str">
        <f ca="1">TEXT(TODAY(),"DD/MM/YYYY")</f>
        <v>11/09/2025</v>
      </c>
      <c r="F3" s="60"/>
      <c r="G3" s="60"/>
      <c r="H3" s="60"/>
    </row>
    <row r="4" spans="1:8" ht="15" customHeight="1">
      <c r="A4" s="59" t="s">
        <v>3</v>
      </c>
      <c r="B4" s="59"/>
      <c r="C4" s="59"/>
      <c r="D4" s="59"/>
      <c r="E4" s="61" t="s">
        <v>4</v>
      </c>
      <c r="F4" s="61"/>
      <c r="G4" s="61"/>
      <c r="H4" s="61"/>
    </row>
    <row r="5" spans="1:8">
      <c r="A5" s="59" t="s">
        <v>5</v>
      </c>
      <c r="B5" s="59"/>
      <c r="C5" s="59"/>
      <c r="D5" s="59"/>
      <c r="E5" s="60">
        <v>45909</v>
      </c>
      <c r="F5" s="60"/>
      <c r="G5" s="60"/>
      <c r="H5" s="60"/>
    </row>
    <row r="6" spans="1:8" ht="16.5" customHeight="1">
      <c r="A6" s="59" t="s">
        <v>6</v>
      </c>
      <c r="B6" s="59"/>
      <c r="C6" s="59"/>
      <c r="D6" s="59"/>
      <c r="E6" s="62" t="s">
        <v>7</v>
      </c>
      <c r="F6" s="62"/>
      <c r="G6" s="62"/>
      <c r="H6" s="62"/>
    </row>
    <row r="7" spans="1:8" ht="15" customHeight="1">
      <c r="A7" s="59" t="s">
        <v>8</v>
      </c>
      <c r="B7" s="59"/>
      <c r="C7" s="59"/>
      <c r="D7" s="59"/>
      <c r="E7" s="62" t="str">
        <f>E6</f>
        <v>M/s.Puranik Builders Limited</v>
      </c>
      <c r="F7" s="62"/>
      <c r="G7" s="62"/>
      <c r="H7" s="62"/>
    </row>
    <row r="8" spans="1:8">
      <c r="A8" s="59" t="s">
        <v>9</v>
      </c>
      <c r="B8" s="59"/>
      <c r="C8" s="59"/>
      <c r="D8" s="59"/>
      <c r="E8" s="63" t="s">
        <v>10</v>
      </c>
      <c r="F8" s="63"/>
      <c r="G8" s="63"/>
      <c r="H8" s="63"/>
    </row>
    <row r="9" spans="1:8">
      <c r="A9" s="59" t="s">
        <v>11</v>
      </c>
      <c r="B9" s="59"/>
      <c r="C9" s="59"/>
      <c r="D9" s="59"/>
      <c r="E9" s="59" t="s">
        <v>12</v>
      </c>
      <c r="F9" s="59"/>
      <c r="G9" s="59"/>
      <c r="H9" s="59"/>
    </row>
    <row r="10" spans="1:8" ht="32.25" customHeight="1">
      <c r="A10" s="64" t="s">
        <v>13</v>
      </c>
      <c r="B10" s="64"/>
      <c r="C10" s="64"/>
      <c r="D10" s="64"/>
      <c r="E10" s="65" t="s">
        <v>14</v>
      </c>
      <c r="F10" s="64"/>
      <c r="G10" s="64"/>
      <c r="H10" s="64"/>
    </row>
    <row r="11" spans="1:8">
      <c r="A11" s="59" t="s">
        <v>15</v>
      </c>
      <c r="B11" s="59"/>
      <c r="C11" s="59"/>
      <c r="D11" s="59"/>
      <c r="E11" s="65" t="s">
        <v>16</v>
      </c>
      <c r="F11" s="65"/>
      <c r="G11" s="65"/>
      <c r="H11" s="65"/>
    </row>
    <row r="12" spans="1:8" ht="32.25" customHeight="1">
      <c r="A12" s="59" t="s">
        <v>17</v>
      </c>
      <c r="B12" s="59"/>
      <c r="C12" s="59"/>
      <c r="D12" s="59"/>
      <c r="E12" s="65" t="s">
        <v>18</v>
      </c>
      <c r="F12" s="64"/>
      <c r="G12" s="64"/>
      <c r="H12" s="64"/>
    </row>
    <row r="13" spans="1:8" ht="32.25" customHeight="1">
      <c r="A13" s="62" t="s">
        <v>19</v>
      </c>
      <c r="B13" s="62"/>
      <c r="C13" s="6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Puraniks Unicorn Phase I &amp; II, Survey No.55/1/C, near Puranik City Reserva, Ghodbunder Road, Mogharpada, Thane West, Thane, Thane - 400615.</v>
      </c>
      <c r="D13" s="62"/>
      <c r="E13" s="62"/>
      <c r="F13" s="62"/>
      <c r="G13" s="62"/>
      <c r="H13" s="62"/>
    </row>
    <row r="14" spans="1:8">
      <c r="A14" s="65" t="s">
        <v>20</v>
      </c>
      <c r="B14" s="65"/>
      <c r="C14" s="65" t="s">
        <v>21</v>
      </c>
      <c r="D14" s="65"/>
      <c r="E14" s="65"/>
      <c r="F14" s="65"/>
      <c r="G14" s="65"/>
      <c r="H14" s="65"/>
    </row>
    <row r="15" spans="1:8" ht="15.75" customHeight="1">
      <c r="A15" s="62" t="s">
        <v>22</v>
      </c>
      <c r="B15" s="62"/>
      <c r="C15" s="64" t="s">
        <v>23</v>
      </c>
      <c r="D15" s="64"/>
      <c r="E15" s="62" t="s">
        <v>24</v>
      </c>
      <c r="F15" s="62"/>
      <c r="G15" s="65" t="s">
        <v>25</v>
      </c>
      <c r="H15" s="65"/>
    </row>
    <row r="16" spans="1:8">
      <c r="A16" s="59" t="s">
        <v>26</v>
      </c>
      <c r="B16" s="59"/>
      <c r="C16" s="65" t="s">
        <v>27</v>
      </c>
      <c r="D16" s="65"/>
      <c r="E16" s="62" t="s">
        <v>28</v>
      </c>
      <c r="F16" s="62"/>
      <c r="G16" s="66" t="s">
        <v>29</v>
      </c>
      <c r="H16" s="66"/>
    </row>
    <row r="17" spans="1:8">
      <c r="A17" s="59" t="s">
        <v>30</v>
      </c>
      <c r="B17" s="59"/>
      <c r="C17" s="65" t="s">
        <v>29</v>
      </c>
      <c r="D17" s="65"/>
      <c r="E17" s="62" t="s">
        <v>31</v>
      </c>
      <c r="F17" s="62"/>
      <c r="G17" s="65">
        <v>400615</v>
      </c>
      <c r="H17" s="65"/>
    </row>
    <row r="18" spans="1:8" ht="32.25" customHeight="1">
      <c r="A18" s="59" t="s">
        <v>32</v>
      </c>
      <c r="B18" s="59"/>
      <c r="C18" s="67" t="s">
        <v>33</v>
      </c>
      <c r="D18" s="67"/>
      <c r="E18" s="62" t="s">
        <v>34</v>
      </c>
      <c r="F18" s="62"/>
      <c r="G18" s="65" t="s">
        <v>35</v>
      </c>
      <c r="H18" s="65"/>
    </row>
    <row r="19" spans="1:8" ht="15" customHeight="1">
      <c r="A19" s="62" t="s">
        <v>36</v>
      </c>
      <c r="B19" s="62"/>
      <c r="C19" s="62"/>
      <c r="D19" s="62"/>
      <c r="E19" s="64" t="s">
        <v>37</v>
      </c>
      <c r="F19" s="64"/>
      <c r="G19" s="64"/>
      <c r="H19" s="64"/>
    </row>
    <row r="20" spans="1:8" ht="18.75" customHeight="1">
      <c r="A20" s="62"/>
      <c r="B20" s="62"/>
      <c r="C20" s="62"/>
      <c r="D20" s="62"/>
      <c r="E20" s="64"/>
      <c r="F20" s="64"/>
      <c r="G20" s="64"/>
      <c r="H20" s="64"/>
    </row>
    <row r="21" spans="1:8" ht="15" customHeight="1">
      <c r="A21" s="62" t="s">
        <v>38</v>
      </c>
      <c r="B21" s="62"/>
      <c r="C21" s="62"/>
      <c r="D21" s="62"/>
      <c r="E21" s="65" t="s">
        <v>39</v>
      </c>
      <c r="F21" s="65"/>
      <c r="G21" s="65"/>
      <c r="H21" s="65"/>
    </row>
    <row r="22" spans="1:8" ht="15" customHeight="1">
      <c r="A22" s="59" t="s">
        <v>40</v>
      </c>
      <c r="B22" s="59"/>
      <c r="C22" s="59"/>
      <c r="D22" s="59"/>
      <c r="E22" s="65" t="str">
        <f>IF(AND(G16="Mumbai"),"Upper Class","Middle Class")</f>
        <v>Middle Class</v>
      </c>
      <c r="F22" s="65"/>
      <c r="G22" s="65"/>
      <c r="H22" s="65"/>
    </row>
    <row r="23" spans="1:8">
      <c r="A23" s="59" t="s">
        <v>41</v>
      </c>
      <c r="B23" s="59"/>
      <c r="C23" s="59"/>
      <c r="D23" s="59"/>
      <c r="E23" s="65" t="s">
        <v>42</v>
      </c>
      <c r="F23" s="65"/>
      <c r="G23" s="65"/>
      <c r="H23" s="65"/>
    </row>
    <row r="24" spans="1:8" ht="15.75" customHeight="1">
      <c r="A24" s="59" t="s">
        <v>43</v>
      </c>
      <c r="B24" s="59"/>
      <c r="C24" s="59"/>
      <c r="D24" s="59"/>
      <c r="E24" s="65" t="str">
        <f>IF(AND(G16="Mumbai"),"Developed","Developing")</f>
        <v>Developing</v>
      </c>
      <c r="F24" s="65"/>
      <c r="G24" s="65"/>
      <c r="H24" s="65"/>
    </row>
    <row r="25" spans="1:8">
      <c r="A25" s="59" t="s">
        <v>44</v>
      </c>
      <c r="B25" s="59"/>
      <c r="C25" s="59"/>
      <c r="D25" s="59"/>
      <c r="E25" s="65" t="s">
        <v>45</v>
      </c>
      <c r="F25" s="65"/>
      <c r="G25" s="65"/>
      <c r="H25" s="65"/>
    </row>
    <row r="26" spans="1:8">
      <c r="A26" s="59" t="s">
        <v>46</v>
      </c>
      <c r="B26" s="59"/>
      <c r="C26" s="59"/>
      <c r="D26" s="59"/>
      <c r="E26" s="65" t="s">
        <v>47</v>
      </c>
      <c r="F26" s="65"/>
      <c r="G26" s="65"/>
      <c r="H26" s="65"/>
    </row>
    <row r="27" spans="1:8" ht="15" customHeight="1">
      <c r="A27" s="62" t="s">
        <v>48</v>
      </c>
      <c r="B27" s="62"/>
      <c r="C27" s="62"/>
      <c r="D27" s="62"/>
      <c r="E27" s="61" t="str">
        <f>IF(ISNUMBER(SEARCH("Shop",D53)),"Residential + Commercial",IF(ISNUMBER(SEARCH("Office",D53)),"Residential + Commercial",IF(SEARCH("Flats",D53),"Residential","")))</f>
        <v>Residential + Commercial</v>
      </c>
      <c r="F27" s="61"/>
      <c r="G27" s="61"/>
      <c r="H27" s="61"/>
    </row>
    <row r="28" spans="1:8">
      <c r="A28" s="62" t="s">
        <v>49</v>
      </c>
      <c r="B28" s="62"/>
      <c r="C28" s="62"/>
      <c r="D28" s="62"/>
      <c r="E28" s="62" t="s">
        <v>50</v>
      </c>
      <c r="F28" s="62"/>
      <c r="G28" s="62"/>
      <c r="H28" s="62"/>
    </row>
    <row r="29" spans="1:8" s="13" customFormat="1">
      <c r="A29" s="68" t="s">
        <v>51</v>
      </c>
      <c r="B29" s="68"/>
      <c r="C29" s="69" t="s">
        <v>52</v>
      </c>
      <c r="D29" s="69"/>
      <c r="E29" s="69"/>
      <c r="F29" s="69" t="s">
        <v>53</v>
      </c>
      <c r="G29" s="69"/>
      <c r="H29" s="69"/>
    </row>
    <row r="30" spans="1:8" s="13" customFormat="1">
      <c r="A30" s="70" t="s">
        <v>54</v>
      </c>
      <c r="B30" s="70" t="s">
        <v>55</v>
      </c>
      <c r="C30" s="71" t="s">
        <v>55</v>
      </c>
      <c r="D30" s="71"/>
      <c r="E30" s="71"/>
      <c r="F30" s="71" t="s">
        <v>56</v>
      </c>
      <c r="G30" s="71"/>
      <c r="H30" s="71"/>
    </row>
    <row r="31" spans="1:8">
      <c r="A31" s="70" t="s">
        <v>57</v>
      </c>
      <c r="B31" s="70" t="s">
        <v>55</v>
      </c>
      <c r="C31" s="71" t="s">
        <v>55</v>
      </c>
      <c r="D31" s="71"/>
      <c r="E31" s="71"/>
      <c r="F31" s="71" t="s">
        <v>56</v>
      </c>
      <c r="G31" s="71"/>
      <c r="H31" s="71"/>
    </row>
    <row r="32" spans="1:8" s="13" customFormat="1">
      <c r="A32" s="70" t="s">
        <v>58</v>
      </c>
      <c r="B32" s="70" t="s">
        <v>55</v>
      </c>
      <c r="C32" s="71" t="s">
        <v>55</v>
      </c>
      <c r="D32" s="71"/>
      <c r="E32" s="71"/>
      <c r="F32" s="71" t="s">
        <v>56</v>
      </c>
      <c r="G32" s="71"/>
      <c r="H32" s="71"/>
    </row>
    <row r="33" spans="1:8">
      <c r="A33" s="70" t="s">
        <v>59</v>
      </c>
      <c r="B33" s="70" t="s">
        <v>55</v>
      </c>
      <c r="C33" s="71" t="s">
        <v>55</v>
      </c>
      <c r="D33" s="71"/>
      <c r="E33" s="71"/>
      <c r="F33" s="71" t="s">
        <v>22</v>
      </c>
      <c r="G33" s="71"/>
      <c r="H33" s="71"/>
    </row>
    <row r="34" spans="1:8">
      <c r="A34" s="59" t="s">
        <v>60</v>
      </c>
      <c r="B34" s="59"/>
      <c r="C34" s="59"/>
      <c r="D34" s="59"/>
      <c r="E34" s="59"/>
      <c r="F34" s="59"/>
      <c r="G34" s="59"/>
      <c r="H34" s="59"/>
    </row>
    <row r="35" spans="1:8" ht="15.75" customHeight="1">
      <c r="A35" s="59" t="s">
        <v>230</v>
      </c>
      <c r="B35" s="59"/>
      <c r="C35" s="172" t="s">
        <v>231</v>
      </c>
      <c r="D35" s="173"/>
      <c r="E35" s="173"/>
      <c r="F35" s="173"/>
      <c r="G35" s="173"/>
      <c r="H35" s="174"/>
    </row>
    <row r="36" spans="1:8" ht="15.75" customHeight="1">
      <c r="A36" s="59" t="s">
        <v>61</v>
      </c>
      <c r="B36" s="59"/>
      <c r="C36" s="171" t="s">
        <v>62</v>
      </c>
      <c r="D36" s="169"/>
      <c r="E36" s="169"/>
      <c r="F36" s="169"/>
      <c r="G36" s="169"/>
      <c r="H36" s="170"/>
    </row>
    <row r="37" spans="1:8">
      <c r="A37" s="63" t="s">
        <v>63</v>
      </c>
      <c r="B37" s="63"/>
      <c r="C37" s="63"/>
      <c r="D37" s="63"/>
      <c r="E37" s="63"/>
      <c r="F37" s="63"/>
      <c r="G37" s="63"/>
      <c r="H37" s="63"/>
    </row>
    <row r="38" spans="1:8">
      <c r="A38" s="59" t="s">
        <v>64</v>
      </c>
      <c r="B38" s="59"/>
      <c r="C38" s="59"/>
      <c r="D38" s="59"/>
      <c r="E38" s="72">
        <v>7054.51</v>
      </c>
      <c r="F38" s="72"/>
      <c r="G38" s="72"/>
      <c r="H38" s="72"/>
    </row>
    <row r="39" spans="1:8">
      <c r="A39" s="59" t="s">
        <v>65</v>
      </c>
      <c r="B39" s="59"/>
      <c r="C39" s="59"/>
      <c r="D39" s="59"/>
      <c r="E39" s="73">
        <v>1.1000000000000001</v>
      </c>
      <c r="F39" s="73"/>
      <c r="G39" s="73"/>
      <c r="H39" s="73"/>
    </row>
    <row r="40" spans="1:8">
      <c r="A40" s="59" t="s">
        <v>66</v>
      </c>
      <c r="B40" s="59"/>
      <c r="C40" s="59"/>
      <c r="D40" s="59"/>
      <c r="E40" s="73">
        <f>E42/E38-E39</f>
        <v>0.77665195740030124</v>
      </c>
      <c r="F40" s="73"/>
      <c r="G40" s="73"/>
      <c r="H40" s="73"/>
    </row>
    <row r="41" spans="1:8">
      <c r="A41" s="59" t="s">
        <v>67</v>
      </c>
      <c r="B41" s="59"/>
      <c r="C41" s="59"/>
      <c r="D41" s="59"/>
      <c r="E41" s="73">
        <f>E39+E40</f>
        <v>1.8766519574003013</v>
      </c>
      <c r="F41" s="73"/>
      <c r="G41" s="73"/>
      <c r="H41" s="73"/>
    </row>
    <row r="42" spans="1:8">
      <c r="A42" s="59" t="s">
        <v>68</v>
      </c>
      <c r="B42" s="59"/>
      <c r="C42" s="59"/>
      <c r="D42" s="59"/>
      <c r="E42" s="74">
        <v>13238.86</v>
      </c>
      <c r="F42" s="74"/>
      <c r="G42" s="74"/>
      <c r="H42" s="74"/>
    </row>
    <row r="43" spans="1:8">
      <c r="A43" s="64" t="s">
        <v>69</v>
      </c>
      <c r="B43" s="64"/>
      <c r="C43" s="64"/>
      <c r="D43" s="64"/>
      <c r="E43" s="64" t="s">
        <v>70</v>
      </c>
      <c r="F43" s="64"/>
      <c r="G43" s="64"/>
      <c r="H43" s="64"/>
    </row>
    <row r="44" spans="1:8">
      <c r="A44" s="63" t="s">
        <v>71</v>
      </c>
      <c r="B44" s="63"/>
      <c r="C44" s="63"/>
      <c r="D44" s="63"/>
      <c r="E44" s="63"/>
      <c r="F44" s="63"/>
      <c r="G44" s="63"/>
      <c r="H44" s="63"/>
    </row>
    <row r="45" spans="1:8" ht="33.75" customHeight="1">
      <c r="A45" s="75" t="s">
        <v>72</v>
      </c>
      <c r="B45" s="76"/>
      <c r="C45" s="77" t="s">
        <v>73</v>
      </c>
      <c r="D45" s="78"/>
      <c r="E45" s="78"/>
      <c r="F45" s="78"/>
      <c r="G45" s="78"/>
      <c r="H45" s="79"/>
    </row>
    <row r="46" spans="1:8" ht="32.25" customHeight="1">
      <c r="A46" s="62" t="s">
        <v>74</v>
      </c>
      <c r="B46" s="62"/>
      <c r="C46" s="80" t="s">
        <v>75</v>
      </c>
      <c r="D46" s="80"/>
      <c r="E46" s="80"/>
      <c r="F46" s="22" t="s">
        <v>76</v>
      </c>
      <c r="G46" s="81">
        <v>44729</v>
      </c>
      <c r="H46" s="81"/>
    </row>
    <row r="47" spans="1:8" ht="32.25" customHeight="1">
      <c r="A47" s="62" t="s">
        <v>77</v>
      </c>
      <c r="B47" s="59"/>
      <c r="C47" s="80" t="str">
        <f>C46</f>
        <v>V.P.S06/0367/21/TMC/TD-DP/TPS/4085/22</v>
      </c>
      <c r="D47" s="80"/>
      <c r="E47" s="80"/>
      <c r="F47" s="22" t="s">
        <v>76</v>
      </c>
      <c r="G47" s="81">
        <f>G46</f>
        <v>44729</v>
      </c>
      <c r="H47" s="81"/>
    </row>
    <row r="48" spans="1:8" s="14" customFormat="1">
      <c r="A48" s="148" t="s">
        <v>78</v>
      </c>
      <c r="B48" s="65"/>
      <c r="C48" s="80" t="s">
        <v>79</v>
      </c>
      <c r="D48" s="82"/>
      <c r="E48" s="82"/>
      <c r="F48" s="23" t="s">
        <v>76</v>
      </c>
      <c r="G48" s="81">
        <v>44820</v>
      </c>
      <c r="H48" s="81"/>
    </row>
    <row r="49" spans="1:14" s="14" customFormat="1" ht="32.25" customHeight="1">
      <c r="A49" s="65"/>
      <c r="B49" s="65"/>
      <c r="C49" s="83" t="s">
        <v>80</v>
      </c>
      <c r="D49" s="84"/>
      <c r="E49" s="84"/>
      <c r="F49" s="84"/>
      <c r="G49" s="84"/>
      <c r="H49" s="85"/>
    </row>
    <row r="50" spans="1:14" s="14" customFormat="1">
      <c r="A50" s="86" t="s">
        <v>81</v>
      </c>
      <c r="B50" s="86"/>
      <c r="C50" s="87" t="s">
        <v>82</v>
      </c>
      <c r="D50" s="88"/>
      <c r="E50" s="88" t="s">
        <v>83</v>
      </c>
      <c r="F50" s="24" t="s">
        <v>76</v>
      </c>
      <c r="G50" s="89" t="s">
        <v>55</v>
      </c>
      <c r="H50" s="89"/>
    </row>
    <row r="51" spans="1:14">
      <c r="A51" s="90" t="s">
        <v>84</v>
      </c>
      <c r="B51" s="90"/>
      <c r="C51" s="90"/>
      <c r="D51" s="90"/>
      <c r="E51" s="90"/>
      <c r="F51" s="90"/>
      <c r="G51" s="90"/>
      <c r="H51" s="90"/>
    </row>
    <row r="52" spans="1:14">
      <c r="A52" s="62" t="s">
        <v>85</v>
      </c>
      <c r="B52" s="62"/>
      <c r="C52" s="62"/>
      <c r="D52" s="59">
        <f>E42</f>
        <v>13238.86</v>
      </c>
      <c r="E52" s="59"/>
      <c r="F52" s="59"/>
      <c r="G52" s="59"/>
      <c r="H52" s="59"/>
    </row>
    <row r="53" spans="1:14">
      <c r="A53" s="65" t="s">
        <v>86</v>
      </c>
      <c r="B53" s="64"/>
      <c r="C53" s="64"/>
      <c r="D53" s="91" t="s">
        <v>87</v>
      </c>
      <c r="E53" s="91"/>
      <c r="F53" s="91"/>
      <c r="G53" s="91"/>
      <c r="H53" s="91"/>
      <c r="I53" s="25"/>
    </row>
    <row r="54" spans="1:14" ht="64.5" customHeight="1">
      <c r="A54" s="92" t="s">
        <v>88</v>
      </c>
      <c r="B54" s="93"/>
      <c r="C54" s="94"/>
      <c r="D54" s="95" t="s">
        <v>89</v>
      </c>
      <c r="E54" s="95"/>
      <c r="F54" s="95"/>
      <c r="G54" s="95"/>
      <c r="H54" s="95"/>
    </row>
    <row r="55" spans="1:14" ht="30.9" customHeight="1">
      <c r="A55" s="92" t="s">
        <v>90</v>
      </c>
      <c r="B55" s="93"/>
      <c r="C55" s="94"/>
      <c r="D55" s="92" t="s">
        <v>91</v>
      </c>
      <c r="E55" s="93"/>
      <c r="F55" s="93"/>
      <c r="G55" s="93"/>
      <c r="H55" s="94"/>
    </row>
    <row r="56" spans="1:14" ht="31.5" customHeight="1">
      <c r="A56" s="149"/>
      <c r="B56" s="150"/>
      <c r="C56" s="151"/>
      <c r="D56" s="92" t="s">
        <v>228</v>
      </c>
      <c r="E56" s="93"/>
      <c r="F56" s="93"/>
      <c r="G56" s="93"/>
      <c r="H56" s="94"/>
    </row>
    <row r="57" spans="1:14" ht="33" customHeight="1">
      <c r="A57" s="59" t="s">
        <v>92</v>
      </c>
      <c r="B57" s="59"/>
      <c r="C57" s="59"/>
      <c r="D57" s="62" t="s">
        <v>93</v>
      </c>
      <c r="E57" s="62"/>
      <c r="F57" s="62"/>
      <c r="G57" s="62"/>
      <c r="H57" s="62"/>
      <c r="J57" s="26"/>
      <c r="K57" s="25"/>
      <c r="N57" s="25"/>
    </row>
    <row r="58" spans="1:14" ht="15.75" customHeight="1">
      <c r="A58" s="59" t="s">
        <v>94</v>
      </c>
      <c r="B58" s="59"/>
      <c r="C58" s="59"/>
      <c r="D58" s="96" t="str">
        <f>(IF(G50="NA","60 Years After Completion",IF(G50&lt;&gt;"NA",""&amp;60-ROUNDDOWN((E3-G50)/360,0)&amp;" Years"," ")))</f>
        <v>60 Years After Completion</v>
      </c>
      <c r="E58" s="96"/>
      <c r="F58" s="96"/>
      <c r="G58" s="96"/>
      <c r="H58" s="96"/>
      <c r="N58" s="25"/>
    </row>
    <row r="59" spans="1:14" ht="15.75" customHeight="1">
      <c r="A59" s="59" t="s">
        <v>95</v>
      </c>
      <c r="B59" s="59"/>
      <c r="C59" s="59"/>
      <c r="D59" s="62" t="s">
        <v>45</v>
      </c>
      <c r="E59" s="62"/>
      <c r="F59" s="62"/>
      <c r="G59" s="62"/>
      <c r="H59" s="62"/>
      <c r="J59" s="27"/>
      <c r="K59" s="27"/>
    </row>
    <row r="60" spans="1:14" ht="15" hidden="1" customHeight="1">
      <c r="A60" s="59" t="s">
        <v>96</v>
      </c>
      <c r="B60" s="59"/>
      <c r="C60" s="59"/>
      <c r="D60" s="65" t="s">
        <v>97</v>
      </c>
      <c r="E60" s="62"/>
      <c r="F60" s="62"/>
      <c r="G60" s="62"/>
      <c r="H60" s="62"/>
    </row>
    <row r="61" spans="1:14">
      <c r="A61" s="62" t="s">
        <v>98</v>
      </c>
      <c r="B61" s="62"/>
      <c r="C61" s="62"/>
      <c r="D61" s="62" t="s">
        <v>55</v>
      </c>
      <c r="E61" s="62"/>
      <c r="F61" s="62"/>
      <c r="G61" s="62"/>
      <c r="H61" s="62"/>
      <c r="I61" s="28"/>
      <c r="J61" s="28"/>
      <c r="K61" s="28"/>
      <c r="L61" s="28"/>
      <c r="M61" s="28"/>
      <c r="N61" s="28"/>
    </row>
    <row r="62" spans="1:14" ht="15.75" customHeight="1">
      <c r="A62" s="97" t="s">
        <v>99</v>
      </c>
      <c r="B62" s="97"/>
      <c r="C62" s="97"/>
      <c r="D62" s="98" t="str">
        <f ca="1">(IF(G68&gt;95%,"Nothing",IF(G68&gt;0%,"Cement, Aggregate, Steel, etc",IF(G68=0%,"Work not yet Started"))))</f>
        <v>Cement, Aggregate, Steel, etc</v>
      </c>
      <c r="E62" s="98"/>
      <c r="F62" s="98"/>
      <c r="G62" s="98"/>
      <c r="H62" s="98"/>
      <c r="J62" s="27"/>
    </row>
    <row r="63" spans="1:14" ht="33.75" customHeight="1">
      <c r="A63" s="99" t="s">
        <v>100</v>
      </c>
      <c r="B63" s="99"/>
      <c r="C63" s="99"/>
      <c r="D63" s="98" t="str">
        <f ca="1">(IF(D62="Nothing","Yes",IF(D62="Cement, Aggregate, Steel, etc","Under Construction",IF(D62="Work not yet Started","Work not yet Started"))))</f>
        <v>Under Construction</v>
      </c>
      <c r="E63" s="98"/>
      <c r="F63" s="98" t="str">
        <f ca="1">(IF(D62="Nothing","Yes",IF(D62="Cement, Aggregate, Steel, etc","Under Construction",IF(D62="Work not yet Started","Work not yet Started"))))</f>
        <v>Under Construction</v>
      </c>
      <c r="G63" s="98"/>
      <c r="H63" s="98"/>
    </row>
    <row r="64" spans="1:14" ht="30.75" customHeight="1">
      <c r="A64" s="100" t="s">
        <v>101</v>
      </c>
      <c r="B64" s="101"/>
      <c r="C64" s="102" t="str">
        <f>D55</f>
        <v>Phase I = Building Type T6A = LG + G + Stilt(pt)/ Podium(pt) + 1st to 32nd Floor</v>
      </c>
      <c r="D64" s="103"/>
      <c r="E64" s="103"/>
      <c r="F64" s="103"/>
      <c r="G64" s="103"/>
      <c r="H64" s="104"/>
      <c r="I64" s="29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Excavation work Completed. Plinth work completed, RCC upto 21 Slab Completed, Brickwork upto 19 Floor Completed, Internal Plaster upto 14.25 Floor Completed, External Plaster upto 12.35 Floor Completed.</v>
      </c>
      <c r="J64" s="30"/>
    </row>
    <row r="65" spans="1:10" s="14" customFormat="1">
      <c r="A65" s="31" t="s">
        <v>102</v>
      </c>
      <c r="B65" s="21">
        <v>1</v>
      </c>
      <c r="C65" s="21" t="s">
        <v>103</v>
      </c>
      <c r="D65" s="21">
        <v>1</v>
      </c>
      <c r="E65" s="21" t="s">
        <v>104</v>
      </c>
      <c r="F65" s="21">
        <v>1</v>
      </c>
      <c r="G65" s="21" t="s">
        <v>105</v>
      </c>
      <c r="H65" s="32">
        <f ca="1">--TRIM(RIGHT(SUBSTITUTE(LEFT(C64,_xlfn.AGGREGATE(16,6,FIND({0,1,2,3,4,5,6,7,8,9},C64,ROW(INDIRECT("1:"&amp;LEN(C64)))),1))," ",REPT(" ",LEN(C64))),LEN(C64)))</f>
        <v>32</v>
      </c>
      <c r="I65" s="44"/>
      <c r="J65" s="45"/>
    </row>
    <row r="66" spans="1:10" s="14" customFormat="1" ht="48.9" customHeight="1">
      <c r="A66" s="105" t="s">
        <v>106</v>
      </c>
      <c r="B66" s="106"/>
      <c r="C66" s="86" t="str">
        <f ca="1">(IF($G$50="NA",I64,"All work Completed. OC Received."))</f>
        <v>Excavation work Completed. Plinth work completed, RCC upto 21 Slab Completed, Brickwork upto 19 Floor Completed, Internal Plaster upto 14.25 Floor Completed, External Plaster upto 12.35 Floor Completed.</v>
      </c>
      <c r="D66" s="86"/>
      <c r="E66" s="86"/>
      <c r="F66" s="86"/>
      <c r="G66" s="86"/>
      <c r="H66" s="107"/>
      <c r="I66" s="44" t="s">
        <v>107</v>
      </c>
      <c r="J66" s="45"/>
    </row>
    <row r="67" spans="1:10" s="14" customFormat="1" ht="15.75" customHeight="1">
      <c r="A67" s="108" t="s">
        <v>108</v>
      </c>
      <c r="B67" s="109"/>
      <c r="C67" s="33" t="s">
        <v>109</v>
      </c>
      <c r="D67" s="33" t="s">
        <v>110</v>
      </c>
      <c r="E67" s="109" t="s">
        <v>111</v>
      </c>
      <c r="F67" s="109"/>
      <c r="G67" s="109" t="s">
        <v>112</v>
      </c>
      <c r="H67" s="110"/>
      <c r="I67" s="46" t="s">
        <v>113</v>
      </c>
      <c r="J67" s="47">
        <f ca="1">H65*25%</f>
        <v>8</v>
      </c>
    </row>
    <row r="68" spans="1:10" s="14" customFormat="1">
      <c r="A68" s="108" t="s">
        <v>114</v>
      </c>
      <c r="B68" s="109"/>
      <c r="C68" s="34">
        <f ca="1">J69</f>
        <v>32</v>
      </c>
      <c r="D68" s="35">
        <f ca="1">((100/H65)*C68)/100</f>
        <v>1</v>
      </c>
      <c r="E68" s="152">
        <f ca="1">(((C69/H65*10)+(40/(D65+F65+H65)*C70)+(7.5/(H65)*C71)+(7.5/(H65)*C72)+(10/H65*C73)+(10/H65*C74)+(5/H65*C75)+(5/H65*C76)+(5/H65*C77))/100)</f>
        <v>0.46358226102941175</v>
      </c>
      <c r="F68" s="152"/>
      <c r="G68" s="152">
        <f ca="1">((((C68/H65)*20)+((C69/H65)*25)+(30/(H65+F65+D65)*C70)+(5/H65*C71)+(5/H65*C72)+(5/H65*C73)+(5/H65*C74)+(0/H65*C75)+(0/H65*C76)+(5/H65*C77))/100)</f>
        <v>0.70654411764705882</v>
      </c>
      <c r="H68" s="154"/>
      <c r="I68" s="46" t="s">
        <v>115</v>
      </c>
      <c r="J68" s="48">
        <f ca="1">H65*50%</f>
        <v>16</v>
      </c>
    </row>
    <row r="69" spans="1:10" s="14" customFormat="1">
      <c r="A69" s="108" t="s">
        <v>116</v>
      </c>
      <c r="B69" s="109"/>
      <c r="C69" s="36">
        <f ca="1">J77</f>
        <v>32</v>
      </c>
      <c r="D69" s="35">
        <f ca="1">((100/H65)*C69)/100</f>
        <v>1</v>
      </c>
      <c r="E69" s="152"/>
      <c r="F69" s="152"/>
      <c r="G69" s="152"/>
      <c r="H69" s="154"/>
      <c r="I69" s="46" t="s">
        <v>117</v>
      </c>
      <c r="J69" s="48">
        <f ca="1">H65</f>
        <v>32</v>
      </c>
    </row>
    <row r="70" spans="1:10" s="14" customFormat="1" ht="15.75" customHeight="1">
      <c r="A70" s="108" t="s">
        <v>118</v>
      </c>
      <c r="B70" s="109"/>
      <c r="C70" s="36">
        <v>21</v>
      </c>
      <c r="D70" s="35">
        <f ca="1">((100/(D65+F65+H65))*C70)/100</f>
        <v>0.61764705882352944</v>
      </c>
      <c r="E70" s="152"/>
      <c r="F70" s="152"/>
      <c r="G70" s="152"/>
      <c r="H70" s="154"/>
      <c r="I70" s="46" t="s">
        <v>119</v>
      </c>
      <c r="J70" s="49">
        <f ca="1">(IF(B65&gt;1,(H65/(B65+2)),H65/4))</f>
        <v>8</v>
      </c>
    </row>
    <row r="71" spans="1:10" s="14" customFormat="1" ht="15.75" customHeight="1">
      <c r="A71" s="108" t="s">
        <v>120</v>
      </c>
      <c r="B71" s="109" t="s">
        <v>121</v>
      </c>
      <c r="C71" s="36">
        <f>C70-F65-D65</f>
        <v>19</v>
      </c>
      <c r="D71" s="35">
        <f ca="1">((100/H65)*C71)/100</f>
        <v>0.59375</v>
      </c>
      <c r="E71" s="152"/>
      <c r="F71" s="152"/>
      <c r="G71" s="152"/>
      <c r="H71" s="154"/>
      <c r="I71" s="46" t="s">
        <v>122</v>
      </c>
      <c r="J71" s="49">
        <f ca="1">(IF(B65&gt;1,(H65/(B65+2)+J70),H65/4+J70))</f>
        <v>16</v>
      </c>
    </row>
    <row r="72" spans="1:10" s="14" customFormat="1" ht="15.75" customHeight="1">
      <c r="A72" s="108" t="s">
        <v>123</v>
      </c>
      <c r="B72" s="109" t="s">
        <v>121</v>
      </c>
      <c r="C72" s="36">
        <f>C71*0.75</f>
        <v>14.25</v>
      </c>
      <c r="D72" s="35">
        <f ca="1">((100/H65)*C72)/100</f>
        <v>0.4453125</v>
      </c>
      <c r="E72" s="152"/>
      <c r="F72" s="152"/>
      <c r="G72" s="152"/>
      <c r="H72" s="154"/>
      <c r="I72" s="46" t="s">
        <v>124</v>
      </c>
      <c r="J72" s="49">
        <f>(IF(B65&gt;1,(H65/(B65+2)+J71),0))</f>
        <v>0</v>
      </c>
    </row>
    <row r="73" spans="1:10" s="14" customFormat="1" ht="15" customHeight="1">
      <c r="A73" s="108" t="s">
        <v>125</v>
      </c>
      <c r="B73" s="109" t="s">
        <v>126</v>
      </c>
      <c r="C73" s="36">
        <f>C71*0.65</f>
        <v>12.35</v>
      </c>
      <c r="D73" s="35">
        <f ca="1">((100/(H65))*C73)/100</f>
        <v>0.38593749999999999</v>
      </c>
      <c r="E73" s="152"/>
      <c r="F73" s="152"/>
      <c r="G73" s="152"/>
      <c r="H73" s="154"/>
      <c r="I73" s="46" t="s">
        <v>127</v>
      </c>
      <c r="J73" s="49">
        <f>(IF(B65&gt;2,(H65/(B65+2)+J72),0))</f>
        <v>0</v>
      </c>
    </row>
    <row r="74" spans="1:10" s="14" customFormat="1" ht="15.75" customHeight="1">
      <c r="A74" s="108" t="s">
        <v>128</v>
      </c>
      <c r="B74" s="109" t="s">
        <v>128</v>
      </c>
      <c r="C74" s="34">
        <v>0</v>
      </c>
      <c r="D74" s="35">
        <f ca="1">((100/H65)*C74)/100</f>
        <v>0</v>
      </c>
      <c r="E74" s="152"/>
      <c r="F74" s="152"/>
      <c r="G74" s="152"/>
      <c r="H74" s="154"/>
      <c r="I74" s="46" t="s">
        <v>129</v>
      </c>
      <c r="J74" s="50">
        <f>(IF(B65&gt;3,(H65/(B65+2)+J73),0))</f>
        <v>0</v>
      </c>
    </row>
    <row r="75" spans="1:10" s="14" customFormat="1" ht="15.75" customHeight="1">
      <c r="A75" s="108" t="s">
        <v>130</v>
      </c>
      <c r="B75" s="109"/>
      <c r="C75" s="34">
        <v>0</v>
      </c>
      <c r="D75" s="35">
        <f ca="1">((100/H65)*C75)/100</f>
        <v>0</v>
      </c>
      <c r="E75" s="152"/>
      <c r="F75" s="152"/>
      <c r="G75" s="152"/>
      <c r="H75" s="154"/>
      <c r="I75" s="46" t="s">
        <v>131</v>
      </c>
      <c r="J75" s="49">
        <f>(IF(B65&gt;4,(H65/(B65+2)+J74),0))</f>
        <v>0</v>
      </c>
    </row>
    <row r="76" spans="1:10" s="14" customFormat="1" ht="15.75" customHeight="1">
      <c r="A76" s="108" t="s">
        <v>132</v>
      </c>
      <c r="B76" s="109" t="s">
        <v>132</v>
      </c>
      <c r="C76" s="34">
        <v>0</v>
      </c>
      <c r="D76" s="35">
        <f ca="1">((100/(H65))*C76)/100</f>
        <v>0</v>
      </c>
      <c r="E76" s="152"/>
      <c r="F76" s="152"/>
      <c r="G76" s="152"/>
      <c r="H76" s="154"/>
      <c r="I76" s="46" t="s">
        <v>133</v>
      </c>
      <c r="J76" s="49">
        <f ca="1">(IF(B65=1,(H65/(B65+3)+J71),IF(B65=0,(H65/4+J71),IF(B65&gt;1,0))))</f>
        <v>24</v>
      </c>
    </row>
    <row r="77" spans="1:10" s="14" customFormat="1">
      <c r="A77" s="111" t="s">
        <v>134</v>
      </c>
      <c r="B77" s="112"/>
      <c r="C77" s="37">
        <v>0</v>
      </c>
      <c r="D77" s="38">
        <f ca="1">((100/(H65))*C77)/100</f>
        <v>0</v>
      </c>
      <c r="E77" s="153"/>
      <c r="F77" s="153"/>
      <c r="G77" s="153"/>
      <c r="H77" s="155"/>
      <c r="I77" s="51" t="s">
        <v>135</v>
      </c>
      <c r="J77" s="52">
        <f ca="1">(IF(B65&gt;1.5,(H65/(B65+2)+J71+MAX(0,J72-J71)+MAX(0,J73-J72)+MAX(0,J74-J73)+MAX(0,J75-J74)+MAX(0,J76-J75)),IF(B65=1,(H65/(B65+3)+J76),IF(B65=0,H65/4+J76))))</f>
        <v>32</v>
      </c>
    </row>
    <row r="78" spans="1:10" ht="33" customHeight="1">
      <c r="A78" s="100" t="s">
        <v>101</v>
      </c>
      <c r="B78" s="101"/>
      <c r="C78" s="102" t="str">
        <f>D56</f>
        <v>Phase II = Building Type T6B = LG + G + Stilt(pt)/ Podium(pt) + 1st to 33rd Floor</v>
      </c>
      <c r="D78" s="103"/>
      <c r="E78" s="103"/>
      <c r="F78" s="103"/>
      <c r="G78" s="103"/>
      <c r="H78" s="104"/>
      <c r="I78" s="29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 Completed",IF(C84&gt;0,", RCC upto "&amp;C84&amp;" Slab Completed",""))&amp;(IF(C85=H79,", Brickwork Completed",IF(C85&gt;0,", Brickwork upto "&amp;C85&amp;" Floor Completed",""))&amp;(IF(C86=H79,", Internal Plaster Completed",IF(C86&gt;0,", Internal Plaster upto "&amp;C86&amp;" Floor Completed",""))&amp;(IF(C87=H79,", External Plaster Completed",IF(C87&gt;0,", External Plaster upto "&amp;C87&amp;" Floor Completed",""))&amp;(IF(C88=H79,", Flooring Completed",IF(C88&gt;0,", Flooring upto "&amp;C88&amp;" Floor Completed",""))&amp;(IF(C89=H79,", Painting Completed",IF(C89&gt;0,", Painting upto "&amp;C89&amp;" Floor Completed",""))&amp;(IF(C90&gt;0,", Finishing upto "&amp;C90&amp;" Floor Completed","")&amp;(IF(C84&gt;0.5,".",""))))))))))))))</f>
        <v>Excavation work Completed. Plinth work completed, RCC upto 14 Slab Completed, Brickwork upto 12 Floor Completed, Internal Plaster upto 9 Floor Completed, External Plaster upto 7.8 Floor Completed.</v>
      </c>
      <c r="J78" s="30"/>
    </row>
    <row r="79" spans="1:10" s="14" customFormat="1">
      <c r="A79" s="31" t="s">
        <v>102</v>
      </c>
      <c r="B79" s="21">
        <v>1</v>
      </c>
      <c r="C79" s="21" t="s">
        <v>103</v>
      </c>
      <c r="D79" s="21">
        <v>1</v>
      </c>
      <c r="E79" s="21" t="s">
        <v>104</v>
      </c>
      <c r="F79" s="21">
        <v>1</v>
      </c>
      <c r="G79" s="21" t="s">
        <v>105</v>
      </c>
      <c r="H79" s="32">
        <f ca="1">--TRIM(RIGHT(SUBSTITUTE(LEFT(C78,_xlfn.AGGREGATE(16,6,FIND({0,1,2,3,4,5,6,7,8,9},C78,ROW(INDIRECT("1:"&amp;LEN(C78)))),1))," ",REPT(" ",LEN(C78))),LEN(C78)))</f>
        <v>33</v>
      </c>
      <c r="I79" s="44"/>
      <c r="J79" s="45"/>
    </row>
    <row r="80" spans="1:10" s="14" customFormat="1" ht="48.75" customHeight="1">
      <c r="A80" s="105" t="s">
        <v>106</v>
      </c>
      <c r="B80" s="106"/>
      <c r="C80" s="86" t="str">
        <f ca="1">(IF($G$50="NA",I78,"All work Completed. OC Received."))</f>
        <v>Excavation work Completed. Plinth work completed, RCC upto 14 Slab Completed, Brickwork upto 12 Floor Completed, Internal Plaster upto 9 Floor Completed, External Plaster upto 7.8 Floor Completed.</v>
      </c>
      <c r="D80" s="86"/>
      <c r="E80" s="86"/>
      <c r="F80" s="86"/>
      <c r="G80" s="86"/>
      <c r="H80" s="107"/>
      <c r="I80" s="44" t="s">
        <v>107</v>
      </c>
      <c r="J80" s="45"/>
    </row>
    <row r="81" spans="1:10" s="14" customFormat="1" ht="15.75" customHeight="1">
      <c r="A81" s="108" t="s">
        <v>108</v>
      </c>
      <c r="B81" s="109"/>
      <c r="C81" s="33" t="s">
        <v>109</v>
      </c>
      <c r="D81" s="33" t="s">
        <v>110</v>
      </c>
      <c r="E81" s="109" t="s">
        <v>111</v>
      </c>
      <c r="F81" s="109"/>
      <c r="G81" s="109" t="s">
        <v>112</v>
      </c>
      <c r="H81" s="110"/>
      <c r="I81" s="46" t="s">
        <v>113</v>
      </c>
      <c r="J81" s="47">
        <f ca="1">H79*25%</f>
        <v>8.25</v>
      </c>
    </row>
    <row r="82" spans="1:10" s="14" customFormat="1">
      <c r="A82" s="108" t="s">
        <v>114</v>
      </c>
      <c r="B82" s="109"/>
      <c r="C82" s="34">
        <f ca="1">J83</f>
        <v>33</v>
      </c>
      <c r="D82" s="35">
        <f ca="1">((100/H79)*C82)/100</f>
        <v>1</v>
      </c>
      <c r="E82" s="152">
        <f ca="1">(((C83/H79*10)+(40/(D79+F79+H79)*C84)+(7.5/(H79)*C85)+(7.5/(H79)*C86)+(10/H79*C87)+(10/H79*C88)+(5/H79*C89)+(5/H79*C90)+(5/H79*C91))/100)</f>
        <v>0.33136363636363642</v>
      </c>
      <c r="F82" s="152"/>
      <c r="G82" s="152">
        <f ca="1">((((C82/H79)*20)+((C83/H79)*25)+(30/(H79+F79+D79)*C84)+(5/H79*C85)+(5/H79*C86)+(5/H79*C87)+(5/H79*C88)+(0/H79*C89)+(0/H79*C90)+(5/H79*C91))/100)</f>
        <v>0.61363636363636365</v>
      </c>
      <c r="H82" s="154"/>
      <c r="I82" s="46" t="s">
        <v>115</v>
      </c>
      <c r="J82" s="48">
        <f ca="1">H79*50%</f>
        <v>16.5</v>
      </c>
    </row>
    <row r="83" spans="1:10" s="14" customFormat="1">
      <c r="A83" s="108" t="s">
        <v>116</v>
      </c>
      <c r="B83" s="109"/>
      <c r="C83" s="36">
        <f ca="1">J91</f>
        <v>33</v>
      </c>
      <c r="D83" s="35">
        <f ca="1">((100/H79)*C83)/100</f>
        <v>1</v>
      </c>
      <c r="E83" s="152"/>
      <c r="F83" s="152"/>
      <c r="G83" s="152"/>
      <c r="H83" s="154"/>
      <c r="I83" s="46" t="s">
        <v>117</v>
      </c>
      <c r="J83" s="48">
        <f ca="1">H79</f>
        <v>33</v>
      </c>
    </row>
    <row r="84" spans="1:10" s="14" customFormat="1" ht="15.75" customHeight="1">
      <c r="A84" s="108" t="s">
        <v>118</v>
      </c>
      <c r="B84" s="109"/>
      <c r="C84" s="36">
        <v>14</v>
      </c>
      <c r="D84" s="35">
        <f ca="1">((100/(D79+F79+H79))*C84)/100</f>
        <v>0.4</v>
      </c>
      <c r="E84" s="152"/>
      <c r="F84" s="152"/>
      <c r="G84" s="152"/>
      <c r="H84" s="154"/>
      <c r="I84" s="46" t="s">
        <v>119</v>
      </c>
      <c r="J84" s="49">
        <f ca="1">(IF(B79&gt;1,(H79/(B79+2)),H79/4))</f>
        <v>8.25</v>
      </c>
    </row>
    <row r="85" spans="1:10" s="14" customFormat="1" ht="15.75" customHeight="1">
      <c r="A85" s="108" t="s">
        <v>120</v>
      </c>
      <c r="B85" s="109" t="s">
        <v>121</v>
      </c>
      <c r="C85" s="36">
        <f>C84-D79-F79</f>
        <v>12</v>
      </c>
      <c r="D85" s="35">
        <f ca="1">((100/H79)*C85)/100</f>
        <v>0.36363636363636359</v>
      </c>
      <c r="E85" s="152"/>
      <c r="F85" s="152"/>
      <c r="G85" s="152"/>
      <c r="H85" s="154"/>
      <c r="I85" s="46" t="s">
        <v>122</v>
      </c>
      <c r="J85" s="49">
        <f ca="1">(IF(B79&gt;1,(H79/(B79+2)+J84),H79/4+J84))</f>
        <v>16.5</v>
      </c>
    </row>
    <row r="86" spans="1:10" s="14" customFormat="1" ht="15.75" customHeight="1">
      <c r="A86" s="108" t="s">
        <v>123</v>
      </c>
      <c r="B86" s="109" t="s">
        <v>121</v>
      </c>
      <c r="C86" s="36">
        <f>C85*0.75</f>
        <v>9</v>
      </c>
      <c r="D86" s="35">
        <f ca="1">((100/H79)*C86)/100</f>
        <v>0.27272727272727271</v>
      </c>
      <c r="E86" s="152"/>
      <c r="F86" s="152"/>
      <c r="G86" s="152"/>
      <c r="H86" s="154"/>
      <c r="I86" s="46" t="s">
        <v>124</v>
      </c>
      <c r="J86" s="49">
        <f>(IF(B79&gt;1,(H79/(B79+2)+J85),0))</f>
        <v>0</v>
      </c>
    </row>
    <row r="87" spans="1:10" s="14" customFormat="1" ht="15" customHeight="1">
      <c r="A87" s="108" t="s">
        <v>125</v>
      </c>
      <c r="B87" s="109" t="s">
        <v>126</v>
      </c>
      <c r="C87" s="36">
        <f>C85*0.65</f>
        <v>7.8000000000000007</v>
      </c>
      <c r="D87" s="35">
        <f ca="1">((100/(H79))*C87)/100</f>
        <v>0.23636363636363636</v>
      </c>
      <c r="E87" s="152"/>
      <c r="F87" s="152"/>
      <c r="G87" s="152"/>
      <c r="H87" s="154"/>
      <c r="I87" s="46" t="s">
        <v>127</v>
      </c>
      <c r="J87" s="49">
        <f>(IF(B79&gt;2,(H79/(B79+2)+J86),0))</f>
        <v>0</v>
      </c>
    </row>
    <row r="88" spans="1:10" s="14" customFormat="1" ht="15.75" customHeight="1">
      <c r="A88" s="108" t="s">
        <v>128</v>
      </c>
      <c r="B88" s="109" t="s">
        <v>128</v>
      </c>
      <c r="C88" s="34">
        <v>0</v>
      </c>
      <c r="D88" s="35">
        <f ca="1">((100/H79)*C88)/100</f>
        <v>0</v>
      </c>
      <c r="E88" s="152"/>
      <c r="F88" s="152"/>
      <c r="G88" s="152"/>
      <c r="H88" s="154"/>
      <c r="I88" s="46" t="s">
        <v>129</v>
      </c>
      <c r="J88" s="50">
        <f>(IF(B79&gt;3,(H79/(B79+2)+J87),0))</f>
        <v>0</v>
      </c>
    </row>
    <row r="89" spans="1:10" s="14" customFormat="1" ht="15.75" customHeight="1">
      <c r="A89" s="108" t="s">
        <v>130</v>
      </c>
      <c r="B89" s="109"/>
      <c r="C89" s="34">
        <v>0</v>
      </c>
      <c r="D89" s="35">
        <f ca="1">((100/H79)*C89)/100</f>
        <v>0</v>
      </c>
      <c r="E89" s="152"/>
      <c r="F89" s="152"/>
      <c r="G89" s="152"/>
      <c r="H89" s="154"/>
      <c r="I89" s="46" t="s">
        <v>131</v>
      </c>
      <c r="J89" s="49">
        <f>(IF(B79&gt;4,(H79/(B79+2)+J88),0))</f>
        <v>0</v>
      </c>
    </row>
    <row r="90" spans="1:10" s="14" customFormat="1" ht="15.75" customHeight="1">
      <c r="A90" s="108" t="s">
        <v>132</v>
      </c>
      <c r="B90" s="109" t="s">
        <v>132</v>
      </c>
      <c r="C90" s="34">
        <v>0</v>
      </c>
      <c r="D90" s="35">
        <f ca="1">((100/(H79))*C90)/100</f>
        <v>0</v>
      </c>
      <c r="E90" s="152"/>
      <c r="F90" s="152"/>
      <c r="G90" s="152"/>
      <c r="H90" s="154"/>
      <c r="I90" s="46" t="s">
        <v>133</v>
      </c>
      <c r="J90" s="49">
        <f ca="1">(IF(B79=1,(H79/(B79+3)+J85),IF(B79=0,(H79/4+J85),IF(B79&gt;1,0))))</f>
        <v>24.75</v>
      </c>
    </row>
    <row r="91" spans="1:10" s="14" customFormat="1">
      <c r="A91" s="111" t="s">
        <v>134</v>
      </c>
      <c r="B91" s="112"/>
      <c r="C91" s="37">
        <v>0</v>
      </c>
      <c r="D91" s="38">
        <f ca="1">((100/(H79))*C91)/100</f>
        <v>0</v>
      </c>
      <c r="E91" s="153"/>
      <c r="F91" s="153"/>
      <c r="G91" s="153"/>
      <c r="H91" s="155"/>
      <c r="I91" s="51" t="s">
        <v>135</v>
      </c>
      <c r="J91" s="52">
        <f ca="1">(IF(B79&gt;1.5,(H79/(B79+2)+J85+MAX(0,J86-J85)+MAX(0,J87-J86)+MAX(0,J88-J87)+MAX(0,J89-J88)+MAX(0,J90-J89)),IF(B79=1,(H79/(B79+3)+J90),IF(B79=0,H79/4+J90))))</f>
        <v>33</v>
      </c>
    </row>
    <row r="92" spans="1:10">
      <c r="A92" s="63" t="s">
        <v>136</v>
      </c>
      <c r="B92" s="63"/>
      <c r="C92" s="63"/>
      <c r="D92" s="63"/>
      <c r="E92" s="63"/>
      <c r="F92" s="63"/>
      <c r="G92" s="63"/>
      <c r="H92" s="63"/>
    </row>
    <row r="93" spans="1:10">
      <c r="A93" s="59" t="s">
        <v>137</v>
      </c>
      <c r="B93" s="59"/>
      <c r="C93" s="59"/>
      <c r="D93" s="59"/>
      <c r="E93" s="59"/>
      <c r="F93" s="113">
        <v>10000</v>
      </c>
      <c r="G93" s="113"/>
      <c r="H93" s="113"/>
    </row>
    <row r="94" spans="1:10">
      <c r="A94" s="59" t="s">
        <v>138</v>
      </c>
      <c r="B94" s="59"/>
      <c r="C94" s="59"/>
      <c r="D94" s="59"/>
      <c r="E94" s="59"/>
      <c r="F94" s="114">
        <v>20000</v>
      </c>
      <c r="G94" s="114"/>
      <c r="H94" s="114"/>
    </row>
    <row r="95" spans="1:10" s="15" customFormat="1">
      <c r="A95" s="59" t="s">
        <v>139</v>
      </c>
      <c r="B95" s="59"/>
      <c r="C95" s="59"/>
      <c r="D95" s="59"/>
      <c r="E95" s="59"/>
      <c r="F95" s="114">
        <v>50000</v>
      </c>
      <c r="G95" s="114"/>
      <c r="H95" s="114"/>
    </row>
    <row r="96" spans="1:10" s="15" customFormat="1">
      <c r="A96" s="59" t="s">
        <v>140</v>
      </c>
      <c r="B96" s="59"/>
      <c r="C96" s="59"/>
      <c r="D96" s="59"/>
      <c r="E96" s="59"/>
      <c r="F96" s="114">
        <v>50000</v>
      </c>
      <c r="G96" s="114"/>
      <c r="H96" s="114"/>
    </row>
    <row r="97" spans="1:8" s="15" customFormat="1">
      <c r="A97" s="59" t="s">
        <v>141</v>
      </c>
      <c r="B97" s="59"/>
      <c r="C97" s="59"/>
      <c r="D97" s="59"/>
      <c r="E97" s="59"/>
      <c r="F97" s="114">
        <v>48000</v>
      </c>
      <c r="G97" s="114"/>
      <c r="H97" s="114"/>
    </row>
    <row r="98" spans="1:8" s="15" customFormat="1" hidden="1">
      <c r="A98" s="59" t="s">
        <v>142</v>
      </c>
      <c r="B98" s="59"/>
      <c r="C98" s="59"/>
      <c r="D98" s="59"/>
      <c r="E98" s="59"/>
      <c r="F98" s="114"/>
      <c r="G98" s="114"/>
      <c r="H98" s="114"/>
    </row>
    <row r="99" spans="1:8" s="15" customFormat="1" hidden="1">
      <c r="A99" s="59" t="s">
        <v>143</v>
      </c>
      <c r="B99" s="59"/>
      <c r="C99" s="59"/>
      <c r="D99" s="59"/>
      <c r="E99" s="59"/>
      <c r="F99" s="114"/>
      <c r="G99" s="114"/>
      <c r="H99" s="114"/>
    </row>
    <row r="100" spans="1:8" s="15" customFormat="1" hidden="1">
      <c r="A100" s="59" t="s">
        <v>144</v>
      </c>
      <c r="B100" s="59"/>
      <c r="C100" s="59"/>
      <c r="D100" s="59"/>
      <c r="E100" s="59"/>
      <c r="F100" s="114"/>
      <c r="G100" s="114"/>
      <c r="H100" s="114"/>
    </row>
    <row r="101" spans="1:8" s="15" customFormat="1" hidden="1">
      <c r="A101" s="59" t="s">
        <v>145</v>
      </c>
      <c r="B101" s="59"/>
      <c r="C101" s="59"/>
      <c r="D101" s="59"/>
      <c r="E101" s="59"/>
      <c r="F101" s="114"/>
      <c r="G101" s="114"/>
      <c r="H101" s="114"/>
    </row>
    <row r="102" spans="1:8" s="15" customFormat="1" hidden="1">
      <c r="A102" s="59" t="s">
        <v>146</v>
      </c>
      <c r="B102" s="59"/>
      <c r="C102" s="59"/>
      <c r="D102" s="59"/>
      <c r="E102" s="59"/>
      <c r="F102" s="114"/>
      <c r="G102" s="114"/>
      <c r="H102" s="114"/>
    </row>
    <row r="103" spans="1:8">
      <c r="A103" s="59" t="s">
        <v>147</v>
      </c>
      <c r="B103" s="59"/>
      <c r="C103" s="59"/>
      <c r="D103" s="59"/>
      <c r="E103" s="59"/>
      <c r="F103" s="114">
        <v>300000</v>
      </c>
      <c r="G103" s="114"/>
      <c r="H103" s="114"/>
    </row>
    <row r="104" spans="1:8" s="16" customFormat="1">
      <c r="A104" s="63" t="s">
        <v>148</v>
      </c>
      <c r="B104" s="63"/>
      <c r="C104" s="63"/>
      <c r="D104" s="63"/>
      <c r="E104" s="63"/>
      <c r="F104" s="114">
        <f>F93*0.8</f>
        <v>8000</v>
      </c>
      <c r="G104" s="114"/>
      <c r="H104" s="114"/>
    </row>
    <row r="105" spans="1:8" s="17" customFormat="1" ht="15.75" customHeight="1">
      <c r="A105" s="115" t="s">
        <v>149</v>
      </c>
      <c r="B105" s="115"/>
      <c r="C105" s="115"/>
      <c r="D105" s="115"/>
      <c r="E105" s="115"/>
      <c r="F105" s="115"/>
      <c r="G105" s="115"/>
      <c r="H105" s="115"/>
    </row>
    <row r="106" spans="1:8" s="17" customFormat="1" ht="15.75" customHeight="1">
      <c r="A106" s="116" t="s">
        <v>150</v>
      </c>
      <c r="B106" s="116"/>
      <c r="C106" s="117" t="s">
        <v>151</v>
      </c>
      <c r="D106" s="117"/>
      <c r="E106" s="118" t="s">
        <v>152</v>
      </c>
      <c r="F106" s="118"/>
      <c r="G106" s="116" t="s">
        <v>153</v>
      </c>
      <c r="H106" s="116"/>
    </row>
    <row r="107" spans="1:8" s="17" customFormat="1" ht="46.8">
      <c r="A107" s="39" t="s">
        <v>154</v>
      </c>
      <c r="B107" s="39" t="s">
        <v>155</v>
      </c>
      <c r="C107" s="119">
        <f>COUNT(D120:D129)</f>
        <v>10</v>
      </c>
      <c r="D107" s="120"/>
      <c r="E107" s="121">
        <f>SUM(D120:D129)</f>
        <v>3890.2172399999999</v>
      </c>
      <c r="F107" s="122"/>
      <c r="G107" s="121">
        <f>SUM(F120:F129)</f>
        <v>9129.6329903999995</v>
      </c>
      <c r="H107" s="122"/>
    </row>
    <row r="108" spans="1:8" s="17" customFormat="1">
      <c r="A108" s="115" t="s">
        <v>156</v>
      </c>
      <c r="B108" s="115"/>
      <c r="C108" s="115"/>
      <c r="D108" s="115"/>
      <c r="E108" s="115"/>
      <c r="F108" s="115"/>
      <c r="G108" s="115"/>
      <c r="H108" s="115"/>
    </row>
    <row r="109" spans="1:8" s="17" customFormat="1" ht="15.75" customHeight="1">
      <c r="A109" s="116" t="s">
        <v>150</v>
      </c>
      <c r="B109" s="116"/>
      <c r="C109" s="117" t="s">
        <v>151</v>
      </c>
      <c r="D109" s="117"/>
      <c r="E109" s="118" t="s">
        <v>152</v>
      </c>
      <c r="F109" s="118"/>
      <c r="G109" s="116" t="s">
        <v>153</v>
      </c>
      <c r="H109" s="116"/>
    </row>
    <row r="110" spans="1:8" s="17" customFormat="1" ht="46.8">
      <c r="A110" s="39" t="s">
        <v>157</v>
      </c>
      <c r="B110" s="166" t="s">
        <v>158</v>
      </c>
      <c r="C110" s="119">
        <f>COUNT(D139:D146)*26+COUNT(D148:D153,D155)*6</f>
        <v>250</v>
      </c>
      <c r="D110" s="119"/>
      <c r="E110" s="123">
        <f>SUM(D139:D146)*26+SUM(D148:D153,D155)*6</f>
        <v>93713.106240000008</v>
      </c>
      <c r="F110" s="124"/>
      <c r="G110" s="123">
        <f>SUM(F139:F146)*26+SUM(F148:F153,F155)*6</f>
        <v>149940.96998400002</v>
      </c>
      <c r="H110" s="124"/>
    </row>
    <row r="111" spans="1:8" s="17" customFormat="1" ht="46.8">
      <c r="A111" s="39" t="s">
        <v>154</v>
      </c>
      <c r="B111" s="167"/>
      <c r="C111" s="119">
        <f>COUNT(D162:D169)*27+COUNT(D171:D176,D178)*6</f>
        <v>258</v>
      </c>
      <c r="D111" s="119"/>
      <c r="E111" s="123">
        <f>SUM(D162:D169)*27+SUM(D171:D176,D178)*6</f>
        <v>96713.894160000011</v>
      </c>
      <c r="F111" s="124"/>
      <c r="G111" s="123">
        <f>SUM(F162:F169)*27+SUM(F171:F176,F178)*6</f>
        <v>154742.230656</v>
      </c>
      <c r="H111" s="124"/>
    </row>
    <row r="112" spans="1:8" s="17" customFormat="1">
      <c r="A112" s="115" t="s">
        <v>159</v>
      </c>
      <c r="B112" s="115"/>
      <c r="C112" s="125">
        <f>SUM(C110:C111)</f>
        <v>508</v>
      </c>
      <c r="D112" s="117"/>
      <c r="E112" s="126">
        <f>SUM(E110:E111)</f>
        <v>190427.00040000002</v>
      </c>
      <c r="F112" s="118"/>
      <c r="G112" s="126">
        <f>SUM(G110:G111)</f>
        <v>304683.20064000005</v>
      </c>
      <c r="H112" s="118"/>
    </row>
    <row r="113" spans="1:14" s="16" customFormat="1">
      <c r="A113" s="58" t="s">
        <v>160</v>
      </c>
      <c r="B113" s="58"/>
      <c r="C113" s="58"/>
      <c r="D113" s="58"/>
      <c r="E113" s="58"/>
      <c r="F113" s="58"/>
      <c r="G113" s="58"/>
      <c r="H113" s="58"/>
    </row>
    <row r="114" spans="1:14">
      <c r="A114" s="58" t="s">
        <v>161</v>
      </c>
      <c r="B114" s="58"/>
      <c r="C114" s="58"/>
      <c r="D114" s="58"/>
      <c r="E114" s="58"/>
      <c r="F114" s="58"/>
      <c r="G114" s="58"/>
      <c r="H114" s="58"/>
    </row>
    <row r="115" spans="1:14" ht="47.25" customHeight="1">
      <c r="A115" s="141" t="s">
        <v>162</v>
      </c>
      <c r="B115" s="141" t="s">
        <v>163</v>
      </c>
      <c r="C115" s="141" t="s">
        <v>164</v>
      </c>
      <c r="D115" s="141" t="s">
        <v>165</v>
      </c>
      <c r="E115" s="145" t="s">
        <v>166</v>
      </c>
      <c r="F115" s="40" t="s">
        <v>167</v>
      </c>
      <c r="G115" s="143" t="s">
        <v>168</v>
      </c>
      <c r="H115" s="156"/>
    </row>
    <row r="116" spans="1:14" s="18" customFormat="1">
      <c r="A116" s="142"/>
      <c r="B116" s="142"/>
      <c r="C116" s="142"/>
      <c r="D116" s="142"/>
      <c r="E116" s="146"/>
      <c r="F116" s="41">
        <v>0.6</v>
      </c>
      <c r="G116" s="144"/>
      <c r="H116" s="157"/>
    </row>
    <row r="117" spans="1:14" s="18" customFormat="1">
      <c r="A117" s="127" t="s">
        <v>169</v>
      </c>
      <c r="B117" s="128"/>
      <c r="C117" s="128"/>
      <c r="D117" s="128"/>
      <c r="E117" s="128"/>
      <c r="F117" s="128"/>
      <c r="G117" s="128"/>
      <c r="H117" s="129"/>
      <c r="J117" s="53"/>
    </row>
    <row r="118" spans="1:14" s="18" customFormat="1">
      <c r="A118" s="127" t="s">
        <v>154</v>
      </c>
      <c r="B118" s="128"/>
      <c r="C118" s="128"/>
      <c r="D118" s="128"/>
      <c r="E118" s="128"/>
      <c r="F118" s="128"/>
      <c r="G118" s="128"/>
      <c r="H118" s="129"/>
      <c r="J118" s="53"/>
    </row>
    <row r="119" spans="1:14" s="18" customFormat="1">
      <c r="A119" s="127" t="s">
        <v>170</v>
      </c>
      <c r="B119" s="128"/>
      <c r="C119" s="128"/>
      <c r="D119" s="128"/>
      <c r="E119" s="128"/>
      <c r="F119" s="128"/>
      <c r="G119" s="128"/>
      <c r="H119" s="129"/>
      <c r="J119" s="53"/>
    </row>
    <row r="120" spans="1:14" s="18" customFormat="1" ht="15.75" customHeight="1">
      <c r="A120" s="130">
        <v>1</v>
      </c>
      <c r="B120" s="131"/>
      <c r="C120" s="42" t="s">
        <v>155</v>
      </c>
      <c r="D120" s="43">
        <f>(47.35)*10.764</f>
        <v>509.67539999999997</v>
      </c>
      <c r="E120" s="43">
        <f>(5.45*4.25)*10.764</f>
        <v>249.32114999999999</v>
      </c>
      <c r="F120" s="42">
        <f t="shared" ref="F120:F129" si="0">(D120+E120)*(($F$116)+1)</f>
        <v>1214.3944799999999</v>
      </c>
      <c r="G120" s="159" t="str">
        <f>A119</f>
        <v>Ground Floor for Commercial &amp; Parking</v>
      </c>
      <c r="H120" s="160"/>
      <c r="I120" s="53">
        <f>5.45*6.98+4.1*1.8+1.2*1.65</f>
        <v>47.401000000000003</v>
      </c>
      <c r="L120" s="132"/>
      <c r="M120" s="132"/>
      <c r="N120" s="53"/>
    </row>
    <row r="121" spans="1:14" s="18" customFormat="1">
      <c r="A121" s="130">
        <f t="shared" ref="A121:A129" si="1">A120+1</f>
        <v>2</v>
      </c>
      <c r="B121" s="131"/>
      <c r="C121" s="42" t="s">
        <v>155</v>
      </c>
      <c r="D121" s="43">
        <f>(48.43)*10.764</f>
        <v>521.30052000000001</v>
      </c>
      <c r="E121" s="43">
        <f>(5.6*4.25)*10.764</f>
        <v>256.18319999999994</v>
      </c>
      <c r="F121" s="42">
        <f t="shared" si="0"/>
        <v>1243.9739520000001</v>
      </c>
      <c r="G121" s="161"/>
      <c r="H121" s="162"/>
      <c r="I121" s="53"/>
      <c r="L121" s="132"/>
      <c r="M121" s="132"/>
      <c r="N121" s="53"/>
    </row>
    <row r="122" spans="1:14" s="18" customFormat="1">
      <c r="A122" s="130">
        <f t="shared" si="1"/>
        <v>3</v>
      </c>
      <c r="B122" s="131"/>
      <c r="C122" s="42" t="s">
        <v>155</v>
      </c>
      <c r="D122" s="43">
        <f>(41.01)*10.764</f>
        <v>441.43163999999996</v>
      </c>
      <c r="E122" s="43">
        <f>(4.7*4.25)*10.764</f>
        <v>215.01089999999999</v>
      </c>
      <c r="F122" s="42">
        <f t="shared" si="0"/>
        <v>1050.3080640000001</v>
      </c>
      <c r="G122" s="161"/>
      <c r="H122" s="162"/>
      <c r="I122" s="53"/>
      <c r="L122" s="132"/>
      <c r="M122" s="132"/>
      <c r="N122" s="53"/>
    </row>
    <row r="123" spans="1:14" s="18" customFormat="1">
      <c r="A123" s="130">
        <f t="shared" si="1"/>
        <v>4</v>
      </c>
      <c r="B123" s="131"/>
      <c r="C123" s="42" t="s">
        <v>155</v>
      </c>
      <c r="D123" s="43">
        <f>(26.07)*10.764</f>
        <v>280.61748</v>
      </c>
      <c r="E123" s="43">
        <f>(2.97*3.65)*10.764</f>
        <v>116.68714199999999</v>
      </c>
      <c r="F123" s="42">
        <f t="shared" si="0"/>
        <v>635.68739520000008</v>
      </c>
      <c r="G123" s="161"/>
      <c r="H123" s="162"/>
      <c r="I123" s="53"/>
      <c r="L123" s="132"/>
      <c r="M123" s="132"/>
      <c r="N123" s="53"/>
    </row>
    <row r="124" spans="1:14" s="18" customFormat="1">
      <c r="A124" s="130">
        <f t="shared" si="1"/>
        <v>5</v>
      </c>
      <c r="B124" s="131"/>
      <c r="C124" s="42" t="s">
        <v>155</v>
      </c>
      <c r="D124" s="43">
        <f>(27.88)*10.764</f>
        <v>300.10031999999995</v>
      </c>
      <c r="E124" s="43">
        <f>(3*4.25)*10.764</f>
        <v>137.24099999999999</v>
      </c>
      <c r="F124" s="42">
        <f t="shared" si="0"/>
        <v>699.74611199999993</v>
      </c>
      <c r="G124" s="161"/>
      <c r="H124" s="162"/>
      <c r="I124" s="53"/>
      <c r="L124" s="132"/>
      <c r="M124" s="132"/>
      <c r="N124" s="53"/>
    </row>
    <row r="125" spans="1:14" s="18" customFormat="1">
      <c r="A125" s="130">
        <f t="shared" si="1"/>
        <v>6</v>
      </c>
      <c r="B125" s="131"/>
      <c r="C125" s="42" t="s">
        <v>155</v>
      </c>
      <c r="D125" s="43">
        <f>(24.15)*10.764</f>
        <v>259.95059999999995</v>
      </c>
      <c r="E125" s="43">
        <f>(3.075*1.4+1.62*1.65)*10.764</f>
        <v>75.111191999999988</v>
      </c>
      <c r="F125" s="42">
        <f t="shared" si="0"/>
        <v>536.09886719999997</v>
      </c>
      <c r="G125" s="161"/>
      <c r="H125" s="162"/>
      <c r="I125" s="53"/>
      <c r="L125" s="132"/>
      <c r="M125" s="132"/>
      <c r="N125" s="53"/>
    </row>
    <row r="126" spans="1:14" s="18" customFormat="1">
      <c r="A126" s="130">
        <f t="shared" si="1"/>
        <v>7</v>
      </c>
      <c r="B126" s="131"/>
      <c r="C126" s="42" t="s">
        <v>155</v>
      </c>
      <c r="D126" s="43">
        <f>(26.05)*10.764</f>
        <v>280.40219999999999</v>
      </c>
      <c r="E126" s="43">
        <f>(2.975*3.65)*10.764</f>
        <v>116.883585</v>
      </c>
      <c r="F126" s="42">
        <f t="shared" si="0"/>
        <v>635.65725599999996</v>
      </c>
      <c r="G126" s="161"/>
      <c r="H126" s="162"/>
      <c r="I126" s="53"/>
      <c r="L126" s="132"/>
      <c r="M126" s="132"/>
      <c r="N126" s="53"/>
    </row>
    <row r="127" spans="1:14" s="18" customFormat="1">
      <c r="A127" s="130">
        <f t="shared" si="1"/>
        <v>8</v>
      </c>
      <c r="B127" s="131"/>
      <c r="C127" s="42" t="s">
        <v>155</v>
      </c>
      <c r="D127" s="43">
        <f>(26.19)*10.764</f>
        <v>281.90915999999999</v>
      </c>
      <c r="E127" s="43">
        <f>(3.1*4.25+1.2*1.65)*10.764</f>
        <v>163.12842000000001</v>
      </c>
      <c r="F127" s="42">
        <f t="shared" si="0"/>
        <v>712.06012800000008</v>
      </c>
      <c r="G127" s="161"/>
      <c r="H127" s="162"/>
      <c r="I127" s="53"/>
      <c r="L127" s="132"/>
      <c r="M127" s="132"/>
      <c r="N127" s="53"/>
    </row>
    <row r="128" spans="1:14" s="18" customFormat="1">
      <c r="A128" s="130">
        <f t="shared" si="1"/>
        <v>9</v>
      </c>
      <c r="B128" s="131"/>
      <c r="C128" s="42" t="s">
        <v>155</v>
      </c>
      <c r="D128" s="43">
        <f>(52.17)*10.764</f>
        <v>561.55787999999995</v>
      </c>
      <c r="E128" s="43">
        <f>(6.26*2.5+4.95*1.8)*10.764</f>
        <v>264.36383999999998</v>
      </c>
      <c r="F128" s="42">
        <f t="shared" si="0"/>
        <v>1321.4747520000001</v>
      </c>
      <c r="G128" s="161"/>
      <c r="H128" s="162"/>
      <c r="I128" s="53"/>
      <c r="L128" s="132"/>
      <c r="M128" s="132"/>
      <c r="N128" s="53"/>
    </row>
    <row r="129" spans="1:14" s="18" customFormat="1">
      <c r="A129" s="130">
        <f t="shared" si="1"/>
        <v>10</v>
      </c>
      <c r="B129" s="131"/>
      <c r="C129" s="42" t="s">
        <v>155</v>
      </c>
      <c r="D129" s="43">
        <f>(42.11)*10.764</f>
        <v>453.27203999999995</v>
      </c>
      <c r="E129" s="43">
        <f>(4.85*4.25)*10.764</f>
        <v>221.87294999999995</v>
      </c>
      <c r="F129" s="42">
        <f t="shared" si="0"/>
        <v>1080.2319839999998</v>
      </c>
      <c r="G129" s="163"/>
      <c r="H129" s="164"/>
      <c r="I129" s="53"/>
      <c r="L129" s="132"/>
      <c r="M129" s="132"/>
      <c r="N129" s="53"/>
    </row>
    <row r="130" spans="1:14" s="18" customFormat="1">
      <c r="A130" s="130"/>
      <c r="B130" s="133"/>
      <c r="C130" s="133"/>
      <c r="D130" s="133"/>
      <c r="E130" s="133"/>
      <c r="F130" s="133"/>
      <c r="G130" s="133"/>
      <c r="H130" s="131"/>
      <c r="I130" s="53"/>
      <c r="N130" s="53"/>
    </row>
    <row r="131" spans="1:14" ht="47.25" customHeight="1">
      <c r="A131" s="143" t="s">
        <v>171</v>
      </c>
      <c r="B131" s="143" t="s">
        <v>172</v>
      </c>
      <c r="C131" s="141" t="s">
        <v>164</v>
      </c>
      <c r="D131" s="141" t="s">
        <v>165</v>
      </c>
      <c r="E131" s="145" t="s">
        <v>173</v>
      </c>
      <c r="F131" s="40" t="s">
        <v>167</v>
      </c>
      <c r="G131" s="143" t="s">
        <v>168</v>
      </c>
      <c r="H131" s="156"/>
      <c r="I131" s="53"/>
    </row>
    <row r="132" spans="1:14" s="18" customFormat="1">
      <c r="A132" s="144"/>
      <c r="B132" s="144"/>
      <c r="C132" s="142"/>
      <c r="D132" s="142"/>
      <c r="E132" s="146"/>
      <c r="F132" s="41">
        <v>0.6</v>
      </c>
      <c r="G132" s="144"/>
      <c r="H132" s="157"/>
      <c r="I132" s="53"/>
    </row>
    <row r="133" spans="1:14" s="18" customFormat="1">
      <c r="A133" s="127" t="s">
        <v>174</v>
      </c>
      <c r="B133" s="128"/>
      <c r="C133" s="128"/>
      <c r="D133" s="128"/>
      <c r="E133" s="128"/>
      <c r="F133" s="128"/>
      <c r="G133" s="128"/>
      <c r="H133" s="129"/>
      <c r="J133" s="53"/>
    </row>
    <row r="134" spans="1:14" s="18" customFormat="1">
      <c r="A134" s="127" t="s">
        <v>157</v>
      </c>
      <c r="B134" s="128"/>
      <c r="C134" s="128"/>
      <c r="D134" s="128"/>
      <c r="E134" s="128"/>
      <c r="F134" s="128"/>
      <c r="G134" s="128"/>
      <c r="H134" s="129"/>
      <c r="J134" s="53"/>
    </row>
    <row r="135" spans="1:14" s="18" customFormat="1">
      <c r="A135" s="127" t="s">
        <v>175</v>
      </c>
      <c r="B135" s="128"/>
      <c r="C135" s="128"/>
      <c r="D135" s="128"/>
      <c r="E135" s="128"/>
      <c r="F135" s="128"/>
      <c r="G135" s="128"/>
      <c r="H135" s="129"/>
      <c r="J135" s="53"/>
    </row>
    <row r="136" spans="1:14" s="18" customFormat="1">
      <c r="A136" s="127" t="s">
        <v>176</v>
      </c>
      <c r="B136" s="128"/>
      <c r="C136" s="128"/>
      <c r="D136" s="128"/>
      <c r="E136" s="128"/>
      <c r="F136" s="128"/>
      <c r="G136" s="128"/>
      <c r="H136" s="129"/>
      <c r="J136" s="53"/>
    </row>
    <row r="137" spans="1:14" s="18" customFormat="1">
      <c r="A137" s="127" t="s">
        <v>177</v>
      </c>
      <c r="B137" s="128"/>
      <c r="C137" s="128"/>
      <c r="D137" s="128"/>
      <c r="E137" s="128"/>
      <c r="F137" s="128"/>
      <c r="G137" s="128"/>
      <c r="H137" s="129"/>
      <c r="J137" s="53"/>
    </row>
    <row r="138" spans="1:14" s="18" customFormat="1" ht="34.5" customHeight="1">
      <c r="A138" s="127" t="s">
        <v>178</v>
      </c>
      <c r="B138" s="128"/>
      <c r="C138" s="128"/>
      <c r="D138" s="128"/>
      <c r="E138" s="128"/>
      <c r="F138" s="128"/>
      <c r="G138" s="128"/>
      <c r="H138" s="129"/>
      <c r="I138" s="53"/>
    </row>
    <row r="139" spans="1:14" s="18" customFormat="1" ht="15.75" customHeight="1">
      <c r="A139" s="130">
        <v>1</v>
      </c>
      <c r="B139" s="131"/>
      <c r="C139" s="42" t="s">
        <v>179</v>
      </c>
      <c r="D139" s="42">
        <f>26.95*10.764</f>
        <v>290.08979999999997</v>
      </c>
      <c r="E139" s="42">
        <v>0</v>
      </c>
      <c r="F139" s="42">
        <f t="shared" ref="F139:F144" si="2">D139*(($F$132)+1)+(IF(E139&lt;101,E139,IF(E139&lt;201,E139/2,IF(E139&lt;=301,E139/3,E139/4))))</f>
        <v>464.14367999999996</v>
      </c>
      <c r="G139" s="159" t="str">
        <f>A138</f>
        <v>1st to 5th, 7th to 10th, 12th to 15th, 17th to 20th, 22nd to 25th, 27th to 30th &amp; 32nd Floor for Residential</v>
      </c>
      <c r="H139" s="160"/>
      <c r="I139" s="53">
        <f>2.8*3.3+2.15*1.75+2.15*0.9+2.85*2.8+1*1.35+1.05*1.35</f>
        <v>25.684999999999999</v>
      </c>
      <c r="J139" s="18">
        <f>5200000/F139</f>
        <v>11203.427352495677</v>
      </c>
      <c r="K139" s="18">
        <f>4500000/F139</f>
        <v>9695.2736704289509</v>
      </c>
    </row>
    <row r="140" spans="1:14" s="18" customFormat="1">
      <c r="A140" s="130">
        <v>2</v>
      </c>
      <c r="B140" s="131"/>
      <c r="C140" s="42" t="s">
        <v>179</v>
      </c>
      <c r="D140" s="42">
        <f>26.9*10.764</f>
        <v>289.55159999999995</v>
      </c>
      <c r="E140" s="42">
        <v>0</v>
      </c>
      <c r="F140" s="42">
        <f t="shared" si="2"/>
        <v>463.28255999999993</v>
      </c>
      <c r="G140" s="161"/>
      <c r="H140" s="162"/>
      <c r="I140" s="53"/>
    </row>
    <row r="141" spans="1:14" s="18" customFormat="1" ht="15.75" customHeight="1">
      <c r="A141" s="130">
        <v>3</v>
      </c>
      <c r="B141" s="131"/>
      <c r="C141" s="42" t="s">
        <v>180</v>
      </c>
      <c r="D141" s="42">
        <f>45.27*10.764</f>
        <v>487.28627999999998</v>
      </c>
      <c r="E141" s="42">
        <v>0</v>
      </c>
      <c r="F141" s="42">
        <f t="shared" si="2"/>
        <v>779.65804800000001</v>
      </c>
      <c r="G141" s="161"/>
      <c r="H141" s="162"/>
      <c r="I141" s="53">
        <f>2.95*4.025+3.15*2.475+2.6*2.325+1.15*1.22+1.025*1.28+3.15*2.9+2*1.205+2*1.38</f>
        <v>42.735000000000007</v>
      </c>
      <c r="K141" s="18">
        <f>7300000/F141</f>
        <v>9363.0791328662071</v>
      </c>
    </row>
    <row r="142" spans="1:14" s="18" customFormat="1" ht="15.75" customHeight="1">
      <c r="A142" s="130">
        <v>4</v>
      </c>
      <c r="B142" s="131"/>
      <c r="C142" s="42" t="s">
        <v>180</v>
      </c>
      <c r="D142" s="42">
        <f>45.27*10.764</f>
        <v>487.28627999999998</v>
      </c>
      <c r="E142" s="42">
        <v>0</v>
      </c>
      <c r="F142" s="42">
        <f t="shared" si="2"/>
        <v>779.65804800000001</v>
      </c>
      <c r="G142" s="161"/>
      <c r="H142" s="162"/>
      <c r="I142" s="53"/>
    </row>
    <row r="143" spans="1:14" s="18" customFormat="1" ht="15.75" customHeight="1">
      <c r="A143" s="130">
        <v>5</v>
      </c>
      <c r="B143" s="131"/>
      <c r="C143" s="42" t="s">
        <v>179</v>
      </c>
      <c r="D143" s="42">
        <f>26.68*10.764</f>
        <v>287.18351999999999</v>
      </c>
      <c r="E143" s="42">
        <v>0</v>
      </c>
      <c r="F143" s="42">
        <f t="shared" si="2"/>
        <v>459.49363199999999</v>
      </c>
      <c r="G143" s="161"/>
      <c r="H143" s="162"/>
      <c r="I143" s="53"/>
    </row>
    <row r="144" spans="1:14" s="18" customFormat="1" ht="15.75" customHeight="1">
      <c r="A144" s="130">
        <v>6</v>
      </c>
      <c r="B144" s="131"/>
      <c r="C144" s="42" t="s">
        <v>179</v>
      </c>
      <c r="D144" s="42">
        <f>26.73*10.764</f>
        <v>287.72172</v>
      </c>
      <c r="E144" s="42">
        <v>0</v>
      </c>
      <c r="F144" s="42">
        <f t="shared" si="2"/>
        <v>460.35475200000002</v>
      </c>
      <c r="G144" s="161"/>
      <c r="H144" s="162"/>
      <c r="I144" s="53"/>
    </row>
    <row r="145" spans="1:11" s="18" customFormat="1" ht="15.75" customHeight="1">
      <c r="A145" s="130">
        <v>7</v>
      </c>
      <c r="B145" s="131"/>
      <c r="C145" s="42" t="s">
        <v>179</v>
      </c>
      <c r="D145" s="42">
        <f>35.8*10.764</f>
        <v>385.35119999999995</v>
      </c>
      <c r="E145" s="42">
        <v>0</v>
      </c>
      <c r="F145" s="42">
        <f t="shared" ref="F145:F146" si="3">D145*(($F$132)+1)+(IF(E145&lt;101,E145,IF(E145&lt;201,E145/2,IF(E145&lt;=301,E145/3,E145/4))))</f>
        <v>616.56191999999999</v>
      </c>
      <c r="G145" s="161"/>
      <c r="H145" s="162"/>
      <c r="I145" s="53"/>
      <c r="K145" s="18">
        <f>5700000/F145</f>
        <v>9244.8135622777354</v>
      </c>
    </row>
    <row r="146" spans="1:11" s="18" customFormat="1" ht="15.75" customHeight="1">
      <c r="A146" s="130">
        <v>8</v>
      </c>
      <c r="B146" s="131"/>
      <c r="C146" s="42" t="s">
        <v>180</v>
      </c>
      <c r="D146" s="42">
        <f>45.18*10.764</f>
        <v>486.31751999999994</v>
      </c>
      <c r="E146" s="42">
        <v>0</v>
      </c>
      <c r="F146" s="42">
        <f t="shared" si="3"/>
        <v>778.10803199999998</v>
      </c>
      <c r="G146" s="163"/>
      <c r="H146" s="164"/>
      <c r="I146" s="53"/>
    </row>
    <row r="147" spans="1:11" s="18" customFormat="1" ht="15.75" customHeight="1">
      <c r="A147" s="127" t="s">
        <v>181</v>
      </c>
      <c r="B147" s="128"/>
      <c r="C147" s="128"/>
      <c r="D147" s="128"/>
      <c r="E147" s="128"/>
      <c r="F147" s="128"/>
      <c r="G147" s="128"/>
      <c r="H147" s="129"/>
      <c r="I147" s="53"/>
    </row>
    <row r="148" spans="1:11" s="18" customFormat="1" ht="15.75" customHeight="1">
      <c r="A148" s="130">
        <v>1</v>
      </c>
      <c r="B148" s="131"/>
      <c r="C148" s="42" t="s">
        <v>179</v>
      </c>
      <c r="D148" s="42">
        <f>26.95*10.764</f>
        <v>290.08979999999997</v>
      </c>
      <c r="E148" s="42">
        <v>0</v>
      </c>
      <c r="F148" s="42">
        <f t="shared" ref="F148:F153" si="4">D148*(($F$132)+1)+(IF(E148&lt;101,E148,IF(E148&lt;201,E148/2,IF(E148&lt;=301,E148/3,E148/4))))</f>
        <v>464.14367999999996</v>
      </c>
      <c r="G148" s="159" t="str">
        <f>A147</f>
        <v>6th, 11th, 16th, 21st, 26th &amp; 31st Floor (Part Refuge Area)</v>
      </c>
      <c r="H148" s="160"/>
      <c r="I148" s="53"/>
    </row>
    <row r="149" spans="1:11" s="18" customFormat="1" ht="15.75" customHeight="1">
      <c r="A149" s="130">
        <v>2</v>
      </c>
      <c r="B149" s="131"/>
      <c r="C149" s="42" t="s">
        <v>179</v>
      </c>
      <c r="D149" s="42">
        <f>26.9*10.764</f>
        <v>289.55159999999995</v>
      </c>
      <c r="E149" s="42">
        <v>0</v>
      </c>
      <c r="F149" s="42">
        <f t="shared" si="4"/>
        <v>463.28255999999993</v>
      </c>
      <c r="G149" s="161"/>
      <c r="H149" s="162"/>
      <c r="I149" s="53"/>
    </row>
    <row r="150" spans="1:11" s="18" customFormat="1" ht="15.75" customHeight="1">
      <c r="A150" s="130">
        <v>3</v>
      </c>
      <c r="B150" s="131"/>
      <c r="C150" s="42" t="s">
        <v>180</v>
      </c>
      <c r="D150" s="42">
        <f>45.27*10.764</f>
        <v>487.28627999999998</v>
      </c>
      <c r="E150" s="42">
        <v>0</v>
      </c>
      <c r="F150" s="42">
        <f t="shared" si="4"/>
        <v>779.65804800000001</v>
      </c>
      <c r="G150" s="161"/>
      <c r="H150" s="162"/>
      <c r="I150" s="53"/>
    </row>
    <row r="151" spans="1:11" s="18" customFormat="1" ht="15.75" customHeight="1">
      <c r="A151" s="130">
        <v>4</v>
      </c>
      <c r="B151" s="131"/>
      <c r="C151" s="42" t="s">
        <v>180</v>
      </c>
      <c r="D151" s="42">
        <f>45.27*10.764</f>
        <v>487.28627999999998</v>
      </c>
      <c r="E151" s="42">
        <v>0</v>
      </c>
      <c r="F151" s="42">
        <f t="shared" si="4"/>
        <v>779.65804800000001</v>
      </c>
      <c r="G151" s="161"/>
      <c r="H151" s="162"/>
      <c r="I151" s="53"/>
    </row>
    <row r="152" spans="1:11" s="18" customFormat="1" ht="15.75" customHeight="1">
      <c r="A152" s="130">
        <v>5</v>
      </c>
      <c r="B152" s="131"/>
      <c r="C152" s="42" t="s">
        <v>179</v>
      </c>
      <c r="D152" s="42">
        <f>26.68*10.764</f>
        <v>287.18351999999999</v>
      </c>
      <c r="E152" s="42">
        <v>0</v>
      </c>
      <c r="F152" s="42">
        <f t="shared" si="4"/>
        <v>459.49363199999999</v>
      </c>
      <c r="G152" s="161"/>
      <c r="H152" s="162"/>
      <c r="I152" s="53">
        <f>5194000/F152</f>
        <v>11303.747513088494</v>
      </c>
    </row>
    <row r="153" spans="1:11" s="18" customFormat="1" ht="15.75" customHeight="1">
      <c r="A153" s="130">
        <v>6</v>
      </c>
      <c r="B153" s="131"/>
      <c r="C153" s="42" t="s">
        <v>179</v>
      </c>
      <c r="D153" s="42">
        <f>26.73*10.764</f>
        <v>287.72172</v>
      </c>
      <c r="E153" s="42">
        <v>0</v>
      </c>
      <c r="F153" s="42">
        <f t="shared" si="4"/>
        <v>460.35475200000002</v>
      </c>
      <c r="G153" s="161"/>
      <c r="H153" s="162"/>
      <c r="I153" s="53"/>
    </row>
    <row r="154" spans="1:11" s="18" customFormat="1" ht="15.75" customHeight="1">
      <c r="A154" s="130">
        <v>7</v>
      </c>
      <c r="B154" s="131"/>
      <c r="C154" s="130" t="s">
        <v>182</v>
      </c>
      <c r="D154" s="133"/>
      <c r="E154" s="133"/>
      <c r="F154" s="131"/>
      <c r="G154" s="161"/>
      <c r="H154" s="162"/>
      <c r="I154" s="53"/>
    </row>
    <row r="155" spans="1:11" s="18" customFormat="1" ht="15.75" customHeight="1">
      <c r="A155" s="130">
        <v>8</v>
      </c>
      <c r="B155" s="131"/>
      <c r="C155" s="42" t="s">
        <v>180</v>
      </c>
      <c r="D155" s="42">
        <f>45.18*10.764</f>
        <v>486.31751999999994</v>
      </c>
      <c r="E155" s="42">
        <v>0</v>
      </c>
      <c r="F155" s="42">
        <f>D155*(($F$132)+1)+(IF(E155&lt;101,E155,IF(E155&lt;201,E155/2,IF(E155&lt;=301,E155/3,E155/4))))</f>
        <v>778.10803199999998</v>
      </c>
      <c r="G155" s="163"/>
      <c r="H155" s="164"/>
      <c r="I155" s="53"/>
    </row>
    <row r="156" spans="1:11" s="18" customFormat="1">
      <c r="A156" s="127" t="s">
        <v>169</v>
      </c>
      <c r="B156" s="128"/>
      <c r="C156" s="128"/>
      <c r="D156" s="128"/>
      <c r="E156" s="128"/>
      <c r="F156" s="128"/>
      <c r="G156" s="128"/>
      <c r="H156" s="129"/>
      <c r="J156" s="53"/>
    </row>
    <row r="157" spans="1:11" s="18" customFormat="1">
      <c r="A157" s="127" t="s">
        <v>154</v>
      </c>
      <c r="B157" s="128"/>
      <c r="C157" s="128"/>
      <c r="D157" s="128"/>
      <c r="E157" s="128"/>
      <c r="F157" s="128"/>
      <c r="G157" s="128"/>
      <c r="H157" s="129"/>
      <c r="J157" s="53"/>
    </row>
    <row r="158" spans="1:11" s="18" customFormat="1">
      <c r="A158" s="127" t="s">
        <v>175</v>
      </c>
      <c r="B158" s="128"/>
      <c r="C158" s="128"/>
      <c r="D158" s="128"/>
      <c r="E158" s="128"/>
      <c r="F158" s="128"/>
      <c r="G158" s="128"/>
      <c r="H158" s="129"/>
      <c r="J158" s="53"/>
    </row>
    <row r="159" spans="1:11" s="18" customFormat="1">
      <c r="A159" s="127" t="s">
        <v>183</v>
      </c>
      <c r="B159" s="128"/>
      <c r="C159" s="128"/>
      <c r="D159" s="128"/>
      <c r="E159" s="128"/>
      <c r="F159" s="128"/>
      <c r="G159" s="128"/>
      <c r="H159" s="129"/>
      <c r="J159" s="53"/>
    </row>
    <row r="160" spans="1:11" s="18" customFormat="1">
      <c r="A160" s="127" t="s">
        <v>184</v>
      </c>
      <c r="B160" s="128"/>
      <c r="C160" s="128"/>
      <c r="D160" s="128"/>
      <c r="E160" s="128"/>
      <c r="F160" s="128"/>
      <c r="G160" s="128"/>
      <c r="H160" s="129"/>
      <c r="J160" s="53"/>
    </row>
    <row r="161" spans="1:10" s="18" customFormat="1" ht="33" customHeight="1">
      <c r="A161" s="127" t="s">
        <v>185</v>
      </c>
      <c r="B161" s="128"/>
      <c r="C161" s="128"/>
      <c r="D161" s="128"/>
      <c r="E161" s="128"/>
      <c r="F161" s="128"/>
      <c r="G161" s="128"/>
      <c r="H161" s="129"/>
      <c r="I161" s="53"/>
    </row>
    <row r="162" spans="1:10" s="18" customFormat="1" ht="15.75" customHeight="1">
      <c r="A162" s="130">
        <v>1</v>
      </c>
      <c r="B162" s="131"/>
      <c r="C162" s="42" t="s">
        <v>179</v>
      </c>
      <c r="D162" s="43">
        <f>(26.95)*10.764</f>
        <v>290.08979999999997</v>
      </c>
      <c r="E162" s="43">
        <v>0</v>
      </c>
      <c r="F162" s="42">
        <f t="shared" ref="F162:F169" si="5">D162*(($F$132)+1)+(IF(E162&lt;101,E162,IF(E162&lt;201,E162/2,IF(E162&lt;=301,E162/3,E162/4))))</f>
        <v>464.14367999999996</v>
      </c>
      <c r="G162" s="159" t="str">
        <f>A161</f>
        <v>1st to 5th, 7th to 10th, 12th to 15th, 17th to 20th, 22nd to 25th, 27th to 30th, 32nd &amp; 33rd Floor for Residential</v>
      </c>
      <c r="H162" s="160"/>
      <c r="I162" s="53">
        <f>2.8*3.3+2.15*1.75+2.15*0.9+2.85*2.8+1*1.35+1.05*1.35</f>
        <v>25.684999999999999</v>
      </c>
      <c r="J162" s="53"/>
    </row>
    <row r="163" spans="1:10" s="18" customFormat="1">
      <c r="A163" s="130">
        <v>2</v>
      </c>
      <c r="B163" s="131"/>
      <c r="C163" s="42" t="s">
        <v>179</v>
      </c>
      <c r="D163" s="43">
        <f>(26.9)*10.764</f>
        <v>289.55159999999995</v>
      </c>
      <c r="E163" s="43">
        <v>0</v>
      </c>
      <c r="F163" s="42">
        <f t="shared" si="5"/>
        <v>463.28255999999993</v>
      </c>
      <c r="G163" s="161"/>
      <c r="H163" s="162"/>
      <c r="I163" s="53"/>
    </row>
    <row r="164" spans="1:10" s="18" customFormat="1" ht="15.75" customHeight="1">
      <c r="A164" s="130">
        <v>3</v>
      </c>
      <c r="B164" s="131"/>
      <c r="C164" s="42" t="s">
        <v>180</v>
      </c>
      <c r="D164" s="43">
        <f>(45.27)*10.764</f>
        <v>487.28627999999998</v>
      </c>
      <c r="E164" s="43">
        <v>0</v>
      </c>
      <c r="F164" s="42">
        <f t="shared" si="5"/>
        <v>779.65804800000001</v>
      </c>
      <c r="G164" s="161"/>
      <c r="H164" s="162"/>
      <c r="I164" s="53"/>
    </row>
    <row r="165" spans="1:10" s="18" customFormat="1" ht="15.75" customHeight="1">
      <c r="A165" s="130">
        <v>4</v>
      </c>
      <c r="B165" s="131"/>
      <c r="C165" s="42" t="s">
        <v>180</v>
      </c>
      <c r="D165" s="43">
        <f>(45.27)*10.764</f>
        <v>487.28627999999998</v>
      </c>
      <c r="E165" s="43">
        <v>0</v>
      </c>
      <c r="F165" s="42">
        <f t="shared" si="5"/>
        <v>779.65804800000001</v>
      </c>
      <c r="G165" s="161"/>
      <c r="H165" s="162"/>
      <c r="I165" s="53"/>
    </row>
    <row r="166" spans="1:10" s="18" customFormat="1" ht="15.75" customHeight="1">
      <c r="A166" s="130">
        <v>5</v>
      </c>
      <c r="B166" s="131"/>
      <c r="C166" s="42" t="s">
        <v>179</v>
      </c>
      <c r="D166" s="43">
        <f>(26.68)*10.764</f>
        <v>287.18351999999999</v>
      </c>
      <c r="E166" s="43">
        <v>0</v>
      </c>
      <c r="F166" s="42">
        <f t="shared" si="5"/>
        <v>459.49363199999999</v>
      </c>
      <c r="G166" s="161"/>
      <c r="H166" s="162"/>
      <c r="I166" s="53"/>
    </row>
    <row r="167" spans="1:10" s="18" customFormat="1" ht="15.75" customHeight="1">
      <c r="A167" s="130">
        <v>6</v>
      </c>
      <c r="B167" s="131"/>
      <c r="C167" s="42" t="s">
        <v>179</v>
      </c>
      <c r="D167" s="43">
        <f>(26.73)*10.764</f>
        <v>287.72172</v>
      </c>
      <c r="E167" s="43">
        <v>0</v>
      </c>
      <c r="F167" s="42">
        <f t="shared" si="5"/>
        <v>460.35475200000002</v>
      </c>
      <c r="G167" s="161"/>
      <c r="H167" s="162"/>
      <c r="I167" s="53"/>
    </row>
    <row r="168" spans="1:10" s="18" customFormat="1" ht="15.75" customHeight="1">
      <c r="A168" s="130">
        <v>7</v>
      </c>
      <c r="B168" s="131"/>
      <c r="C168" s="42" t="s">
        <v>179</v>
      </c>
      <c r="D168" s="43">
        <f>(35.8)*10.764</f>
        <v>385.35119999999995</v>
      </c>
      <c r="E168" s="43">
        <v>0</v>
      </c>
      <c r="F168" s="42">
        <f t="shared" si="5"/>
        <v>616.56191999999999</v>
      </c>
      <c r="G168" s="161"/>
      <c r="H168" s="162"/>
      <c r="I168" s="53"/>
    </row>
    <row r="169" spans="1:10" s="18" customFormat="1" ht="15.75" customHeight="1">
      <c r="A169" s="130">
        <v>8</v>
      </c>
      <c r="B169" s="131"/>
      <c r="C169" s="42" t="s">
        <v>180</v>
      </c>
      <c r="D169" s="43">
        <f>(45.18)*10.764</f>
        <v>486.31751999999994</v>
      </c>
      <c r="E169" s="43">
        <v>0</v>
      </c>
      <c r="F169" s="42">
        <f t="shared" si="5"/>
        <v>778.10803199999998</v>
      </c>
      <c r="G169" s="163"/>
      <c r="H169" s="164"/>
      <c r="I169" s="53"/>
    </row>
    <row r="170" spans="1:10" s="18" customFormat="1" ht="15.75" customHeight="1">
      <c r="A170" s="127" t="s">
        <v>181</v>
      </c>
      <c r="B170" s="128"/>
      <c r="C170" s="128"/>
      <c r="D170" s="128"/>
      <c r="E170" s="128"/>
      <c r="F170" s="128"/>
      <c r="G170" s="128"/>
      <c r="H170" s="129"/>
      <c r="I170" s="53"/>
    </row>
    <row r="171" spans="1:10" s="18" customFormat="1" ht="15.75" customHeight="1">
      <c r="A171" s="130">
        <v>1</v>
      </c>
      <c r="B171" s="131"/>
      <c r="C171" s="42" t="s">
        <v>179</v>
      </c>
      <c r="D171" s="43">
        <f>(26.95)*10.764</f>
        <v>290.08979999999997</v>
      </c>
      <c r="E171" s="43">
        <v>0</v>
      </c>
      <c r="F171" s="42">
        <f t="shared" ref="F171:F176" si="6">D171*(($F$132)+1)+(IF(E171&lt;101,E171,IF(E171&lt;201,E171/2,IF(E171&lt;=301,E171/3,E171/4))))</f>
        <v>464.14367999999996</v>
      </c>
      <c r="G171" s="159" t="str">
        <f>A170</f>
        <v>6th, 11th, 16th, 21st, 26th &amp; 31st Floor (Part Refuge Area)</v>
      </c>
      <c r="H171" s="160"/>
      <c r="I171" s="53"/>
    </row>
    <row r="172" spans="1:10" s="18" customFormat="1" ht="15.75" customHeight="1">
      <c r="A172" s="130">
        <v>2</v>
      </c>
      <c r="B172" s="131"/>
      <c r="C172" s="42" t="s">
        <v>179</v>
      </c>
      <c r="D172" s="43">
        <f>(26.9)*10.764</f>
        <v>289.55159999999995</v>
      </c>
      <c r="E172" s="43">
        <v>0</v>
      </c>
      <c r="F172" s="42">
        <f t="shared" si="6"/>
        <v>463.28255999999993</v>
      </c>
      <c r="G172" s="161"/>
      <c r="H172" s="162"/>
      <c r="I172" s="53"/>
    </row>
    <row r="173" spans="1:10" s="18" customFormat="1" ht="15.75" customHeight="1">
      <c r="A173" s="130">
        <v>3</v>
      </c>
      <c r="B173" s="131"/>
      <c r="C173" s="42" t="s">
        <v>180</v>
      </c>
      <c r="D173" s="43">
        <f>(45.27)*10.764</f>
        <v>487.28627999999998</v>
      </c>
      <c r="E173" s="43">
        <v>0</v>
      </c>
      <c r="F173" s="42">
        <f t="shared" si="6"/>
        <v>779.65804800000001</v>
      </c>
      <c r="G173" s="161"/>
      <c r="H173" s="162"/>
      <c r="I173" s="53"/>
    </row>
    <row r="174" spans="1:10" s="18" customFormat="1" ht="15.75" customHeight="1">
      <c r="A174" s="130">
        <v>4</v>
      </c>
      <c r="B174" s="131"/>
      <c r="C174" s="42" t="s">
        <v>180</v>
      </c>
      <c r="D174" s="43">
        <f>(45.27)*10.764</f>
        <v>487.28627999999998</v>
      </c>
      <c r="E174" s="43">
        <v>0</v>
      </c>
      <c r="F174" s="42">
        <f t="shared" si="6"/>
        <v>779.65804800000001</v>
      </c>
      <c r="G174" s="161"/>
      <c r="H174" s="162"/>
      <c r="I174" s="53"/>
    </row>
    <row r="175" spans="1:10" s="18" customFormat="1" ht="15.75" customHeight="1">
      <c r="A175" s="130">
        <v>5</v>
      </c>
      <c r="B175" s="131"/>
      <c r="C175" s="42" t="s">
        <v>179</v>
      </c>
      <c r="D175" s="43">
        <f>(26.68)*10.764</f>
        <v>287.18351999999999</v>
      </c>
      <c r="E175" s="43">
        <v>0</v>
      </c>
      <c r="F175" s="42">
        <f t="shared" si="6"/>
        <v>459.49363199999999</v>
      </c>
      <c r="G175" s="161"/>
      <c r="H175" s="162"/>
      <c r="I175" s="53"/>
    </row>
    <row r="176" spans="1:10" s="18" customFormat="1" ht="15.75" customHeight="1">
      <c r="A176" s="130">
        <v>6</v>
      </c>
      <c r="B176" s="131"/>
      <c r="C176" s="42" t="s">
        <v>179</v>
      </c>
      <c r="D176" s="43">
        <f>(26.73)*10.764</f>
        <v>287.72172</v>
      </c>
      <c r="E176" s="43">
        <v>0</v>
      </c>
      <c r="F176" s="42">
        <f t="shared" si="6"/>
        <v>460.35475200000002</v>
      </c>
      <c r="G176" s="161"/>
      <c r="H176" s="162"/>
      <c r="I176" s="53"/>
    </row>
    <row r="177" spans="1:9" s="18" customFormat="1" ht="15.75" customHeight="1">
      <c r="A177" s="130">
        <v>7</v>
      </c>
      <c r="B177" s="131"/>
      <c r="C177" s="130" t="s">
        <v>182</v>
      </c>
      <c r="D177" s="133"/>
      <c r="E177" s="133"/>
      <c r="F177" s="131"/>
      <c r="G177" s="161"/>
      <c r="H177" s="162"/>
      <c r="I177" s="53"/>
    </row>
    <row r="178" spans="1:9" s="18" customFormat="1" ht="15.75" customHeight="1">
      <c r="A178" s="130">
        <v>8</v>
      </c>
      <c r="B178" s="131"/>
      <c r="C178" s="42" t="s">
        <v>180</v>
      </c>
      <c r="D178" s="43">
        <f>(45.18)*10.764</f>
        <v>486.31751999999994</v>
      </c>
      <c r="E178" s="43">
        <v>0</v>
      </c>
      <c r="F178" s="42">
        <f>D178*(($F$132)+1)+(IF(E178&lt;101,E178,IF(E178&lt;201,E178/2,IF(E178&lt;=301,E178/3,E178/4))))</f>
        <v>778.10803199999998</v>
      </c>
      <c r="G178" s="163"/>
      <c r="H178" s="164"/>
      <c r="I178" s="53"/>
    </row>
    <row r="179" spans="1:9" s="17" customFormat="1">
      <c r="A179" s="147" t="s">
        <v>186</v>
      </c>
      <c r="B179" s="147"/>
      <c r="C179" s="147"/>
      <c r="D179" s="147"/>
      <c r="E179" s="147"/>
      <c r="F179" s="147"/>
      <c r="G179" s="147"/>
      <c r="H179" s="147"/>
    </row>
    <row r="180" spans="1:9" s="17" customFormat="1" ht="32.25" customHeight="1">
      <c r="A180" s="39" t="s">
        <v>187</v>
      </c>
      <c r="B180" s="138" t="s">
        <v>227</v>
      </c>
      <c r="C180" s="139"/>
      <c r="D180" s="139"/>
      <c r="E180" s="139"/>
      <c r="F180" s="139"/>
      <c r="G180" s="139"/>
      <c r="H180" s="140"/>
    </row>
    <row r="181" spans="1:9" s="17" customFormat="1">
      <c r="A181" s="39" t="s">
        <v>187</v>
      </c>
      <c r="B181" s="138" t="str">
        <f>(IF(F131="Saleable area Loading :","We have considered Saleable area of Flats as per our Calculation.","We considered Saleable area of Flat as per Builder area Sheet."))</f>
        <v>We have considered Saleable area of Flats as per our Calculation.</v>
      </c>
      <c r="C181" s="139"/>
      <c r="D181" s="139"/>
      <c r="E181" s="139"/>
      <c r="F181" s="139"/>
      <c r="G181" s="139"/>
      <c r="H181" s="140"/>
    </row>
    <row r="182" spans="1:9" s="17" customFormat="1">
      <c r="A182" s="39" t="s">
        <v>187</v>
      </c>
      <c r="B182" s="134" t="s">
        <v>188</v>
      </c>
      <c r="C182" s="135"/>
      <c r="D182" s="135"/>
      <c r="E182" s="135"/>
      <c r="F182" s="135"/>
      <c r="G182" s="135"/>
      <c r="H182" s="136"/>
    </row>
    <row r="183" spans="1:9" s="17" customFormat="1">
      <c r="A183" s="39" t="s">
        <v>187</v>
      </c>
      <c r="B183" s="134" t="s">
        <v>189</v>
      </c>
      <c r="C183" s="135"/>
      <c r="D183" s="135"/>
      <c r="E183" s="135"/>
      <c r="F183" s="135"/>
      <c r="G183" s="135"/>
      <c r="H183" s="136"/>
    </row>
    <row r="184" spans="1:9" s="17" customFormat="1">
      <c r="A184" s="39" t="s">
        <v>187</v>
      </c>
      <c r="B184" s="134" t="s">
        <v>190</v>
      </c>
      <c r="C184" s="135"/>
      <c r="D184" s="135"/>
      <c r="E184" s="135"/>
      <c r="F184" s="135"/>
      <c r="G184" s="135"/>
      <c r="H184" s="136"/>
    </row>
    <row r="185" spans="1:9" s="17" customFormat="1">
      <c r="A185" s="39" t="s">
        <v>187</v>
      </c>
      <c r="B185" s="134" t="s">
        <v>191</v>
      </c>
      <c r="C185" s="135"/>
      <c r="D185" s="135"/>
      <c r="E185" s="135"/>
      <c r="F185" s="135"/>
      <c r="G185" s="135"/>
      <c r="H185" s="136"/>
    </row>
    <row r="186" spans="1:9" s="17" customFormat="1" ht="34.5" customHeight="1">
      <c r="A186" s="39" t="s">
        <v>187</v>
      </c>
      <c r="B186" s="134" t="s">
        <v>192</v>
      </c>
      <c r="C186" s="135"/>
      <c r="D186" s="135"/>
      <c r="E186" s="135"/>
      <c r="F186" s="135"/>
      <c r="G186" s="135"/>
      <c r="H186" s="136"/>
    </row>
    <row r="187" spans="1:9" s="17" customFormat="1">
      <c r="A187" s="39" t="s">
        <v>187</v>
      </c>
      <c r="B187" s="134" t="s">
        <v>193</v>
      </c>
      <c r="C187" s="135"/>
      <c r="D187" s="135"/>
      <c r="E187" s="135"/>
      <c r="F187" s="135"/>
      <c r="G187" s="135"/>
      <c r="H187" s="136"/>
    </row>
    <row r="188" spans="1:9" s="17" customFormat="1" ht="31.5" customHeight="1">
      <c r="A188" s="39" t="s">
        <v>187</v>
      </c>
      <c r="B188" s="134" t="s">
        <v>194</v>
      </c>
      <c r="C188" s="135"/>
      <c r="D188" s="135"/>
      <c r="E188" s="135"/>
      <c r="F188" s="135"/>
      <c r="G188" s="135"/>
      <c r="H188" s="136"/>
    </row>
    <row r="189" spans="1:9" s="17" customFormat="1" hidden="1">
      <c r="A189" s="39" t="s">
        <v>187</v>
      </c>
      <c r="B189" s="138" t="s">
        <v>195</v>
      </c>
      <c r="C189" s="139"/>
      <c r="D189" s="139"/>
      <c r="E189" s="139"/>
      <c r="F189" s="139"/>
      <c r="G189" s="139"/>
      <c r="H189" s="140"/>
    </row>
    <row r="190" spans="1:9" s="17" customFormat="1">
      <c r="A190" s="39" t="s">
        <v>187</v>
      </c>
      <c r="B190" s="134" t="s">
        <v>196</v>
      </c>
      <c r="C190" s="135"/>
      <c r="D190" s="135"/>
      <c r="E190" s="135"/>
      <c r="F190" s="135"/>
      <c r="G190" s="135"/>
      <c r="H190" s="136"/>
    </row>
    <row r="191" spans="1:9" s="17" customFormat="1">
      <c r="A191" s="39" t="s">
        <v>187</v>
      </c>
      <c r="B191" s="134" t="s">
        <v>197</v>
      </c>
      <c r="C191" s="135"/>
      <c r="D191" s="135"/>
      <c r="E191" s="135"/>
      <c r="F191" s="135"/>
      <c r="G191" s="135"/>
      <c r="H191" s="136"/>
    </row>
    <row r="192" spans="1:9" s="17" customFormat="1">
      <c r="A192" s="39" t="s">
        <v>187</v>
      </c>
      <c r="B192" s="134" t="s">
        <v>198</v>
      </c>
      <c r="C192" s="135"/>
      <c r="D192" s="135"/>
      <c r="E192" s="135"/>
      <c r="F192" s="135"/>
      <c r="G192" s="135"/>
      <c r="H192" s="136"/>
      <c r="I192"/>
    </row>
    <row r="193" spans="1:8">
      <c r="A193" s="90" t="s">
        <v>199</v>
      </c>
      <c r="B193" s="90"/>
      <c r="C193" s="90"/>
      <c r="D193" s="90"/>
      <c r="E193" s="90"/>
      <c r="F193" s="90"/>
      <c r="G193" s="90"/>
      <c r="H193" s="90"/>
    </row>
    <row r="194" spans="1:8">
      <c r="A194" s="59" t="s">
        <v>200</v>
      </c>
      <c r="B194" s="59"/>
      <c r="C194" s="59"/>
      <c r="D194" s="59"/>
      <c r="E194" s="59"/>
      <c r="F194" s="59"/>
      <c r="G194" s="59"/>
      <c r="H194" s="59"/>
    </row>
    <row r="195" spans="1:8" ht="15.75" customHeight="1">
      <c r="A195" s="137" t="s">
        <v>201</v>
      </c>
      <c r="B195" s="137"/>
      <c r="C195" s="137"/>
      <c r="D195" s="137"/>
      <c r="E195" s="137"/>
      <c r="F195" s="137"/>
      <c r="G195" s="137"/>
      <c r="H195" s="137"/>
    </row>
    <row r="196" spans="1:8">
      <c r="A196" s="59" t="s">
        <v>202</v>
      </c>
      <c r="B196" s="59"/>
      <c r="C196" s="59"/>
      <c r="D196" s="59"/>
      <c r="E196" s="59"/>
      <c r="F196" s="59"/>
      <c r="G196" s="59"/>
      <c r="H196" s="59"/>
    </row>
    <row r="197" spans="1:8">
      <c r="A197" s="59" t="s">
        <v>203</v>
      </c>
      <c r="B197" s="59"/>
      <c r="C197" s="59"/>
      <c r="D197" s="59"/>
      <c r="E197" s="59"/>
      <c r="F197" s="59"/>
      <c r="G197" s="59"/>
      <c r="H197" s="59"/>
    </row>
    <row r="198" spans="1:8">
      <c r="A198" s="59" t="s">
        <v>204</v>
      </c>
      <c r="B198" s="59"/>
      <c r="C198" s="59"/>
      <c r="D198" s="59"/>
      <c r="E198" s="59"/>
      <c r="F198" s="59"/>
      <c r="G198" s="59"/>
      <c r="H198" s="59"/>
    </row>
    <row r="199" spans="1:8" ht="35.25" customHeight="1">
      <c r="A199" s="62" t="s">
        <v>205</v>
      </c>
      <c r="B199" s="62"/>
      <c r="C199" s="62"/>
      <c r="D199" s="62"/>
      <c r="E199" s="62"/>
      <c r="F199" s="62"/>
      <c r="G199" s="62"/>
      <c r="H199" s="62"/>
    </row>
    <row r="200" spans="1:8">
      <c r="A200" s="165" t="s">
        <v>206</v>
      </c>
      <c r="B200" s="165"/>
      <c r="C200" s="165" t="s">
        <v>207</v>
      </c>
      <c r="D200" s="165"/>
      <c r="E200" s="165" t="s">
        <v>208</v>
      </c>
      <c r="F200" s="165"/>
      <c r="G200" s="165" t="s">
        <v>229</v>
      </c>
      <c r="H200" s="165"/>
    </row>
    <row r="201" spans="1:8">
      <c r="A201" s="158" t="s">
        <v>209</v>
      </c>
      <c r="B201" s="158"/>
      <c r="C201" s="158"/>
      <c r="D201" s="158"/>
      <c r="E201" s="158"/>
      <c r="F201" s="158"/>
      <c r="G201" s="158"/>
      <c r="H201" s="158"/>
    </row>
    <row r="202" spans="1:8">
      <c r="A202" s="158"/>
      <c r="B202" s="158"/>
      <c r="C202" s="158"/>
      <c r="D202" s="158"/>
      <c r="E202" s="158"/>
      <c r="F202" s="158"/>
      <c r="G202" s="158"/>
      <c r="H202" s="158"/>
    </row>
    <row r="203" spans="1:8">
      <c r="A203" s="158"/>
      <c r="B203" s="158"/>
      <c r="C203" s="158"/>
      <c r="D203" s="158"/>
      <c r="E203" s="158"/>
      <c r="F203" s="158"/>
      <c r="G203" s="158"/>
      <c r="H203" s="158"/>
    </row>
    <row r="204" spans="1:8">
      <c r="A204" s="158"/>
      <c r="B204" s="158"/>
      <c r="C204" s="158"/>
      <c r="D204" s="158"/>
      <c r="E204" s="158"/>
      <c r="F204" s="158"/>
      <c r="G204" s="158"/>
      <c r="H204" s="158"/>
    </row>
    <row r="205" spans="1:8">
      <c r="A205" s="54" t="s">
        <v>210</v>
      </c>
      <c r="B205" s="55"/>
      <c r="C205" s="55"/>
      <c r="D205" s="54" t="str">
        <f>E8</f>
        <v>Puraniks Unicorn Phase I &amp; II</v>
      </c>
      <c r="F205" s="55"/>
      <c r="G205" s="55"/>
      <c r="H205" s="55"/>
    </row>
    <row r="206" spans="1:8">
      <c r="A206" s="55"/>
      <c r="B206" s="55"/>
      <c r="C206" s="55"/>
      <c r="D206" s="55"/>
      <c r="E206" s="55"/>
      <c r="F206" s="55"/>
      <c r="G206" s="55"/>
      <c r="H206" s="55"/>
    </row>
    <row r="207" spans="1:8">
      <c r="A207" s="55"/>
      <c r="B207" s="55"/>
      <c r="C207" s="55"/>
      <c r="D207" s="55"/>
      <c r="E207" s="55"/>
      <c r="F207" s="55"/>
      <c r="G207" s="55"/>
      <c r="H207" s="55"/>
    </row>
    <row r="208" spans="1:8" ht="15" customHeight="1"/>
    <row r="240" spans="1:1">
      <c r="A240" s="56" t="s">
        <v>211</v>
      </c>
    </row>
  </sheetData>
  <mergeCells count="337">
    <mergeCell ref="A19:D20"/>
    <mergeCell ref="E19:H20"/>
    <mergeCell ref="A48:B49"/>
    <mergeCell ref="A55:C56"/>
    <mergeCell ref="E68:F77"/>
    <mergeCell ref="G68:H77"/>
    <mergeCell ref="G115:H116"/>
    <mergeCell ref="A201:H204"/>
    <mergeCell ref="E82:F91"/>
    <mergeCell ref="G82:H91"/>
    <mergeCell ref="G131:H132"/>
    <mergeCell ref="G120:H129"/>
    <mergeCell ref="G162:H169"/>
    <mergeCell ref="G171:H178"/>
    <mergeCell ref="G148:H155"/>
    <mergeCell ref="G139:H146"/>
    <mergeCell ref="A199:H199"/>
    <mergeCell ref="A200:B200"/>
    <mergeCell ref="C200:D200"/>
    <mergeCell ref="E200:F200"/>
    <mergeCell ref="G200:H200"/>
    <mergeCell ref="A115:A116"/>
    <mergeCell ref="A131:A132"/>
    <mergeCell ref="B110:B111"/>
    <mergeCell ref="B115:B116"/>
    <mergeCell ref="B131:B132"/>
    <mergeCell ref="C115:C116"/>
    <mergeCell ref="C131:C132"/>
    <mergeCell ref="D115:D116"/>
    <mergeCell ref="D131:D132"/>
    <mergeCell ref="E115:E116"/>
    <mergeCell ref="E131:E132"/>
    <mergeCell ref="B190:H190"/>
    <mergeCell ref="A173:B173"/>
    <mergeCell ref="A174:B174"/>
    <mergeCell ref="A175:B175"/>
    <mergeCell ref="A176:B176"/>
    <mergeCell ref="A177:B177"/>
    <mergeCell ref="C177:F177"/>
    <mergeCell ref="A178:B178"/>
    <mergeCell ref="A179:H179"/>
    <mergeCell ref="B180:H180"/>
    <mergeCell ref="A164:B164"/>
    <mergeCell ref="A165:B165"/>
    <mergeCell ref="A166:B166"/>
    <mergeCell ref="A167:B167"/>
    <mergeCell ref="A168:B168"/>
    <mergeCell ref="A169:B169"/>
    <mergeCell ref="B191:H191"/>
    <mergeCell ref="B192:H192"/>
    <mergeCell ref="A193:H193"/>
    <mergeCell ref="A194:H194"/>
    <mergeCell ref="A195:H195"/>
    <mergeCell ref="A196:H196"/>
    <mergeCell ref="A197:H197"/>
    <mergeCell ref="A198:H198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89:H189"/>
    <mergeCell ref="A170:H170"/>
    <mergeCell ref="A171:B171"/>
    <mergeCell ref="A172:B172"/>
    <mergeCell ref="A155:B155"/>
    <mergeCell ref="A156:H156"/>
    <mergeCell ref="A157:H157"/>
    <mergeCell ref="A158:H158"/>
    <mergeCell ref="A159:H159"/>
    <mergeCell ref="A160:H160"/>
    <mergeCell ref="A161:H161"/>
    <mergeCell ref="A162:B162"/>
    <mergeCell ref="A163:B163"/>
    <mergeCell ref="A146:B146"/>
    <mergeCell ref="A147:H147"/>
    <mergeCell ref="A148:B148"/>
    <mergeCell ref="A149:B149"/>
    <mergeCell ref="A150:B150"/>
    <mergeCell ref="A151:B151"/>
    <mergeCell ref="A152:B152"/>
    <mergeCell ref="A153:B153"/>
    <mergeCell ref="A154:B154"/>
    <mergeCell ref="C154:F154"/>
    <mergeCell ref="A137:H137"/>
    <mergeCell ref="A138:H138"/>
    <mergeCell ref="A139:B139"/>
    <mergeCell ref="A140:B140"/>
    <mergeCell ref="A141:B141"/>
    <mergeCell ref="A142:B142"/>
    <mergeCell ref="A143:B143"/>
    <mergeCell ref="A144:B144"/>
    <mergeCell ref="A145:B145"/>
    <mergeCell ref="A128:B128"/>
    <mergeCell ref="L128:M128"/>
    <mergeCell ref="A129:B129"/>
    <mergeCell ref="L129:M129"/>
    <mergeCell ref="A130:H130"/>
    <mergeCell ref="A133:H133"/>
    <mergeCell ref="A134:H134"/>
    <mergeCell ref="A135:H135"/>
    <mergeCell ref="A136:H136"/>
    <mergeCell ref="A123:B123"/>
    <mergeCell ref="L123:M123"/>
    <mergeCell ref="A124:B124"/>
    <mergeCell ref="L124:M124"/>
    <mergeCell ref="A125:B125"/>
    <mergeCell ref="L125:M125"/>
    <mergeCell ref="A126:B126"/>
    <mergeCell ref="L126:M126"/>
    <mergeCell ref="A127:B127"/>
    <mergeCell ref="L127:M127"/>
    <mergeCell ref="A117:H117"/>
    <mergeCell ref="A118:H118"/>
    <mergeCell ref="A119:H119"/>
    <mergeCell ref="A120:B120"/>
    <mergeCell ref="L120:M120"/>
    <mergeCell ref="A121:B121"/>
    <mergeCell ref="L121:M121"/>
    <mergeCell ref="A122:B122"/>
    <mergeCell ref="L122:M122"/>
    <mergeCell ref="C111:D111"/>
    <mergeCell ref="E111:F111"/>
    <mergeCell ref="G111:H111"/>
    <mergeCell ref="A112:B112"/>
    <mergeCell ref="C112:D112"/>
    <mergeCell ref="E112:F112"/>
    <mergeCell ref="G112:H112"/>
    <mergeCell ref="A113:H113"/>
    <mergeCell ref="A114:H114"/>
    <mergeCell ref="C107:D107"/>
    <mergeCell ref="E107:F107"/>
    <mergeCell ref="G107:H107"/>
    <mergeCell ref="A108:H108"/>
    <mergeCell ref="A109:B109"/>
    <mergeCell ref="C109:D109"/>
    <mergeCell ref="E109:F109"/>
    <mergeCell ref="G109:H109"/>
    <mergeCell ref="C110:D110"/>
    <mergeCell ref="E110:F110"/>
    <mergeCell ref="G110:H110"/>
    <mergeCell ref="A102:E102"/>
    <mergeCell ref="F102:H102"/>
    <mergeCell ref="A103:E103"/>
    <mergeCell ref="F103:H103"/>
    <mergeCell ref="A104:E104"/>
    <mergeCell ref="F104:H104"/>
    <mergeCell ref="A105:H105"/>
    <mergeCell ref="A106:B106"/>
    <mergeCell ref="C106:D106"/>
    <mergeCell ref="E106:F106"/>
    <mergeCell ref="G106:H106"/>
    <mergeCell ref="A97:E97"/>
    <mergeCell ref="F97:H97"/>
    <mergeCell ref="A98:E98"/>
    <mergeCell ref="F98:H98"/>
    <mergeCell ref="A99:E99"/>
    <mergeCell ref="F99:H99"/>
    <mergeCell ref="A100:E100"/>
    <mergeCell ref="F100:H100"/>
    <mergeCell ref="A101:E101"/>
    <mergeCell ref="F101:H101"/>
    <mergeCell ref="A92:H92"/>
    <mergeCell ref="A93:E93"/>
    <mergeCell ref="F93:H93"/>
    <mergeCell ref="A94:E94"/>
    <mergeCell ref="F94:H94"/>
    <mergeCell ref="A95:E95"/>
    <mergeCell ref="F95:H95"/>
    <mergeCell ref="A96:E96"/>
    <mergeCell ref="F96:H96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77:B77"/>
    <mergeCell ref="A78:B78"/>
    <mergeCell ref="C78:H78"/>
    <mergeCell ref="A80:B80"/>
    <mergeCell ref="C80:H80"/>
    <mergeCell ref="A81:B81"/>
    <mergeCell ref="E81:F81"/>
    <mergeCell ref="G81:H81"/>
    <mergeCell ref="A82:B82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2:C62"/>
    <mergeCell ref="D62:H62"/>
    <mergeCell ref="A63:C63"/>
    <mergeCell ref="D63:H63"/>
    <mergeCell ref="A64:B64"/>
    <mergeCell ref="C64:H64"/>
    <mergeCell ref="A66:B66"/>
    <mergeCell ref="C66:H66"/>
    <mergeCell ref="A67:B67"/>
    <mergeCell ref="E67:F67"/>
    <mergeCell ref="G67:H67"/>
    <mergeCell ref="A57:C57"/>
    <mergeCell ref="D57:H57"/>
    <mergeCell ref="A58:C58"/>
    <mergeCell ref="D58:H58"/>
    <mergeCell ref="A59:C59"/>
    <mergeCell ref="D59:H59"/>
    <mergeCell ref="A60:C60"/>
    <mergeCell ref="D60:H60"/>
    <mergeCell ref="A61:C61"/>
    <mergeCell ref="D61:H61"/>
    <mergeCell ref="A51:H51"/>
    <mergeCell ref="A52:C52"/>
    <mergeCell ref="D52:H52"/>
    <mergeCell ref="A53:C53"/>
    <mergeCell ref="D53:H53"/>
    <mergeCell ref="A54:C54"/>
    <mergeCell ref="D54:H54"/>
    <mergeCell ref="D55:H55"/>
    <mergeCell ref="D56:H56"/>
    <mergeCell ref="A47:B47"/>
    <mergeCell ref="C47:E47"/>
    <mergeCell ref="G47:H47"/>
    <mergeCell ref="C48:E48"/>
    <mergeCell ref="G48:H48"/>
    <mergeCell ref="C49:H49"/>
    <mergeCell ref="A50:B50"/>
    <mergeCell ref="C50:E50"/>
    <mergeCell ref="G50:H50"/>
    <mergeCell ref="A42:D42"/>
    <mergeCell ref="E42:H42"/>
    <mergeCell ref="A43:D43"/>
    <mergeCell ref="E43:H43"/>
    <mergeCell ref="A44:H44"/>
    <mergeCell ref="A45:B45"/>
    <mergeCell ref="C45:H45"/>
    <mergeCell ref="A46:B46"/>
    <mergeCell ref="C46:E46"/>
    <mergeCell ref="G46:H46"/>
    <mergeCell ref="A37:H37"/>
    <mergeCell ref="A38:D38"/>
    <mergeCell ref="E38:H38"/>
    <mergeCell ref="A39:D39"/>
    <mergeCell ref="E39:H39"/>
    <mergeCell ref="A40:D40"/>
    <mergeCell ref="E40:H40"/>
    <mergeCell ref="A41:D41"/>
    <mergeCell ref="E41:H41"/>
    <mergeCell ref="A33:B33"/>
    <mergeCell ref="C33:E33"/>
    <mergeCell ref="F33:H33"/>
    <mergeCell ref="A34:H34"/>
    <mergeCell ref="A35:B35"/>
    <mergeCell ref="A36:B36"/>
    <mergeCell ref="C36:H36"/>
    <mergeCell ref="C35:H35"/>
    <mergeCell ref="A30:B30"/>
    <mergeCell ref="C30:E30"/>
    <mergeCell ref="F30:H30"/>
    <mergeCell ref="A31:B31"/>
    <mergeCell ref="C31:E31"/>
    <mergeCell ref="F31:H31"/>
    <mergeCell ref="A32:B32"/>
    <mergeCell ref="C32:E32"/>
    <mergeCell ref="F32:H32"/>
    <mergeCell ref="A26:D26"/>
    <mergeCell ref="E26:H26"/>
    <mergeCell ref="A27:D27"/>
    <mergeCell ref="E27:H27"/>
    <mergeCell ref="A28:D28"/>
    <mergeCell ref="E28:H28"/>
    <mergeCell ref="A29:B29"/>
    <mergeCell ref="C29:E29"/>
    <mergeCell ref="F29:H29"/>
    <mergeCell ref="A21:D21"/>
    <mergeCell ref="E21:H21"/>
    <mergeCell ref="A22:D22"/>
    <mergeCell ref="E22:H22"/>
    <mergeCell ref="A23:D23"/>
    <mergeCell ref="E23:H23"/>
    <mergeCell ref="A24:D24"/>
    <mergeCell ref="E24:H24"/>
    <mergeCell ref="A25:D25"/>
    <mergeCell ref="E25:H2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2:D12"/>
    <mergeCell ref="E12:H12"/>
    <mergeCell ref="A13:B13"/>
    <mergeCell ref="C13:H13"/>
    <mergeCell ref="A14:B14"/>
    <mergeCell ref="C14:H14"/>
    <mergeCell ref="A15:B15"/>
    <mergeCell ref="C15:D15"/>
    <mergeCell ref="E15:F15"/>
    <mergeCell ref="G15:H15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</mergeCells>
  <hyperlinks>
    <hyperlink ref="C36" r:id="rId1" xr:uid="{00000000-0004-0000-0000-000000000000}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3" max="16383" man="1"/>
    <brk id="104" max="7" man="1"/>
    <brk id="204" max="16383" man="1"/>
    <brk id="23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3" zoomScale="85" zoomScaleNormal="85" workbookViewId="0">
      <selection activeCell="I31" sqref="I31"/>
    </sheetView>
  </sheetViews>
  <sheetFormatPr defaultColWidth="8.6640625" defaultRowHeight="14.4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68" t="s">
        <v>212</v>
      </c>
      <c r="C3" s="168"/>
      <c r="D3" s="168"/>
      <c r="E3" s="168"/>
      <c r="F3" s="168"/>
      <c r="G3" s="168"/>
      <c r="H3" s="168"/>
    </row>
    <row r="4" spans="1:9">
      <c r="A4" s="2"/>
      <c r="B4" s="3" t="s">
        <v>213</v>
      </c>
      <c r="C4" s="3" t="s">
        <v>214</v>
      </c>
      <c r="D4" s="3" t="s">
        <v>215</v>
      </c>
      <c r="E4" s="3" t="s">
        <v>216</v>
      </c>
      <c r="F4" s="3" t="s">
        <v>217</v>
      </c>
      <c r="G4" s="3" t="s">
        <v>218</v>
      </c>
      <c r="H4" s="3" t="s">
        <v>219</v>
      </c>
    </row>
    <row r="5" spans="1:9" ht="15" customHeight="1">
      <c r="A5" s="2"/>
      <c r="B5" s="4" t="s">
        <v>220</v>
      </c>
      <c r="C5" s="5"/>
      <c r="D5" s="4" t="s">
        <v>221</v>
      </c>
      <c r="E5" s="4">
        <v>290</v>
      </c>
      <c r="F5" s="6">
        <f>E5*1.6</f>
        <v>464</v>
      </c>
      <c r="G5" s="6">
        <f>H5/F5</f>
        <v>9698.2758620689656</v>
      </c>
      <c r="H5" s="7">
        <v>4500000</v>
      </c>
    </row>
    <row r="6" spans="1:9">
      <c r="A6" s="2"/>
      <c r="B6" s="4" t="s">
        <v>222</v>
      </c>
      <c r="C6" s="8"/>
      <c r="D6" s="4" t="s">
        <v>223</v>
      </c>
      <c r="E6" s="4">
        <v>487</v>
      </c>
      <c r="F6" s="6">
        <f t="shared" ref="F6:F11" si="0">E6*1.6</f>
        <v>779.2</v>
      </c>
      <c r="G6" s="6">
        <f t="shared" ref="G6:G11" si="1">H6/F6</f>
        <v>9368.5831622176593</v>
      </c>
      <c r="H6" s="7">
        <v>7300000</v>
      </c>
    </row>
    <row r="7" spans="1:9" ht="15" customHeight="1">
      <c r="A7" s="2"/>
      <c r="B7" s="4" t="s">
        <v>224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224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224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220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220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225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226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S19" sqref="S19"/>
    </sheetView>
  </sheetViews>
  <sheetFormatPr defaultColWidth="9" defaultRowHeight="14.4"/>
  <sheetData/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2025-09-11T06:43:07Z</cp:lastPrinted>
  <dcterms:created xsi:type="dcterms:W3CDTF">2019-07-16T09:29:00Z</dcterms:created>
  <dcterms:modified xsi:type="dcterms:W3CDTF">2025-09-11T06:44:34Z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AD1FF7BA0AEF48F6A33006E8076919D7_12</vt:lpwstr>
  </property>
  <property fmtid="{D5CDD505-2E9C-101B-9397-08002B2CF9AE}" pid="3" name="KSOProductBuildVer">
    <vt:lpwstr>1033-12.2.0.20326</vt:lpwstr>
  </property>
</Properties>
</file>