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4F837DFF-88B2-41B4-8EDB-0A94D863995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5" i="1" l="1"/>
  <c r="D134" i="1"/>
  <c r="F134" i="1" s="1"/>
  <c r="D133" i="1"/>
  <c r="F133" i="1" s="1"/>
  <c r="D132" i="1"/>
  <c r="F132" i="1" s="1"/>
  <c r="D131" i="1"/>
  <c r="F131" i="1" s="1"/>
  <c r="D129" i="1"/>
  <c r="F129" i="1" s="1"/>
  <c r="D128" i="1"/>
  <c r="F128" i="1" s="1"/>
  <c r="D127" i="1"/>
  <c r="F127" i="1" s="1"/>
  <c r="D126" i="1"/>
  <c r="F126" i="1" s="1"/>
  <c r="D125" i="1"/>
  <c r="F125" i="1" s="1"/>
  <c r="D123" i="1"/>
  <c r="F123" i="1" s="1"/>
  <c r="D122" i="1"/>
  <c r="F122" i="1" s="1"/>
  <c r="D121" i="1"/>
  <c r="F121" i="1" s="1"/>
  <c r="D120" i="1"/>
  <c r="D119" i="1"/>
  <c r="J118" i="1"/>
  <c r="F135" i="1"/>
  <c r="A132" i="1"/>
  <c r="A133" i="1" s="1"/>
  <c r="A134" i="1" s="1"/>
  <c r="A135" i="1" s="1"/>
  <c r="G131" i="1"/>
  <c r="A126" i="1"/>
  <c r="A127" i="1" s="1"/>
  <c r="A128" i="1" s="1"/>
  <c r="A129" i="1" s="1"/>
  <c r="G125" i="1"/>
  <c r="K121" i="1"/>
  <c r="J121" i="1"/>
  <c r="K119" i="1"/>
  <c r="J119" i="1"/>
  <c r="A120" i="1"/>
  <c r="A121" i="1" s="1"/>
  <c r="A122" i="1" s="1"/>
  <c r="A123" i="1" s="1"/>
  <c r="G119" i="1"/>
  <c r="F141" i="1"/>
  <c r="C101" i="1" l="1"/>
  <c r="E101" i="1"/>
  <c r="F119" i="1"/>
  <c r="L123" i="1" s="1"/>
  <c r="F120" i="1"/>
  <c r="F137" i="1"/>
  <c r="F110" i="1"/>
  <c r="G101" i="1" l="1"/>
  <c r="L119" i="1"/>
  <c r="G104" i="1"/>
  <c r="E104" i="1"/>
  <c r="C104" i="1"/>
  <c r="E43" i="1" l="1"/>
  <c r="E44" i="1" s="1"/>
  <c r="C15" i="1" l="1"/>
  <c r="E30" i="1" l="1"/>
  <c r="F138" i="1" l="1"/>
  <c r="F139" i="1"/>
  <c r="F140" i="1"/>
  <c r="A138" i="1"/>
  <c r="A139" i="1" s="1"/>
  <c r="A140" i="1" s="1"/>
  <c r="A141" i="1" s="1"/>
  <c r="G137" i="1"/>
  <c r="G138" i="1" s="1"/>
  <c r="G139" i="1" s="1"/>
  <c r="G140" i="1" s="1"/>
  <c r="G141" i="1" s="1"/>
  <c r="F93" i="1" l="1"/>
  <c r="F111" i="1" l="1"/>
  <c r="F112" i="1"/>
  <c r="F113" i="1"/>
  <c r="B168" i="1" l="1"/>
  <c r="A161" i="1"/>
  <c r="A155" i="1"/>
  <c r="A149" i="1"/>
  <c r="F165" i="1" l="1"/>
  <c r="F164" i="1"/>
  <c r="F163" i="1"/>
  <c r="F162" i="1"/>
  <c r="F161" i="1"/>
  <c r="F159" i="1"/>
  <c r="F158" i="1"/>
  <c r="F157" i="1"/>
  <c r="F156" i="1"/>
  <c r="F155" i="1"/>
  <c r="F153" i="1"/>
  <c r="F152" i="1"/>
  <c r="F151" i="1"/>
  <c r="F150" i="1"/>
  <c r="F149" i="1"/>
  <c r="F147" i="1"/>
  <c r="F146" i="1"/>
  <c r="F144" i="1"/>
  <c r="F143" i="1"/>
  <c r="F145" i="1"/>
  <c r="A150" i="1"/>
  <c r="A162" i="1"/>
  <c r="A156" i="1"/>
  <c r="B169" i="1" l="1"/>
  <c r="A157" i="1"/>
  <c r="A151" i="1"/>
  <c r="A16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8" i="1"/>
  <c r="G161" i="1"/>
  <c r="G162" i="1" s="1"/>
  <c r="G163" i="1" s="1"/>
  <c r="G164" i="1" s="1"/>
  <c r="G165" i="1" s="1"/>
  <c r="G155" i="1"/>
  <c r="G156" i="1" s="1"/>
  <c r="G157" i="1" s="1"/>
  <c r="G158" i="1" s="1"/>
  <c r="G159" i="1" s="1"/>
  <c r="G149" i="1"/>
  <c r="G150" i="1" s="1"/>
  <c r="G151" i="1" s="1"/>
  <c r="G152" i="1" s="1"/>
  <c r="G153" i="1" s="1"/>
  <c r="G143" i="1"/>
  <c r="G144" i="1" s="1"/>
  <c r="G145" i="1" s="1"/>
  <c r="G146" i="1" s="1"/>
  <c r="G147" i="1" s="1"/>
  <c r="A143" i="1"/>
  <c r="A144" i="1" s="1"/>
  <c r="A145" i="1" s="1"/>
  <c r="A146" i="1" s="1"/>
  <c r="A147" i="1" s="1"/>
  <c r="A111" i="1"/>
  <c r="A112" i="1" s="1"/>
  <c r="A113" i="1" s="1"/>
  <c r="G110" i="1"/>
  <c r="G111" i="1" s="1"/>
  <c r="G112" i="1" s="1"/>
  <c r="G113" i="1" s="1"/>
  <c r="C66" i="1"/>
  <c r="D55" i="1"/>
  <c r="G50" i="1"/>
  <c r="G51" i="1" s="1"/>
  <c r="C50" i="1"/>
  <c r="E27" i="1"/>
  <c r="E25" i="1"/>
  <c r="E7" i="1"/>
  <c r="E3" i="1"/>
  <c r="A158" i="1"/>
  <c r="A164" i="1"/>
  <c r="A152" i="1"/>
  <c r="H67" i="1"/>
  <c r="D60" i="1" l="1"/>
  <c r="A153" i="1"/>
  <c r="A165" i="1"/>
  <c r="A159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<sst xmlns="http://schemas.openxmlformats.org/spreadsheetml/2006/main" count="266" uniqueCount="227">
  <si>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</si>
  <si>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</si>
  <si>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</si>
  <si>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</si>
  <si>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</si>
  <si>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</si>
  <si>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</si>
  <si>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</si>
  <si>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</si>
  <si>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</si>
  <si>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</si>
  <si>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</si>
  <si>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</si>
  <si>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</si>
  <si>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</si>
  <si>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</si>
  <si>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</si>
  <si>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</si>
  <si>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</si>
  <si>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</si>
  <si>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</si>
  <si>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</si>
  <si>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</si>
  <si>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</si>
  <si>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</si>
  <si>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</si>
  <si>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</si>
  <si>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</si>
  <si>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</si>
  <si>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</si>
  <si>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</si>
  <si>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</si>
  <si>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</si>
  <si>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</si>
  <si>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</si>
  <si>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</si>
  <si>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</si>
  <si>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</si>
  <si>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</si>
  <si>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</si>
  <si>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</si>
  <si>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</si>
  <si>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</si>
  <si>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</si>
  <si>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</si>
  <si>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</si>
  <si>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</si>
  <si>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</si>
  <si>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</si>
  <si>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</si>
  <si>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</si>
  <si>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</si>
  <si>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</si>
  <si>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</si>
  <si>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</si>
  <si>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</si>
  <si>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</si>
  <si>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</si>
  <si>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</si>
  <si>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</si>
  <si>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</si>
  <si>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</si>
  <si>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</si>
  <si>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</si>
  <si>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</si>
  <si>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</si>
  <si>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</si>
  <si>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</si>
  <si>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</si>
  <si>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</si>
  <si>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</si>
  <si>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</si>
  <si>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</si>
  <si>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</si>
  <si>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</si>
  <si>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</si>
  <si>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</si>
  <si>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</si>
  <si>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</si>
  <si>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</si>
  <si>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</si>
  <si>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</si>
  <si>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</si>
  <si>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</si>
  <si>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</si>
  <si>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</si>
  <si>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</si>
  <si>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</si>
  <si>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</si>
  <si>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</si>
  <si>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</si>
  <si>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</si>
  <si>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</si>
  <si>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</si>
  <si>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</si>
  <si>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</si>
  <si>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</si>
  <si>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</si>
  <si>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</si>
  <si>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</si>
  <si>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</si>
  <si>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</si>
  <si>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</si>
  <si>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</si>
  <si>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</si>
  <si>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</si>
  <si>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</si>
  <si>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</si>
  <si>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</si>
  <si>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</si>
  <si>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</si>
  <si>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</si>
  <si>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</si>
  <si>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</si>
  <si>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</si>
  <si>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</si>
  <si>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</si>
  <si>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</si>
  <si>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</si>
  <si>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</si>
  <si>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</si>
  <si>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</si>
  <si>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</si>
  <si>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</si>
  <si>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</si>
  <si>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</si>
  <si>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</si>
  <si>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</si>
  <si>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</si>
  <si>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</si>
  <si>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</si>
  <si>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</si>
  <si>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</si>
  <si>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</si>
  <si>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</si>
  <si>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</si>
  <si>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</si>
  <si>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</si>
  <si>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</si>
  <si>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</si>
  <si>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</si>
  <si>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</si>
  <si>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</si>
  <si>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</si>
  <si>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</si>
  <si>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</si>
  <si>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</si>
  <si>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</si>
  <si>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</si>
  <si>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</si>
  <si>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</si>
  <si>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</si>
  <si>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</si>
  <si>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</si>
  <si>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</si>
  <si>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</si>
  <si>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</si>
  <si>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</si>
  <si>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</si>
  <si>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</si>
  <si>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</si>
  <si>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</si>
  <si>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</si>
  <si>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</si>
  <si>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</si>
  <si>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</si>
  <si>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</si>
  <si>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</si>
  <si>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</si>
  <si>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</si>
  <si>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</si>
  <si>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</si>
  <si>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</si>
  <si>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</si>
  <si>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</si>
  <si>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</si>
  <si>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</si>
  <si>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Name / No of the Existing Building</t>
  </si>
  <si>
    <t>As per Layout</t>
  </si>
  <si>
    <t xml:space="preserve">Details of Residential &amp; Commercials in Building   </t>
  </si>
  <si>
    <t>Floor Rise Rate from    Floor</t>
  </si>
  <si>
    <t>Axis Sanpada</t>
  </si>
  <si>
    <t>Raghunath</t>
  </si>
  <si>
    <t>Aayushi Corporation</t>
  </si>
  <si>
    <t>1 building</t>
  </si>
  <si>
    <t>P52000051331</t>
  </si>
  <si>
    <t>Plot No.</t>
  </si>
  <si>
    <t>19.015215, 73.098234</t>
  </si>
  <si>
    <t>https://goo.gl/maps/fXn3yBA8JgGf6bDX9</t>
  </si>
  <si>
    <t>Siddheshwar Heights</t>
  </si>
  <si>
    <t>Shreeji Residency</t>
  </si>
  <si>
    <t>Ganga Tower</t>
  </si>
  <si>
    <t>Internal Road</t>
  </si>
  <si>
    <t>Kamothe</t>
  </si>
  <si>
    <t>Panvel</t>
  </si>
  <si>
    <t>Raigad</t>
  </si>
  <si>
    <t>222, Sector No. 21</t>
  </si>
  <si>
    <t>1.3KM from Khandeshwar Railway Station</t>
  </si>
  <si>
    <t>Khandeshwar East</t>
  </si>
  <si>
    <t>Plot No. 222A</t>
  </si>
  <si>
    <t>Pathway</t>
  </si>
  <si>
    <t>Wide Road</t>
  </si>
  <si>
    <t>Buillding. 228, 203</t>
  </si>
  <si>
    <t>Panvel Municipal Corporation (PMC)</t>
  </si>
  <si>
    <t>PMP/NRV/16364/J.K-826/2023</t>
  </si>
  <si>
    <t>PMC/TP/Kamothe/21/222/21-23/16364/829/2023</t>
  </si>
  <si>
    <t xml:space="preserve">Commencement-CC No
Valid Up to: </t>
  </si>
  <si>
    <t>Stilt + 11 Upper Floors</t>
  </si>
  <si>
    <t>Gr/St + 1st to 11th Floor</t>
  </si>
  <si>
    <t>Flats</t>
  </si>
  <si>
    <t>Ground Floor For Parking, Clubhouse, Drivers Room &amp; Meter Room</t>
  </si>
  <si>
    <t>1st to 7th, 9th &amp; 10th Floor For Residential</t>
  </si>
  <si>
    <t>8th Floor (Part Refuge Area at Mid landing)</t>
  </si>
  <si>
    <t>11th Floor</t>
  </si>
  <si>
    <t>We considered Gross carpet area = Net carpet + Balcony.</t>
  </si>
  <si>
    <t>Water, MSEB &amp; Development Charges</t>
  </si>
  <si>
    <t xml:space="preserve">Society Formation + Infrastructure + Maintenance Charges </t>
  </si>
  <si>
    <t>Flats - 55</t>
  </si>
  <si>
    <t>As per RERA - 31/12/2026</t>
  </si>
  <si>
    <t>Approved Plans, CC, Cost Sheet</t>
  </si>
  <si>
    <t>visitor</t>
  </si>
  <si>
    <t>Builder</t>
  </si>
  <si>
    <t>Gr/St + 1st to 14th Floor</t>
  </si>
  <si>
    <t>Gymnasium, Rooftop Amenities, Fire fighting system, Yoga &amp; Meditation zone.</t>
  </si>
  <si>
    <t>Construction work same as last visit dtd 06/06/2025.</t>
  </si>
  <si>
    <t>Kunal Kadam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</si>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</sst>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7" fillId="0" borderId="1" xfId="1" applyFont="1" applyBorder="1" applyAlignment="1" applyProtection="1">
      <alignment horizontal="center"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20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167" fontId="15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8" fillId="0" borderId="15" xfId="1" applyFont="1" applyBorder="1" applyAlignment="1" applyProtection="1">
      <alignment horizontal="center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199157</xdr:colOff>
      <xdr:row>64</xdr:row>
      <xdr:rowOff>276225</xdr:rowOff>
    </xdr:from>
    <xdr:to>
      <xdr:col>18</xdr:col>
      <xdr:colOff>306593</xdr:colOff>
      <xdr:row>312</xdr:row>
      <xdr:rowOff>38709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B7D4E50A-8C61-4966-CDC0-FCA0576AED91}"/>
            </a:ext>
          </a:extLst>
        </xdr:cNvPr>
        <xdr:cNvGrpSpPr/>
      </xdr:nvGrpSpPr>
      <xdr:grpSpPr>
        <a:xfrm>
          <a:off x="199157" y="14289405"/>
          <a:ext cx="14493996" cy="39660804"/>
          <a:chOff x="199157" y="14289405"/>
          <a:chExt cx="14493996" cy="39660804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16804" y="42893609"/>
            <a:ext cx="2663860" cy="267399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23010" y="37818060"/>
            <a:ext cx="4050030" cy="499110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99157" y="46184820"/>
            <a:ext cx="6097595" cy="353376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590B9294-7800-AC81-0F59-C2A38E81D29F}"/>
              </a:ext>
            </a:extLst>
          </xdr:cNvPr>
          <xdr:cNvGrpSpPr/>
        </xdr:nvGrpSpPr>
        <xdr:grpSpPr>
          <a:xfrm>
            <a:off x="206777" y="49863087"/>
            <a:ext cx="6097595" cy="4087122"/>
            <a:chOff x="199157" y="49962147"/>
            <a:chExt cx="6097595" cy="4087122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99157" y="49962147"/>
              <a:ext cx="6097595" cy="408712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 rot="21427558">
              <a:off x="2737603" y="51862032"/>
              <a:ext cx="881149" cy="689623"/>
            </a:xfrm>
            <a:prstGeom prst="rect">
              <a:avLst/>
            </a:prstGeom>
            <a:noFill/>
            <a:ln w="762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</xdr:grpSp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GrpSpPr/>
        </xdr:nvGrpSpPr>
        <xdr:grpSpPr>
          <a:xfrm>
            <a:off x="8706970" y="29423062"/>
            <a:ext cx="5986183" cy="6942206"/>
            <a:chOff x="255149" y="402847"/>
            <a:chExt cx="6450512" cy="8408832"/>
          </a:xfrm>
        </xdr:grpSpPr>
        <xdr:pic>
          <xdr:nvPicPr>
            <xdr:cNvPr id="20" name="Picture 19" descr="https://vsjcllp.vsjadon.com/upload/insp-236722-1525.jpg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733099" y="7011679"/>
              <a:ext cx="1348594" cy="180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" name="Picture 20" descr="https://vsjcllp.vsjadon.com/upload/insp-236722-843.jpg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5149" y="402847"/>
              <a:ext cx="3135486" cy="418500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" name="Picture 21" descr="https://vsjcllp.vsjadon.com/upload/insp-236722-845.jpg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99028" y="4675797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3" name="Picture 22" descr="https://vsjcllp.vsjadon.com/upload/insp-236722-847.jpg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70175" y="402848"/>
              <a:ext cx="3135486" cy="418500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6" name="Picture 25" descr="https://vsjcllp.vsjadon.com/upload/insp-236722-862.jpg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46310" y="4675797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7" name="Picture 36" descr="https://vsjcllp.vsjadon.com/upload/insp-236722-860.jpg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62844" y="6994094"/>
              <a:ext cx="1348594" cy="180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" name="Picture 37" descr="https://vsjcllp.vsjadon.com/upload/insp-236722-871.jpg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28762" y="4675797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9" name="Picture 38" descr="https://vsjcllp.vsjadon.com/upload/insp-236722-931.jpg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12911" y="6999724"/>
              <a:ext cx="1348594" cy="180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7086600" y="14497050"/>
            <a:ext cx="5908207" cy="3097966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7686675" y="14289405"/>
            <a:ext cx="4831731" cy="6495060"/>
          </a:xfrm>
          <a:prstGeom prst="rect">
            <a:avLst/>
          </a:prstGeom>
        </xdr:spPr>
      </xdr:pic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57C6561D-C7B2-C322-851C-126D3B34607E}"/>
              </a:ext>
            </a:extLst>
          </xdr:cNvPr>
          <xdr:cNvGrpSpPr/>
        </xdr:nvGrpSpPr>
        <xdr:grpSpPr>
          <a:xfrm>
            <a:off x="259080" y="29557980"/>
            <a:ext cx="5995653" cy="7211476"/>
            <a:chOff x="247797" y="174881"/>
            <a:chExt cx="5995653" cy="7211476"/>
          </a:xfrm>
        </xdr:grpSpPr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EDB93739-6629-66F7-EBD8-F8C15805C10C}"/>
                </a:ext>
              </a:extLst>
            </xdr:cNvPr>
            <xdr:cNvGrpSpPr/>
          </xdr:nvGrpSpPr>
          <xdr:grpSpPr>
            <a:xfrm>
              <a:off x="518640" y="5576973"/>
              <a:ext cx="5453966" cy="1809384"/>
              <a:chOff x="247797" y="5576973"/>
              <a:chExt cx="5453966" cy="1809384"/>
            </a:xfrm>
          </xdr:grpSpPr>
          <xdr:pic>
            <xdr:nvPicPr>
              <xdr:cNvPr id="15" name="Picture 14">
                <a:extLst>
                  <a:ext uri="{FF2B5EF4-FFF2-40B4-BE49-F238E27FC236}">
                    <a16:creationId xmlns:a16="http://schemas.microsoft.com/office/drawing/2014/main" id="{55703CD2-C0E6-5BAB-F66F-4E65568BD41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5" cstate="hq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247797" y="5576973"/>
                <a:ext cx="1354219" cy="180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16" name="Picture 15">
                <a:extLst>
                  <a:ext uri="{FF2B5EF4-FFF2-40B4-BE49-F238E27FC236}">
                    <a16:creationId xmlns:a16="http://schemas.microsoft.com/office/drawing/2014/main" id="{C12472B1-F7F4-DADF-0D5C-21123BDC6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6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1784548" y="5576973"/>
                <a:ext cx="2388930" cy="180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17" name="Picture 16">
                <a:extLst>
                  <a:ext uri="{FF2B5EF4-FFF2-40B4-BE49-F238E27FC236}">
                    <a16:creationId xmlns:a16="http://schemas.microsoft.com/office/drawing/2014/main" id="{CFE2B268-0255-C734-8AB1-0B16939C9D3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7" cstate="hq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4347544" y="5586357"/>
                <a:ext cx="1354219" cy="180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</xdr:grpSp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7A7BB1DD-4350-339F-5D97-49407FB42A0E}"/>
                </a:ext>
              </a:extLst>
            </xdr:cNvPr>
            <xdr:cNvGrpSpPr/>
          </xdr:nvGrpSpPr>
          <xdr:grpSpPr>
            <a:xfrm>
              <a:off x="247797" y="174881"/>
              <a:ext cx="5995653" cy="5225738"/>
              <a:chOff x="247797" y="174881"/>
              <a:chExt cx="5995653" cy="5225738"/>
            </a:xfrm>
          </xdr:grpSpPr>
          <xdr:pic>
            <xdr:nvPicPr>
              <xdr:cNvPr id="9" name="Picture 8">
                <a:extLst>
                  <a:ext uri="{FF2B5EF4-FFF2-40B4-BE49-F238E27FC236}">
                    <a16:creationId xmlns:a16="http://schemas.microsoft.com/office/drawing/2014/main" id="{7B4BFB8E-D20F-BF5F-B13B-B65698D6A85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8" cstate="hq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4347544" y="2880619"/>
                <a:ext cx="1895906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13" name="Picture 12">
                <a:extLst>
                  <a:ext uri="{FF2B5EF4-FFF2-40B4-BE49-F238E27FC236}">
                    <a16:creationId xmlns:a16="http://schemas.microsoft.com/office/drawing/2014/main" id="{2B484826-28FB-45D1-DE46-B63A0055113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9" cstate="hq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4347544" y="174881"/>
                <a:ext cx="1895906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14" name="Picture 13">
                <a:extLst>
                  <a:ext uri="{FF2B5EF4-FFF2-40B4-BE49-F238E27FC236}">
                    <a16:creationId xmlns:a16="http://schemas.microsoft.com/office/drawing/2014/main" id="{3817F5A1-42EB-040D-A1C1-04B4563E186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0" cstate="hq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247797" y="174881"/>
                <a:ext cx="3927234" cy="52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Xn3yBA8JgGf6bDX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72"/>
  <sheetViews>
    <sheetView tabSelected="1" view="pageBreakPreview" zoomScaleNormal="100" zoomScaleSheetLayoutView="100" workbookViewId="0">
      <selection activeCell="J6" sqref="J6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6" width="11.6640625" style="40" customWidth="1"/>
    <col min="7" max="7" width="11.44140625" style="40" customWidth="1"/>
    <col min="8" max="8" width="10.554687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8" ht="46.5" customHeight="1" x14ac:dyDescent="0.3">
      <c r="A1" s="147" t="s">
        <v>172</v>
      </c>
      <c r="B1" s="147"/>
      <c r="C1" s="147"/>
      <c r="D1" s="147"/>
      <c r="E1" s="147"/>
      <c r="F1" s="147"/>
      <c r="G1" s="147"/>
      <c r="H1" s="147"/>
    </row>
    <row r="2" spans="1:8" ht="16.5" customHeight="1" x14ac:dyDescent="0.3">
      <c r="A2" s="148" t="s">
        <v>0</v>
      </c>
      <c r="B2" s="148"/>
      <c r="C2" s="148"/>
      <c r="D2" s="148"/>
      <c r="E2" s="148"/>
      <c r="F2" s="148"/>
      <c r="G2" s="148"/>
      <c r="H2" s="148"/>
    </row>
    <row r="3" spans="1:8" x14ac:dyDescent="0.3">
      <c r="A3" s="122" t="s">
        <v>1</v>
      </c>
      <c r="B3" s="122"/>
      <c r="C3" s="122"/>
      <c r="D3" s="122"/>
      <c r="E3" s="122" t="str">
        <f ca="1">TEXT(TODAY(),"DD/MM/YYYY")</f>
        <v>12/09/2025</v>
      </c>
      <c r="F3" s="122"/>
      <c r="G3" s="122"/>
      <c r="H3" s="122"/>
    </row>
    <row r="4" spans="1:8" ht="15" customHeight="1" x14ac:dyDescent="0.3">
      <c r="A4" s="122" t="s">
        <v>2</v>
      </c>
      <c r="B4" s="122"/>
      <c r="C4" s="122"/>
      <c r="D4" s="122"/>
      <c r="E4" s="122" t="s">
        <v>181</v>
      </c>
      <c r="F4" s="122"/>
      <c r="G4" s="122"/>
      <c r="H4" s="122"/>
    </row>
    <row r="5" spans="1:8" x14ac:dyDescent="0.3">
      <c r="A5" s="122" t="s">
        <v>3</v>
      </c>
      <c r="B5" s="122"/>
      <c r="C5" s="122"/>
      <c r="D5" s="122"/>
      <c r="E5" s="150">
        <v>45909</v>
      </c>
      <c r="F5" s="122"/>
      <c r="G5" s="122"/>
      <c r="H5" s="122"/>
    </row>
    <row r="6" spans="1:8" ht="16.5" customHeight="1" x14ac:dyDescent="0.3">
      <c r="A6" s="122" t="s">
        <v>4</v>
      </c>
      <c r="B6" s="122"/>
      <c r="C6" s="122"/>
      <c r="D6" s="122"/>
      <c r="E6" s="122" t="s">
        <v>183</v>
      </c>
      <c r="F6" s="122"/>
      <c r="G6" s="122"/>
      <c r="H6" s="122"/>
    </row>
    <row r="7" spans="1:8" ht="15" customHeight="1" x14ac:dyDescent="0.3">
      <c r="A7" s="122" t="s">
        <v>5</v>
      </c>
      <c r="B7" s="122"/>
      <c r="C7" s="122"/>
      <c r="D7" s="122"/>
      <c r="E7" s="122" t="str">
        <f>E6</f>
        <v>Aayushi Corporation</v>
      </c>
      <c r="F7" s="122"/>
      <c r="G7" s="122"/>
      <c r="H7" s="122"/>
    </row>
    <row r="8" spans="1:8" x14ac:dyDescent="0.3">
      <c r="A8" s="122" t="s">
        <v>6</v>
      </c>
      <c r="B8" s="122"/>
      <c r="C8" s="122"/>
      <c r="D8" s="122"/>
      <c r="E8" s="149" t="s">
        <v>182</v>
      </c>
      <c r="F8" s="149"/>
      <c r="G8" s="149"/>
      <c r="H8" s="149"/>
    </row>
    <row r="9" spans="1:8" x14ac:dyDescent="0.3">
      <c r="A9" s="122" t="s">
        <v>175</v>
      </c>
      <c r="B9" s="122"/>
      <c r="C9" s="122"/>
      <c r="D9" s="122"/>
      <c r="E9" s="122">
        <v>9892955677</v>
      </c>
      <c r="F9" s="122"/>
      <c r="G9" s="122"/>
      <c r="H9" s="122"/>
    </row>
    <row r="10" spans="1:8" x14ac:dyDescent="0.3">
      <c r="A10" s="122" t="s">
        <v>176</v>
      </c>
      <c r="B10" s="122"/>
      <c r="C10" s="122"/>
      <c r="D10" s="122"/>
      <c r="E10" s="122" t="s">
        <v>29</v>
      </c>
      <c r="F10" s="122"/>
      <c r="G10" s="122"/>
      <c r="H10" s="122"/>
    </row>
    <row r="11" spans="1:8" x14ac:dyDescent="0.3">
      <c r="A11" s="122" t="s">
        <v>7</v>
      </c>
      <c r="B11" s="122"/>
      <c r="C11" s="122"/>
      <c r="D11" s="122"/>
      <c r="E11" s="122" t="s">
        <v>184</v>
      </c>
      <c r="F11" s="122"/>
      <c r="G11" s="122"/>
      <c r="H11" s="122"/>
    </row>
    <row r="12" spans="1:8" hidden="1" x14ac:dyDescent="0.3">
      <c r="A12" s="122" t="s">
        <v>177</v>
      </c>
      <c r="B12" s="122"/>
      <c r="C12" s="122"/>
      <c r="D12" s="122"/>
      <c r="E12" s="122"/>
      <c r="F12" s="122"/>
      <c r="G12" s="122"/>
      <c r="H12" s="122"/>
    </row>
    <row r="13" spans="1:8" x14ac:dyDescent="0.3">
      <c r="A13" s="72" t="s">
        <v>8</v>
      </c>
      <c r="B13" s="72"/>
      <c r="C13" s="72"/>
      <c r="D13" s="72"/>
      <c r="E13" s="134" t="s">
        <v>219</v>
      </c>
      <c r="F13" s="134"/>
      <c r="G13" s="134"/>
      <c r="H13" s="134"/>
    </row>
    <row r="14" spans="1:8" x14ac:dyDescent="0.3">
      <c r="A14" s="72" t="s">
        <v>9</v>
      </c>
      <c r="B14" s="72"/>
      <c r="C14" s="72"/>
      <c r="D14" s="72"/>
      <c r="E14" s="134" t="s">
        <v>185</v>
      </c>
      <c r="F14" s="115"/>
      <c r="G14" s="115"/>
      <c r="H14" s="115"/>
    </row>
    <row r="15" spans="1:8" ht="34.950000000000003" customHeight="1" x14ac:dyDescent="0.3">
      <c r="A15" s="132" t="s">
        <v>10</v>
      </c>
      <c r="B15" s="132"/>
      <c r="C15" s="13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Raghunath, Plot No..222, Sector No. 21, near Siddheshwar Heights, Internal Road, Kamothe, Panvel, Khandeshwar East, Panvel, Raigad - 410206.</v>
      </c>
      <c r="D15" s="132"/>
      <c r="E15" s="132"/>
      <c r="F15" s="132"/>
      <c r="G15" s="132"/>
      <c r="H15" s="132"/>
    </row>
    <row r="16" spans="1:8" x14ac:dyDescent="0.3">
      <c r="A16" s="134" t="s">
        <v>186</v>
      </c>
      <c r="B16" s="134"/>
      <c r="C16" s="134" t="s">
        <v>196</v>
      </c>
      <c r="D16" s="134"/>
      <c r="E16" s="134"/>
      <c r="F16" s="134"/>
      <c r="G16" s="134"/>
      <c r="H16" s="134"/>
    </row>
    <row r="17" spans="1:8" ht="15.75" customHeight="1" x14ac:dyDescent="0.3">
      <c r="A17" s="65" t="s">
        <v>170</v>
      </c>
      <c r="B17" s="65"/>
      <c r="C17" s="65" t="s">
        <v>193</v>
      </c>
      <c r="D17" s="65"/>
      <c r="E17" s="65"/>
      <c r="F17" s="65"/>
      <c r="G17" s="65"/>
      <c r="H17" s="65"/>
    </row>
    <row r="18" spans="1:8" ht="15.75" customHeight="1" x14ac:dyDescent="0.3">
      <c r="A18" s="132" t="s">
        <v>11</v>
      </c>
      <c r="B18" s="132"/>
      <c r="C18" s="122" t="s">
        <v>192</v>
      </c>
      <c r="D18" s="122"/>
      <c r="E18" s="132" t="s">
        <v>73</v>
      </c>
      <c r="F18" s="132"/>
      <c r="G18" s="65" t="s">
        <v>194</v>
      </c>
      <c r="H18" s="65"/>
    </row>
    <row r="19" spans="1:8" x14ac:dyDescent="0.3">
      <c r="A19" s="72" t="s">
        <v>13</v>
      </c>
      <c r="B19" s="72"/>
      <c r="C19" s="65" t="s">
        <v>198</v>
      </c>
      <c r="D19" s="65"/>
      <c r="E19" s="132" t="s">
        <v>12</v>
      </c>
      <c r="F19" s="132"/>
      <c r="G19" s="133" t="s">
        <v>195</v>
      </c>
      <c r="H19" s="133"/>
    </row>
    <row r="20" spans="1:8" x14ac:dyDescent="0.3">
      <c r="A20" s="72" t="s">
        <v>74</v>
      </c>
      <c r="B20" s="72"/>
      <c r="C20" s="65" t="s">
        <v>194</v>
      </c>
      <c r="D20" s="65"/>
      <c r="E20" s="132" t="s">
        <v>14</v>
      </c>
      <c r="F20" s="132"/>
      <c r="G20" s="65">
        <v>410206</v>
      </c>
      <c r="H20" s="65"/>
    </row>
    <row r="21" spans="1:8" ht="32.25" customHeight="1" x14ac:dyDescent="0.3">
      <c r="A21" s="72" t="s">
        <v>126</v>
      </c>
      <c r="B21" s="72"/>
      <c r="C21" s="65" t="s">
        <v>189</v>
      </c>
      <c r="D21" s="65"/>
      <c r="E21" s="132" t="s">
        <v>15</v>
      </c>
      <c r="F21" s="132"/>
      <c r="G21" s="134" t="s">
        <v>197</v>
      </c>
      <c r="H21" s="134"/>
    </row>
    <row r="22" spans="1:8" ht="15" customHeight="1" x14ac:dyDescent="0.3">
      <c r="A22" s="132" t="s">
        <v>77</v>
      </c>
      <c r="B22" s="132"/>
      <c r="C22" s="132"/>
      <c r="D22" s="132"/>
      <c r="E22" s="122" t="s">
        <v>16</v>
      </c>
      <c r="F22" s="122"/>
      <c r="G22" s="122"/>
      <c r="H22" s="122"/>
    </row>
    <row r="23" spans="1:8" ht="18.75" customHeight="1" x14ac:dyDescent="0.3">
      <c r="A23" s="132"/>
      <c r="B23" s="132"/>
      <c r="C23" s="132"/>
      <c r="D23" s="132"/>
      <c r="E23" s="122"/>
      <c r="F23" s="122"/>
      <c r="G23" s="122"/>
      <c r="H23" s="122"/>
    </row>
    <row r="24" spans="1:8" ht="15" customHeight="1" x14ac:dyDescent="0.3">
      <c r="A24" s="132" t="s">
        <v>17</v>
      </c>
      <c r="B24" s="132"/>
      <c r="C24" s="132"/>
      <c r="D24" s="132"/>
      <c r="E24" s="65" t="s">
        <v>18</v>
      </c>
      <c r="F24" s="65"/>
      <c r="G24" s="65"/>
      <c r="H24" s="65"/>
    </row>
    <row r="25" spans="1:8" ht="15" customHeight="1" x14ac:dyDescent="0.3">
      <c r="A25" s="72" t="s">
        <v>19</v>
      </c>
      <c r="B25" s="72"/>
      <c r="C25" s="72"/>
      <c r="D25" s="72"/>
      <c r="E25" s="65" t="str">
        <f>IF(AND(G19="Mumbai"),"Upper Class","Middle Class")</f>
        <v>Middle Class</v>
      </c>
      <c r="F25" s="65"/>
      <c r="G25" s="65"/>
      <c r="H25" s="65"/>
    </row>
    <row r="26" spans="1:8" x14ac:dyDescent="0.3">
      <c r="A26" s="72" t="s">
        <v>20</v>
      </c>
      <c r="B26" s="72"/>
      <c r="C26" s="72"/>
      <c r="D26" s="72"/>
      <c r="E26" s="65" t="s">
        <v>21</v>
      </c>
      <c r="F26" s="65"/>
      <c r="G26" s="65"/>
      <c r="H26" s="65"/>
    </row>
    <row r="27" spans="1:8" ht="15.75" customHeight="1" x14ac:dyDescent="0.3">
      <c r="A27" s="72" t="s">
        <v>22</v>
      </c>
      <c r="B27" s="72"/>
      <c r="C27" s="72"/>
      <c r="D27" s="72"/>
      <c r="E27" s="65" t="str">
        <f>IF(AND(G19="Mumbai"),"Developed","Developing")</f>
        <v>Developing</v>
      </c>
      <c r="F27" s="65"/>
      <c r="G27" s="65"/>
      <c r="H27" s="65"/>
    </row>
    <row r="28" spans="1:8" x14ac:dyDescent="0.3">
      <c r="A28" s="72" t="s">
        <v>23</v>
      </c>
      <c r="B28" s="72"/>
      <c r="C28" s="72"/>
      <c r="D28" s="72"/>
      <c r="E28" s="65" t="s">
        <v>24</v>
      </c>
      <c r="F28" s="65"/>
      <c r="G28" s="65"/>
      <c r="H28" s="65"/>
    </row>
    <row r="29" spans="1:8" ht="15.75" customHeight="1" x14ac:dyDescent="0.3">
      <c r="A29" s="72" t="s">
        <v>82</v>
      </c>
      <c r="B29" s="72"/>
      <c r="C29" s="72"/>
      <c r="D29" s="72"/>
      <c r="E29" s="65" t="s">
        <v>83</v>
      </c>
      <c r="F29" s="65"/>
      <c r="G29" s="65"/>
      <c r="H29" s="65"/>
    </row>
    <row r="30" spans="1:8" ht="15" customHeight="1" x14ac:dyDescent="0.3">
      <c r="A30" s="72" t="s">
        <v>32</v>
      </c>
      <c r="B30" s="72"/>
      <c r="C30" s="72"/>
      <c r="D30" s="72"/>
      <c r="E30" s="65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65"/>
      <c r="G30" s="65"/>
      <c r="H30" s="65"/>
    </row>
    <row r="31" spans="1:8" ht="15.75" customHeight="1" x14ac:dyDescent="0.3">
      <c r="A31" s="72" t="s">
        <v>94</v>
      </c>
      <c r="B31" s="72"/>
      <c r="C31" s="72"/>
      <c r="D31" s="72"/>
      <c r="E31" s="65" t="s">
        <v>33</v>
      </c>
      <c r="F31" s="65"/>
      <c r="G31" s="65"/>
      <c r="H31" s="65"/>
    </row>
    <row r="32" spans="1:8" s="22" customFormat="1" x14ac:dyDescent="0.3">
      <c r="A32" s="131" t="s">
        <v>95</v>
      </c>
      <c r="B32" s="131"/>
      <c r="C32" s="128" t="s">
        <v>178</v>
      </c>
      <c r="D32" s="129"/>
      <c r="E32" s="130"/>
      <c r="F32" s="128" t="s">
        <v>30</v>
      </c>
      <c r="G32" s="129"/>
      <c r="H32" s="130"/>
    </row>
    <row r="33" spans="1:8" s="22" customFormat="1" x14ac:dyDescent="0.3">
      <c r="A33" s="119" t="s">
        <v>25</v>
      </c>
      <c r="B33" s="119" t="s">
        <v>29</v>
      </c>
      <c r="C33" s="116" t="s">
        <v>199</v>
      </c>
      <c r="D33" s="117"/>
      <c r="E33" s="118"/>
      <c r="F33" s="116" t="s">
        <v>191</v>
      </c>
      <c r="G33" s="117"/>
      <c r="H33" s="118"/>
    </row>
    <row r="34" spans="1:8" x14ac:dyDescent="0.3">
      <c r="A34" s="119" t="s">
        <v>26</v>
      </c>
      <c r="B34" s="119" t="s">
        <v>29</v>
      </c>
      <c r="C34" s="116" t="s">
        <v>200</v>
      </c>
      <c r="D34" s="117"/>
      <c r="E34" s="118"/>
      <c r="F34" s="116" t="s">
        <v>189</v>
      </c>
      <c r="G34" s="117"/>
      <c r="H34" s="118"/>
    </row>
    <row r="35" spans="1:8" s="22" customFormat="1" x14ac:dyDescent="0.3">
      <c r="A35" s="119" t="s">
        <v>28</v>
      </c>
      <c r="B35" s="119" t="s">
        <v>29</v>
      </c>
      <c r="C35" s="116" t="s">
        <v>201</v>
      </c>
      <c r="D35" s="117"/>
      <c r="E35" s="118"/>
      <c r="F35" s="116" t="s">
        <v>192</v>
      </c>
      <c r="G35" s="117"/>
      <c r="H35" s="118"/>
    </row>
    <row r="36" spans="1:8" x14ac:dyDescent="0.3">
      <c r="A36" s="119" t="s">
        <v>27</v>
      </c>
      <c r="B36" s="119" t="s">
        <v>29</v>
      </c>
      <c r="C36" s="116" t="s">
        <v>202</v>
      </c>
      <c r="D36" s="117"/>
      <c r="E36" s="118"/>
      <c r="F36" s="116" t="s">
        <v>190</v>
      </c>
      <c r="G36" s="117"/>
      <c r="H36" s="118"/>
    </row>
    <row r="37" spans="1:8" x14ac:dyDescent="0.3">
      <c r="A37" s="72" t="s">
        <v>31</v>
      </c>
      <c r="B37" s="72"/>
      <c r="C37" s="72"/>
      <c r="D37" s="72"/>
      <c r="E37" s="72"/>
      <c r="F37" s="72"/>
      <c r="G37" s="72"/>
      <c r="H37" s="72"/>
    </row>
    <row r="38" spans="1:8" ht="15.75" customHeight="1" x14ac:dyDescent="0.3">
      <c r="A38" s="63" t="s">
        <v>173</v>
      </c>
      <c r="B38" s="63"/>
      <c r="C38" s="72" t="s">
        <v>187</v>
      </c>
      <c r="D38" s="72"/>
      <c r="E38" s="72"/>
      <c r="F38" s="72"/>
      <c r="G38" s="72"/>
      <c r="H38" s="72"/>
    </row>
    <row r="39" spans="1:8" x14ac:dyDescent="0.3">
      <c r="A39" s="63" t="s">
        <v>169</v>
      </c>
      <c r="B39" s="63"/>
      <c r="C39" s="64" t="s">
        <v>188</v>
      </c>
      <c r="D39" s="65"/>
      <c r="E39" s="65"/>
      <c r="F39" s="65"/>
      <c r="G39" s="65"/>
      <c r="H39" s="65"/>
    </row>
    <row r="40" spans="1:8" x14ac:dyDescent="0.3">
      <c r="A40" s="63" t="s">
        <v>34</v>
      </c>
      <c r="B40" s="63"/>
      <c r="C40" s="63"/>
      <c r="D40" s="63"/>
      <c r="E40" s="63"/>
      <c r="F40" s="63"/>
      <c r="G40" s="63"/>
      <c r="H40" s="63"/>
    </row>
    <row r="41" spans="1:8" x14ac:dyDescent="0.3">
      <c r="A41" s="72" t="s">
        <v>35</v>
      </c>
      <c r="B41" s="72"/>
      <c r="C41" s="72"/>
      <c r="D41" s="72"/>
      <c r="E41" s="120">
        <v>1000</v>
      </c>
      <c r="F41" s="120"/>
      <c r="G41" s="120"/>
      <c r="H41" s="120"/>
    </row>
    <row r="42" spans="1:8" x14ac:dyDescent="0.3">
      <c r="A42" s="72" t="s">
        <v>36</v>
      </c>
      <c r="B42" s="72"/>
      <c r="C42" s="72"/>
      <c r="D42" s="72"/>
      <c r="E42" s="113">
        <v>1.5</v>
      </c>
      <c r="F42" s="113"/>
      <c r="G42" s="113"/>
      <c r="H42" s="113"/>
    </row>
    <row r="43" spans="1:8" x14ac:dyDescent="0.3">
      <c r="A43" s="72" t="s">
        <v>37</v>
      </c>
      <c r="B43" s="72"/>
      <c r="C43" s="72"/>
      <c r="D43" s="72"/>
      <c r="E43" s="113">
        <f>E45/E41-E42</f>
        <v>1.6658589999999998</v>
      </c>
      <c r="F43" s="113"/>
      <c r="G43" s="113"/>
      <c r="H43" s="113"/>
    </row>
    <row r="44" spans="1:8" x14ac:dyDescent="0.3">
      <c r="A44" s="72" t="s">
        <v>38</v>
      </c>
      <c r="B44" s="72"/>
      <c r="C44" s="72"/>
      <c r="D44" s="72"/>
      <c r="E44" s="113">
        <f>E42+E43</f>
        <v>3.1658589999999998</v>
      </c>
      <c r="F44" s="113"/>
      <c r="G44" s="113"/>
      <c r="H44" s="113"/>
    </row>
    <row r="45" spans="1:8" x14ac:dyDescent="0.3">
      <c r="A45" s="72" t="s">
        <v>93</v>
      </c>
      <c r="B45" s="72"/>
      <c r="C45" s="72"/>
      <c r="D45" s="72"/>
      <c r="E45" s="114">
        <v>3165.8589999999999</v>
      </c>
      <c r="F45" s="114"/>
      <c r="G45" s="114"/>
      <c r="H45" s="114"/>
    </row>
    <row r="46" spans="1:8" x14ac:dyDescent="0.3">
      <c r="A46" s="122" t="s">
        <v>39</v>
      </c>
      <c r="B46" s="122"/>
      <c r="C46" s="122"/>
      <c r="D46" s="122"/>
      <c r="E46" s="115" t="s">
        <v>125</v>
      </c>
      <c r="F46" s="115"/>
      <c r="G46" s="115"/>
      <c r="H46" s="115"/>
    </row>
    <row r="47" spans="1:8" x14ac:dyDescent="0.3">
      <c r="A47" s="63" t="s">
        <v>40</v>
      </c>
      <c r="B47" s="63"/>
      <c r="C47" s="63"/>
      <c r="D47" s="63"/>
      <c r="E47" s="63"/>
      <c r="F47" s="63"/>
      <c r="G47" s="63"/>
      <c r="H47" s="63"/>
    </row>
    <row r="48" spans="1:8" ht="33.75" customHeight="1" x14ac:dyDescent="0.3">
      <c r="A48" s="66" t="s">
        <v>158</v>
      </c>
      <c r="B48" s="67"/>
      <c r="C48" s="68" t="s">
        <v>203</v>
      </c>
      <c r="D48" s="69"/>
      <c r="E48" s="69"/>
      <c r="F48" s="69"/>
      <c r="G48" s="69"/>
      <c r="H48" s="70"/>
    </row>
    <row r="49" spans="1:14" ht="15.75" customHeight="1" x14ac:dyDescent="0.3">
      <c r="A49" s="66" t="s">
        <v>41</v>
      </c>
      <c r="B49" s="67"/>
      <c r="C49" s="66" t="s">
        <v>204</v>
      </c>
      <c r="D49" s="175"/>
      <c r="E49" s="67"/>
      <c r="F49" s="18" t="s">
        <v>42</v>
      </c>
      <c r="G49" s="181">
        <v>45016</v>
      </c>
      <c r="H49" s="67"/>
    </row>
    <row r="50" spans="1:14" x14ac:dyDescent="0.3">
      <c r="A50" s="66" t="s">
        <v>43</v>
      </c>
      <c r="B50" s="67"/>
      <c r="C50" s="66" t="str">
        <f>C49</f>
        <v>PMP/NRV/16364/J.K-826/2023</v>
      </c>
      <c r="D50" s="175"/>
      <c r="E50" s="67"/>
      <c r="F50" s="18" t="s">
        <v>42</v>
      </c>
      <c r="G50" s="181">
        <f>G49</f>
        <v>45016</v>
      </c>
      <c r="H50" s="182"/>
    </row>
    <row r="51" spans="1:14" s="23" customFormat="1" ht="34.5" customHeight="1" x14ac:dyDescent="0.3">
      <c r="A51" s="163" t="s">
        <v>206</v>
      </c>
      <c r="B51" s="164"/>
      <c r="C51" s="66" t="s">
        <v>205</v>
      </c>
      <c r="D51" s="175"/>
      <c r="E51" s="67"/>
      <c r="F51" s="18" t="s">
        <v>42</v>
      </c>
      <c r="G51" s="181">
        <f>G50</f>
        <v>45016</v>
      </c>
      <c r="H51" s="182"/>
    </row>
    <row r="52" spans="1:14" s="23" customFormat="1" x14ac:dyDescent="0.3">
      <c r="A52" s="165"/>
      <c r="B52" s="166"/>
      <c r="C52" s="66" t="s">
        <v>207</v>
      </c>
      <c r="D52" s="175"/>
      <c r="E52" s="175"/>
      <c r="F52" s="175"/>
      <c r="G52" s="175"/>
      <c r="H52" s="67"/>
    </row>
    <row r="53" spans="1:14" x14ac:dyDescent="0.3">
      <c r="A53" s="176" t="s">
        <v>44</v>
      </c>
      <c r="B53" s="177"/>
      <c r="C53" s="176" t="s">
        <v>105</v>
      </c>
      <c r="D53" s="178"/>
      <c r="E53" s="177"/>
      <c r="F53" s="46" t="s">
        <v>42</v>
      </c>
      <c r="G53" s="179" t="s">
        <v>29</v>
      </c>
      <c r="H53" s="180"/>
    </row>
    <row r="54" spans="1:14" x14ac:dyDescent="0.3">
      <c r="A54" s="154" t="s">
        <v>46</v>
      </c>
      <c r="B54" s="154"/>
      <c r="C54" s="154"/>
      <c r="D54" s="154"/>
      <c r="E54" s="154"/>
      <c r="F54" s="154"/>
      <c r="G54" s="154"/>
      <c r="H54" s="154"/>
    </row>
    <row r="55" spans="1:14" x14ac:dyDescent="0.3">
      <c r="A55" s="132" t="s">
        <v>92</v>
      </c>
      <c r="B55" s="132"/>
      <c r="C55" s="132"/>
      <c r="D55" s="72">
        <f>E45</f>
        <v>3165.8589999999999</v>
      </c>
      <c r="E55" s="72"/>
      <c r="F55" s="72"/>
      <c r="G55" s="72"/>
      <c r="H55" s="72"/>
    </row>
    <row r="56" spans="1:14" x14ac:dyDescent="0.3">
      <c r="A56" s="65" t="s">
        <v>47</v>
      </c>
      <c r="B56" s="122"/>
      <c r="C56" s="122"/>
      <c r="D56" s="115" t="s">
        <v>217</v>
      </c>
      <c r="E56" s="115"/>
      <c r="F56" s="115"/>
      <c r="G56" s="115"/>
      <c r="H56" s="115"/>
      <c r="I56" s="24"/>
    </row>
    <row r="57" spans="1:14" x14ac:dyDescent="0.3">
      <c r="A57" s="125" t="s">
        <v>48</v>
      </c>
      <c r="B57" s="126"/>
      <c r="C57" s="127"/>
      <c r="D57" s="123" t="s">
        <v>208</v>
      </c>
      <c r="E57" s="124"/>
      <c r="F57" s="124"/>
      <c r="G57" s="124"/>
      <c r="H57" s="124"/>
    </row>
    <row r="58" spans="1:14" ht="15.75" customHeight="1" x14ac:dyDescent="0.3">
      <c r="A58" s="125" t="s">
        <v>90</v>
      </c>
      <c r="B58" s="126"/>
      <c r="C58" s="126"/>
      <c r="D58" s="159" t="s">
        <v>222</v>
      </c>
      <c r="E58" s="160"/>
      <c r="F58" s="160"/>
      <c r="G58" s="160"/>
      <c r="H58" s="161"/>
    </row>
    <row r="59" spans="1:14" ht="15.75" customHeight="1" x14ac:dyDescent="0.3">
      <c r="A59" s="72" t="s">
        <v>45</v>
      </c>
      <c r="B59" s="72"/>
      <c r="C59" s="72"/>
      <c r="D59" s="121" t="s">
        <v>218</v>
      </c>
      <c r="E59" s="121"/>
      <c r="F59" s="121"/>
      <c r="G59" s="121"/>
      <c r="H59" s="121"/>
      <c r="J59" s="25"/>
      <c r="K59" s="24"/>
      <c r="N59" s="24"/>
    </row>
    <row r="60" spans="1:14" ht="15.75" customHeight="1" x14ac:dyDescent="0.3">
      <c r="A60" s="72" t="s">
        <v>88</v>
      </c>
      <c r="B60" s="72"/>
      <c r="C60" s="72"/>
      <c r="D60" s="112" t="str">
        <f>(IF(G53="NA","60 Years After Completion",IF(G53&lt;&gt;"NA",""&amp;60-ROUNDDOWN((E3-G53)/360,0)&amp;" Years"," ")))</f>
        <v>60 Years After Completion</v>
      </c>
      <c r="E60" s="112"/>
      <c r="F60" s="112"/>
      <c r="G60" s="112"/>
      <c r="H60" s="112"/>
      <c r="N60" s="24"/>
    </row>
    <row r="61" spans="1:14" ht="15.75" customHeight="1" x14ac:dyDescent="0.3">
      <c r="A61" s="72" t="s">
        <v>89</v>
      </c>
      <c r="B61" s="72"/>
      <c r="C61" s="72"/>
      <c r="D61" s="132" t="s">
        <v>24</v>
      </c>
      <c r="E61" s="132"/>
      <c r="F61" s="132"/>
      <c r="G61" s="132"/>
      <c r="H61" s="132"/>
      <c r="J61" s="26"/>
      <c r="K61" s="26"/>
    </row>
    <row r="62" spans="1:14" ht="33" customHeight="1" x14ac:dyDescent="0.3">
      <c r="A62" s="72" t="s">
        <v>75</v>
      </c>
      <c r="B62" s="72"/>
      <c r="C62" s="72"/>
      <c r="D62" s="65" t="s">
        <v>223</v>
      </c>
      <c r="E62" s="132"/>
      <c r="F62" s="132"/>
      <c r="G62" s="132"/>
      <c r="H62" s="132"/>
    </row>
    <row r="63" spans="1:14" x14ac:dyDescent="0.3">
      <c r="A63" s="132" t="s">
        <v>154</v>
      </c>
      <c r="B63" s="132"/>
      <c r="C63" s="132"/>
      <c r="D63" s="132" t="s">
        <v>29</v>
      </c>
      <c r="E63" s="132"/>
      <c r="F63" s="132"/>
      <c r="G63" s="132"/>
      <c r="H63" s="132"/>
      <c r="I63" s="27"/>
      <c r="J63" s="27"/>
      <c r="K63" s="27"/>
      <c r="L63" s="27"/>
      <c r="M63" s="27"/>
      <c r="N63" s="27"/>
    </row>
    <row r="64" spans="1:14" ht="15.75" customHeight="1" x14ac:dyDescent="0.3">
      <c r="A64" s="162" t="s">
        <v>87</v>
      </c>
      <c r="B64" s="162"/>
      <c r="C64" s="162"/>
      <c r="D64" s="136" t="str">
        <f ca="1">(IF(G70&gt;95%,"Nothing",IF(G70&gt;0%,"Cement, Aggregate, Steel, etc",IF(G70=0%,"Work not yet Started"))))</f>
        <v>Cement, Aggregate, Steel, etc</v>
      </c>
      <c r="E64" s="136"/>
      <c r="F64" s="136"/>
      <c r="G64" s="136"/>
      <c r="H64" s="136"/>
      <c r="J64" s="26"/>
    </row>
    <row r="65" spans="1:10" ht="33.75" customHeight="1" thickBot="1" x14ac:dyDescent="0.35">
      <c r="A65" s="135" t="s">
        <v>118</v>
      </c>
      <c r="B65" s="135"/>
      <c r="C65" s="135"/>
      <c r="D65" s="136" t="str">
        <f ca="1">(IF(D64="Nothing","Yes",IF(D64="Cement, Aggregate, Steel, etc","Under Construction",IF(D64="Work not yet Started","Work not yet Started"))))</f>
        <v>Under Construction</v>
      </c>
      <c r="E65" s="136"/>
      <c r="F65" s="136" t="str">
        <f ca="1">(IF(D64="Nothing","Yes",IF(D64="Cement, Aggregate, Steel, etc","Under Construction",IF(D64="Work not yet Started","Work not yet Started"))))</f>
        <v>Under Construction</v>
      </c>
      <c r="G65" s="136"/>
      <c r="H65" s="136"/>
    </row>
    <row r="66" spans="1:10" ht="15.75" customHeight="1" x14ac:dyDescent="0.3">
      <c r="A66" s="168" t="s">
        <v>144</v>
      </c>
      <c r="B66" s="169"/>
      <c r="C66" s="170" t="str">
        <f>D58</f>
        <v>Gr/St + 1st to 14th Floor</v>
      </c>
      <c r="D66" s="171"/>
      <c r="E66" s="171"/>
      <c r="F66" s="171"/>
      <c r="G66" s="171"/>
      <c r="H66" s="172"/>
      <c r="I66" s="50" t="str">
        <f ca="1">IF(D79=100%,"All work Completed. Possession granted to the Building.",IF(D78=100%,"All work Completed, Waiting for OC",I67&amp;""&amp;I68&amp;""&amp;J67&amp;""&amp;J66&amp;" "&amp;J68))</f>
        <v>Excavation, Plinth Completed, RCC upto 12 Slab, Brickwork upto 9 Floor, Internal Plaster upto 8 Floor, External Plaster upto 6 Floor, Flooring upto 4 Floor Completed</v>
      </c>
      <c r="J66" s="51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12 Slab, Brickwork upto 9 Floor, Internal Plaster upto 8 Floor, External Plaster upto 6 Floor, Flooring upto 4 Floor</v>
      </c>
    </row>
    <row r="67" spans="1:10" x14ac:dyDescent="0.3">
      <c r="A67" s="16" t="s">
        <v>146</v>
      </c>
      <c r="B67" s="48">
        <v>0</v>
      </c>
      <c r="C67" s="48" t="s">
        <v>72</v>
      </c>
      <c r="D67" s="48">
        <v>1</v>
      </c>
      <c r="E67" s="48" t="s">
        <v>71</v>
      </c>
      <c r="F67" s="54">
        <v>0</v>
      </c>
      <c r="G67" s="49" t="s">
        <v>81</v>
      </c>
      <c r="H67" s="17">
        <f ca="1">--TRIM(RIGHT(SUBSTITUTE(LEFT(C66,_xlfn.AGGREGATE(16,6,FIND({0,1,2,3,4,5,6,7,8,9},C66,ROW(INDIRECT("1:"&amp;LEN(C66)))),1))," ",REPT(" ",LEN(C66))),LEN(C66)))</f>
        <v>14</v>
      </c>
      <c r="I67" s="52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5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45.75" customHeight="1" x14ac:dyDescent="0.3">
      <c r="A68" s="167" t="s">
        <v>91</v>
      </c>
      <c r="B68" s="149"/>
      <c r="C68" s="173" t="str">
        <f ca="1">I66</f>
        <v>Excavation, Plinth Completed, RCC upto 12 Slab, Brickwork upto 9 Floor, Internal Plaster upto 8 Floor, External Plaster upto 6 Floor, Flooring upto 4 Floor Completed</v>
      </c>
      <c r="D68" s="173"/>
      <c r="E68" s="173"/>
      <c r="F68" s="173"/>
      <c r="G68" s="173"/>
      <c r="H68" s="174"/>
      <c r="I68" s="52" t="str">
        <f ca="1">IF(I67&lt;&gt;""," Completed","")</f>
        <v xml:space="preserve"> Completed</v>
      </c>
      <c r="J68" s="53" t="str">
        <f ca="1">IF(J66&lt;&gt;"","Completed","")</f>
        <v>Completed</v>
      </c>
    </row>
    <row r="69" spans="1:10" ht="15.75" customHeight="1" x14ac:dyDescent="0.3">
      <c r="A69" s="100" t="s">
        <v>49</v>
      </c>
      <c r="B69" s="101"/>
      <c r="C69" s="44" t="s">
        <v>143</v>
      </c>
      <c r="D69" s="44" t="s">
        <v>84</v>
      </c>
      <c r="E69" s="101" t="s">
        <v>86</v>
      </c>
      <c r="F69" s="101"/>
      <c r="G69" s="101" t="s">
        <v>85</v>
      </c>
      <c r="H69" s="137"/>
      <c r="I69" s="14" t="s">
        <v>145</v>
      </c>
      <c r="J69" s="28">
        <f ca="1">H67*25%</f>
        <v>3.5</v>
      </c>
    </row>
    <row r="70" spans="1:10" x14ac:dyDescent="0.3">
      <c r="A70" s="100" t="s">
        <v>132</v>
      </c>
      <c r="B70" s="101"/>
      <c r="C70" s="44">
        <f ca="1">J71</f>
        <v>14</v>
      </c>
      <c r="D70" s="19">
        <f ca="1">((100/H67)*C70)/100</f>
        <v>1</v>
      </c>
      <c r="E70" s="138">
        <f ca="1">(((C71/H67*10)+(40/(D67+F67+H67)*C72)+(7.5/(H67)*C73)+(7.5/(H67)*C74)+(10/H67*C75)+(10/H67*C76)+(5/H67*C77)+(5/H67*C78)+(5/H67*C79))/100)</f>
        <v>0.58249999999999991</v>
      </c>
      <c r="F70" s="139"/>
      <c r="G70" s="138">
        <f ca="1">((((C70/H67)*20)+((C71/H67)*25)+(30/(H67+F67+D67)*C72)+(5/H67*C73)+(5/H67*C74)+(5/H67*C75)+(5/H67*C76)+(0/H67*C77)+(0/H67*C78)+(5/H67*C79))/100)</f>
        <v>0.78642857142857137</v>
      </c>
      <c r="H70" s="144"/>
      <c r="I70" s="14" t="s">
        <v>100</v>
      </c>
      <c r="J70" s="29">
        <f ca="1">H67*50%</f>
        <v>7</v>
      </c>
    </row>
    <row r="71" spans="1:10" x14ac:dyDescent="0.3">
      <c r="A71" s="100" t="s">
        <v>50</v>
      </c>
      <c r="B71" s="101"/>
      <c r="C71" s="44">
        <f ca="1">J79</f>
        <v>14</v>
      </c>
      <c r="D71" s="19">
        <f ca="1">((100/H67)*C71)/100</f>
        <v>1</v>
      </c>
      <c r="E71" s="140"/>
      <c r="F71" s="141"/>
      <c r="G71" s="140"/>
      <c r="H71" s="145"/>
      <c r="I71" s="14" t="s">
        <v>101</v>
      </c>
      <c r="J71" s="29">
        <f ca="1">H67</f>
        <v>14</v>
      </c>
    </row>
    <row r="72" spans="1:10" ht="15.75" customHeight="1" x14ac:dyDescent="0.3">
      <c r="A72" s="100" t="s">
        <v>133</v>
      </c>
      <c r="B72" s="101"/>
      <c r="C72" s="44">
        <v>12</v>
      </c>
      <c r="D72" s="19">
        <f ca="1">((100/(D67+F67+H67))*C72)/100</f>
        <v>0.8</v>
      </c>
      <c r="E72" s="140"/>
      <c r="F72" s="141"/>
      <c r="G72" s="140"/>
      <c r="H72" s="145"/>
      <c r="I72" s="14" t="s">
        <v>102</v>
      </c>
      <c r="J72" s="30">
        <f ca="1">(IF(B67&gt;1,(H67/(B67+2)),H67/4))</f>
        <v>3.5</v>
      </c>
    </row>
    <row r="73" spans="1:10" ht="15.75" customHeight="1" x14ac:dyDescent="0.3">
      <c r="A73" s="100" t="s">
        <v>140</v>
      </c>
      <c r="B73" s="101" t="s">
        <v>134</v>
      </c>
      <c r="C73" s="44">
        <v>9</v>
      </c>
      <c r="D73" s="19">
        <f ca="1">((100/H67)*C73)/100</f>
        <v>0.6428571428571429</v>
      </c>
      <c r="E73" s="140"/>
      <c r="F73" s="141"/>
      <c r="G73" s="140"/>
      <c r="H73" s="145"/>
      <c r="I73" s="14" t="s">
        <v>103</v>
      </c>
      <c r="J73" s="30">
        <f ca="1">(IF(B67&gt;1,(H67/(B67+2)+J72),H67/4+J72))</f>
        <v>7</v>
      </c>
    </row>
    <row r="74" spans="1:10" ht="15.75" customHeight="1" x14ac:dyDescent="0.3">
      <c r="A74" s="100" t="s">
        <v>141</v>
      </c>
      <c r="B74" s="101" t="s">
        <v>134</v>
      </c>
      <c r="C74" s="44">
        <v>8</v>
      </c>
      <c r="D74" s="19">
        <f ca="1">((100/H67)*C74)/100</f>
        <v>0.57142857142857151</v>
      </c>
      <c r="E74" s="140"/>
      <c r="F74" s="141"/>
      <c r="G74" s="140"/>
      <c r="H74" s="145"/>
      <c r="I74" s="14" t="s">
        <v>152</v>
      </c>
      <c r="J74" s="30">
        <f>(IF(B67&gt;1,(H67/(B67+2)+J73),0))</f>
        <v>0</v>
      </c>
    </row>
    <row r="75" spans="1:10" ht="15" customHeight="1" x14ac:dyDescent="0.3">
      <c r="A75" s="100" t="s">
        <v>139</v>
      </c>
      <c r="B75" s="101" t="s">
        <v>136</v>
      </c>
      <c r="C75" s="44">
        <v>6</v>
      </c>
      <c r="D75" s="19">
        <f ca="1">((100/(H67))*C75)/100</f>
        <v>0.4285714285714286</v>
      </c>
      <c r="E75" s="140"/>
      <c r="F75" s="141"/>
      <c r="G75" s="140"/>
      <c r="H75" s="145"/>
      <c r="I75" s="14" t="s">
        <v>147</v>
      </c>
      <c r="J75" s="30">
        <f>(IF(B67&gt;2,(H67/(B67+2)+J74),0))</f>
        <v>0</v>
      </c>
    </row>
    <row r="76" spans="1:10" ht="15.75" customHeight="1" x14ac:dyDescent="0.3">
      <c r="A76" s="100" t="s">
        <v>135</v>
      </c>
      <c r="B76" s="101" t="s">
        <v>135</v>
      </c>
      <c r="C76" s="44">
        <v>4</v>
      </c>
      <c r="D76" s="19">
        <f ca="1">((100/H67)*C76)/100</f>
        <v>0.28571428571428575</v>
      </c>
      <c r="E76" s="140"/>
      <c r="F76" s="141"/>
      <c r="G76" s="140"/>
      <c r="H76" s="145"/>
      <c r="I76" s="14" t="s">
        <v>148</v>
      </c>
      <c r="J76" s="31">
        <f>(IF(B67&gt;3,(H67/(B67+2)+J75),0))</f>
        <v>0</v>
      </c>
    </row>
    <row r="77" spans="1:10" ht="15.75" customHeight="1" x14ac:dyDescent="0.3">
      <c r="A77" s="100" t="s">
        <v>142</v>
      </c>
      <c r="B77" s="101"/>
      <c r="C77" s="44">
        <v>0</v>
      </c>
      <c r="D77" s="19">
        <f ca="1">((100/H67)*C77)/100</f>
        <v>0</v>
      </c>
      <c r="E77" s="140"/>
      <c r="F77" s="141"/>
      <c r="G77" s="140"/>
      <c r="H77" s="145"/>
      <c r="I77" s="14" t="s">
        <v>149</v>
      </c>
      <c r="J77" s="30">
        <f>(IF(B67&gt;4,(H67/(B67+2)+J76),0))</f>
        <v>0</v>
      </c>
    </row>
    <row r="78" spans="1:10" ht="15.75" customHeight="1" x14ac:dyDescent="0.3">
      <c r="A78" s="100" t="s">
        <v>137</v>
      </c>
      <c r="B78" s="101" t="s">
        <v>137</v>
      </c>
      <c r="C78" s="44">
        <v>0</v>
      </c>
      <c r="D78" s="19">
        <f ca="1">((100/(H67))*C78)/100</f>
        <v>0</v>
      </c>
      <c r="E78" s="140"/>
      <c r="F78" s="141"/>
      <c r="G78" s="140"/>
      <c r="H78" s="145"/>
      <c r="I78" s="14" t="s">
        <v>153</v>
      </c>
      <c r="J78" s="30">
        <f ca="1">(IF(B67=1,(H67/(B67+3)+J73),IF(B67=0,(H67/4+J73),IF(B67&gt;1,0))))</f>
        <v>10.5</v>
      </c>
    </row>
    <row r="79" spans="1:10" ht="16.2" thickBot="1" x14ac:dyDescent="0.35">
      <c r="A79" s="110" t="s">
        <v>138</v>
      </c>
      <c r="B79" s="111"/>
      <c r="C79" s="45">
        <v>0</v>
      </c>
      <c r="D79" s="20">
        <f ca="1">((100/(H67))*C79)/100</f>
        <v>0</v>
      </c>
      <c r="E79" s="142"/>
      <c r="F79" s="143"/>
      <c r="G79" s="142"/>
      <c r="H79" s="146"/>
      <c r="I79" s="15" t="s">
        <v>104</v>
      </c>
      <c r="J79" s="32">
        <f ca="1">(IF(B67&gt;1.5,(H67/(B67+2)+J73+MAX(0,J74-J73)+MAX(0,J75-J74)+MAX(0,J76-J75)+MAX(0,J77-J76)+MAX(0,J78-J77)),IF(B67=1,(H67/(B67+3)+J78),IF(B67=0,H67/4+J78))))</f>
        <v>14</v>
      </c>
    </row>
    <row r="80" spans="1:10" x14ac:dyDescent="0.3">
      <c r="A80" s="108" t="s">
        <v>163</v>
      </c>
      <c r="B80" s="108"/>
      <c r="C80" s="108"/>
      <c r="D80" s="108"/>
      <c r="E80" s="108"/>
      <c r="F80" s="87" t="s">
        <v>167</v>
      </c>
      <c r="G80" s="87"/>
      <c r="H80" s="87"/>
    </row>
    <row r="81" spans="1:8" x14ac:dyDescent="0.3">
      <c r="A81" s="72" t="s">
        <v>165</v>
      </c>
      <c r="B81" s="72"/>
      <c r="C81" s="72"/>
      <c r="D81" s="72"/>
      <c r="E81" s="72"/>
      <c r="F81" s="103">
        <v>9000</v>
      </c>
      <c r="G81" s="103"/>
      <c r="H81" s="103"/>
    </row>
    <row r="82" spans="1:8" hidden="1" x14ac:dyDescent="0.3">
      <c r="A82" s="72" t="s">
        <v>164</v>
      </c>
      <c r="B82" s="72"/>
      <c r="C82" s="72"/>
      <c r="D82" s="72"/>
      <c r="E82" s="72"/>
      <c r="F82" s="71"/>
      <c r="G82" s="71"/>
      <c r="H82" s="71"/>
    </row>
    <row r="83" spans="1:8" hidden="1" x14ac:dyDescent="0.3">
      <c r="A83" s="72" t="s">
        <v>166</v>
      </c>
      <c r="B83" s="72"/>
      <c r="C83" s="72"/>
      <c r="D83" s="72"/>
      <c r="E83" s="72"/>
      <c r="F83" s="71"/>
      <c r="G83" s="71"/>
      <c r="H83" s="71"/>
    </row>
    <row r="84" spans="1:8" s="33" customFormat="1" hidden="1" x14ac:dyDescent="0.25">
      <c r="A84" s="72" t="s">
        <v>180</v>
      </c>
      <c r="B84" s="72"/>
      <c r="C84" s="72"/>
      <c r="D84" s="72"/>
      <c r="E84" s="72"/>
      <c r="F84" s="71"/>
      <c r="G84" s="71"/>
      <c r="H84" s="71"/>
    </row>
    <row r="85" spans="1:8" s="33" customFormat="1" hidden="1" x14ac:dyDescent="0.25">
      <c r="A85" s="72" t="s">
        <v>96</v>
      </c>
      <c r="B85" s="72"/>
      <c r="C85" s="72"/>
      <c r="D85" s="72"/>
      <c r="E85" s="72"/>
      <c r="F85" s="71"/>
      <c r="G85" s="71"/>
      <c r="H85" s="71"/>
    </row>
    <row r="86" spans="1:8" s="33" customFormat="1" x14ac:dyDescent="0.25">
      <c r="A86" s="72" t="s">
        <v>97</v>
      </c>
      <c r="B86" s="72"/>
      <c r="C86" s="72"/>
      <c r="D86" s="72"/>
      <c r="E86" s="72"/>
      <c r="F86" s="103">
        <v>100000</v>
      </c>
      <c r="G86" s="103"/>
      <c r="H86" s="103"/>
    </row>
    <row r="87" spans="1:8" s="33" customFormat="1" hidden="1" x14ac:dyDescent="0.25">
      <c r="A87" s="72" t="s">
        <v>168</v>
      </c>
      <c r="B87" s="72"/>
      <c r="C87" s="72"/>
      <c r="D87" s="72"/>
      <c r="E87" s="72"/>
      <c r="F87" s="103">
        <v>15000</v>
      </c>
      <c r="G87" s="103"/>
      <c r="H87" s="103"/>
    </row>
    <row r="88" spans="1:8" s="33" customFormat="1" hidden="1" x14ac:dyDescent="0.25">
      <c r="A88" s="72" t="s">
        <v>98</v>
      </c>
      <c r="B88" s="72"/>
      <c r="C88" s="72"/>
      <c r="D88" s="72"/>
      <c r="E88" s="72"/>
      <c r="F88" s="103"/>
      <c r="G88" s="103"/>
      <c r="H88" s="103"/>
    </row>
    <row r="89" spans="1:8" s="33" customFormat="1" x14ac:dyDescent="0.25">
      <c r="A89" s="72" t="s">
        <v>215</v>
      </c>
      <c r="B89" s="72"/>
      <c r="C89" s="72"/>
      <c r="D89" s="72"/>
      <c r="E89" s="72"/>
      <c r="F89" s="103">
        <v>300000</v>
      </c>
      <c r="G89" s="103"/>
      <c r="H89" s="103"/>
    </row>
    <row r="90" spans="1:8" s="33" customFormat="1" x14ac:dyDescent="0.25">
      <c r="A90" s="72" t="s">
        <v>216</v>
      </c>
      <c r="B90" s="72"/>
      <c r="C90" s="72"/>
      <c r="D90" s="72"/>
      <c r="E90" s="72"/>
      <c r="F90" s="103">
        <v>100000</v>
      </c>
      <c r="G90" s="103"/>
      <c r="H90" s="103"/>
    </row>
    <row r="91" spans="1:8" s="33" customFormat="1" hidden="1" x14ac:dyDescent="0.25">
      <c r="A91" s="72" t="s">
        <v>99</v>
      </c>
      <c r="B91" s="72"/>
      <c r="C91" s="72"/>
      <c r="D91" s="72"/>
      <c r="E91" s="72"/>
      <c r="F91" s="103"/>
      <c r="G91" s="103"/>
      <c r="H91" s="103"/>
    </row>
    <row r="92" spans="1:8" x14ac:dyDescent="0.3">
      <c r="A92" s="72" t="s">
        <v>51</v>
      </c>
      <c r="B92" s="72"/>
      <c r="C92" s="72"/>
      <c r="D92" s="72"/>
      <c r="E92" s="72"/>
      <c r="F92" s="103">
        <v>400000</v>
      </c>
      <c r="G92" s="103"/>
      <c r="H92" s="103"/>
    </row>
    <row r="93" spans="1:8" s="34" customFormat="1" x14ac:dyDescent="0.3">
      <c r="A93" s="63" t="s">
        <v>52</v>
      </c>
      <c r="B93" s="63"/>
      <c r="C93" s="63"/>
      <c r="D93" s="63"/>
      <c r="E93" s="63"/>
      <c r="F93" s="103">
        <f>F81*0.8</f>
        <v>7200</v>
      </c>
      <c r="G93" s="103"/>
      <c r="H93" s="103"/>
    </row>
    <row r="94" spans="1:8" s="35" customFormat="1" ht="15.75" hidden="1" customHeight="1" x14ac:dyDescent="0.3">
      <c r="A94" s="95" t="s">
        <v>76</v>
      </c>
      <c r="B94" s="95"/>
      <c r="C94" s="95"/>
      <c r="D94" s="95"/>
      <c r="E94" s="95"/>
      <c r="F94" s="95"/>
      <c r="G94" s="95"/>
      <c r="H94" s="95"/>
    </row>
    <row r="95" spans="1:8" s="35" customFormat="1" ht="15.75" hidden="1" customHeight="1" x14ac:dyDescent="0.3">
      <c r="A95" s="98" t="s">
        <v>53</v>
      </c>
      <c r="B95" s="98"/>
      <c r="C95" s="96" t="s">
        <v>79</v>
      </c>
      <c r="D95" s="96"/>
      <c r="E95" s="97" t="s">
        <v>54</v>
      </c>
      <c r="F95" s="97"/>
      <c r="G95" s="98" t="s">
        <v>55</v>
      </c>
      <c r="H95" s="98"/>
    </row>
    <row r="96" spans="1:8" s="35" customFormat="1" hidden="1" x14ac:dyDescent="0.3">
      <c r="A96" s="99"/>
      <c r="B96" s="99"/>
      <c r="C96" s="92"/>
      <c r="D96" s="92"/>
      <c r="E96" s="93"/>
      <c r="F96" s="93"/>
      <c r="G96" s="94"/>
      <c r="H96" s="94"/>
    </row>
    <row r="97" spans="1:14" s="35" customFormat="1" hidden="1" x14ac:dyDescent="0.3">
      <c r="A97" s="99"/>
      <c r="B97" s="99"/>
      <c r="C97" s="92"/>
      <c r="D97" s="92"/>
      <c r="E97" s="93"/>
      <c r="F97" s="93"/>
      <c r="G97" s="94"/>
      <c r="H97" s="94"/>
    </row>
    <row r="98" spans="1:14" s="35" customFormat="1" hidden="1" x14ac:dyDescent="0.3">
      <c r="A98" s="95" t="s">
        <v>157</v>
      </c>
      <c r="B98" s="95"/>
      <c r="C98" s="96"/>
      <c r="D98" s="96"/>
      <c r="E98" s="97"/>
      <c r="F98" s="97"/>
      <c r="G98" s="98"/>
      <c r="H98" s="98"/>
    </row>
    <row r="99" spans="1:14" s="35" customFormat="1" x14ac:dyDescent="0.3">
      <c r="A99" s="95" t="s">
        <v>70</v>
      </c>
      <c r="B99" s="95"/>
      <c r="C99" s="95"/>
      <c r="D99" s="95"/>
      <c r="E99" s="95"/>
      <c r="F99" s="95"/>
      <c r="G99" s="95"/>
      <c r="H99" s="95"/>
    </row>
    <row r="100" spans="1:14" s="35" customFormat="1" ht="15.75" customHeight="1" x14ac:dyDescent="0.3">
      <c r="A100" s="98" t="s">
        <v>53</v>
      </c>
      <c r="B100" s="98"/>
      <c r="C100" s="96" t="s">
        <v>79</v>
      </c>
      <c r="D100" s="96"/>
      <c r="E100" s="97" t="s">
        <v>54</v>
      </c>
      <c r="F100" s="97"/>
      <c r="G100" s="98" t="s">
        <v>55</v>
      </c>
      <c r="H100" s="98"/>
    </row>
    <row r="101" spans="1:14" s="35" customFormat="1" x14ac:dyDescent="0.3">
      <c r="A101" s="99" t="s">
        <v>209</v>
      </c>
      <c r="B101" s="99"/>
      <c r="C101" s="92">
        <f>COUNT(D119:D123)*9+COUNT(D125:D129)+COUNT(D131:D135)</f>
        <v>55</v>
      </c>
      <c r="D101" s="92"/>
      <c r="E101" s="102">
        <f>SUM(D119:D123)*9+SUM(D125:D129)+SUM(D131:D135)</f>
        <v>23150.113271999995</v>
      </c>
      <c r="F101" s="102"/>
      <c r="G101" s="102">
        <f>SUM(F119:F123)*9+SUM(F125:F129)+SUM(F131:F135)</f>
        <v>34725.169908000003</v>
      </c>
      <c r="H101" s="102"/>
    </row>
    <row r="102" spans="1:14" s="35" customFormat="1" hidden="1" x14ac:dyDescent="0.3">
      <c r="A102" s="99"/>
      <c r="B102" s="99"/>
      <c r="C102" s="92"/>
      <c r="D102" s="92"/>
      <c r="E102" s="93"/>
      <c r="F102" s="93"/>
      <c r="G102" s="94"/>
      <c r="H102" s="94"/>
    </row>
    <row r="103" spans="1:14" s="35" customFormat="1" ht="16.2" hidden="1" thickBot="1" x14ac:dyDescent="0.35">
      <c r="A103" s="109" t="s">
        <v>157</v>
      </c>
      <c r="B103" s="109"/>
      <c r="C103" s="158"/>
      <c r="D103" s="158"/>
      <c r="E103" s="62"/>
      <c r="F103" s="62"/>
      <c r="G103" s="91"/>
      <c r="H103" s="91"/>
    </row>
    <row r="104" spans="1:14" s="35" customFormat="1" ht="16.2" hidden="1" thickBot="1" x14ac:dyDescent="0.35">
      <c r="A104" s="183" t="s">
        <v>174</v>
      </c>
      <c r="B104" s="184"/>
      <c r="C104" s="185">
        <f>C98+C103</f>
        <v>0</v>
      </c>
      <c r="D104" s="185"/>
      <c r="E104" s="186">
        <f>E98+E103</f>
        <v>0</v>
      </c>
      <c r="F104" s="186"/>
      <c r="G104" s="187">
        <f>G98+G103</f>
        <v>0</v>
      </c>
      <c r="H104" s="188"/>
    </row>
    <row r="105" spans="1:14" s="34" customFormat="1" x14ac:dyDescent="0.3">
      <c r="A105" s="87" t="s">
        <v>56</v>
      </c>
      <c r="B105" s="87"/>
      <c r="C105" s="87"/>
      <c r="D105" s="87"/>
      <c r="E105" s="87"/>
      <c r="F105" s="87"/>
      <c r="G105" s="87"/>
      <c r="H105" s="87"/>
    </row>
    <row r="106" spans="1:14" x14ac:dyDescent="0.3">
      <c r="A106" s="148" t="s">
        <v>179</v>
      </c>
      <c r="B106" s="148"/>
      <c r="C106" s="148"/>
      <c r="D106" s="148"/>
      <c r="E106" s="148"/>
      <c r="F106" s="148"/>
      <c r="G106" s="148"/>
      <c r="H106" s="148"/>
    </row>
    <row r="107" spans="1:14" ht="47.25" hidden="1" customHeight="1" x14ac:dyDescent="0.3">
      <c r="A107" s="74" t="s">
        <v>122</v>
      </c>
      <c r="B107" s="74" t="s">
        <v>121</v>
      </c>
      <c r="C107" s="74" t="s">
        <v>57</v>
      </c>
      <c r="D107" s="74" t="s">
        <v>58</v>
      </c>
      <c r="E107" s="104" t="s">
        <v>162</v>
      </c>
      <c r="F107" s="43" t="s">
        <v>155</v>
      </c>
      <c r="G107" s="89" t="s">
        <v>60</v>
      </c>
      <c r="H107" s="106"/>
    </row>
    <row r="108" spans="1:14" s="37" customFormat="1" hidden="1" x14ac:dyDescent="0.3">
      <c r="A108" s="75"/>
      <c r="B108" s="75"/>
      <c r="C108" s="75"/>
      <c r="D108" s="75"/>
      <c r="E108" s="105"/>
      <c r="F108" s="13">
        <v>0.45</v>
      </c>
      <c r="G108" s="90"/>
      <c r="H108" s="107"/>
    </row>
    <row r="109" spans="1:14" s="37" customFormat="1" hidden="1" x14ac:dyDescent="0.3">
      <c r="A109" s="83" t="s">
        <v>119</v>
      </c>
      <c r="B109" s="84"/>
      <c r="C109" s="84"/>
      <c r="D109" s="84"/>
      <c r="E109" s="84"/>
      <c r="F109" s="84"/>
      <c r="G109" s="84"/>
      <c r="H109" s="85"/>
      <c r="J109" s="36"/>
    </row>
    <row r="110" spans="1:14" s="37" customFormat="1" hidden="1" x14ac:dyDescent="0.3">
      <c r="A110" s="57">
        <v>1</v>
      </c>
      <c r="B110" s="58"/>
      <c r="C110" s="42"/>
      <c r="D110" s="42"/>
      <c r="E110" s="42">
        <v>0</v>
      </c>
      <c r="F110" s="42">
        <f>(D110+E110)*(($F$108)+1)</f>
        <v>0</v>
      </c>
      <c r="G110" s="57" t="str">
        <f>A109</f>
        <v>Ground Floor</v>
      </c>
      <c r="H110" s="58"/>
      <c r="I110" s="36"/>
      <c r="L110" s="86"/>
      <c r="M110" s="86"/>
      <c r="N110" s="36"/>
    </row>
    <row r="111" spans="1:14" s="37" customFormat="1" hidden="1" x14ac:dyDescent="0.3">
      <c r="A111" s="57">
        <f t="shared" ref="A111:A113" si="0">A110+1</f>
        <v>2</v>
      </c>
      <c r="B111" s="58"/>
      <c r="C111" s="42"/>
      <c r="D111" s="42"/>
      <c r="E111" s="42">
        <v>0</v>
      </c>
      <c r="F111" s="42">
        <f t="shared" ref="F111:F113" si="1">(D111+E111)*(($F$108)+1)</f>
        <v>0</v>
      </c>
      <c r="G111" s="57" t="str">
        <f t="shared" ref="G111:G113" si="2">G110</f>
        <v>Ground Floor</v>
      </c>
      <c r="H111" s="58"/>
      <c r="I111" s="36"/>
      <c r="L111" s="86"/>
      <c r="M111" s="86"/>
      <c r="N111" s="36"/>
    </row>
    <row r="112" spans="1:14" s="37" customFormat="1" hidden="1" x14ac:dyDescent="0.3">
      <c r="A112" s="57">
        <f t="shared" si="0"/>
        <v>3</v>
      </c>
      <c r="B112" s="58"/>
      <c r="C112" s="42"/>
      <c r="D112" s="42"/>
      <c r="E112" s="42">
        <v>0</v>
      </c>
      <c r="F112" s="42">
        <f t="shared" si="1"/>
        <v>0</v>
      </c>
      <c r="G112" s="57" t="str">
        <f t="shared" si="2"/>
        <v>Ground Floor</v>
      </c>
      <c r="H112" s="58"/>
      <c r="I112" s="36"/>
      <c r="L112" s="86"/>
      <c r="M112" s="86"/>
      <c r="N112" s="36"/>
    </row>
    <row r="113" spans="1:14" s="37" customFormat="1" hidden="1" x14ac:dyDescent="0.3">
      <c r="A113" s="57">
        <f t="shared" si="0"/>
        <v>4</v>
      </c>
      <c r="B113" s="58"/>
      <c r="C113" s="42"/>
      <c r="D113" s="42"/>
      <c r="E113" s="42">
        <v>0</v>
      </c>
      <c r="F113" s="42">
        <f t="shared" si="1"/>
        <v>0</v>
      </c>
      <c r="G113" s="57" t="str">
        <f t="shared" si="2"/>
        <v>Ground Floor</v>
      </c>
      <c r="H113" s="58"/>
      <c r="I113" s="36"/>
      <c r="L113" s="86"/>
      <c r="M113" s="86"/>
      <c r="N113" s="36"/>
    </row>
    <row r="114" spans="1:14" s="37" customFormat="1" hidden="1" x14ac:dyDescent="0.3">
      <c r="A114" s="57"/>
      <c r="B114" s="88"/>
      <c r="C114" s="88"/>
      <c r="D114" s="88"/>
      <c r="E114" s="88"/>
      <c r="F114" s="88"/>
      <c r="G114" s="88"/>
      <c r="H114" s="58"/>
      <c r="I114" s="36"/>
      <c r="N114" s="36"/>
    </row>
    <row r="115" spans="1:14" ht="47.25" customHeight="1" x14ac:dyDescent="0.3">
      <c r="A115" s="89" t="s">
        <v>123</v>
      </c>
      <c r="B115" s="89" t="s">
        <v>124</v>
      </c>
      <c r="C115" s="74" t="s">
        <v>57</v>
      </c>
      <c r="D115" s="74" t="s">
        <v>58</v>
      </c>
      <c r="E115" s="104" t="s">
        <v>59</v>
      </c>
      <c r="F115" s="43" t="s">
        <v>155</v>
      </c>
      <c r="G115" s="89" t="s">
        <v>60</v>
      </c>
      <c r="H115" s="106"/>
      <c r="I115" s="36"/>
    </row>
    <row r="116" spans="1:14" s="37" customFormat="1" x14ac:dyDescent="0.3">
      <c r="A116" s="90"/>
      <c r="B116" s="90"/>
      <c r="C116" s="75"/>
      <c r="D116" s="75"/>
      <c r="E116" s="105"/>
      <c r="F116" s="13">
        <v>0.5</v>
      </c>
      <c r="G116" s="90"/>
      <c r="H116" s="107"/>
      <c r="I116" s="36"/>
    </row>
    <row r="117" spans="1:14" s="37" customFormat="1" x14ac:dyDescent="0.3">
      <c r="A117" s="83" t="s">
        <v>210</v>
      </c>
      <c r="B117" s="84"/>
      <c r="C117" s="84"/>
      <c r="D117" s="84"/>
      <c r="E117" s="84"/>
      <c r="F117" s="84"/>
      <c r="G117" s="84"/>
      <c r="H117" s="85"/>
      <c r="J117" s="36"/>
    </row>
    <row r="118" spans="1:14" s="37" customFormat="1" x14ac:dyDescent="0.3">
      <c r="A118" s="83" t="s">
        <v>211</v>
      </c>
      <c r="B118" s="84"/>
      <c r="C118" s="84"/>
      <c r="D118" s="84"/>
      <c r="E118" s="84"/>
      <c r="F118" s="84"/>
      <c r="G118" s="84"/>
      <c r="H118" s="85"/>
      <c r="J118" s="56">
        <f>10.764</f>
        <v>10.763999999999999</v>
      </c>
    </row>
    <row r="119" spans="1:14" s="37" customFormat="1" ht="15.75" customHeight="1" x14ac:dyDescent="0.3">
      <c r="A119" s="57">
        <v>1</v>
      </c>
      <c r="B119" s="58"/>
      <c r="C119" s="55">
        <v>2</v>
      </c>
      <c r="D119" s="56">
        <f>(53.379)*(10.764)</f>
        <v>574.57155599999999</v>
      </c>
      <c r="E119" s="42">
        <v>0</v>
      </c>
      <c r="F119" s="42">
        <f>D119*(($F$116)+1)+(IF(E119&lt;101,E119,IF(E119&lt;201,E119/2,IF(E119&lt;=301,E119/3,E119/4))))</f>
        <v>861.85733400000004</v>
      </c>
      <c r="G119" s="77" t="str">
        <f>A118</f>
        <v>1st to 7th, 9th &amp; 10th Floor For Residential</v>
      </c>
      <c r="H119" s="78"/>
      <c r="I119" s="36"/>
      <c r="J119" s="37">
        <f>3*5.46+2.25*2.41+3.039*3.45+2.779*3.325+2*(1.2*2.1)+1.2*0.7+2.25*1.2</f>
        <v>50.107225000000007</v>
      </c>
      <c r="K119" s="37">
        <f>0.75*3+2.25+3.039</f>
        <v>7.5389999999999997</v>
      </c>
      <c r="L119" s="86">
        <f>9562500/F119</f>
        <v>11095.223794893182</v>
      </c>
      <c r="M119" s="86"/>
      <c r="N119" s="36" t="s">
        <v>221</v>
      </c>
    </row>
    <row r="120" spans="1:14" s="37" customFormat="1" ht="15.75" customHeight="1" x14ac:dyDescent="0.3">
      <c r="A120" s="57">
        <f t="shared" ref="A120:A123" si="3">A119+1</f>
        <v>2</v>
      </c>
      <c r="B120" s="58"/>
      <c r="C120" s="55">
        <v>1</v>
      </c>
      <c r="D120" s="56">
        <f>(36.698)*(10.764)</f>
        <v>395.01727199999999</v>
      </c>
      <c r="E120" s="42">
        <v>0</v>
      </c>
      <c r="F120" s="42">
        <f>D120*(($F$116)+1)+(IF(E120&lt;101,E120,IF(E120&lt;201,E120/2,IF(E120&lt;=301,E120/3,E120/4))))</f>
        <v>592.52590799999996</v>
      </c>
      <c r="G120" s="79"/>
      <c r="H120" s="80"/>
      <c r="I120" s="36"/>
      <c r="L120" s="86">
        <v>8500</v>
      </c>
      <c r="M120" s="86"/>
      <c r="N120" s="36" t="s">
        <v>220</v>
      </c>
    </row>
    <row r="121" spans="1:14" s="37" customFormat="1" ht="15.75" customHeight="1" x14ac:dyDescent="0.3">
      <c r="A121" s="57">
        <f t="shared" si="3"/>
        <v>3</v>
      </c>
      <c r="B121" s="58"/>
      <c r="C121" s="55">
        <v>1</v>
      </c>
      <c r="D121" s="56">
        <f>(35.24)*(10.764)</f>
        <v>379.32335999999998</v>
      </c>
      <c r="E121" s="42">
        <v>0</v>
      </c>
      <c r="F121" s="42">
        <f>D121*(($F$116)+1)+(IF(E121&lt;101,E121,IF(E121&lt;201,E121/2,IF(E121&lt;=301,E121/3,E121/4))))</f>
        <v>568.98504000000003</v>
      </c>
      <c r="G121" s="79"/>
      <c r="H121" s="80"/>
      <c r="I121" s="36"/>
      <c r="J121" s="37">
        <f>4.268*2.9+2.45*2.14+3.055*2.9+1.2*1.95+1.95*1.2+2.14*0.9+1.2*0.3</f>
        <v>33.445699999999995</v>
      </c>
      <c r="K121" s="37">
        <f>2.75*1.95</f>
        <v>5.3624999999999998</v>
      </c>
      <c r="L121" s="86"/>
      <c r="M121" s="86"/>
      <c r="N121" s="36"/>
    </row>
    <row r="122" spans="1:14" s="37" customFormat="1" ht="15.75" customHeight="1" x14ac:dyDescent="0.3">
      <c r="A122" s="57">
        <f t="shared" si="3"/>
        <v>4</v>
      </c>
      <c r="B122" s="58"/>
      <c r="C122" s="55">
        <v>1</v>
      </c>
      <c r="D122" s="56">
        <f>(35.24)*(10.764)</f>
        <v>379.32335999999998</v>
      </c>
      <c r="E122" s="42">
        <v>0</v>
      </c>
      <c r="F122" s="42">
        <f>D122*(($F$116)+1)+(IF(E122&lt;101,E122,IF(E122&lt;201,E122/2,IF(E122&lt;=301,E122/3,E122/4))))</f>
        <v>568.98504000000003</v>
      </c>
      <c r="G122" s="79"/>
      <c r="H122" s="80"/>
      <c r="I122" s="36"/>
      <c r="L122" s="86"/>
      <c r="M122" s="86"/>
      <c r="N122" s="36"/>
    </row>
    <row r="123" spans="1:14" s="37" customFormat="1" ht="15.75" customHeight="1" x14ac:dyDescent="0.3">
      <c r="A123" s="57">
        <f t="shared" si="3"/>
        <v>5</v>
      </c>
      <c r="B123" s="58"/>
      <c r="C123" s="55">
        <v>1</v>
      </c>
      <c r="D123" s="56">
        <f>(29.905+5.158)*(10.764)</f>
        <v>377.41813200000001</v>
      </c>
      <c r="E123" s="42">
        <v>0</v>
      </c>
      <c r="F123" s="42">
        <f>D123*(($F$116)+1)+(IF(E123&lt;101,E123,IF(E123&lt;201,E123/2,IF(E123&lt;=301,E123/3,E123/4))))</f>
        <v>566.12719800000002</v>
      </c>
      <c r="G123" s="81"/>
      <c r="H123" s="82"/>
      <c r="I123" s="36"/>
      <c r="L123" s="86">
        <f>8500*F119</f>
        <v>7325787.3390000006</v>
      </c>
      <c r="M123" s="86"/>
      <c r="N123" s="36"/>
    </row>
    <row r="124" spans="1:14" s="37" customFormat="1" x14ac:dyDescent="0.3">
      <c r="A124" s="83" t="s">
        <v>212</v>
      </c>
      <c r="B124" s="84"/>
      <c r="C124" s="84"/>
      <c r="D124" s="84"/>
      <c r="E124" s="84"/>
      <c r="F124" s="84"/>
      <c r="G124" s="84"/>
      <c r="H124" s="85"/>
      <c r="J124" s="36"/>
    </row>
    <row r="125" spans="1:14" s="37" customFormat="1" ht="15.75" customHeight="1" x14ac:dyDescent="0.3">
      <c r="A125" s="57">
        <v>1</v>
      </c>
      <c r="B125" s="58"/>
      <c r="C125" s="55">
        <v>2</v>
      </c>
      <c r="D125" s="56">
        <f>(53.379)*(10.764)</f>
        <v>574.57155599999999</v>
      </c>
      <c r="E125" s="42">
        <v>0</v>
      </c>
      <c r="F125" s="42">
        <f>D125*(($F$116)+1)+(IF(E125&lt;101,E125,IF(E125&lt;201,E125/2,IF(E125&lt;=301,E125/3,E125/4))))</f>
        <v>861.85733400000004</v>
      </c>
      <c r="G125" s="77" t="str">
        <f>A124</f>
        <v>8th Floor (Part Refuge Area at Mid landing)</v>
      </c>
      <c r="H125" s="78"/>
      <c r="I125" s="36"/>
      <c r="L125" s="86"/>
      <c r="M125" s="86"/>
      <c r="N125" s="36"/>
    </row>
    <row r="126" spans="1:14" s="37" customFormat="1" ht="15.75" customHeight="1" x14ac:dyDescent="0.3">
      <c r="A126" s="57">
        <f t="shared" ref="A126:A129" si="4">A125+1</f>
        <v>2</v>
      </c>
      <c r="B126" s="58"/>
      <c r="C126" s="55">
        <v>1</v>
      </c>
      <c r="D126" s="56">
        <f>(36.698)*(10.764)</f>
        <v>395.01727199999999</v>
      </c>
      <c r="E126" s="42">
        <v>0</v>
      </c>
      <c r="F126" s="42">
        <f>D126*(($F$116)+1)+(IF(E126&lt;101,E126,IF(E126&lt;201,E126/2,IF(E126&lt;=301,E126/3,E126/4))))</f>
        <v>592.52590799999996</v>
      </c>
      <c r="G126" s="79"/>
      <c r="H126" s="80"/>
      <c r="I126" s="36"/>
      <c r="L126" s="86"/>
      <c r="M126" s="86"/>
      <c r="N126" s="36"/>
    </row>
    <row r="127" spans="1:14" s="37" customFormat="1" ht="15.75" customHeight="1" x14ac:dyDescent="0.3">
      <c r="A127" s="57">
        <f t="shared" si="4"/>
        <v>3</v>
      </c>
      <c r="B127" s="58"/>
      <c r="C127" s="55">
        <v>1</v>
      </c>
      <c r="D127" s="56">
        <f>(35.24)*(10.764)</f>
        <v>379.32335999999998</v>
      </c>
      <c r="E127" s="42">
        <v>0</v>
      </c>
      <c r="F127" s="42">
        <f>D127*(($F$116)+1)+(IF(E127&lt;101,E127,IF(E127&lt;201,E127/2,IF(E127&lt;=301,E127/3,E127/4))))</f>
        <v>568.98504000000003</v>
      </c>
      <c r="G127" s="79"/>
      <c r="H127" s="80"/>
      <c r="I127" s="36"/>
      <c r="L127" s="86"/>
      <c r="M127" s="86"/>
      <c r="N127" s="36"/>
    </row>
    <row r="128" spans="1:14" s="37" customFormat="1" ht="15.75" customHeight="1" x14ac:dyDescent="0.3">
      <c r="A128" s="57">
        <f t="shared" si="4"/>
        <v>4</v>
      </c>
      <c r="B128" s="58"/>
      <c r="C128" s="55">
        <v>1</v>
      </c>
      <c r="D128" s="56">
        <f>(35.24)*(10.764)</f>
        <v>379.32335999999998</v>
      </c>
      <c r="E128" s="42">
        <v>0</v>
      </c>
      <c r="F128" s="42">
        <f>D128*(($F$116)+1)+(IF(E128&lt;101,E128,IF(E128&lt;201,E128/2,IF(E128&lt;=301,E128/3,E128/4))))</f>
        <v>568.98504000000003</v>
      </c>
      <c r="G128" s="79"/>
      <c r="H128" s="80"/>
      <c r="I128" s="36"/>
      <c r="L128" s="86"/>
      <c r="M128" s="86"/>
      <c r="N128" s="36"/>
    </row>
    <row r="129" spans="1:14" s="37" customFormat="1" ht="15.75" customHeight="1" x14ac:dyDescent="0.3">
      <c r="A129" s="57">
        <f t="shared" si="4"/>
        <v>5</v>
      </c>
      <c r="B129" s="58"/>
      <c r="C129" s="55">
        <v>1</v>
      </c>
      <c r="D129" s="56">
        <f>(29.905+5.158)*(10.764)</f>
        <v>377.41813200000001</v>
      </c>
      <c r="E129" s="42">
        <v>0</v>
      </c>
      <c r="F129" s="42">
        <f>D129*(($F$116)+1)+(IF(E129&lt;101,E129,IF(E129&lt;201,E129/2,IF(E129&lt;=301,E129/3,E129/4))))</f>
        <v>566.12719800000002</v>
      </c>
      <c r="G129" s="81"/>
      <c r="H129" s="82"/>
      <c r="I129" s="36"/>
      <c r="L129" s="86"/>
      <c r="M129" s="86"/>
      <c r="N129" s="36"/>
    </row>
    <row r="130" spans="1:14" s="37" customFormat="1" x14ac:dyDescent="0.3">
      <c r="A130" s="83" t="s">
        <v>213</v>
      </c>
      <c r="B130" s="84"/>
      <c r="C130" s="84"/>
      <c r="D130" s="84"/>
      <c r="E130" s="84"/>
      <c r="F130" s="84"/>
      <c r="G130" s="84"/>
      <c r="H130" s="85"/>
      <c r="J130" s="36"/>
    </row>
    <row r="131" spans="1:14" s="37" customFormat="1" ht="15.75" customHeight="1" x14ac:dyDescent="0.3">
      <c r="A131" s="57">
        <v>1</v>
      </c>
      <c r="B131" s="58"/>
      <c r="C131" s="55">
        <v>2</v>
      </c>
      <c r="D131" s="56">
        <f>(52.257)*(10.764)</f>
        <v>562.49434799999995</v>
      </c>
      <c r="E131" s="42">
        <v>0</v>
      </c>
      <c r="F131" s="42">
        <f>D131*(($F$116)+1)+(IF(E131&lt;101,E131,IF(E131&lt;201,E131/2,IF(E131&lt;=301,E131/3,E131/4))))</f>
        <v>843.74152199999992</v>
      </c>
      <c r="G131" s="77" t="str">
        <f>A130</f>
        <v>11th Floor</v>
      </c>
      <c r="H131" s="78"/>
      <c r="I131" s="36"/>
      <c r="L131" s="86"/>
      <c r="M131" s="86"/>
      <c r="N131" s="36"/>
    </row>
    <row r="132" spans="1:14" s="37" customFormat="1" ht="15.75" customHeight="1" x14ac:dyDescent="0.3">
      <c r="A132" s="57">
        <f t="shared" ref="A132:A135" si="5">A131+1</f>
        <v>2</v>
      </c>
      <c r="B132" s="58"/>
      <c r="C132" s="55">
        <v>1</v>
      </c>
      <c r="D132" s="56">
        <f>(36.698)*(10.764)</f>
        <v>395.01727199999999</v>
      </c>
      <c r="E132" s="42">
        <v>0</v>
      </c>
      <c r="F132" s="42">
        <f>D132*(($F$116)+1)+(IF(E132&lt;101,E132,IF(E132&lt;201,E132/2,IF(E132&lt;=301,E132/3,E132/4))))</f>
        <v>592.52590799999996</v>
      </c>
      <c r="G132" s="79"/>
      <c r="H132" s="80"/>
      <c r="I132" s="36"/>
      <c r="L132" s="86"/>
      <c r="M132" s="86"/>
      <c r="N132" s="36"/>
    </row>
    <row r="133" spans="1:14" s="37" customFormat="1" ht="15.75" customHeight="1" x14ac:dyDescent="0.3">
      <c r="A133" s="57">
        <f t="shared" si="5"/>
        <v>3</v>
      </c>
      <c r="B133" s="58"/>
      <c r="C133" s="55">
        <v>1</v>
      </c>
      <c r="D133" s="56">
        <f>(35.24)*(10.764)</f>
        <v>379.32335999999998</v>
      </c>
      <c r="E133" s="42">
        <v>0</v>
      </c>
      <c r="F133" s="42">
        <f>D133*(($F$116)+1)+(IF(E133&lt;101,E133,IF(E133&lt;201,E133/2,IF(E133&lt;=301,E133/3,E133/4))))</f>
        <v>568.98504000000003</v>
      </c>
      <c r="G133" s="79"/>
      <c r="H133" s="80"/>
      <c r="I133" s="36"/>
      <c r="L133" s="86"/>
      <c r="M133" s="86"/>
      <c r="N133" s="36"/>
    </row>
    <row r="134" spans="1:14" s="37" customFormat="1" ht="15.75" customHeight="1" x14ac:dyDescent="0.3">
      <c r="A134" s="57">
        <f t="shared" si="5"/>
        <v>4</v>
      </c>
      <c r="B134" s="58"/>
      <c r="C134" s="55">
        <v>1</v>
      </c>
      <c r="D134" s="56">
        <f>(35.24)*(10.764)</f>
        <v>379.32335999999998</v>
      </c>
      <c r="E134" s="42">
        <v>0</v>
      </c>
      <c r="F134" s="42">
        <f>D134*(($F$116)+1)+(IF(E134&lt;101,E134,IF(E134&lt;201,E134/2,IF(E134&lt;=301,E134/3,E134/4))))</f>
        <v>568.98504000000003</v>
      </c>
      <c r="G134" s="79"/>
      <c r="H134" s="80"/>
      <c r="I134" s="36"/>
      <c r="L134" s="86"/>
      <c r="M134" s="86"/>
      <c r="N134" s="36"/>
    </row>
    <row r="135" spans="1:14" s="37" customFormat="1" ht="15.75" customHeight="1" x14ac:dyDescent="0.3">
      <c r="A135" s="57">
        <f t="shared" si="5"/>
        <v>5</v>
      </c>
      <c r="B135" s="58"/>
      <c r="C135" s="55">
        <v>1</v>
      </c>
      <c r="D135" s="56">
        <f>(29.905+5.158)*(10.764)</f>
        <v>377.41813200000001</v>
      </c>
      <c r="E135" s="42">
        <v>0</v>
      </c>
      <c r="F135" s="42">
        <f>D135*(($F$116)+1)+(IF(E135&lt;101,E135,IF(E135&lt;201,E135/2,IF(E135&lt;=301,E135/3,E135/4))))</f>
        <v>566.12719800000002</v>
      </c>
      <c r="G135" s="81"/>
      <c r="H135" s="82"/>
      <c r="I135" s="36"/>
      <c r="L135" s="86"/>
      <c r="M135" s="86"/>
      <c r="N135" s="36"/>
    </row>
    <row r="136" spans="1:14" s="37" customFormat="1" hidden="1" x14ac:dyDescent="0.3">
      <c r="A136" s="83" t="s">
        <v>119</v>
      </c>
      <c r="B136" s="84"/>
      <c r="C136" s="84"/>
      <c r="D136" s="84"/>
      <c r="E136" s="84"/>
      <c r="F136" s="84"/>
      <c r="G136" s="84"/>
      <c r="H136" s="85"/>
      <c r="J136" s="36"/>
    </row>
    <row r="137" spans="1:14" s="37" customFormat="1" hidden="1" x14ac:dyDescent="0.3">
      <c r="A137" s="57">
        <v>1</v>
      </c>
      <c r="B137" s="58"/>
      <c r="C137" s="55">
        <v>2</v>
      </c>
      <c r="D137" s="42"/>
      <c r="E137" s="42">
        <v>0</v>
      </c>
      <c r="F137" s="42">
        <f>D137*(($F$116)+1)+(IF(E137&lt;101,E137,IF(E137&lt;201,E137/2,IF(E137&lt;=301,E137/3,E137/4))))</f>
        <v>0</v>
      </c>
      <c r="G137" s="57" t="str">
        <f>A136</f>
        <v>Ground Floor</v>
      </c>
      <c r="H137" s="58"/>
      <c r="I137" s="36"/>
      <c r="L137" s="86"/>
      <c r="M137" s="86"/>
      <c r="N137" s="36"/>
    </row>
    <row r="138" spans="1:14" s="37" customFormat="1" hidden="1" x14ac:dyDescent="0.3">
      <c r="A138" s="57">
        <f t="shared" ref="A138:A141" si="6">A137+1</f>
        <v>2</v>
      </c>
      <c r="B138" s="58"/>
      <c r="C138" s="55">
        <v>2</v>
      </c>
      <c r="D138" s="42"/>
      <c r="E138" s="42">
        <v>0</v>
      </c>
      <c r="F138" s="42">
        <f>D138*(($F$116)+1)+(IF(E138&lt;101,E138,IF(E138&lt;201,E138/2,IF(E138&lt;=301,E138/3,E138/4))))</f>
        <v>0</v>
      </c>
      <c r="G138" s="57" t="str">
        <f t="shared" ref="G138:G141" si="7">G137</f>
        <v>Ground Floor</v>
      </c>
      <c r="H138" s="58"/>
      <c r="I138" s="36"/>
      <c r="L138" s="86"/>
      <c r="M138" s="86"/>
      <c r="N138" s="36"/>
    </row>
    <row r="139" spans="1:14" s="37" customFormat="1" hidden="1" x14ac:dyDescent="0.3">
      <c r="A139" s="57">
        <f t="shared" si="6"/>
        <v>3</v>
      </c>
      <c r="B139" s="58"/>
      <c r="C139" s="55">
        <v>2</v>
      </c>
      <c r="D139" s="42"/>
      <c r="E139" s="42">
        <v>0</v>
      </c>
      <c r="F139" s="42">
        <f>D139*(($F$116)+1)+(IF(E139&lt;101,E139,IF(E139&lt;201,E139/2,IF(E139&lt;=301,E139/3,E139/4))))</f>
        <v>0</v>
      </c>
      <c r="G139" s="57" t="str">
        <f t="shared" si="7"/>
        <v>Ground Floor</v>
      </c>
      <c r="H139" s="58"/>
      <c r="I139" s="36"/>
      <c r="L139" s="86"/>
      <c r="M139" s="86"/>
      <c r="N139" s="36"/>
    </row>
    <row r="140" spans="1:14" s="37" customFormat="1" hidden="1" x14ac:dyDescent="0.3">
      <c r="A140" s="57">
        <f t="shared" si="6"/>
        <v>4</v>
      </c>
      <c r="B140" s="58"/>
      <c r="C140" s="55">
        <v>2</v>
      </c>
      <c r="D140" s="42"/>
      <c r="E140" s="42">
        <v>0</v>
      </c>
      <c r="F140" s="42">
        <f>D140*(($F$116)+1)+(IF(E140&lt;101,E140,IF(E140&lt;201,E140/2,IF(E140&lt;=301,E140/3,E140/4))))</f>
        <v>0</v>
      </c>
      <c r="G140" s="57" t="str">
        <f t="shared" si="7"/>
        <v>Ground Floor</v>
      </c>
      <c r="H140" s="58"/>
      <c r="I140" s="36"/>
      <c r="L140" s="86"/>
      <c r="M140" s="86"/>
      <c r="N140" s="36"/>
    </row>
    <row r="141" spans="1:14" s="37" customFormat="1" hidden="1" x14ac:dyDescent="0.3">
      <c r="A141" s="57">
        <f t="shared" si="6"/>
        <v>5</v>
      </c>
      <c r="B141" s="58"/>
      <c r="C141" s="55">
        <v>2</v>
      </c>
      <c r="D141" s="42"/>
      <c r="E141" s="42">
        <v>0</v>
      </c>
      <c r="F141" s="42">
        <f>D141*(($F$116)+1)+(IF(E141&lt;101,E141,IF(E141&lt;201,E141/2,IF(E141&lt;=301,E141/3,E141/4))))</f>
        <v>0</v>
      </c>
      <c r="G141" s="57" t="str">
        <f t="shared" si="7"/>
        <v>Ground Floor</v>
      </c>
      <c r="H141" s="58"/>
      <c r="I141" s="36"/>
      <c r="L141" s="86"/>
      <c r="M141" s="86"/>
      <c r="N141" s="36"/>
    </row>
    <row r="142" spans="1:14" s="37" customFormat="1" hidden="1" x14ac:dyDescent="0.3">
      <c r="A142" s="153" t="s">
        <v>120</v>
      </c>
      <c r="B142" s="153"/>
      <c r="C142" s="153"/>
      <c r="D142" s="153"/>
      <c r="E142" s="153"/>
      <c r="F142" s="153"/>
      <c r="G142" s="153"/>
      <c r="H142" s="153"/>
      <c r="I142" s="36"/>
      <c r="L142" s="86"/>
      <c r="M142" s="86"/>
    </row>
    <row r="143" spans="1:14" s="37" customFormat="1" hidden="1" x14ac:dyDescent="0.3">
      <c r="A143" s="73">
        <f>LEFT(A142,SUM(LEN(A142)-LEN(SUBSTITUTE(A142,{"0","1","2","3","4","5","6","7","8","9"},""))))*100+1</f>
        <v>201</v>
      </c>
      <c r="B143" s="73"/>
      <c r="C143" s="42"/>
      <c r="D143" s="42"/>
      <c r="E143" s="42">
        <v>0</v>
      </c>
      <c r="F143" s="42">
        <f t="shared" ref="F143:F144" si="8">D143*(($F$116)+1)+(IF(E143&lt;101,E143,IF(E143&lt;201,E143/2,IF(E143&lt;=301,E143/3,E143/4))))</f>
        <v>0</v>
      </c>
      <c r="G143" s="73" t="str">
        <f>A142</f>
        <v>2nd Floor</v>
      </c>
      <c r="H143" s="73"/>
      <c r="I143" s="36"/>
      <c r="N143" s="36"/>
    </row>
    <row r="144" spans="1:14" s="37" customFormat="1" hidden="1" x14ac:dyDescent="0.3">
      <c r="A144" s="73">
        <f>A143+1</f>
        <v>202</v>
      </c>
      <c r="B144" s="73"/>
      <c r="C144" s="42"/>
      <c r="D144" s="42"/>
      <c r="E144" s="42">
        <v>0</v>
      </c>
      <c r="F144" s="42">
        <f t="shared" si="8"/>
        <v>0</v>
      </c>
      <c r="G144" s="73" t="str">
        <f>G143</f>
        <v>2nd Floor</v>
      </c>
      <c r="H144" s="73"/>
      <c r="I144" s="36"/>
      <c r="N144" s="36"/>
    </row>
    <row r="145" spans="1:14" s="37" customFormat="1" hidden="1" x14ac:dyDescent="0.3">
      <c r="A145" s="73">
        <f>A144+1</f>
        <v>203</v>
      </c>
      <c r="B145" s="73"/>
      <c r="C145" s="42"/>
      <c r="D145" s="42"/>
      <c r="E145" s="42">
        <v>0</v>
      </c>
      <c r="F145" s="42">
        <f>D145*(($F$116)+1)+(IF(E145&lt;101,E145,IF(E145&lt;201,E145/2,IF(E145&lt;=301,E145/3,E145/4))))</f>
        <v>0</v>
      </c>
      <c r="G145" s="73" t="str">
        <f>G144</f>
        <v>2nd Floor</v>
      </c>
      <c r="H145" s="73"/>
      <c r="I145" s="36"/>
      <c r="N145" s="36"/>
    </row>
    <row r="146" spans="1:14" s="37" customFormat="1" hidden="1" x14ac:dyDescent="0.3">
      <c r="A146" s="73">
        <f>A145+1</f>
        <v>204</v>
      </c>
      <c r="B146" s="73"/>
      <c r="C146" s="42"/>
      <c r="D146" s="42"/>
      <c r="E146" s="42">
        <v>0</v>
      </c>
      <c r="F146" s="42">
        <f>D146*(($F$116)+1)+(IF(E146&lt;101,E146,IF(E146&lt;201,E146/2,IF(E146&lt;=301,E146/3,E146/4))))</f>
        <v>0</v>
      </c>
      <c r="G146" s="73" t="str">
        <f>G145</f>
        <v>2nd Floor</v>
      </c>
      <c r="H146" s="73"/>
      <c r="I146" s="36"/>
      <c r="N146" s="36"/>
    </row>
    <row r="147" spans="1:14" s="37" customFormat="1" hidden="1" x14ac:dyDescent="0.3">
      <c r="A147" s="73">
        <f>A146+1</f>
        <v>205</v>
      </c>
      <c r="B147" s="73"/>
      <c r="C147" s="42"/>
      <c r="D147" s="42"/>
      <c r="E147" s="42">
        <v>0</v>
      </c>
      <c r="F147" s="42">
        <f>D147*(($F$116)+1)+(IF(E147&lt;101,E147,IF(E147&lt;201,E147/2,IF(E147&lt;=301,E147/3,E147/4))))</f>
        <v>0</v>
      </c>
      <c r="G147" s="73" t="str">
        <f>G146</f>
        <v>2nd Floor</v>
      </c>
      <c r="H147" s="73"/>
      <c r="I147" s="36"/>
      <c r="N147" s="36"/>
    </row>
    <row r="148" spans="1:14" s="37" customFormat="1" ht="15.75" hidden="1" customHeight="1" x14ac:dyDescent="0.3">
      <c r="A148" s="83" t="s">
        <v>156</v>
      </c>
      <c r="B148" s="84"/>
      <c r="C148" s="84"/>
      <c r="D148" s="84"/>
      <c r="E148" s="84"/>
      <c r="F148" s="84"/>
      <c r="G148" s="84"/>
      <c r="H148" s="85"/>
      <c r="I148" s="36"/>
    </row>
    <row r="149" spans="1:14" s="37" customFormat="1" hidden="1" x14ac:dyDescent="0.3">
      <c r="A149" s="57" t="str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10^ROW(INDIRECT("1:"&amp;LEN((LEFT(A148,SUM(LEN(A148)-LEN(SUBSTITUTE(A148,{"0","1","2"},""))))))))/10))*100+1&amp;""&amp;" ,.., "&amp;""&amp;(SUMPRODUCT(MID(0&amp;(--TRIM(RIGHT(SUBSTITUTE(LEFT(A148,_xlfn.AGGREGATE(16,6,FIND({0,1,2,3,4,5,6,7,8,9},A148,ROW(INDIRECT("1:"&amp;LEN(A148)))),1)),"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",LEN(A148))),LEN(A148)))))))/10))*100+1</f>
        <v>301 ,.., 1501</v>
      </c>
      <c r="B149" s="58"/>
      <c r="C149" s="42"/>
      <c r="D149" s="42"/>
      <c r="E149" s="42">
        <v>0</v>
      </c>
      <c r="F149" s="42">
        <f>D149*(($F$116)+1)+(IF(E149&lt;101,E149,IF(E149&lt;201,E149/2,IF(E149&lt;=301,E149/3,E149/4))))</f>
        <v>0</v>
      </c>
      <c r="G149" s="57" t="str">
        <f>A148</f>
        <v>3rd, 5th, 7th, 9th, 11th, 13th, 15th Floor</v>
      </c>
      <c r="H149" s="58"/>
      <c r="I149" s="36"/>
    </row>
    <row r="150" spans="1:14" s="37" customFormat="1" hidden="1" x14ac:dyDescent="0.3">
      <c r="A150" s="57" t="str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10^ROW(INDIRECT("1:"&amp;LEN((LEFT(A149,SUM(LEN(A149)-LEN(SUBSTITUTE(A149,{"0","1","2"},""))))))))/10))*1+1&amp;""&amp;" ,.., "&amp;""&amp;(SUMPRODUCT(MID(0&amp;(--TRIM(RIGHT(SUBSTITUTE(LEFT(A149,_xlfn.AGGREGATE(16,6,FIND({0,1,2,3,4,5,6,7,8,9},A149,ROW(INDIRECT("1:"&amp;LEN(A149)))),1)),"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",LEN(A149))),LEN(A149)))))))/10))*1+1</f>
        <v>302 ,.., 1502</v>
      </c>
      <c r="B150" s="58"/>
      <c r="C150" s="42"/>
      <c r="D150" s="42"/>
      <c r="E150" s="42">
        <v>0</v>
      </c>
      <c r="F150" s="42">
        <f>D150*(($F$116)+1)+(IF(E150&lt;101,E150,IF(E150&lt;201,E150/2,IF(E150&lt;=301,E150/3,E150/4))))</f>
        <v>0</v>
      </c>
      <c r="G150" s="57" t="str">
        <f>G149</f>
        <v>3rd, 5th, 7th, 9th, 11th, 13th, 15th Floor</v>
      </c>
      <c r="H150" s="58"/>
      <c r="I150" s="36"/>
    </row>
    <row r="151" spans="1:14" s="37" customFormat="1" ht="15.75" hidden="1" customHeight="1" x14ac:dyDescent="0.3">
      <c r="A151" s="57" t="str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10^ROW(INDIRECT("1:"&amp;LEN((LEFT(A150,SUM(LEN(A150)-LEN(SUBSTITUTE(A150,{"0","1","2"},""))))))))/10))*1+1&amp;""&amp;" ,.., "&amp;""&amp;(SUMPRODUCT(MID(0&amp;(--TRIM(RIGHT(SUBSTITUTE(LEFT(A150,_xlfn.AGGREGATE(16,6,FIND({0,1,2,3,4,5,6,7,8,9},A150,ROW(INDIRECT("1:"&amp;LEN(A150)))),1)),"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",LEN(A150))),LEN(A150)))))))/10))*1+1</f>
        <v>303 ,.., 1503</v>
      </c>
      <c r="B151" s="58"/>
      <c r="C151" s="42"/>
      <c r="D151" s="42"/>
      <c r="E151" s="42">
        <v>0</v>
      </c>
      <c r="F151" s="42">
        <f>D151*(($F$116)+1)+(IF(E151&lt;101,E151,IF(E151&lt;201,E151/2,IF(E151&lt;=301,E151/3,E151/4))))</f>
        <v>0</v>
      </c>
      <c r="G151" s="57" t="str">
        <f>G150</f>
        <v>3rd, 5th, 7th, 9th, 11th, 13th, 15th Floor</v>
      </c>
      <c r="H151" s="58"/>
      <c r="I151" s="36"/>
    </row>
    <row r="152" spans="1:14" s="37" customFormat="1" ht="15.75" hidden="1" customHeight="1" x14ac:dyDescent="0.3">
      <c r="A152" s="57" t="str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10^ROW(INDIRECT("1:"&amp;LEN((LEFT(A151,SUM(LEN(A151)-LEN(SUBSTITUTE(A151,{"0","1","2"},""))))))))/10))*1+1&amp;""&amp;" ,.., "&amp;""&amp;(SUMPRODUCT(MID(0&amp;(--TRIM(RIGHT(SUBSTITUTE(LEFT(A151,_xlfn.AGGREGATE(16,6,FIND({0,1,2,3,4,5,6,7,8,9},A151,ROW(INDIRECT("1:"&amp;LEN(A151)))),1)),"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",LEN(A151))),LEN(A151)))))))/10))*1+1</f>
        <v>304 ,.., 1504</v>
      </c>
      <c r="B152" s="58"/>
      <c r="C152" s="42"/>
      <c r="D152" s="42"/>
      <c r="E152" s="42">
        <v>0</v>
      </c>
      <c r="F152" s="42">
        <f>D152*(($F$116)+1)+(IF(E152&lt;101,E152,IF(E152&lt;201,E152/2,IF(E152&lt;=301,E152/3,E152/4))))</f>
        <v>0</v>
      </c>
      <c r="G152" s="57" t="str">
        <f>G151</f>
        <v>3rd, 5th, 7th, 9th, 11th, 13th, 15th Floor</v>
      </c>
      <c r="H152" s="58"/>
      <c r="I152" s="36"/>
    </row>
    <row r="153" spans="1:14" s="37" customFormat="1" ht="15.75" hidden="1" customHeight="1" x14ac:dyDescent="0.3">
      <c r="A153" s="57" t="str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10^ROW(INDIRECT("1:"&amp;LEN((LEFT(A152,SUM(LEN(A152)-LEN(SUBSTITUTE(A152,{"0","1","2"},""))))))))/10))*1+1&amp;""&amp;" ,.., "&amp;""&amp;(SUMPRODUCT(MID(0&amp;(--TRIM(RIGHT(SUBSTITUTE(LEFT(A152,_xlfn.AGGREGATE(16,6,FIND({0,1,2,3,4,5,6,7,8,9},A152,ROW(INDIRECT("1:"&amp;LEN(A152)))),1)),"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",LEN(A152))),LEN(A152)))))))/10))*1+1</f>
        <v>305 ,.., 1505</v>
      </c>
      <c r="B153" s="58"/>
      <c r="C153" s="42"/>
      <c r="D153" s="42"/>
      <c r="E153" s="42">
        <v>0</v>
      </c>
      <c r="F153" s="42">
        <f>D153*(($F$116)+1)+(IF(E153&lt;101,E153,IF(E153&lt;201,E153/2,IF(E153&lt;=301,E153/3,E153/4))))</f>
        <v>0</v>
      </c>
      <c r="G153" s="57" t="str">
        <f>G152</f>
        <v>3rd, 5th, 7th, 9th, 11th, 13th, 15th Floor</v>
      </c>
      <c r="H153" s="58"/>
      <c r="I153" s="36"/>
    </row>
    <row r="154" spans="1:14" s="37" customFormat="1" hidden="1" x14ac:dyDescent="0.3">
      <c r="A154" s="83" t="s">
        <v>150</v>
      </c>
      <c r="B154" s="84"/>
      <c r="C154" s="84"/>
      <c r="D154" s="84"/>
      <c r="E154" s="84"/>
      <c r="F154" s="84"/>
      <c r="G154" s="84"/>
      <c r="H154" s="85"/>
      <c r="I154" s="36"/>
    </row>
    <row r="155" spans="1:14" s="37" customFormat="1" hidden="1" x14ac:dyDescent="0.3">
      <c r="A155" s="57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10^ROW(INDIRECT("1:"&amp;LEN((LEFT(A154,SUM(LEN(A154)-LEN(SUBSTITUTE(A154,{"0","1","2"},""))))))))/10))*100+1&amp;""&amp;" to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",LEN(A154))),LEN(A154)))))))/10))*100+1</f>
        <v>201 to 501</v>
      </c>
      <c r="B155" s="58"/>
      <c r="C155" s="42"/>
      <c r="D155" s="42"/>
      <c r="E155" s="42">
        <v>0</v>
      </c>
      <c r="F155" s="42">
        <f>D155*(($F$116)+1)+(IF(E155&lt;101,E155,IF(E155&lt;201,E155/2,IF(E155&lt;=301,E155/3,E155/4))))</f>
        <v>0</v>
      </c>
      <c r="G155" s="57" t="str">
        <f>A154</f>
        <v>2nd to 5th Floor</v>
      </c>
      <c r="H155" s="58"/>
      <c r="I155" s="36"/>
    </row>
    <row r="156" spans="1:14" s="37" customFormat="1" hidden="1" x14ac:dyDescent="0.3">
      <c r="A156" s="57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to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202 to 502</v>
      </c>
      <c r="B156" s="58"/>
      <c r="C156" s="42"/>
      <c r="D156" s="42"/>
      <c r="E156" s="42">
        <v>0</v>
      </c>
      <c r="F156" s="42">
        <f>D156*(($F$116)+1)+(IF(E156&lt;101,E156,IF(E156&lt;201,E156/2,IF(E156&lt;=301,E156/3,E156/4))))</f>
        <v>0</v>
      </c>
      <c r="G156" s="57" t="str">
        <f>G155</f>
        <v>2nd to 5th Floor</v>
      </c>
      <c r="H156" s="58"/>
      <c r="I156" s="36"/>
    </row>
    <row r="157" spans="1:14" s="37" customFormat="1" hidden="1" x14ac:dyDescent="0.3">
      <c r="A157" s="57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to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203 to 503</v>
      </c>
      <c r="B157" s="58"/>
      <c r="C157" s="42"/>
      <c r="D157" s="42"/>
      <c r="E157" s="42">
        <v>0</v>
      </c>
      <c r="F157" s="42">
        <f>D157*(($F$116)+1)+(IF(E157&lt;101,E157,IF(E157&lt;201,E157/2,IF(E157&lt;=301,E157/3,E157/4))))</f>
        <v>0</v>
      </c>
      <c r="G157" s="57" t="str">
        <f>G156</f>
        <v>2nd to 5th Floor</v>
      </c>
      <c r="H157" s="58"/>
      <c r="I157" s="36"/>
    </row>
    <row r="158" spans="1:14" s="37" customFormat="1" hidden="1" x14ac:dyDescent="0.3">
      <c r="A158" s="57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to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204 to 504</v>
      </c>
      <c r="B158" s="58"/>
      <c r="C158" s="42"/>
      <c r="D158" s="42"/>
      <c r="E158" s="42">
        <v>0</v>
      </c>
      <c r="F158" s="42">
        <f>D158*(($F$116)+1)+(IF(E158&lt;101,E158,IF(E158&lt;201,E158/2,IF(E158&lt;=301,E158/3,E158/4))))</f>
        <v>0</v>
      </c>
      <c r="G158" s="57" t="str">
        <f>G157</f>
        <v>2nd to 5th Floor</v>
      </c>
      <c r="H158" s="58"/>
      <c r="I158" s="36"/>
    </row>
    <row r="159" spans="1:14" s="37" customFormat="1" hidden="1" x14ac:dyDescent="0.3">
      <c r="A159" s="57" t="str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10^ROW(INDIRECT("1:"&amp;LEN((LEFT(A158,SUM(LEN(A158)-LEN(SUBSTITUTE(A158,{"0","1","2"},""))))))))/10))*1+1&amp;""&amp;" to "&amp;""&amp;(SUMPRODUCT(MID(0&amp;(--TRIM(RIGHT(SUBSTITUTE(LEFT(A158,_xlfn.AGGREGATE(16,6,FIND({0,1,2,3,4,5,6,7,8,9},A158,ROW(INDIRECT("1:"&amp;LEN(A158)))),1)),"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",LEN(A158))),LEN(A158)))))))/10))*1+1</f>
        <v>205 to 505</v>
      </c>
      <c r="B159" s="58"/>
      <c r="C159" s="42"/>
      <c r="D159" s="42"/>
      <c r="E159" s="42">
        <v>0</v>
      </c>
      <c r="F159" s="42">
        <f>D159*(($F$116)+1)+(IF(E159&lt;101,E159,IF(E159&lt;201,E159/2,IF(E159&lt;=301,E159/3,E159/4))))</f>
        <v>0</v>
      </c>
      <c r="G159" s="57" t="str">
        <f>G158</f>
        <v>2nd to 5th Floor</v>
      </c>
      <c r="H159" s="58"/>
      <c r="I159" s="36"/>
    </row>
    <row r="160" spans="1:14" s="37" customFormat="1" hidden="1" x14ac:dyDescent="0.3">
      <c r="A160" s="83" t="s">
        <v>151</v>
      </c>
      <c r="B160" s="84"/>
      <c r="C160" s="84"/>
      <c r="D160" s="84"/>
      <c r="E160" s="84"/>
      <c r="F160" s="84"/>
      <c r="G160" s="84"/>
      <c r="H160" s="85"/>
      <c r="I160" s="36"/>
    </row>
    <row r="161" spans="1:9" s="37" customFormat="1" hidden="1" x14ac:dyDescent="0.3">
      <c r="A161" s="57" t="str">
        <f ca="1">(SUMPRODUCT(MID(0&amp;(LEFT(A160,SUM(LEN(A160)-LEN(SUBSTITUTE(A160,{"0","1","2"},""))))), LARGE(INDEX(ISNUMBER(--MID((LEFT(A160,SUM(LEN(A160)-LEN(SUBSTITUTE(A160,{"0","1","2"},""))))), ROW(INDIRECT("1:"&amp;LEN((LEFT(A160,SUM(LEN(A160)-LEN(SUBSTITUTE(A160,{"0","1","2"},"")))))))), 1)) * ROW(INDIRECT("1:"&amp;LEN((LEFT(A160,SUM(LEN(A160)-LEN(SUBSTITUTE(A160,{"0","1","2"},"")))))))), 0), ROW(INDIRECT("1:"&amp;LEN((LEFT(A160,SUM(LEN(A160)-LEN(SUBSTITUTE(A160,{"0","1","2"},"")))))))))+1, 1) * 10^ROW(INDIRECT("1:"&amp;LEN((LEFT(A160,SUM(LEN(A160)-LEN(SUBSTITUTE(A160,{"0","1","2"},""))))))))/10))*100+1&amp;""&amp;" &amp; "&amp;""&amp;(SUMPRODUCT(MID(0&amp;(--TRIM(RIGHT(SUBSTITUTE(LEFT(A160,_xlfn.AGGREGATE(16,6,FIND({0,1,2,3,4,5,6,7,8,9},A160,ROW(INDIRECT("1:"&amp;LEN(A160)))),1))," ",REPT(" ",LEN(A160))),LEN(A160)))), LARGE(INDEX(ISNUMBER(--MID((--TRIM(RIGHT(SUBSTITUTE(LEFT(A160,_xlfn.AGGREGATE(16,6,FIND({0,1,2,3,4,5,6,7,8,9},A160,ROW(INDIRECT("1:"&amp;LEN(A160)))),1))," ",REPT(" ",LEN(A160))),LEN(A160)))), ROW(INDIRECT("1:"&amp;LEN((--TRIM(RIGHT(SUBSTITUTE(LEFT(A160,_xlfn.AGGREGATE(16,6,FIND({0,1,2,3,4,5,6,7,8,9},A160,ROW(INDIRECT("1:"&amp;LEN(A160)))),1))," ",REPT(" ",LEN(A160))),LEN(A160))))))), 1)) * ROW(INDIRECT("1:"&amp;LEN((--TRIM(RIGHT(SUBSTITUTE(LEFT(A160,_xlfn.AGGREGATE(16,6,FIND({0,1,2,3,4,5,6,7,8,9},A160,ROW(INDIRECT("1:"&amp;LEN(A160)))),1))," ",REPT(" ",LEN(A160))),LEN(A160))))))), 0), ROW(INDIRECT("1:"&amp;LEN((--TRIM(RIGHT(SUBSTITUTE(LEFT(A160,_xlfn.AGGREGATE(16,6,FIND({0,1,2,3,4,5,6,7,8,9},A160,ROW(INDIRECT("1:"&amp;LEN(A160)))),1))," ",REPT(" ",LEN(A160))),LEN(A160))))))))+1, 1) * 10^ROW(INDIRECT("1:"&amp;LEN((--TRIM(RIGHT(SUBSTITUTE(LEFT(A160,_xlfn.AGGREGATE(16,6,FIND({0,1,2,3,4,5,6,7,8,9},A160,ROW(INDIRECT("1:"&amp;LEN(A160)))),1))," ",REPT(" ",LEN(A160))),LEN(A160)))))))/10))*100+1</f>
        <v>201 &amp; 501</v>
      </c>
      <c r="B161" s="58"/>
      <c r="C161" s="42"/>
      <c r="D161" s="42"/>
      <c r="E161" s="42">
        <v>0</v>
      </c>
      <c r="F161" s="42">
        <f>D161*(($F$116)+1)+(IF(E161&lt;101,E161,IF(E161&lt;201,E161/2,IF(E161&lt;=301,E161/3,E161/4))))</f>
        <v>0</v>
      </c>
      <c r="G161" s="57" t="str">
        <f>A160</f>
        <v>2nd &amp; 5th Floor</v>
      </c>
      <c r="H161" s="58"/>
      <c r="I161" s="36"/>
    </row>
    <row r="162" spans="1:9" s="37" customFormat="1" hidden="1" x14ac:dyDescent="0.3">
      <c r="A162" s="57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10^ROW(INDIRECT("1:"&amp;LEN((LEFT(A161,SUM(LEN(A161)-LEN(SUBSTITUTE(A161,{"0","1","2"},""))))))))/10))*1+1&amp;""&amp;" &amp;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",LEN(A161))),LEN(A161)))))))/10))*1+1</f>
        <v>202 &amp; 502</v>
      </c>
      <c r="B162" s="58"/>
      <c r="C162" s="42"/>
      <c r="D162" s="42"/>
      <c r="E162" s="42">
        <v>0</v>
      </c>
      <c r="F162" s="42">
        <f>D162*(($F$116)+1)+(IF(E162&lt;101,E162,IF(E162&lt;201,E162/2,IF(E162&lt;=301,E162/3,E162/4))))</f>
        <v>0</v>
      </c>
      <c r="G162" s="57" t="str">
        <f t="shared" ref="G162:G165" si="9">G161</f>
        <v>2nd &amp; 5th Floor</v>
      </c>
      <c r="H162" s="58"/>
      <c r="I162" s="36"/>
    </row>
    <row r="163" spans="1:9" s="37" customFormat="1" hidden="1" x14ac:dyDescent="0.3">
      <c r="A163" s="57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&amp;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203 &amp; 503</v>
      </c>
      <c r="B163" s="58"/>
      <c r="C163" s="42"/>
      <c r="D163" s="42"/>
      <c r="E163" s="42">
        <v>0</v>
      </c>
      <c r="F163" s="42">
        <f>D163*(($F$116)+1)+(IF(E163&lt;101,E163,IF(E163&lt;201,E163/2,IF(E163&lt;=301,E163/3,E163/4))))</f>
        <v>0</v>
      </c>
      <c r="G163" s="57" t="str">
        <f t="shared" si="9"/>
        <v>2nd &amp; 5th Floor</v>
      </c>
      <c r="H163" s="58"/>
      <c r="I163" s="36"/>
    </row>
    <row r="164" spans="1:9" s="37" customFormat="1" hidden="1" x14ac:dyDescent="0.3">
      <c r="A164" s="57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&amp;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204 &amp; 504</v>
      </c>
      <c r="B164" s="58"/>
      <c r="C164" s="42"/>
      <c r="D164" s="42"/>
      <c r="E164" s="42">
        <v>0</v>
      </c>
      <c r="F164" s="42">
        <f>D164*(($F$116)+1)+(IF(E164&lt;101,E164,IF(E164&lt;201,E164/2,IF(E164&lt;=301,E164/3,E164/4))))</f>
        <v>0</v>
      </c>
      <c r="G164" s="57" t="str">
        <f t="shared" si="9"/>
        <v>2nd &amp; 5th Floor</v>
      </c>
      <c r="H164" s="58"/>
      <c r="I164" s="36"/>
    </row>
    <row r="165" spans="1:9" s="37" customFormat="1" hidden="1" x14ac:dyDescent="0.3">
      <c r="A165" s="57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&amp;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205 &amp; 505</v>
      </c>
      <c r="B165" s="58"/>
      <c r="C165" s="42"/>
      <c r="D165" s="42"/>
      <c r="E165" s="42">
        <v>0</v>
      </c>
      <c r="F165" s="42">
        <f>D165*(($F$116)+1)+(IF(E165&lt;101,E165,IF(E165&lt;201,E165/2,IF(E165&lt;=301,E165/3,E165/4))))</f>
        <v>0</v>
      </c>
      <c r="G165" s="57" t="str">
        <f t="shared" si="9"/>
        <v>2nd &amp; 5th Floor</v>
      </c>
      <c r="H165" s="58"/>
      <c r="I165" s="36"/>
    </row>
    <row r="166" spans="1:9" s="35" customFormat="1" x14ac:dyDescent="0.3">
      <c r="A166" s="76" t="s">
        <v>68</v>
      </c>
      <c r="B166" s="76"/>
      <c r="C166" s="76"/>
      <c r="D166" s="76"/>
      <c r="E166" s="76"/>
      <c r="F166" s="76"/>
      <c r="G166" s="76"/>
      <c r="H166" s="76"/>
    </row>
    <row r="167" spans="1:9" s="35" customFormat="1" x14ac:dyDescent="0.3">
      <c r="A167" s="47" t="s">
        <v>160</v>
      </c>
      <c r="B167" s="155" t="s">
        <v>224</v>
      </c>
      <c r="C167" s="156"/>
      <c r="D167" s="156"/>
      <c r="E167" s="156"/>
      <c r="F167" s="156"/>
      <c r="G167" s="156"/>
      <c r="H167" s="157"/>
    </row>
    <row r="168" spans="1:9" s="35" customFormat="1" x14ac:dyDescent="0.3">
      <c r="A168" s="47" t="s">
        <v>160</v>
      </c>
      <c r="B168" s="155" t="str">
        <f>(IF(F115="Saleable area Loading :","We have considered Saleable area of Flats as per our Calculation.","We considered Saleable area of Flat as per Builder area Sheet."))</f>
        <v>We have considered Saleable area of Flats as per our Calculation.</v>
      </c>
      <c r="C168" s="156"/>
      <c r="D168" s="156"/>
      <c r="E168" s="156"/>
      <c r="F168" s="156"/>
      <c r="G168" s="156"/>
      <c r="H168" s="157"/>
    </row>
    <row r="169" spans="1:9" s="35" customFormat="1" hidden="1" x14ac:dyDescent="0.3">
      <c r="A169" s="47" t="s">
        <v>160</v>
      </c>
      <c r="B169" s="155" t="str">
        <f>(IF(F107="Saleable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9" s="156"/>
      <c r="D169" s="156"/>
      <c r="E169" s="156"/>
      <c r="F169" s="156"/>
      <c r="G169" s="156"/>
      <c r="H169" s="157"/>
    </row>
    <row r="170" spans="1:9" s="35" customFormat="1" x14ac:dyDescent="0.3">
      <c r="A170" s="47" t="s">
        <v>160</v>
      </c>
      <c r="B170" s="59" t="s">
        <v>127</v>
      </c>
      <c r="C170" s="60"/>
      <c r="D170" s="60"/>
      <c r="E170" s="60"/>
      <c r="F170" s="60"/>
      <c r="G170" s="60"/>
      <c r="H170" s="61"/>
    </row>
    <row r="171" spans="1:9" s="35" customFormat="1" x14ac:dyDescent="0.3">
      <c r="A171" s="47" t="s">
        <v>160</v>
      </c>
      <c r="B171" s="59" t="s">
        <v>214</v>
      </c>
      <c r="C171" s="60"/>
      <c r="D171" s="60"/>
      <c r="E171" s="60"/>
      <c r="F171" s="60"/>
      <c r="G171" s="60"/>
      <c r="H171" s="61"/>
    </row>
    <row r="172" spans="1:9" s="35" customFormat="1" x14ac:dyDescent="0.3">
      <c r="A172" s="47" t="s">
        <v>160</v>
      </c>
      <c r="B172" s="59" t="s">
        <v>159</v>
      </c>
      <c r="C172" s="60"/>
      <c r="D172" s="60"/>
      <c r="E172" s="60"/>
      <c r="F172" s="60"/>
      <c r="G172" s="60"/>
      <c r="H172" s="61"/>
    </row>
    <row r="173" spans="1:9" s="35" customFormat="1" x14ac:dyDescent="0.3">
      <c r="A173" s="47" t="s">
        <v>160</v>
      </c>
      <c r="B173" s="59" t="s">
        <v>128</v>
      </c>
      <c r="C173" s="60"/>
      <c r="D173" s="60"/>
      <c r="E173" s="60"/>
      <c r="F173" s="60"/>
      <c r="G173" s="60"/>
      <c r="H173" s="61"/>
    </row>
    <row r="174" spans="1:9" s="35" customFormat="1" ht="34.5" customHeight="1" x14ac:dyDescent="0.3">
      <c r="A174" s="47" t="s">
        <v>160</v>
      </c>
      <c r="B174" s="59" t="s">
        <v>161</v>
      </c>
      <c r="C174" s="60"/>
      <c r="D174" s="60"/>
      <c r="E174" s="60"/>
      <c r="F174" s="60"/>
      <c r="G174" s="60"/>
      <c r="H174" s="61"/>
    </row>
    <row r="175" spans="1:9" s="35" customFormat="1" x14ac:dyDescent="0.3">
      <c r="A175" s="47" t="s">
        <v>160</v>
      </c>
      <c r="B175" s="59" t="s">
        <v>129</v>
      </c>
      <c r="C175" s="60"/>
      <c r="D175" s="60"/>
      <c r="E175" s="60"/>
      <c r="F175" s="60"/>
      <c r="G175" s="60"/>
      <c r="H175" s="61"/>
    </row>
    <row r="176" spans="1:9" x14ac:dyDescent="0.3">
      <c r="A176" s="154" t="s">
        <v>61</v>
      </c>
      <c r="B176" s="154"/>
      <c r="C176" s="154"/>
      <c r="D176" s="154"/>
      <c r="E176" s="154"/>
      <c r="F176" s="154"/>
      <c r="G176" s="154"/>
      <c r="H176" s="154"/>
    </row>
    <row r="177" spans="1:8" x14ac:dyDescent="0.3">
      <c r="A177" s="72" t="s">
        <v>62</v>
      </c>
      <c r="B177" s="72"/>
      <c r="C177" s="72"/>
      <c r="D177" s="72"/>
      <c r="E177" s="72"/>
      <c r="F177" s="72"/>
      <c r="G177" s="72"/>
      <c r="H177" s="72"/>
    </row>
    <row r="178" spans="1:8" ht="15.75" customHeight="1" x14ac:dyDescent="0.3">
      <c r="A178" s="189" t="s">
        <v>63</v>
      </c>
      <c r="B178" s="189"/>
      <c r="C178" s="189"/>
      <c r="D178" s="189"/>
      <c r="E178" s="189"/>
      <c r="F178" s="189"/>
      <c r="G178" s="189"/>
      <c r="H178" s="189"/>
    </row>
    <row r="179" spans="1:8" x14ac:dyDescent="0.3">
      <c r="A179" s="72" t="s">
        <v>64</v>
      </c>
      <c r="B179" s="72"/>
      <c r="C179" s="72"/>
      <c r="D179" s="72"/>
      <c r="E179" s="72"/>
      <c r="F179" s="72"/>
      <c r="G179" s="72"/>
      <c r="H179" s="72"/>
    </row>
    <row r="180" spans="1:8" x14ac:dyDescent="0.3">
      <c r="A180" s="72" t="s">
        <v>65</v>
      </c>
      <c r="B180" s="72"/>
      <c r="C180" s="72"/>
      <c r="D180" s="72"/>
      <c r="E180" s="72"/>
      <c r="F180" s="72"/>
      <c r="G180" s="72"/>
      <c r="H180" s="72"/>
    </row>
    <row r="181" spans="1:8" x14ac:dyDescent="0.3">
      <c r="A181" s="72" t="s">
        <v>130</v>
      </c>
      <c r="B181" s="72"/>
      <c r="C181" s="72"/>
      <c r="D181" s="72"/>
      <c r="E181" s="72"/>
      <c r="F181" s="72"/>
      <c r="G181" s="72"/>
      <c r="H181" s="72"/>
    </row>
    <row r="182" spans="1:8" ht="33.9" customHeight="1" x14ac:dyDescent="0.3">
      <c r="A182" s="132" t="s">
        <v>131</v>
      </c>
      <c r="B182" s="132"/>
      <c r="C182" s="132"/>
      <c r="D182" s="132"/>
      <c r="E182" s="132"/>
      <c r="F182" s="132"/>
      <c r="G182" s="132"/>
      <c r="H182" s="132"/>
    </row>
    <row r="183" spans="1:8" x14ac:dyDescent="0.3">
      <c r="A183" s="152" t="s">
        <v>78</v>
      </c>
      <c r="B183" s="152"/>
      <c r="C183" s="152" t="s">
        <v>226</v>
      </c>
      <c r="D183" s="152"/>
      <c r="E183" s="152" t="s">
        <v>106</v>
      </c>
      <c r="F183" s="152"/>
      <c r="G183" s="152" t="s">
        <v>225</v>
      </c>
      <c r="H183" s="152"/>
    </row>
    <row r="184" spans="1:8" x14ac:dyDescent="0.3">
      <c r="A184" s="151" t="s">
        <v>80</v>
      </c>
      <c r="B184" s="151"/>
      <c r="C184" s="151"/>
      <c r="D184" s="151"/>
      <c r="E184" s="151"/>
      <c r="F184" s="151"/>
      <c r="G184" s="151"/>
      <c r="H184" s="151"/>
    </row>
    <row r="185" spans="1:8" x14ac:dyDescent="0.3">
      <c r="A185" s="151"/>
      <c r="B185" s="151"/>
      <c r="C185" s="151"/>
      <c r="D185" s="151"/>
      <c r="E185" s="151"/>
      <c r="F185" s="151"/>
      <c r="G185" s="151"/>
      <c r="H185" s="151"/>
    </row>
    <row r="186" spans="1:8" x14ac:dyDescent="0.3">
      <c r="A186" s="151"/>
      <c r="B186" s="151"/>
      <c r="C186" s="151"/>
      <c r="D186" s="151"/>
      <c r="E186" s="151"/>
      <c r="F186" s="151"/>
      <c r="G186" s="151"/>
      <c r="H186" s="151"/>
    </row>
    <row r="187" spans="1:8" x14ac:dyDescent="0.3">
      <c r="A187" s="151"/>
      <c r="B187" s="151"/>
      <c r="C187" s="151"/>
      <c r="D187" s="151"/>
      <c r="E187" s="151"/>
      <c r="F187" s="151"/>
      <c r="G187" s="151"/>
      <c r="H187" s="151"/>
    </row>
    <row r="188" spans="1:8" x14ac:dyDescent="0.3">
      <c r="A188" s="38" t="s">
        <v>66</v>
      </c>
      <c r="B188" s="39"/>
      <c r="C188" s="39"/>
      <c r="D188" s="38" t="str">
        <f>E8</f>
        <v>Raghunath</v>
      </c>
      <c r="F188" s="39"/>
      <c r="G188" s="39"/>
      <c r="H188" s="39"/>
    </row>
    <row r="189" spans="1:8" x14ac:dyDescent="0.3">
      <c r="A189" s="39"/>
      <c r="B189" s="39"/>
      <c r="C189" s="39"/>
      <c r="D189" s="39"/>
      <c r="E189" s="39"/>
      <c r="F189" s="39"/>
      <c r="G189" s="39"/>
      <c r="H189" s="39"/>
    </row>
    <row r="190" spans="1:8" x14ac:dyDescent="0.3">
      <c r="A190" s="39"/>
      <c r="B190" s="39"/>
      <c r="C190" s="39"/>
      <c r="D190" s="39"/>
      <c r="E190" s="39"/>
      <c r="F190" s="39"/>
      <c r="G190" s="39"/>
      <c r="H190" s="39"/>
    </row>
    <row r="191" spans="1:8" ht="15" customHeight="1" x14ac:dyDescent="0.3"/>
    <row r="230" spans="1:1" x14ac:dyDescent="0.3">
      <c r="A230" s="41" t="s">
        <v>171</v>
      </c>
    </row>
    <row r="272" spans="1:1" x14ac:dyDescent="0.3">
      <c r="A272" s="41" t="s">
        <v>67</v>
      </c>
    </row>
  </sheetData>
  <mergeCells count="371">
    <mergeCell ref="F34:H34"/>
    <mergeCell ref="F33:H33"/>
    <mergeCell ref="A104:B104"/>
    <mergeCell ref="C104:D104"/>
    <mergeCell ref="E104:F104"/>
    <mergeCell ref="G104:H104"/>
    <mergeCell ref="E42:H42"/>
    <mergeCell ref="A42:D42"/>
    <mergeCell ref="A181:H181"/>
    <mergeCell ref="A178:H178"/>
    <mergeCell ref="G158:H158"/>
    <mergeCell ref="A143:B143"/>
    <mergeCell ref="A100:B100"/>
    <mergeCell ref="D115:D116"/>
    <mergeCell ref="E115:E116"/>
    <mergeCell ref="G115:H116"/>
    <mergeCell ref="A75:B75"/>
    <mergeCell ref="F81:H81"/>
    <mergeCell ref="G96:H96"/>
    <mergeCell ref="A49:B49"/>
    <mergeCell ref="C49:E49"/>
    <mergeCell ref="G49:H49"/>
    <mergeCell ref="G51:H51"/>
    <mergeCell ref="D55:H55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C52:H52"/>
    <mergeCell ref="G50:H50"/>
    <mergeCell ref="C51:E51"/>
    <mergeCell ref="A58:C58"/>
    <mergeCell ref="D58:H58"/>
    <mergeCell ref="F88:H88"/>
    <mergeCell ref="C95:D95"/>
    <mergeCell ref="D63:H63"/>
    <mergeCell ref="A64:C64"/>
    <mergeCell ref="D64:H64"/>
    <mergeCell ref="A51:B52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F89:H89"/>
    <mergeCell ref="C68:H68"/>
    <mergeCell ref="A71:B71"/>
    <mergeCell ref="A73:B73"/>
    <mergeCell ref="E69:F69"/>
    <mergeCell ref="A62:C62"/>
    <mergeCell ref="D62:H62"/>
    <mergeCell ref="A106:H106"/>
    <mergeCell ref="G95:H95"/>
    <mergeCell ref="A90:E90"/>
    <mergeCell ref="C96:D96"/>
    <mergeCell ref="E96:F96"/>
    <mergeCell ref="G144:H144"/>
    <mergeCell ref="B107:B108"/>
    <mergeCell ref="A107:A108"/>
    <mergeCell ref="C115:C116"/>
    <mergeCell ref="C103:D103"/>
    <mergeCell ref="A136:H136"/>
    <mergeCell ref="G140:H140"/>
    <mergeCell ref="F90:H90"/>
    <mergeCell ref="E95:F95"/>
    <mergeCell ref="A95:B95"/>
    <mergeCell ref="A97:B97"/>
    <mergeCell ref="C100:D100"/>
    <mergeCell ref="G100:H100"/>
    <mergeCell ref="A126:B126"/>
    <mergeCell ref="A127:B127"/>
    <mergeCell ref="A128:B128"/>
    <mergeCell ref="C107:C108"/>
    <mergeCell ref="B115:B116"/>
    <mergeCell ref="A113:B113"/>
    <mergeCell ref="B169:H169"/>
    <mergeCell ref="A163:B163"/>
    <mergeCell ref="G163:H163"/>
    <mergeCell ref="G162:H162"/>
    <mergeCell ref="A160:H160"/>
    <mergeCell ref="A161:B161"/>
    <mergeCell ref="A162:B162"/>
    <mergeCell ref="A165:B165"/>
    <mergeCell ref="G165:H165"/>
    <mergeCell ref="A164:B164"/>
    <mergeCell ref="G164:H164"/>
    <mergeCell ref="B167:H167"/>
    <mergeCell ref="B168:H168"/>
    <mergeCell ref="A184:H187"/>
    <mergeCell ref="A183:B183"/>
    <mergeCell ref="E183:F183"/>
    <mergeCell ref="C183:D183"/>
    <mergeCell ref="G183:H183"/>
    <mergeCell ref="A94:H94"/>
    <mergeCell ref="A92:E92"/>
    <mergeCell ref="F92:H92"/>
    <mergeCell ref="A93:E93"/>
    <mergeCell ref="F93:H93"/>
    <mergeCell ref="A142:H142"/>
    <mergeCell ref="A101:B101"/>
    <mergeCell ref="A151:B151"/>
    <mergeCell ref="A96:B96"/>
    <mergeCell ref="A179:H179"/>
    <mergeCell ref="A99:H99"/>
    <mergeCell ref="A182:H182"/>
    <mergeCell ref="A180:H180"/>
    <mergeCell ref="A176:H176"/>
    <mergeCell ref="A177:H177"/>
    <mergeCell ref="E100:F100"/>
    <mergeCell ref="G112:H112"/>
    <mergeCell ref="G110:H110"/>
    <mergeCell ref="B173:H173"/>
    <mergeCell ref="A65:C65"/>
    <mergeCell ref="D65:H65"/>
    <mergeCell ref="A63:C63"/>
    <mergeCell ref="A70:B70"/>
    <mergeCell ref="G69:H69"/>
    <mergeCell ref="E70:F79"/>
    <mergeCell ref="G70:H7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D60:H60"/>
    <mergeCell ref="A43:D43"/>
    <mergeCell ref="E43:H43"/>
    <mergeCell ref="E44:H44"/>
    <mergeCell ref="E45:H45"/>
    <mergeCell ref="E46:H46"/>
    <mergeCell ref="A44:D44"/>
    <mergeCell ref="F36:H36"/>
    <mergeCell ref="A38:B38"/>
    <mergeCell ref="C38:H38"/>
    <mergeCell ref="A45:D45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A46:D46"/>
    <mergeCell ref="A47:H47"/>
    <mergeCell ref="D57:H57"/>
    <mergeCell ref="A57:C57"/>
    <mergeCell ref="A77:B77"/>
    <mergeCell ref="C101:D101"/>
    <mergeCell ref="E101:F101"/>
    <mergeCell ref="G101:H101"/>
    <mergeCell ref="F87:H87"/>
    <mergeCell ref="A81:E81"/>
    <mergeCell ref="A109:H109"/>
    <mergeCell ref="E107:E108"/>
    <mergeCell ref="G107:H108"/>
    <mergeCell ref="A86:E86"/>
    <mergeCell ref="F86:H86"/>
    <mergeCell ref="A87:E87"/>
    <mergeCell ref="A89:E89"/>
    <mergeCell ref="F83:H83"/>
    <mergeCell ref="A88:E88"/>
    <mergeCell ref="A83:E83"/>
    <mergeCell ref="A80:E80"/>
    <mergeCell ref="F84:H84"/>
    <mergeCell ref="A85:E85"/>
    <mergeCell ref="A103:B103"/>
    <mergeCell ref="A79:B79"/>
    <mergeCell ref="A78:B78"/>
    <mergeCell ref="A105:H105"/>
    <mergeCell ref="F91:H91"/>
    <mergeCell ref="F80:H80"/>
    <mergeCell ref="F85:H85"/>
    <mergeCell ref="L142:M142"/>
    <mergeCell ref="A114:H114"/>
    <mergeCell ref="A115:A116"/>
    <mergeCell ref="A147:B147"/>
    <mergeCell ref="A144:B144"/>
    <mergeCell ref="A145:B145"/>
    <mergeCell ref="A91:E91"/>
    <mergeCell ref="G103:H103"/>
    <mergeCell ref="C97:D97"/>
    <mergeCell ref="E97:F97"/>
    <mergeCell ref="G97:H97"/>
    <mergeCell ref="A98:B98"/>
    <mergeCell ref="C98:D98"/>
    <mergeCell ref="E98:F98"/>
    <mergeCell ref="G98:H98"/>
    <mergeCell ref="A102:B102"/>
    <mergeCell ref="C102:D102"/>
    <mergeCell ref="E102:F102"/>
    <mergeCell ref="G102:H102"/>
    <mergeCell ref="L111:M111"/>
    <mergeCell ref="L110:M110"/>
    <mergeCell ref="G111:H111"/>
    <mergeCell ref="L112:M112"/>
    <mergeCell ref="L141:M141"/>
    <mergeCell ref="L119:M119"/>
    <mergeCell ref="L120:M120"/>
    <mergeCell ref="L121:M121"/>
    <mergeCell ref="L122:M122"/>
    <mergeCell ref="L123:M123"/>
    <mergeCell ref="A125:B125"/>
    <mergeCell ref="B170:H170"/>
    <mergeCell ref="G155:H155"/>
    <mergeCell ref="A153:B153"/>
    <mergeCell ref="G113:H113"/>
    <mergeCell ref="A117:H117"/>
    <mergeCell ref="A141:B141"/>
    <mergeCell ref="G141:H141"/>
    <mergeCell ref="A118:H118"/>
    <mergeCell ref="A119:B119"/>
    <mergeCell ref="A120:B120"/>
    <mergeCell ref="A121:B121"/>
    <mergeCell ref="A122:B122"/>
    <mergeCell ref="A123:B123"/>
    <mergeCell ref="G119:H123"/>
    <mergeCell ref="A124:H124"/>
    <mergeCell ref="G145:H145"/>
    <mergeCell ref="L137:M137"/>
    <mergeCell ref="A138:B138"/>
    <mergeCell ref="G138:H138"/>
    <mergeCell ref="L138:M138"/>
    <mergeCell ref="A139:B139"/>
    <mergeCell ref="G139:H139"/>
    <mergeCell ref="L139:M139"/>
    <mergeCell ref="L140:M140"/>
    <mergeCell ref="L113:M113"/>
    <mergeCell ref="L125:M125"/>
    <mergeCell ref="L126:M126"/>
    <mergeCell ref="L127:M127"/>
    <mergeCell ref="L128:M128"/>
    <mergeCell ref="A129:B129"/>
    <mergeCell ref="L129:M129"/>
    <mergeCell ref="L131:M131"/>
    <mergeCell ref="A132:B132"/>
    <mergeCell ref="L132:M132"/>
    <mergeCell ref="A133:B133"/>
    <mergeCell ref="L133:M133"/>
    <mergeCell ref="A134:B134"/>
    <mergeCell ref="L134:M134"/>
    <mergeCell ref="A135:B135"/>
    <mergeCell ref="L135:M135"/>
    <mergeCell ref="A156:B156"/>
    <mergeCell ref="G125:H129"/>
    <mergeCell ref="A130:H130"/>
    <mergeCell ref="A131:B131"/>
    <mergeCell ref="G131:H135"/>
    <mergeCell ref="A157:B157"/>
    <mergeCell ref="A146:B146"/>
    <mergeCell ref="G147:H147"/>
    <mergeCell ref="G153:H153"/>
    <mergeCell ref="G152:H152"/>
    <mergeCell ref="G137:H137"/>
    <mergeCell ref="A155:B155"/>
    <mergeCell ref="G156:H156"/>
    <mergeCell ref="A152:B152"/>
    <mergeCell ref="A150:B150"/>
    <mergeCell ref="A149:B149"/>
    <mergeCell ref="A154:H154"/>
    <mergeCell ref="A148:H148"/>
    <mergeCell ref="A140:B140"/>
    <mergeCell ref="G151:H151"/>
    <mergeCell ref="G149:H149"/>
    <mergeCell ref="A137:B137"/>
    <mergeCell ref="G157:H157"/>
    <mergeCell ref="A112:B112"/>
    <mergeCell ref="B175:H175"/>
    <mergeCell ref="E103:F103"/>
    <mergeCell ref="A39:B39"/>
    <mergeCell ref="C39:H39"/>
    <mergeCell ref="B174:H174"/>
    <mergeCell ref="A48:B48"/>
    <mergeCell ref="C48:H48"/>
    <mergeCell ref="B172:H172"/>
    <mergeCell ref="F82:H82"/>
    <mergeCell ref="A82:E82"/>
    <mergeCell ref="G150:H150"/>
    <mergeCell ref="G146:H146"/>
    <mergeCell ref="G143:H143"/>
    <mergeCell ref="D107:D108"/>
    <mergeCell ref="A84:E84"/>
    <mergeCell ref="A110:B110"/>
    <mergeCell ref="A111:B111"/>
    <mergeCell ref="B171:H171"/>
    <mergeCell ref="G161:H161"/>
    <mergeCell ref="G159:H159"/>
    <mergeCell ref="A166:H166"/>
    <mergeCell ref="A158:B158"/>
    <mergeCell ref="A159:B159"/>
  </mergeCells>
  <dataValidations disablePrompts="1" count="7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No.,Survey No.,Plot No.,Gut No.,FP No.,"</formula1>
    </dataValidation>
    <dataValidation type="list" allowBlank="1" showInputMessage="1" showErrorMessage="1" sqref="G19:H19" xr:uid="{00000000-0002-0000-0000-000002000000}">
      <formula1>"Mumbai,Thane,Palghar,Raigad,Pune"</formula1>
    </dataValidation>
    <dataValidation type="list" allowBlank="1" showInputMessage="1" showErrorMessage="1" sqref="E107:E108" xr:uid="{00000000-0002-0000-0000-000003000000}">
      <formula1>"Attached Loft area,Attached Terrace area,Attached Mezzanine area"</formula1>
    </dataValidation>
    <dataValidation type="list" allowBlank="1" showInputMessage="1" showErrorMessage="1" sqref="F108 F116" xr:uid="{00000000-0002-0000-0000-000004000000}">
      <formula1>"45%,50%,55%,60%"</formula1>
    </dataValidation>
    <dataValidation type="list" allowBlank="1" showInputMessage="1" showErrorMessage="1" sqref="F80:H80" xr:uid="{00000000-0002-0000-0000-000005000000}">
      <formula1>"On Saleable Area,On Builtup Area,On Carpet Area,On Plot Area"</formula1>
    </dataValidation>
    <dataValidation type="list" allowBlank="1" showInputMessage="1" showErrorMessage="1" sqref="F92:H92" xr:uid="{00000000-0002-0000-0000-000006000000}">
      <formula1>"100000,150000,200000,250000,300000,350000,400000,500000,600000,700000,800000,900000,1000000,1200000,1400000,1500000"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87" max="16383" man="1"/>
    <brk id="229" max="16383" man="1"/>
    <brk id="271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0" t="s">
        <v>107</v>
      </c>
      <c r="C3" s="190"/>
      <c r="D3" s="190"/>
      <c r="E3" s="190"/>
      <c r="F3" s="190"/>
      <c r="G3" s="190"/>
      <c r="H3" s="190"/>
    </row>
    <row r="4" spans="1:9" x14ac:dyDescent="0.3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2025-09-12T10:16:57Z</cp:lastPrinted>
  <dcterms:created xsi:type="dcterms:W3CDTF">2019-07-16T09:29:46Z</dcterms:created>
  <dcterms:modified xsi:type="dcterms:W3CDTF">2025-09-12T10:18:26Z</dcterms:modified>
</cp:coreProperties>
</file>