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337702CA-CAD6-4C44-BC24-2F662D0A065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J113" i="1" l="1"/>
  <c r="E130" i="1" l="1"/>
  <c r="D130" i="1"/>
  <c r="F130" i="1" s="1"/>
  <c r="E129" i="1"/>
  <c r="D129" i="1"/>
  <c r="F129" i="1" s="1"/>
  <c r="E128" i="1"/>
  <c r="D128" i="1"/>
  <c r="E127" i="1"/>
  <c r="D127" i="1"/>
  <c r="D125" i="1"/>
  <c r="F125" i="1" s="1"/>
  <c r="D124" i="1"/>
  <c r="F124" i="1" s="1"/>
  <c r="D123" i="1"/>
  <c r="F123" i="1" s="1"/>
  <c r="D122" i="1"/>
  <c r="F122" i="1" s="1"/>
  <c r="D120" i="1"/>
  <c r="F120" i="1" s="1"/>
  <c r="K99" i="1" s="1"/>
  <c r="D119" i="1"/>
  <c r="F119" i="1" s="1"/>
  <c r="D118" i="1"/>
  <c r="F118" i="1" s="1"/>
  <c r="D117" i="1"/>
  <c r="F117" i="1" s="1"/>
  <c r="K98" i="1" s="1"/>
  <c r="E115" i="1"/>
  <c r="E114" i="1"/>
  <c r="D115" i="1"/>
  <c r="D114" i="1"/>
  <c r="D113" i="1"/>
  <c r="F113" i="1" s="1"/>
  <c r="D112" i="1"/>
  <c r="E107" i="1"/>
  <c r="D107" i="1"/>
  <c r="E106" i="1"/>
  <c r="D106" i="1"/>
  <c r="E105" i="1"/>
  <c r="D105" i="1"/>
  <c r="E104" i="1"/>
  <c r="D104" i="1"/>
  <c r="J104" i="1"/>
  <c r="A128" i="1"/>
  <c r="A129" i="1" s="1"/>
  <c r="A130" i="1" s="1"/>
  <c r="J127" i="1"/>
  <c r="G127" i="1"/>
  <c r="G128" i="1" s="1"/>
  <c r="G129" i="1" s="1"/>
  <c r="G130" i="1" s="1"/>
  <c r="A123" i="1"/>
  <c r="A124" i="1" s="1"/>
  <c r="A125" i="1" s="1"/>
  <c r="J122" i="1"/>
  <c r="G122" i="1"/>
  <c r="G123" i="1" s="1"/>
  <c r="G124" i="1" s="1"/>
  <c r="G125" i="1" s="1"/>
  <c r="G117" i="1"/>
  <c r="G118" i="1" s="1"/>
  <c r="G119" i="1" s="1"/>
  <c r="G120" i="1" s="1"/>
  <c r="F135" i="1"/>
  <c r="F134" i="1"/>
  <c r="F133" i="1"/>
  <c r="A133" i="1"/>
  <c r="A134" i="1" s="1"/>
  <c r="A135" i="1" s="1"/>
  <c r="G132" i="1"/>
  <c r="G133" i="1" s="1"/>
  <c r="G134" i="1" s="1"/>
  <c r="G135" i="1" s="1"/>
  <c r="F132" i="1"/>
  <c r="J112" i="1"/>
  <c r="A113" i="1"/>
  <c r="A114" i="1" s="1"/>
  <c r="A115" i="1" s="1"/>
  <c r="G112" i="1"/>
  <c r="G113" i="1" s="1"/>
  <c r="G114" i="1" s="1"/>
  <c r="G115" i="1" s="1"/>
  <c r="J107" i="1"/>
  <c r="G49" i="1"/>
  <c r="A117" i="1"/>
  <c r="C94" i="1" l="1"/>
  <c r="E97" i="1"/>
  <c r="F112" i="1"/>
  <c r="I112" i="1" s="1"/>
  <c r="F127" i="1"/>
  <c r="C97" i="1"/>
  <c r="C98" i="1" s="1"/>
  <c r="E94" i="1"/>
  <c r="E98" i="1" s="1"/>
  <c r="F128" i="1"/>
  <c r="F115" i="1"/>
  <c r="F114" i="1"/>
  <c r="E42" i="1"/>
  <c r="E43" i="1" s="1"/>
  <c r="A118" i="1"/>
  <c r="G97" i="1" l="1"/>
  <c r="C14" i="1"/>
  <c r="A119" i="1"/>
  <c r="E29" i="1" l="1"/>
  <c r="A120" i="1"/>
  <c r="F138" i="1" l="1"/>
  <c r="F139" i="1"/>
  <c r="F140" i="1"/>
  <c r="F137" i="1"/>
  <c r="A138" i="1"/>
  <c r="A139" i="1" s="1"/>
  <c r="A140" i="1" s="1"/>
  <c r="G137" i="1"/>
  <c r="G138" i="1" s="1"/>
  <c r="G139" i="1" s="1"/>
  <c r="G140" i="1" s="1"/>
  <c r="F91" i="1" l="1"/>
  <c r="F105" i="1" l="1"/>
  <c r="F106" i="1"/>
  <c r="F107" i="1"/>
  <c r="F104" i="1"/>
  <c r="I104" i="1" s="1"/>
  <c r="G94" i="1" l="1"/>
  <c r="G98" i="1" s="1"/>
  <c r="B167" i="1"/>
  <c r="A160" i="1"/>
  <c r="A154" i="1"/>
  <c r="A148" i="1"/>
  <c r="F164" i="1" l="1"/>
  <c r="F163" i="1"/>
  <c r="F162" i="1"/>
  <c r="F161" i="1"/>
  <c r="F160" i="1"/>
  <c r="F158" i="1"/>
  <c r="F157" i="1"/>
  <c r="F156" i="1"/>
  <c r="F155" i="1"/>
  <c r="F154" i="1"/>
  <c r="F152" i="1"/>
  <c r="F151" i="1"/>
  <c r="F150" i="1"/>
  <c r="F149" i="1"/>
  <c r="F148" i="1"/>
  <c r="F146" i="1"/>
  <c r="F145" i="1"/>
  <c r="F143" i="1"/>
  <c r="F142" i="1"/>
  <c r="F144" i="1"/>
  <c r="A161" i="1"/>
  <c r="A149" i="1"/>
  <c r="A155" i="1"/>
  <c r="B168" i="1" l="1"/>
  <c r="A162" i="1"/>
  <c r="A156" i="1"/>
  <c r="A15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8" i="1"/>
  <c r="G160" i="1"/>
  <c r="G161" i="1" s="1"/>
  <c r="G162" i="1" s="1"/>
  <c r="G163" i="1" s="1"/>
  <c r="G164" i="1" s="1"/>
  <c r="G154" i="1"/>
  <c r="G155" i="1" s="1"/>
  <c r="G156" i="1" s="1"/>
  <c r="G157" i="1" s="1"/>
  <c r="G158" i="1" s="1"/>
  <c r="G148" i="1"/>
  <c r="G149" i="1" s="1"/>
  <c r="G150" i="1" s="1"/>
  <c r="G151" i="1" s="1"/>
  <c r="G152" i="1" s="1"/>
  <c r="G142" i="1"/>
  <c r="G143" i="1" s="1"/>
  <c r="G144" i="1" s="1"/>
  <c r="G145" i="1" s="1"/>
  <c r="G146" i="1" s="1"/>
  <c r="A142" i="1"/>
  <c r="A143" i="1" s="1"/>
  <c r="A144" i="1" s="1"/>
  <c r="A145" i="1" s="1"/>
  <c r="A146" i="1" s="1"/>
  <c r="A105" i="1"/>
  <c r="A106" i="1" s="1"/>
  <c r="A107" i="1" s="1"/>
  <c r="G104" i="1"/>
  <c r="C65" i="1"/>
  <c r="B66" i="1" s="1"/>
  <c r="D54" i="1"/>
  <c r="G50" i="1"/>
  <c r="C49" i="1"/>
  <c r="C50" i="1" s="1"/>
  <c r="E26" i="1"/>
  <c r="E24" i="1"/>
  <c r="E3" i="1"/>
  <c r="A151" i="1"/>
  <c r="A163" i="1"/>
  <c r="A157" i="1"/>
  <c r="D59" i="1" l="1"/>
  <c r="A164" i="1"/>
  <c r="A152" i="1"/>
  <c r="A158" i="1"/>
  <c r="H66" i="1"/>
  <c r="D75" i="1" l="1"/>
  <c r="D74" i="1"/>
  <c r="D72" i="1"/>
  <c r="J65" i="1"/>
  <c r="J67" i="1" s="1"/>
  <c r="D77" i="1"/>
  <c r="J69" i="1"/>
  <c r="J71" i="1"/>
  <c r="J72" i="1" s="1"/>
  <c r="J77" i="1" s="1"/>
  <c r="D76" i="1"/>
  <c r="D73" i="1"/>
  <c r="J70" i="1"/>
  <c r="C69" i="1" s="1"/>
  <c r="D69" i="1" s="1"/>
  <c r="J68" i="1"/>
  <c r="D78" i="1"/>
  <c r="J73" i="1"/>
  <c r="J74" i="1" s="1"/>
  <c r="J75" i="1" s="1"/>
  <c r="J76" i="1" s="1"/>
  <c r="D71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<sst xmlns="http://schemas.openxmlformats.org/spreadsheetml/2006/main" count="289" uniqueCount="231">
  <si>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</si>
  <si>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</si>
  <si>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</si>
  <si>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</si>
  <si>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</si>
  <si>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</si>
  <si>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</si>
  <si>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</si>
  <si>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</si>
  <si>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</si>
  <si>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</si>
  <si>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</si>
  <si>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</si>
  <si>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</si>
  <si>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</si>
  <si>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</si>
  <si>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</si>
  <si>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</si>
  <si>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</si>
  <si>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</si>
  <si>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</si>
  <si>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</si>
  <si>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</si>
  <si>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</si>
  <si>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</si>
  <si>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</si>
  <si>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</si>
  <si>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</si>
  <si>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</si>
  <si>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</si>
  <si>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</si>
  <si>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</si>
  <si>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</si>
  <si>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</si>
  <si>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</si>
  <si>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</si>
  <si>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</si>
  <si>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</si>
  <si>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</si>
  <si>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</si>
  <si>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</si>
  <si>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</si>
  <si>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</si>
  <si>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</si>
  <si>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</si>
  <si>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</si>
  <si>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</si>
  <si>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</si>
  <si>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</si>
  <si>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</si>
  <si>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</si>
  <si>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</si>
  <si>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</si>
  <si>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</si>
  <si>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</si>
  <si>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</si>
  <si>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</si>
  <si>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</si>
  <si>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</si>
  <si>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</si>
  <si>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</si>
  <si>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</si>
  <si>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</si>
  <si>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</si>
  <si>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</si>
  <si>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</si>
  <si>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</si>
  <si>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</si>
  <si>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</si>
  <si>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</si>
  <si>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</si>
  <si>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</si>
  <si>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</si>
  <si>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</si>
  <si>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</si>
  <si>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</si>
  <si>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</si>
  <si>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</si>
  <si>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</si>
  <si>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</si>
  <si>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</si>
  <si>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</si>
  <si>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</si>
  <si>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</si>
  <si>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</si>
  <si>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</si>
  <si>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</si>
  <si>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</si>
  <si>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</si>
  <si>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</si>
  <si>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</si>
  <si>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</si>
  <si>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</si>
  <si>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</si>
  <si>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</si>
  <si>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</si>
  <si>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</si>
  <si>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</si>
  <si>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</si>
  <si>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</si>
  <si>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</si>
  <si>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</si>
  <si>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</si>
  <si>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</si>
  <si>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</si>
  <si>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</si>
  <si>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</si>
  <si>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</si>
  <si>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</si>
  <si>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</si>
  <si>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</si>
  <si>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</si>
  <si>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</si>
  <si>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</si>
  <si>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</si>
  <si>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</si>
  <si>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</si>
  <si>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</si>
  <si>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</si>
  <si>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</si>
  <si>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</si>
  <si>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</si>
  <si>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</si>
  <si>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</si>
  <si>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</si>
  <si>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</si>
  <si>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</si>
  <si>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</si>
  <si>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</si>
  <si>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</si>
  <si>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</si>
  <si>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</si>
  <si>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</si>
  <si>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</si>
  <si>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</si>
  <si>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</si>
  <si>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</si>
  <si>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</si>
  <si>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</si>
  <si>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</si>
  <si>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</si>
  <si>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</si>
  <si>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</si>
  <si>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</si>
  <si>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</si>
  <si>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</si>
  <si>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</si>
  <si>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</si>
  <si>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</si>
  <si>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</si>
  <si>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</si>
  <si>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</si>
  <si>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</si>
  <si>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</si>
  <si>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</si>
  <si>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</si>
  <si>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</si>
  <si>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</si>
  <si>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</si>
  <si>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</si>
  <si>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</si>
  <si>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</si>
  <si>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</si>
  <si>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</si>
  <si>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</si>
  <si>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</si>
  <si>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</si>
  <si>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</si>
  <si>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</si>
  <si>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</si>
  <si>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</si>
  <si>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</si>
  <si>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</si>
  <si>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</si>
  <si>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</si>
  <si>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</si>
  <si>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</si>
  <si>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</si>
  <si>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</si>
  <si>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</si>
  <si>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P52000048599</t>
  </si>
  <si>
    <t>Name of the builder</t>
  </si>
  <si>
    <t>Kailas Prabhakar Bankhele</t>
  </si>
  <si>
    <t>Prime Developers</t>
  </si>
  <si>
    <t>Pinnacle</t>
  </si>
  <si>
    <t>Mr.Ranjit Nibarkar 7021376909</t>
  </si>
  <si>
    <t>Plot No</t>
  </si>
  <si>
    <t>26, Sector No.24</t>
  </si>
  <si>
    <t>18.964305, 73.034150</t>
  </si>
  <si>
    <t>https://goo.gl/maps/gz9LMopzmhnDMDyE7</t>
  </si>
  <si>
    <t>Morya Niwas</t>
  </si>
  <si>
    <t>Internal Road</t>
  </si>
  <si>
    <t>Open Plot</t>
  </si>
  <si>
    <t>Pushpak Nagar</t>
  </si>
  <si>
    <t>Vahal</t>
  </si>
  <si>
    <t>24th Road</t>
  </si>
  <si>
    <t>Raigad</t>
  </si>
  <si>
    <t>2.1KM from Bamandongri Railway Station</t>
  </si>
  <si>
    <t>Panvel</t>
  </si>
  <si>
    <t xml:space="preserve">As per RERA - 31/12/2025
</t>
  </si>
  <si>
    <t>CIDCO/BP-17843/TPO(NM &amp; K)/2021/9726</t>
  </si>
  <si>
    <t>CIDCO</t>
  </si>
  <si>
    <t>G + 1st to 6th Floor</t>
  </si>
  <si>
    <t>Ground Floor For Commercial &amp; Parking</t>
  </si>
  <si>
    <t>Shop</t>
  </si>
  <si>
    <t>1st Floor</t>
  </si>
  <si>
    <t>1BHK</t>
  </si>
  <si>
    <t>2nd to 4th Floor</t>
  </si>
  <si>
    <t>5th Floor</t>
  </si>
  <si>
    <t>6th Floor</t>
  </si>
  <si>
    <t>1RK</t>
  </si>
  <si>
    <t>We considered Gross carpet area = Net carpet + Enclose balcony + Chajja Area</t>
  </si>
  <si>
    <t>Shops</t>
  </si>
  <si>
    <t>Flats</t>
  </si>
  <si>
    <t>Flats - 24, Shops - 4</t>
  </si>
  <si>
    <t>Bamandongri</t>
  </si>
  <si>
    <t>Gr + 1st to 6th Floor</t>
  </si>
  <si>
    <t>Approved Plans, CC, Sale Plans</t>
  </si>
  <si>
    <t>1st Floor For Residential</t>
  </si>
  <si>
    <t>Landscaping &amp; Tree Planting, Sewage Treatment Plant, 24X7 Water Supply, Water Conservation, Rain water Harvesting, Fire Sprinklers, Closed Car Parking, Electrification Transformer, Solar Energy</t>
  </si>
  <si>
    <t>Taken from housing</t>
  </si>
  <si>
    <t>Axis Sanpada</t>
  </si>
  <si>
    <t>Sheet</t>
  </si>
  <si>
    <t>Box Price</t>
  </si>
  <si>
    <t>G + 1st to 7th Floor</t>
  </si>
  <si>
    <t>1 Building</t>
  </si>
  <si>
    <t>Mr.Kailash 8888849299 / Mr. Barun 7349545746</t>
  </si>
  <si>
    <t>Construction work goes beyoud approved no of floors &amp; CC permission. Please provide revised plan &amp; CC.</t>
  </si>
  <si>
    <t>Finishing work is in process at the time of Visit.</t>
  </si>
  <si>
    <t>Mayur Ranvare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</si>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</sst>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7" fillId="0" borderId="0" xfId="0" applyNumberFormat="1" applyFont="1" applyAlignment="1">
      <alignment horizontal="center" vertical="center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68" fontId="6" fillId="0" borderId="7" xfId="1" applyNumberFormat="1" applyFont="1" applyBorder="1" applyAlignment="1" applyProtection="1">
      <alignment horizontal="left" vertical="top" wrapText="1"/>
      <protection locked="0"/>
    </xf>
    <xf numFmtId="168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3" fillId="0" borderId="20" xfId="1" applyNumberFormat="1" applyFont="1" applyBorder="1" applyAlignment="1" applyProtection="1">
      <alignment horizontal="left" vertical="top"/>
      <protection locked="0"/>
    </xf>
    <xf numFmtId="14" fontId="13" fillId="0" borderId="8" xfId="1" applyNumberFormat="1" applyFont="1" applyBorder="1" applyAlignment="1" applyProtection="1">
      <alignment horizontal="left" vertical="top"/>
      <protection locked="0"/>
    </xf>
    <xf numFmtId="168" fontId="12" fillId="0" borderId="7" xfId="1" applyNumberFormat="1" applyFont="1" applyBorder="1" applyAlignment="1" applyProtection="1">
      <alignment horizontal="left" vertical="top"/>
      <protection locked="0"/>
    </xf>
    <xf numFmtId="168" fontId="12" fillId="0" borderId="20" xfId="1" applyNumberFormat="1" applyFont="1" applyBorder="1" applyAlignment="1" applyProtection="1">
      <alignment horizontal="left" vertical="top"/>
      <protection locked="0"/>
    </xf>
    <xf numFmtId="168" fontId="12" fillId="0" borderId="8" xfId="1" applyNumberFormat="1" applyFont="1" applyBorder="1" applyAlignment="1" applyProtection="1">
      <alignment horizontal="left" vertical="top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810000</xdr:colOff>
      <xdr:row>277</xdr:row>
      <xdr:rowOff>127500</xdr:rowOff>
    </xdr:from>
    <xdr:to>
      <xdr:col>7</xdr:col>
      <xdr:colOff>90000</xdr:colOff>
      <xdr:row>293</xdr:row>
      <xdr:rowOff>112196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0000" y="51210000"/>
          <a:ext cx="5400000" cy="3224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810000</xdr:colOff>
      <xdr:row>294</xdr:row>
      <xdr:rowOff>171150</xdr:rowOff>
    </xdr:from>
    <xdr:to>
      <xdr:col>7</xdr:col>
      <xdr:colOff>90000</xdr:colOff>
      <xdr:row>310</xdr:row>
      <xdr:rowOff>155846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0000" y="54696150"/>
          <a:ext cx="5400000" cy="3224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532500</xdr:colOff>
      <xdr:row>232</xdr:row>
      <xdr:rowOff>60615</xdr:rowOff>
    </xdr:from>
    <xdr:to>
      <xdr:col>6</xdr:col>
      <xdr:colOff>273853</xdr:colOff>
      <xdr:row>258</xdr:row>
      <xdr:rowOff>195614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4500" y="41494365"/>
          <a:ext cx="3889058" cy="53131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541003</xdr:colOff>
      <xdr:row>259</xdr:row>
      <xdr:rowOff>123450</xdr:rowOff>
    </xdr:from>
    <xdr:to>
      <xdr:col>5</xdr:col>
      <xdr:colOff>188543</xdr:colOff>
      <xdr:row>274</xdr:row>
      <xdr:rowOff>16062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9639" y="46934495"/>
          <a:ext cx="221929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744682</xdr:colOff>
      <xdr:row>302</xdr:row>
      <xdr:rowOff>17319</xdr:rowOff>
    </xdr:from>
    <xdr:to>
      <xdr:col>4</xdr:col>
      <xdr:colOff>86591</xdr:colOff>
      <xdr:row>303</xdr:row>
      <xdr:rowOff>164523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51909" y="55392205"/>
          <a:ext cx="285750" cy="346363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15</xdr:col>
      <xdr:colOff>248771</xdr:colOff>
      <xdr:row>209</xdr:row>
      <xdr:rowOff>37540</xdr:rowOff>
    </xdr:from>
    <xdr:to>
      <xdr:col>17</xdr:col>
      <xdr:colOff>69759</xdr:colOff>
      <xdr:row>219</xdr:row>
      <xdr:rowOff>180481</xdr:rowOff>
    </xdr:to>
    <xdr:pic>
      <xdr:nvPicPr>
        <xdr:cNvPr id="26" name="Picture 25" descr="https://vsjcllp.vsjadon.com/upload/insp-210922-940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1771" y="37308865"/>
          <a:ext cx="1211638" cy="214319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395246</xdr:colOff>
      <xdr:row>188</xdr:row>
      <xdr:rowOff>145111</xdr:rowOff>
    </xdr:from>
    <xdr:to>
      <xdr:col>16</xdr:col>
      <xdr:colOff>139811</xdr:colOff>
      <xdr:row>229</xdr:row>
      <xdr:rowOff>39755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492B45F-83B5-75B1-61AD-19446359FE97}"/>
            </a:ext>
          </a:extLst>
        </xdr:cNvPr>
        <xdr:cNvGrpSpPr/>
      </xdr:nvGrpSpPr>
      <xdr:grpSpPr>
        <a:xfrm>
          <a:off x="7535186" y="33132091"/>
          <a:ext cx="6328245" cy="8009944"/>
          <a:chOff x="-9908" y="622804"/>
          <a:chExt cx="6442702" cy="811583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CA615F2-094D-55F9-038D-95CFCCA8E9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1213" y="6578639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A17854E-4CA6-6209-04D9-51058C1B4E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5046" y="622804"/>
            <a:ext cx="2768432" cy="36963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BE1E0FF-1850-D180-828B-49E283F498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091" y="6578639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1D68429-256A-4CAD-D052-768179ED24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2538" y="4454024"/>
            <a:ext cx="1490256" cy="1989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02DFBEA-989E-34DF-A544-48AA899744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3652" y="6578639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49A527B0-5003-D2DA-796E-7ED43AA515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58526" y="4454025"/>
            <a:ext cx="1490256" cy="1989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B8E4B7E-A55B-474E-BF9D-D3B3E78064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9908" y="4454024"/>
            <a:ext cx="1490256" cy="1989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197161C1-5210-3BEC-7676-B8EE401183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79006" y="4454024"/>
            <a:ext cx="1490256" cy="1989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D334489-3FF7-5D4E-F4A5-702F103FE2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082" y="622804"/>
            <a:ext cx="2768432" cy="36963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114300</xdr:colOff>
      <xdr:row>189</xdr:row>
      <xdr:rowOff>22860</xdr:rowOff>
    </xdr:from>
    <xdr:to>
      <xdr:col>7</xdr:col>
      <xdr:colOff>1203960</xdr:colOff>
      <xdr:row>225</xdr:row>
      <xdr:rowOff>167640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6A23B033-3984-B9DC-3063-50C17211C4C1}"/>
            </a:ext>
          </a:extLst>
        </xdr:cNvPr>
        <xdr:cNvGrpSpPr/>
      </xdr:nvGrpSpPr>
      <xdr:grpSpPr>
        <a:xfrm>
          <a:off x="114300" y="33207960"/>
          <a:ext cx="6934200" cy="7269480"/>
          <a:chOff x="296562" y="137811"/>
          <a:chExt cx="5936566" cy="6490820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3E9DE8F5-3158-1CDE-E8E4-D044C2B0644A}"/>
              </a:ext>
            </a:extLst>
          </xdr:cNvPr>
          <xdr:cNvGrpSpPr/>
        </xdr:nvGrpSpPr>
        <xdr:grpSpPr>
          <a:xfrm>
            <a:off x="296562" y="137811"/>
            <a:ext cx="5936566" cy="2520000"/>
            <a:chOff x="296562" y="137811"/>
            <a:chExt cx="5936566" cy="252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BB178BD3-86EB-C5AD-A808-AC5E836249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7222" y="137811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34873912-7ADF-93B4-E903-E81419C5A9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16892" y="137811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3BDE8A8-770E-D1FD-828C-47F1025C11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6562" y="137811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717D771F-E8FD-453A-811F-313D60B7262A}"/>
              </a:ext>
            </a:extLst>
          </xdr:cNvPr>
          <xdr:cNvGrpSpPr/>
        </xdr:nvGrpSpPr>
        <xdr:grpSpPr>
          <a:xfrm>
            <a:off x="370740" y="2843221"/>
            <a:ext cx="5788211" cy="1800000"/>
            <a:chOff x="-96770" y="2855578"/>
            <a:chExt cx="5788211" cy="180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6472C06-8DD3-4C15-FF86-7A8918F635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58579" y="2855578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85E66401-41B8-9853-384F-DB985ADA00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96770" y="2855578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FB2AC5A0-BB96-BB0E-4458-72D4969D6B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79936" y="2855578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197DFC18-9DC4-6BD2-E1B6-3FC83D4973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7222" y="2855578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E8AECCB5-DA6D-8ACA-FE07-72FC78E861D2}"/>
              </a:ext>
            </a:extLst>
          </xdr:cNvPr>
          <xdr:cNvGrpSpPr/>
        </xdr:nvGrpSpPr>
        <xdr:grpSpPr>
          <a:xfrm>
            <a:off x="370739" y="4828631"/>
            <a:ext cx="5788212" cy="1800000"/>
            <a:chOff x="370738" y="4828631"/>
            <a:chExt cx="5788212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51C62A4-A59A-DEDB-A566-31BEA459E2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0738" y="4828631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9E1F2713-DED2-A242-AE3E-07DBE9FBF1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24150" y="482863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63F4BE5A-86DA-E756-6771-62DFBD2DBC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04731" y="4828631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A8D7F331-5F64-41CA-C882-8BFDDA52E2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47444" y="4828631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z9LMopzmhnDMDyE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6"/>
  <sheetViews>
    <sheetView tabSelected="1" view="pageBreakPreview" zoomScaleNormal="100" zoomScaleSheetLayoutView="100" zoomScalePageLayoutView="85" workbookViewId="0">
      <selection activeCell="J5" sqref="J5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8.88671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12" ht="46.5" customHeight="1" x14ac:dyDescent="0.3">
      <c r="A1" s="133" t="s">
        <v>175</v>
      </c>
      <c r="B1" s="133"/>
      <c r="C1" s="133"/>
      <c r="D1" s="133"/>
      <c r="E1" s="133"/>
      <c r="F1" s="133"/>
      <c r="G1" s="133"/>
      <c r="H1" s="133"/>
    </row>
    <row r="2" spans="1:12" ht="16.5" customHeight="1" x14ac:dyDescent="0.3">
      <c r="A2" s="67" t="s">
        <v>0</v>
      </c>
      <c r="B2" s="67"/>
      <c r="C2" s="67"/>
      <c r="D2" s="67"/>
      <c r="E2" s="67"/>
      <c r="F2" s="67"/>
      <c r="G2" s="67"/>
      <c r="H2" s="67"/>
    </row>
    <row r="3" spans="1:12" x14ac:dyDescent="0.3">
      <c r="A3" s="116" t="s">
        <v>1</v>
      </c>
      <c r="B3" s="116"/>
      <c r="C3" s="116"/>
      <c r="D3" s="116"/>
      <c r="E3" s="116" t="str">
        <f ca="1">TEXT(TODAY(),"DD/MM/YYYY")</f>
        <v>12/09/2025</v>
      </c>
      <c r="F3" s="116"/>
      <c r="G3" s="116"/>
      <c r="H3" s="116"/>
    </row>
    <row r="4" spans="1:12" ht="15" customHeight="1" x14ac:dyDescent="0.3">
      <c r="A4" s="116" t="s">
        <v>2</v>
      </c>
      <c r="B4" s="116"/>
      <c r="C4" s="116"/>
      <c r="D4" s="116"/>
      <c r="E4" s="116" t="s">
        <v>221</v>
      </c>
      <c r="F4" s="116"/>
      <c r="G4" s="116"/>
      <c r="H4" s="116"/>
    </row>
    <row r="5" spans="1:12" x14ac:dyDescent="0.3">
      <c r="A5" s="116" t="s">
        <v>3</v>
      </c>
      <c r="B5" s="116"/>
      <c r="C5" s="116"/>
      <c r="D5" s="116"/>
      <c r="E5" s="137">
        <v>45908</v>
      </c>
      <c r="F5" s="138"/>
      <c r="G5" s="138"/>
      <c r="H5" s="139"/>
    </row>
    <row r="6" spans="1:12" ht="16.5" customHeight="1" x14ac:dyDescent="0.3">
      <c r="A6" s="116" t="s">
        <v>181</v>
      </c>
      <c r="B6" s="116"/>
      <c r="C6" s="116"/>
      <c r="D6" s="116"/>
      <c r="E6" s="116" t="s">
        <v>182</v>
      </c>
      <c r="F6" s="116"/>
      <c r="G6" s="116"/>
      <c r="H6" s="116"/>
    </row>
    <row r="7" spans="1:12" ht="15" customHeight="1" x14ac:dyDescent="0.3">
      <c r="A7" s="116" t="s">
        <v>4</v>
      </c>
      <c r="B7" s="116"/>
      <c r="C7" s="116"/>
      <c r="D7" s="116"/>
      <c r="E7" s="116" t="s">
        <v>183</v>
      </c>
      <c r="F7" s="116"/>
      <c r="G7" s="116"/>
      <c r="H7" s="116"/>
    </row>
    <row r="8" spans="1:12" x14ac:dyDescent="0.3">
      <c r="A8" s="116" t="s">
        <v>5</v>
      </c>
      <c r="B8" s="116"/>
      <c r="C8" s="116"/>
      <c r="D8" s="116"/>
      <c r="E8" s="134" t="s">
        <v>184</v>
      </c>
      <c r="F8" s="135"/>
      <c r="G8" s="135"/>
      <c r="H8" s="136"/>
    </row>
    <row r="9" spans="1:12" x14ac:dyDescent="0.3">
      <c r="A9" s="116" t="s">
        <v>178</v>
      </c>
      <c r="B9" s="116"/>
      <c r="C9" s="116"/>
      <c r="D9" s="116"/>
      <c r="E9" s="116" t="s">
        <v>185</v>
      </c>
      <c r="F9" s="116"/>
      <c r="G9" s="116"/>
      <c r="H9" s="116"/>
    </row>
    <row r="10" spans="1:12" x14ac:dyDescent="0.3">
      <c r="A10" s="116" t="s">
        <v>179</v>
      </c>
      <c r="B10" s="116"/>
      <c r="C10" s="116"/>
      <c r="D10" s="116"/>
      <c r="E10" s="116" t="s">
        <v>29</v>
      </c>
      <c r="F10" s="116"/>
      <c r="G10" s="116"/>
      <c r="H10" s="116"/>
      <c r="I10" s="116" t="s">
        <v>226</v>
      </c>
      <c r="J10" s="116"/>
      <c r="K10" s="116"/>
      <c r="L10" s="116"/>
    </row>
    <row r="11" spans="1:12" x14ac:dyDescent="0.3">
      <c r="A11" s="116" t="s">
        <v>6</v>
      </c>
      <c r="B11" s="116"/>
      <c r="C11" s="116"/>
      <c r="D11" s="116"/>
      <c r="E11" s="116" t="s">
        <v>225</v>
      </c>
      <c r="F11" s="116"/>
      <c r="G11" s="116"/>
      <c r="H11" s="116"/>
      <c r="K11" s="19" t="str">
        <f>PROPER(K10)</f>
        <v/>
      </c>
    </row>
    <row r="12" spans="1:12" x14ac:dyDescent="0.3">
      <c r="A12" s="65" t="s">
        <v>7</v>
      </c>
      <c r="B12" s="65"/>
      <c r="C12" s="65"/>
      <c r="D12" s="65"/>
      <c r="E12" s="131" t="s">
        <v>217</v>
      </c>
      <c r="F12" s="131"/>
      <c r="G12" s="131"/>
      <c r="H12" s="131"/>
    </row>
    <row r="13" spans="1:12" x14ac:dyDescent="0.3">
      <c r="A13" s="65" t="s">
        <v>8</v>
      </c>
      <c r="B13" s="65"/>
      <c r="C13" s="65"/>
      <c r="D13" s="65"/>
      <c r="E13" s="131" t="s">
        <v>180</v>
      </c>
      <c r="F13" s="115"/>
      <c r="G13" s="115"/>
      <c r="H13" s="115"/>
    </row>
    <row r="14" spans="1:12" ht="35.25" customHeight="1" x14ac:dyDescent="0.3">
      <c r="A14" s="130" t="s">
        <v>9</v>
      </c>
      <c r="B14" s="130"/>
      <c r="C14" s="13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Pinnacle, Plot No.26, Sector No.24, near Morya Niwas, 24th Road, Vahal, Pushpak Nagar, Bamandongri, Panvel, Raigad - 410206.</v>
      </c>
      <c r="D14" s="130"/>
      <c r="E14" s="130"/>
      <c r="F14" s="130"/>
      <c r="G14" s="130"/>
      <c r="H14" s="130"/>
    </row>
    <row r="15" spans="1:12" x14ac:dyDescent="0.3">
      <c r="A15" s="131" t="s">
        <v>186</v>
      </c>
      <c r="B15" s="131"/>
      <c r="C15" s="131" t="s">
        <v>187</v>
      </c>
      <c r="D15" s="131"/>
      <c r="E15" s="131"/>
      <c r="F15" s="131"/>
      <c r="G15" s="131"/>
      <c r="H15" s="131"/>
    </row>
    <row r="16" spans="1:12" ht="15.75" customHeight="1" x14ac:dyDescent="0.3">
      <c r="A16" s="74" t="s">
        <v>173</v>
      </c>
      <c r="B16" s="74"/>
      <c r="C16" s="74" t="s">
        <v>194</v>
      </c>
      <c r="D16" s="74"/>
      <c r="E16" s="74"/>
      <c r="F16" s="74"/>
      <c r="G16" s="74"/>
      <c r="H16" s="74"/>
    </row>
    <row r="17" spans="1:8" ht="15.75" customHeight="1" x14ac:dyDescent="0.3">
      <c r="A17" s="130" t="s">
        <v>10</v>
      </c>
      <c r="B17" s="130"/>
      <c r="C17" s="116" t="s">
        <v>195</v>
      </c>
      <c r="D17" s="116"/>
      <c r="E17" s="130" t="s">
        <v>74</v>
      </c>
      <c r="F17" s="130"/>
      <c r="G17" s="74" t="s">
        <v>193</v>
      </c>
      <c r="H17" s="74"/>
    </row>
    <row r="18" spans="1:8" x14ac:dyDescent="0.3">
      <c r="A18" s="65" t="s">
        <v>12</v>
      </c>
      <c r="B18" s="65"/>
      <c r="C18" s="74" t="s">
        <v>215</v>
      </c>
      <c r="D18" s="74"/>
      <c r="E18" s="130" t="s">
        <v>11</v>
      </c>
      <c r="F18" s="130"/>
      <c r="G18" s="132" t="s">
        <v>196</v>
      </c>
      <c r="H18" s="132"/>
    </row>
    <row r="19" spans="1:8" x14ac:dyDescent="0.3">
      <c r="A19" s="65" t="s">
        <v>75</v>
      </c>
      <c r="B19" s="65"/>
      <c r="C19" s="74" t="s">
        <v>198</v>
      </c>
      <c r="D19" s="74"/>
      <c r="E19" s="130" t="s">
        <v>13</v>
      </c>
      <c r="F19" s="130"/>
      <c r="G19" s="74">
        <v>410206</v>
      </c>
      <c r="H19" s="74"/>
    </row>
    <row r="20" spans="1:8" ht="32.25" customHeight="1" x14ac:dyDescent="0.3">
      <c r="A20" s="65" t="s">
        <v>128</v>
      </c>
      <c r="B20" s="65"/>
      <c r="C20" s="74" t="s">
        <v>190</v>
      </c>
      <c r="D20" s="74"/>
      <c r="E20" s="130" t="s">
        <v>14</v>
      </c>
      <c r="F20" s="130"/>
      <c r="G20" s="131" t="s">
        <v>197</v>
      </c>
      <c r="H20" s="131"/>
    </row>
    <row r="21" spans="1:8" ht="15" customHeight="1" x14ac:dyDescent="0.3">
      <c r="A21" s="130" t="s">
        <v>78</v>
      </c>
      <c r="B21" s="130"/>
      <c r="C21" s="130"/>
      <c r="D21" s="130"/>
      <c r="E21" s="116" t="s">
        <v>15</v>
      </c>
      <c r="F21" s="116"/>
      <c r="G21" s="116"/>
      <c r="H21" s="116"/>
    </row>
    <row r="22" spans="1:8" ht="18.75" customHeight="1" x14ac:dyDescent="0.3">
      <c r="A22" s="130"/>
      <c r="B22" s="130"/>
      <c r="C22" s="130"/>
      <c r="D22" s="130"/>
      <c r="E22" s="116"/>
      <c r="F22" s="116"/>
      <c r="G22" s="116"/>
      <c r="H22" s="116"/>
    </row>
    <row r="23" spans="1:8" ht="15" customHeight="1" x14ac:dyDescent="0.3">
      <c r="A23" s="130" t="s">
        <v>16</v>
      </c>
      <c r="B23" s="130"/>
      <c r="C23" s="130"/>
      <c r="D23" s="130"/>
      <c r="E23" s="74" t="s">
        <v>17</v>
      </c>
      <c r="F23" s="74"/>
      <c r="G23" s="74"/>
      <c r="H23" s="74"/>
    </row>
    <row r="24" spans="1:8" ht="15" customHeight="1" x14ac:dyDescent="0.3">
      <c r="A24" s="65" t="s">
        <v>18</v>
      </c>
      <c r="B24" s="65"/>
      <c r="C24" s="65"/>
      <c r="D24" s="65"/>
      <c r="E24" s="74" t="str">
        <f>IF(AND(G18="Mumbai"),"Upper Class","Middle Class")</f>
        <v>Middle Class</v>
      </c>
      <c r="F24" s="74"/>
      <c r="G24" s="74"/>
      <c r="H24" s="74"/>
    </row>
    <row r="25" spans="1:8" x14ac:dyDescent="0.3">
      <c r="A25" s="65" t="s">
        <v>19</v>
      </c>
      <c r="B25" s="65"/>
      <c r="C25" s="65"/>
      <c r="D25" s="65"/>
      <c r="E25" s="74" t="s">
        <v>20</v>
      </c>
      <c r="F25" s="74"/>
      <c r="G25" s="74"/>
      <c r="H25" s="74"/>
    </row>
    <row r="26" spans="1:8" ht="15.75" customHeight="1" x14ac:dyDescent="0.3">
      <c r="A26" s="65" t="s">
        <v>21</v>
      </c>
      <c r="B26" s="65"/>
      <c r="C26" s="65"/>
      <c r="D26" s="65"/>
      <c r="E26" s="74" t="str">
        <f>IF(AND(G18="Mumbai"),"Developed","Developing")</f>
        <v>Developing</v>
      </c>
      <c r="F26" s="74"/>
      <c r="G26" s="74"/>
      <c r="H26" s="74"/>
    </row>
    <row r="27" spans="1:8" x14ac:dyDescent="0.3">
      <c r="A27" s="65" t="s">
        <v>22</v>
      </c>
      <c r="B27" s="65"/>
      <c r="C27" s="65"/>
      <c r="D27" s="65"/>
      <c r="E27" s="74" t="s">
        <v>23</v>
      </c>
      <c r="F27" s="74"/>
      <c r="G27" s="74"/>
      <c r="H27" s="74"/>
    </row>
    <row r="28" spans="1:8" ht="15.75" customHeight="1" x14ac:dyDescent="0.3">
      <c r="A28" s="65" t="s">
        <v>83</v>
      </c>
      <c r="B28" s="65"/>
      <c r="C28" s="65"/>
      <c r="D28" s="65"/>
      <c r="E28" s="74" t="s">
        <v>84</v>
      </c>
      <c r="F28" s="74"/>
      <c r="G28" s="74"/>
      <c r="H28" s="74"/>
    </row>
    <row r="29" spans="1:8" ht="15" customHeight="1" x14ac:dyDescent="0.3">
      <c r="A29" s="65" t="s">
        <v>32</v>
      </c>
      <c r="B29" s="65"/>
      <c r="C29" s="65"/>
      <c r="D29" s="65"/>
      <c r="E29" s="7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4"/>
      <c r="G29" s="74"/>
      <c r="H29" s="74"/>
    </row>
    <row r="30" spans="1:8" ht="15.75" customHeight="1" x14ac:dyDescent="0.3">
      <c r="A30" s="65" t="s">
        <v>95</v>
      </c>
      <c r="B30" s="65"/>
      <c r="C30" s="65"/>
      <c r="D30" s="65"/>
      <c r="E30" s="74" t="s">
        <v>33</v>
      </c>
      <c r="F30" s="74"/>
      <c r="G30" s="74"/>
      <c r="H30" s="74"/>
    </row>
    <row r="31" spans="1:8" s="20" customFormat="1" x14ac:dyDescent="0.3">
      <c r="A31" s="129" t="s">
        <v>96</v>
      </c>
      <c r="B31" s="129"/>
      <c r="C31" s="128" t="s">
        <v>28</v>
      </c>
      <c r="D31" s="128"/>
      <c r="E31" s="128"/>
      <c r="F31" s="128" t="s">
        <v>30</v>
      </c>
      <c r="G31" s="128"/>
      <c r="H31" s="128"/>
    </row>
    <row r="32" spans="1:8" s="20" customFormat="1" x14ac:dyDescent="0.3">
      <c r="A32" s="109" t="s">
        <v>24</v>
      </c>
      <c r="B32" s="109" t="s">
        <v>29</v>
      </c>
      <c r="C32" s="110" t="s">
        <v>29</v>
      </c>
      <c r="D32" s="110"/>
      <c r="E32" s="110"/>
      <c r="F32" s="110" t="s">
        <v>190</v>
      </c>
      <c r="G32" s="110"/>
      <c r="H32" s="110"/>
    </row>
    <row r="33" spans="1:8" x14ac:dyDescent="0.3">
      <c r="A33" s="109" t="s">
        <v>25</v>
      </c>
      <c r="B33" s="109" t="s">
        <v>29</v>
      </c>
      <c r="C33" s="110" t="s">
        <v>29</v>
      </c>
      <c r="D33" s="110"/>
      <c r="E33" s="110"/>
      <c r="F33" s="110" t="s">
        <v>191</v>
      </c>
      <c r="G33" s="110"/>
      <c r="H33" s="110"/>
    </row>
    <row r="34" spans="1:8" s="20" customFormat="1" x14ac:dyDescent="0.3">
      <c r="A34" s="109" t="s">
        <v>27</v>
      </c>
      <c r="B34" s="109" t="s">
        <v>29</v>
      </c>
      <c r="C34" s="110" t="s">
        <v>29</v>
      </c>
      <c r="D34" s="110"/>
      <c r="E34" s="110"/>
      <c r="F34" s="110" t="s">
        <v>192</v>
      </c>
      <c r="G34" s="110"/>
      <c r="H34" s="110"/>
    </row>
    <row r="35" spans="1:8" x14ac:dyDescent="0.3">
      <c r="A35" s="109" t="s">
        <v>26</v>
      </c>
      <c r="B35" s="109" t="s">
        <v>29</v>
      </c>
      <c r="C35" s="110" t="s">
        <v>29</v>
      </c>
      <c r="D35" s="110"/>
      <c r="E35" s="110"/>
      <c r="F35" s="110" t="s">
        <v>191</v>
      </c>
      <c r="G35" s="110"/>
      <c r="H35" s="110"/>
    </row>
    <row r="36" spans="1:8" x14ac:dyDescent="0.3">
      <c r="A36" s="65" t="s">
        <v>31</v>
      </c>
      <c r="B36" s="65"/>
      <c r="C36" s="65"/>
      <c r="D36" s="65"/>
      <c r="E36" s="65"/>
      <c r="F36" s="65"/>
      <c r="G36" s="65"/>
      <c r="H36" s="65"/>
    </row>
    <row r="37" spans="1:8" ht="15.75" customHeight="1" x14ac:dyDescent="0.3">
      <c r="A37" s="65" t="s">
        <v>176</v>
      </c>
      <c r="B37" s="65"/>
      <c r="C37" s="90" t="s">
        <v>188</v>
      </c>
      <c r="D37" s="90"/>
      <c r="E37" s="90"/>
      <c r="F37" s="90"/>
      <c r="G37" s="90"/>
      <c r="H37" s="90"/>
    </row>
    <row r="38" spans="1:8" x14ac:dyDescent="0.3">
      <c r="A38" s="65" t="s">
        <v>172</v>
      </c>
      <c r="B38" s="65"/>
      <c r="C38" s="73" t="s">
        <v>189</v>
      </c>
      <c r="D38" s="74"/>
      <c r="E38" s="74"/>
      <c r="F38" s="74"/>
      <c r="G38" s="74"/>
      <c r="H38" s="74"/>
    </row>
    <row r="39" spans="1:8" x14ac:dyDescent="0.3">
      <c r="A39" s="90" t="s">
        <v>34</v>
      </c>
      <c r="B39" s="90"/>
      <c r="C39" s="90"/>
      <c r="D39" s="90"/>
      <c r="E39" s="90"/>
      <c r="F39" s="90"/>
      <c r="G39" s="90"/>
      <c r="H39" s="90"/>
    </row>
    <row r="40" spans="1:8" x14ac:dyDescent="0.3">
      <c r="A40" s="65" t="s">
        <v>35</v>
      </c>
      <c r="B40" s="65"/>
      <c r="C40" s="65"/>
      <c r="D40" s="65"/>
      <c r="E40" s="111">
        <v>369.79</v>
      </c>
      <c r="F40" s="111"/>
      <c r="G40" s="111"/>
      <c r="H40" s="111"/>
    </row>
    <row r="41" spans="1:8" x14ac:dyDescent="0.3">
      <c r="A41" s="65" t="s">
        <v>36</v>
      </c>
      <c r="B41" s="65"/>
      <c r="C41" s="65"/>
      <c r="D41" s="65"/>
      <c r="E41" s="113">
        <v>1.1000000000000001</v>
      </c>
      <c r="F41" s="113"/>
      <c r="G41" s="113"/>
      <c r="H41" s="113"/>
    </row>
    <row r="42" spans="1:8" x14ac:dyDescent="0.3">
      <c r="A42" s="65" t="s">
        <v>37</v>
      </c>
      <c r="B42" s="65"/>
      <c r="C42" s="65"/>
      <c r="D42" s="65"/>
      <c r="E42" s="113">
        <f>E44/E40-E41</f>
        <v>1.2997403931961382</v>
      </c>
      <c r="F42" s="113"/>
      <c r="G42" s="113"/>
      <c r="H42" s="113"/>
    </row>
    <row r="43" spans="1:8" x14ac:dyDescent="0.3">
      <c r="A43" s="65" t="s">
        <v>38</v>
      </c>
      <c r="B43" s="65"/>
      <c r="C43" s="65"/>
      <c r="D43" s="65"/>
      <c r="E43" s="113">
        <f>E41+E42</f>
        <v>2.3997403931961383</v>
      </c>
      <c r="F43" s="113"/>
      <c r="G43" s="113"/>
      <c r="H43" s="113"/>
    </row>
    <row r="44" spans="1:8" x14ac:dyDescent="0.3">
      <c r="A44" s="65" t="s">
        <v>94</v>
      </c>
      <c r="B44" s="65"/>
      <c r="C44" s="65"/>
      <c r="D44" s="65"/>
      <c r="E44" s="114">
        <v>887.4</v>
      </c>
      <c r="F44" s="114"/>
      <c r="G44" s="114"/>
      <c r="H44" s="114"/>
    </row>
    <row r="45" spans="1:8" x14ac:dyDescent="0.3">
      <c r="A45" s="116" t="s">
        <v>39</v>
      </c>
      <c r="B45" s="116"/>
      <c r="C45" s="116"/>
      <c r="D45" s="116"/>
      <c r="E45" s="115" t="s">
        <v>127</v>
      </c>
      <c r="F45" s="115"/>
      <c r="G45" s="115"/>
      <c r="H45" s="115"/>
    </row>
    <row r="46" spans="1:8" x14ac:dyDescent="0.3">
      <c r="A46" s="90" t="s">
        <v>40</v>
      </c>
      <c r="B46" s="90"/>
      <c r="C46" s="90"/>
      <c r="D46" s="90"/>
      <c r="E46" s="90"/>
      <c r="F46" s="90"/>
      <c r="G46" s="90"/>
      <c r="H46" s="90"/>
    </row>
    <row r="47" spans="1:8" ht="33.75" customHeight="1" x14ac:dyDescent="0.3">
      <c r="A47" s="75" t="s">
        <v>159</v>
      </c>
      <c r="B47" s="76"/>
      <c r="C47" s="77" t="s">
        <v>201</v>
      </c>
      <c r="D47" s="78"/>
      <c r="E47" s="78"/>
      <c r="F47" s="78"/>
      <c r="G47" s="78"/>
      <c r="H47" s="79"/>
    </row>
    <row r="48" spans="1:8" ht="32.25" customHeight="1" x14ac:dyDescent="0.3">
      <c r="A48" s="75" t="s">
        <v>41</v>
      </c>
      <c r="B48" s="76"/>
      <c r="C48" s="75" t="s">
        <v>200</v>
      </c>
      <c r="D48" s="168"/>
      <c r="E48" s="76"/>
      <c r="F48" s="16" t="s">
        <v>42</v>
      </c>
      <c r="G48" s="122">
        <v>44803</v>
      </c>
      <c r="H48" s="123"/>
    </row>
    <row r="49" spans="1:14" ht="32.25" customHeight="1" x14ac:dyDescent="0.3">
      <c r="A49" s="75" t="s">
        <v>43</v>
      </c>
      <c r="B49" s="76"/>
      <c r="C49" s="75" t="str">
        <f>C48</f>
        <v>CIDCO/BP-17843/TPO(NM &amp; K)/2021/9726</v>
      </c>
      <c r="D49" s="168"/>
      <c r="E49" s="76"/>
      <c r="F49" s="16" t="s">
        <v>42</v>
      </c>
      <c r="G49" s="122">
        <f>G48</f>
        <v>44803</v>
      </c>
      <c r="H49" s="123"/>
    </row>
    <row r="50" spans="1:14" s="21" customFormat="1" ht="32.25" customHeight="1" x14ac:dyDescent="0.3">
      <c r="A50" s="124" t="s">
        <v>163</v>
      </c>
      <c r="B50" s="125"/>
      <c r="C50" s="75" t="str">
        <f>C49</f>
        <v>CIDCO/BP-17843/TPO(NM &amp; K)/2021/9726</v>
      </c>
      <c r="D50" s="168"/>
      <c r="E50" s="76"/>
      <c r="F50" s="16" t="s">
        <v>42</v>
      </c>
      <c r="G50" s="122">
        <f>G49</f>
        <v>44803</v>
      </c>
      <c r="H50" s="123"/>
    </row>
    <row r="51" spans="1:14" s="21" customFormat="1" ht="17.25" customHeight="1" x14ac:dyDescent="0.3">
      <c r="A51" s="126"/>
      <c r="B51" s="127"/>
      <c r="C51" s="75" t="s">
        <v>216</v>
      </c>
      <c r="D51" s="168"/>
      <c r="E51" s="168"/>
      <c r="F51" s="168"/>
      <c r="G51" s="168"/>
      <c r="H51" s="76"/>
    </row>
    <row r="52" spans="1:14" x14ac:dyDescent="0.3">
      <c r="A52" s="169" t="s">
        <v>44</v>
      </c>
      <c r="B52" s="170"/>
      <c r="C52" s="169" t="s">
        <v>107</v>
      </c>
      <c r="D52" s="171"/>
      <c r="E52" s="170"/>
      <c r="F52" s="44" t="s">
        <v>42</v>
      </c>
      <c r="G52" s="172" t="s">
        <v>29</v>
      </c>
      <c r="H52" s="173"/>
    </row>
    <row r="53" spans="1:14" x14ac:dyDescent="0.3">
      <c r="A53" s="158" t="s">
        <v>46</v>
      </c>
      <c r="B53" s="158"/>
      <c r="C53" s="158"/>
      <c r="D53" s="158"/>
      <c r="E53" s="158"/>
      <c r="F53" s="158"/>
      <c r="G53" s="158"/>
      <c r="H53" s="158"/>
    </row>
    <row r="54" spans="1:14" x14ac:dyDescent="0.3">
      <c r="A54" s="130" t="s">
        <v>93</v>
      </c>
      <c r="B54" s="130"/>
      <c r="C54" s="130"/>
      <c r="D54" s="65">
        <f>E44</f>
        <v>887.4</v>
      </c>
      <c r="E54" s="65"/>
      <c r="F54" s="65"/>
      <c r="G54" s="65"/>
      <c r="H54" s="65"/>
    </row>
    <row r="55" spans="1:14" x14ac:dyDescent="0.3">
      <c r="A55" s="74" t="s">
        <v>47</v>
      </c>
      <c r="B55" s="116"/>
      <c r="C55" s="116"/>
      <c r="D55" s="116" t="s">
        <v>214</v>
      </c>
      <c r="E55" s="116"/>
      <c r="F55" s="116"/>
      <c r="G55" s="116"/>
      <c r="H55" s="116"/>
      <c r="I55" s="22"/>
    </row>
    <row r="56" spans="1:14" x14ac:dyDescent="0.3">
      <c r="A56" s="119" t="s">
        <v>48</v>
      </c>
      <c r="B56" s="120"/>
      <c r="C56" s="121"/>
      <c r="D56" s="117" t="s">
        <v>202</v>
      </c>
      <c r="E56" s="118"/>
      <c r="F56" s="118"/>
      <c r="G56" s="118"/>
      <c r="H56" s="118"/>
    </row>
    <row r="57" spans="1:14" ht="15.75" customHeight="1" x14ac:dyDescent="0.3">
      <c r="A57" s="119" t="s">
        <v>91</v>
      </c>
      <c r="B57" s="120"/>
      <c r="C57" s="120"/>
      <c r="D57" s="115" t="s">
        <v>224</v>
      </c>
      <c r="E57" s="115"/>
      <c r="F57" s="115"/>
      <c r="G57" s="115"/>
      <c r="H57" s="115"/>
    </row>
    <row r="58" spans="1:14" ht="15.75" customHeight="1" x14ac:dyDescent="0.3">
      <c r="A58" s="65" t="s">
        <v>45</v>
      </c>
      <c r="B58" s="65"/>
      <c r="C58" s="65"/>
      <c r="D58" s="112" t="s">
        <v>199</v>
      </c>
      <c r="E58" s="112"/>
      <c r="F58" s="112"/>
      <c r="G58" s="112"/>
      <c r="H58" s="112"/>
      <c r="J58" s="23"/>
      <c r="K58" s="22"/>
      <c r="N58" s="22"/>
    </row>
    <row r="59" spans="1:14" ht="15.75" customHeight="1" x14ac:dyDescent="0.3">
      <c r="A59" s="65" t="s">
        <v>89</v>
      </c>
      <c r="B59" s="65"/>
      <c r="C59" s="65"/>
      <c r="D59" s="108" t="str">
        <f>(IF(G52="NA","60 Years After Completion",IF(G52&lt;&gt;"NA",""&amp;60-ROUNDDOWN((E3-G52)/360,0)&amp;" Years"," ")))</f>
        <v>60 Years After Completion</v>
      </c>
      <c r="E59" s="108"/>
      <c r="F59" s="108"/>
      <c r="G59" s="108"/>
      <c r="H59" s="108"/>
      <c r="N59" s="22"/>
    </row>
    <row r="60" spans="1:14" ht="15.75" customHeight="1" x14ac:dyDescent="0.3">
      <c r="A60" s="65" t="s">
        <v>90</v>
      </c>
      <c r="B60" s="65"/>
      <c r="C60" s="65"/>
      <c r="D60" s="130" t="s">
        <v>23</v>
      </c>
      <c r="E60" s="130"/>
      <c r="F60" s="130"/>
      <c r="G60" s="130"/>
      <c r="H60" s="130"/>
      <c r="J60" s="24"/>
      <c r="K60" s="24"/>
    </row>
    <row r="61" spans="1:14" ht="49.5" customHeight="1" x14ac:dyDescent="0.3">
      <c r="A61" s="65" t="s">
        <v>76</v>
      </c>
      <c r="B61" s="65"/>
      <c r="C61" s="65"/>
      <c r="D61" s="74" t="s">
        <v>219</v>
      </c>
      <c r="E61" s="130"/>
      <c r="F61" s="130"/>
      <c r="G61" s="130"/>
      <c r="H61" s="130"/>
      <c r="I61" s="19" t="s">
        <v>220</v>
      </c>
    </row>
    <row r="62" spans="1:14" x14ac:dyDescent="0.3">
      <c r="A62" s="130" t="s">
        <v>156</v>
      </c>
      <c r="B62" s="130"/>
      <c r="C62" s="130"/>
      <c r="D62" s="130" t="s">
        <v>29</v>
      </c>
      <c r="E62" s="130"/>
      <c r="F62" s="130"/>
      <c r="G62" s="130"/>
      <c r="H62" s="130"/>
      <c r="I62" s="25"/>
      <c r="J62" s="25"/>
      <c r="K62" s="25"/>
      <c r="L62" s="25"/>
      <c r="M62" s="25"/>
      <c r="N62" s="25"/>
    </row>
    <row r="63" spans="1:14" ht="15.75" customHeight="1" x14ac:dyDescent="0.3">
      <c r="A63" s="151" t="s">
        <v>88</v>
      </c>
      <c r="B63" s="151"/>
      <c r="C63" s="151"/>
      <c r="D63" s="150" t="str">
        <f ca="1">(IF(G69&gt;95%,"Nothing",IF(G69&gt;0%,"Cement, Aggregate, Steel, etc",IF(G69=0%,"Work not yet Started"))))</f>
        <v>Cement, Aggregate, Steel, etc</v>
      </c>
      <c r="E63" s="150"/>
      <c r="F63" s="150"/>
      <c r="G63" s="150"/>
      <c r="H63" s="150"/>
      <c r="J63" s="24"/>
    </row>
    <row r="64" spans="1:14" ht="33.75" customHeight="1" thickBot="1" x14ac:dyDescent="0.35">
      <c r="A64" s="149" t="s">
        <v>120</v>
      </c>
      <c r="B64" s="149"/>
      <c r="C64" s="149"/>
      <c r="D64" s="150" t="str">
        <f ca="1">(IF(D63="Nothing","Yes",IF(D63="Cement, Aggregate, Steel, etc","Under Construction",IF(D63="Work not yet Started","Work not yet Started"))))</f>
        <v>Under Construction</v>
      </c>
      <c r="E64" s="150"/>
      <c r="F64" s="150" t="str">
        <f ca="1">(IF(D63="Nothing","Yes",IF(D63="Cement, Aggregate, Steel, etc","Under Construction",IF(D63="Work not yet Started","Work not yet Started"))))</f>
        <v>Under Construction</v>
      </c>
      <c r="G64" s="150"/>
      <c r="H64" s="150"/>
    </row>
    <row r="65" spans="1:10" ht="15.75" customHeight="1" x14ac:dyDescent="0.3">
      <c r="A65" s="142" t="s">
        <v>146</v>
      </c>
      <c r="B65" s="143"/>
      <c r="C65" s="144" t="str">
        <f>D57</f>
        <v>G + 1st to 7th Floor</v>
      </c>
      <c r="D65" s="145"/>
      <c r="E65" s="145"/>
      <c r="F65" s="145"/>
      <c r="G65" s="145"/>
      <c r="H65" s="146"/>
      <c r="I65" s="46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 Completed, Painting upto 5 Floor, Finishing upto 3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Painting upto 5 Floor, Finishing upto 3 Floor</v>
      </c>
    </row>
    <row r="66" spans="1:10" x14ac:dyDescent="0.3">
      <c r="A66" s="51" t="s">
        <v>148</v>
      </c>
      <c r="B66" s="52">
        <f>IF(AND(ISNUMBER(SEARCH("1B",C65))),1,IF(AND(ISNUMBER(SEARCH("2B",C65))),2,IF(AND(ISNUMBER(SEARCH("3B",C65))),3,IF(AND(ISNUMBER(SEARCH("4B",C65))),4,IF(ISNUMBER(SEARCH("5B",C65)),5,0)))))</f>
        <v>0</v>
      </c>
      <c r="C66" s="52" t="s">
        <v>73</v>
      </c>
      <c r="D66" s="52">
        <v>1</v>
      </c>
      <c r="E66" s="52" t="s">
        <v>72</v>
      </c>
      <c r="F66" s="52">
        <v>0</v>
      </c>
      <c r="G66" s="52" t="s">
        <v>82</v>
      </c>
      <c r="H66" s="53">
        <f ca="1">--TRIM(RIGHT(SUBSTITUTE(LEFT(C65,_xlfn.AGGREGATE(16,6,FIND({0,1,2,3,4,5,6,7,8,9},C65,ROW(INDIRECT("1:"&amp;LEN(C65)))),1))," ",REPT(" ",LEN(C65))),LEN(C65)))</f>
        <v>7</v>
      </c>
      <c r="I66" s="4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4.5" customHeight="1" x14ac:dyDescent="0.3">
      <c r="A67" s="140" t="s">
        <v>92</v>
      </c>
      <c r="B67" s="141"/>
      <c r="C67" s="147" t="str">
        <f ca="1">I65</f>
        <v>Excavation, Plinth, RCC Slab, Brickwork, Internal Plaster, External Plaster, Flooring Completed, Painting upto 5 Floor, Finishing upto 3 Floor Completed</v>
      </c>
      <c r="D67" s="147"/>
      <c r="E67" s="147"/>
      <c r="F67" s="147"/>
      <c r="G67" s="147"/>
      <c r="H67" s="148"/>
      <c r="I67" s="48" t="str">
        <f ca="1">IF(I66&lt;&gt;""," Completed","")</f>
        <v xml:space="preserve"> Completed</v>
      </c>
      <c r="J67" s="49" t="str">
        <f ca="1">IF(J65&lt;&gt;"","Completed","")</f>
        <v>Completed</v>
      </c>
    </row>
    <row r="68" spans="1:10" ht="15.75" customHeight="1" x14ac:dyDescent="0.3">
      <c r="A68" s="91" t="s">
        <v>49</v>
      </c>
      <c r="B68" s="92"/>
      <c r="C68" s="42" t="s">
        <v>145</v>
      </c>
      <c r="D68" s="42" t="s">
        <v>85</v>
      </c>
      <c r="E68" s="92" t="s">
        <v>87</v>
      </c>
      <c r="F68" s="92"/>
      <c r="G68" s="92" t="s">
        <v>86</v>
      </c>
      <c r="H68" s="152"/>
      <c r="I68" s="14" t="s">
        <v>147</v>
      </c>
      <c r="J68" s="26">
        <f ca="1">H66*25%</f>
        <v>1.75</v>
      </c>
    </row>
    <row r="69" spans="1:10" x14ac:dyDescent="0.3">
      <c r="A69" s="91" t="s">
        <v>134</v>
      </c>
      <c r="B69" s="92"/>
      <c r="C69" s="42">
        <f ca="1">J70</f>
        <v>7</v>
      </c>
      <c r="D69" s="17">
        <f ca="1">((100/H66)*C69)/100</f>
        <v>1</v>
      </c>
      <c r="E69" s="97">
        <f ca="1">(((C70/H66*10)+(40/(D66+F66+H66)*C71)+(7.5/(H66)*C72)+(7.5/(H66)*C73)+(10/H66*C74)+(10/H66*C75)+(5/H66*C76)+(5/H66*C77)+(5/H66*C78))/100)</f>
        <v>0.90714285714285703</v>
      </c>
      <c r="F69" s="98"/>
      <c r="G69" s="97">
        <f ca="1">((((C69/H66)*20)+((C70/H66)*25)+(30/(H66+F66+D66)*C71)+(5/H66*C72)+(5/H66*C73)+(5/H66*C74)+(5/H66*C75)+(0/H66*C76)+(0/H66*C77)+(5/H66*C78))/100)</f>
        <v>0.95</v>
      </c>
      <c r="H69" s="103"/>
      <c r="I69" s="14" t="s">
        <v>102</v>
      </c>
      <c r="J69" s="27">
        <f ca="1">H66*50%</f>
        <v>3.5</v>
      </c>
    </row>
    <row r="70" spans="1:10" x14ac:dyDescent="0.3">
      <c r="A70" s="91" t="s">
        <v>50</v>
      </c>
      <c r="B70" s="92"/>
      <c r="C70" s="42">
        <f ca="1">J78</f>
        <v>7</v>
      </c>
      <c r="D70" s="17">
        <f ca="1">((100/H66)*C70)/100</f>
        <v>1</v>
      </c>
      <c r="E70" s="99"/>
      <c r="F70" s="100"/>
      <c r="G70" s="99"/>
      <c r="H70" s="104"/>
      <c r="I70" s="14" t="s">
        <v>103</v>
      </c>
      <c r="J70" s="27">
        <f ca="1">H66</f>
        <v>7</v>
      </c>
    </row>
    <row r="71" spans="1:10" ht="15.75" customHeight="1" x14ac:dyDescent="0.3">
      <c r="A71" s="91" t="s">
        <v>135</v>
      </c>
      <c r="B71" s="92"/>
      <c r="C71" s="42">
        <v>8</v>
      </c>
      <c r="D71" s="17">
        <f ca="1">((100/(D66+F66+H66))*C71)/100</f>
        <v>1</v>
      </c>
      <c r="E71" s="99"/>
      <c r="F71" s="100"/>
      <c r="G71" s="99"/>
      <c r="H71" s="104"/>
      <c r="I71" s="14" t="s">
        <v>104</v>
      </c>
      <c r="J71" s="28">
        <f ca="1">(IF(B66&gt;1,(H66/(B66+2)),H66/4))</f>
        <v>1.75</v>
      </c>
    </row>
    <row r="72" spans="1:10" ht="15.75" customHeight="1" x14ac:dyDescent="0.3">
      <c r="A72" s="91" t="s">
        <v>142</v>
      </c>
      <c r="B72" s="92" t="s">
        <v>136</v>
      </c>
      <c r="C72" s="42">
        <v>7</v>
      </c>
      <c r="D72" s="17">
        <f ca="1">((100/H66)*C72)/100</f>
        <v>1</v>
      </c>
      <c r="E72" s="99"/>
      <c r="F72" s="100"/>
      <c r="G72" s="99"/>
      <c r="H72" s="104"/>
      <c r="I72" s="14" t="s">
        <v>105</v>
      </c>
      <c r="J72" s="28">
        <f ca="1">(IF(B66&gt;1,(H66/(B66+2)+J71),H66/4+J71))</f>
        <v>3.5</v>
      </c>
    </row>
    <row r="73" spans="1:10" ht="15.75" customHeight="1" x14ac:dyDescent="0.3">
      <c r="A73" s="91" t="s">
        <v>143</v>
      </c>
      <c r="B73" s="92" t="s">
        <v>136</v>
      </c>
      <c r="C73" s="42">
        <v>7</v>
      </c>
      <c r="D73" s="17">
        <f ca="1">((100/H66)*C73)/100</f>
        <v>1</v>
      </c>
      <c r="E73" s="99"/>
      <c r="F73" s="100"/>
      <c r="G73" s="99"/>
      <c r="H73" s="104"/>
      <c r="I73" s="14" t="s">
        <v>154</v>
      </c>
      <c r="J73" s="28">
        <f>(IF(B66&gt;1,(H66/(B66+2)+J72),0))</f>
        <v>0</v>
      </c>
    </row>
    <row r="74" spans="1:10" ht="15" customHeight="1" x14ac:dyDescent="0.3">
      <c r="A74" s="91" t="s">
        <v>141</v>
      </c>
      <c r="B74" s="92" t="s">
        <v>138</v>
      </c>
      <c r="C74" s="42">
        <v>7</v>
      </c>
      <c r="D74" s="17">
        <f ca="1">((100/(H66))*C74)/100</f>
        <v>1</v>
      </c>
      <c r="E74" s="99"/>
      <c r="F74" s="100"/>
      <c r="G74" s="99"/>
      <c r="H74" s="104"/>
      <c r="I74" s="14" t="s">
        <v>149</v>
      </c>
      <c r="J74" s="28">
        <f>(IF(B66&gt;2,(H66/(B66+2)+J73),0))</f>
        <v>0</v>
      </c>
    </row>
    <row r="75" spans="1:10" ht="15.75" customHeight="1" x14ac:dyDescent="0.3">
      <c r="A75" s="91" t="s">
        <v>137</v>
      </c>
      <c r="B75" s="92" t="s">
        <v>137</v>
      </c>
      <c r="C75" s="42">
        <v>7</v>
      </c>
      <c r="D75" s="17">
        <f ca="1">((100/H66)*C75)/100</f>
        <v>1</v>
      </c>
      <c r="E75" s="99"/>
      <c r="F75" s="100"/>
      <c r="G75" s="99"/>
      <c r="H75" s="104"/>
      <c r="I75" s="14" t="s">
        <v>150</v>
      </c>
      <c r="J75" s="29">
        <f>(IF(B66&gt;3,(H66/(B66+2)+J74),0))</f>
        <v>0</v>
      </c>
    </row>
    <row r="76" spans="1:10" ht="15.75" customHeight="1" x14ac:dyDescent="0.3">
      <c r="A76" s="91" t="s">
        <v>144</v>
      </c>
      <c r="B76" s="92"/>
      <c r="C76" s="42">
        <v>5</v>
      </c>
      <c r="D76" s="17">
        <f ca="1">((100/H66)*C76)/100</f>
        <v>0.7142857142857143</v>
      </c>
      <c r="E76" s="99"/>
      <c r="F76" s="100"/>
      <c r="G76" s="99"/>
      <c r="H76" s="104"/>
      <c r="I76" s="14" t="s">
        <v>151</v>
      </c>
      <c r="J76" s="28">
        <f>(IF(B66&gt;4,(H66/(B66+2)+J75),0))</f>
        <v>0</v>
      </c>
    </row>
    <row r="77" spans="1:10" ht="15.75" customHeight="1" x14ac:dyDescent="0.3">
      <c r="A77" s="91" t="s">
        <v>139</v>
      </c>
      <c r="B77" s="92" t="s">
        <v>139</v>
      </c>
      <c r="C77" s="42">
        <v>3</v>
      </c>
      <c r="D77" s="17">
        <f ca="1">((100/(H66))*C77)/100</f>
        <v>0.4285714285714286</v>
      </c>
      <c r="E77" s="99"/>
      <c r="F77" s="100"/>
      <c r="G77" s="99"/>
      <c r="H77" s="104"/>
      <c r="I77" s="14" t="s">
        <v>155</v>
      </c>
      <c r="J77" s="28">
        <f ca="1">(IF(B66=1,(H66/(B66+3)+J72),IF(B66=0,(H66/4+J72),IF(B66&gt;1,0))))</f>
        <v>5.25</v>
      </c>
    </row>
    <row r="78" spans="1:10" ht="16.2" thickBot="1" x14ac:dyDescent="0.35">
      <c r="A78" s="106" t="s">
        <v>140</v>
      </c>
      <c r="B78" s="107"/>
      <c r="C78" s="43">
        <v>0</v>
      </c>
      <c r="D78" s="18">
        <f ca="1">((100/(H66))*C78)/100</f>
        <v>0</v>
      </c>
      <c r="E78" s="101"/>
      <c r="F78" s="102"/>
      <c r="G78" s="101"/>
      <c r="H78" s="105"/>
      <c r="I78" s="15" t="s">
        <v>106</v>
      </c>
      <c r="J78" s="30">
        <f ca="1">(IF(B66&gt;1.5,(H66/(B66+2)+J72+MAX(0,J73-J72)+MAX(0,J74-J73)+MAX(0,J75-J74)+MAX(0,J76-J75)+MAX(0,J77-J76)),IF(B66=1,(H66/(B66+3)+J77),IF(B66=0,H66/4+J77))))</f>
        <v>7</v>
      </c>
    </row>
    <row r="79" spans="1:10" x14ac:dyDescent="0.3">
      <c r="A79" s="82" t="s">
        <v>165</v>
      </c>
      <c r="B79" s="82"/>
      <c r="C79" s="82"/>
      <c r="D79" s="82"/>
      <c r="E79" s="82"/>
      <c r="F79" s="86" t="s">
        <v>170</v>
      </c>
      <c r="G79" s="86"/>
      <c r="H79" s="86"/>
    </row>
    <row r="80" spans="1:10" x14ac:dyDescent="0.3">
      <c r="A80" s="65" t="s">
        <v>168</v>
      </c>
      <c r="B80" s="65"/>
      <c r="C80" s="65"/>
      <c r="D80" s="65"/>
      <c r="E80" s="65"/>
      <c r="F80" s="66">
        <v>6000</v>
      </c>
      <c r="G80" s="66"/>
      <c r="H80" s="66"/>
    </row>
    <row r="81" spans="1:11" x14ac:dyDescent="0.3">
      <c r="A81" s="65" t="s">
        <v>167</v>
      </c>
      <c r="B81" s="65"/>
      <c r="C81" s="65"/>
      <c r="D81" s="65"/>
      <c r="E81" s="65"/>
      <c r="F81" s="66">
        <v>12000</v>
      </c>
      <c r="G81" s="66"/>
      <c r="H81" s="66"/>
    </row>
    <row r="82" spans="1:11" hidden="1" x14ac:dyDescent="0.3">
      <c r="A82" s="65" t="s">
        <v>169</v>
      </c>
      <c r="B82" s="65"/>
      <c r="C82" s="65"/>
      <c r="D82" s="65"/>
      <c r="E82" s="65"/>
      <c r="F82" s="66"/>
      <c r="G82" s="66"/>
      <c r="H82" s="66"/>
    </row>
    <row r="83" spans="1:11" s="31" customFormat="1" hidden="1" x14ac:dyDescent="0.25">
      <c r="A83" s="65" t="s">
        <v>166</v>
      </c>
      <c r="B83" s="65"/>
      <c r="C83" s="65"/>
      <c r="D83" s="65"/>
      <c r="E83" s="65"/>
      <c r="F83" s="66"/>
      <c r="G83" s="66"/>
      <c r="H83" s="66"/>
    </row>
    <row r="84" spans="1:11" s="31" customFormat="1" x14ac:dyDescent="0.25">
      <c r="A84" s="65" t="s">
        <v>97</v>
      </c>
      <c r="B84" s="65"/>
      <c r="C84" s="65"/>
      <c r="D84" s="65"/>
      <c r="E84" s="65"/>
      <c r="F84" s="66">
        <v>300000</v>
      </c>
      <c r="G84" s="66"/>
      <c r="H84" s="66"/>
    </row>
    <row r="85" spans="1:11" s="31" customFormat="1" hidden="1" x14ac:dyDescent="0.25">
      <c r="A85" s="65" t="s">
        <v>98</v>
      </c>
      <c r="B85" s="65"/>
      <c r="C85" s="65"/>
      <c r="D85" s="65"/>
      <c r="E85" s="65"/>
      <c r="F85" s="66"/>
      <c r="G85" s="66"/>
      <c r="H85" s="66"/>
    </row>
    <row r="86" spans="1:11" s="31" customFormat="1" hidden="1" x14ac:dyDescent="0.25">
      <c r="A86" s="65" t="s">
        <v>171</v>
      </c>
      <c r="B86" s="65"/>
      <c r="C86" s="65"/>
      <c r="D86" s="65"/>
      <c r="E86" s="65"/>
      <c r="F86" s="66"/>
      <c r="G86" s="66"/>
      <c r="H86" s="66"/>
    </row>
    <row r="87" spans="1:11" s="31" customFormat="1" hidden="1" x14ac:dyDescent="0.25">
      <c r="A87" s="65" t="s">
        <v>99</v>
      </c>
      <c r="B87" s="65"/>
      <c r="C87" s="65"/>
      <c r="D87" s="65"/>
      <c r="E87" s="65"/>
      <c r="F87" s="66"/>
      <c r="G87" s="66"/>
      <c r="H87" s="66"/>
    </row>
    <row r="88" spans="1:11" s="31" customFormat="1" hidden="1" x14ac:dyDescent="0.25">
      <c r="A88" s="65" t="s">
        <v>100</v>
      </c>
      <c r="B88" s="65"/>
      <c r="C88" s="65"/>
      <c r="D88" s="65"/>
      <c r="E88" s="65"/>
      <c r="F88" s="66"/>
      <c r="G88" s="66"/>
      <c r="H88" s="66"/>
    </row>
    <row r="89" spans="1:11" s="31" customFormat="1" hidden="1" x14ac:dyDescent="0.25">
      <c r="A89" s="65" t="s">
        <v>101</v>
      </c>
      <c r="B89" s="65"/>
      <c r="C89" s="65"/>
      <c r="D89" s="65"/>
      <c r="E89" s="65"/>
      <c r="F89" s="66"/>
      <c r="G89" s="66"/>
      <c r="H89" s="66"/>
    </row>
    <row r="90" spans="1:11" x14ac:dyDescent="0.3">
      <c r="A90" s="65" t="s">
        <v>51</v>
      </c>
      <c r="B90" s="65"/>
      <c r="C90" s="65"/>
      <c r="D90" s="65"/>
      <c r="E90" s="65"/>
      <c r="F90" s="66">
        <v>200000</v>
      </c>
      <c r="G90" s="66"/>
      <c r="H90" s="66"/>
    </row>
    <row r="91" spans="1:11" s="32" customFormat="1" x14ac:dyDescent="0.3">
      <c r="A91" s="90" t="s">
        <v>52</v>
      </c>
      <c r="B91" s="90"/>
      <c r="C91" s="90"/>
      <c r="D91" s="90"/>
      <c r="E91" s="90"/>
      <c r="F91" s="66">
        <f>F80*0.8</f>
        <v>4800</v>
      </c>
      <c r="G91" s="66"/>
      <c r="H91" s="66"/>
    </row>
    <row r="92" spans="1:11" s="33" customFormat="1" ht="15.75" customHeight="1" x14ac:dyDescent="0.3">
      <c r="A92" s="155" t="s">
        <v>77</v>
      </c>
      <c r="B92" s="155"/>
      <c r="C92" s="155"/>
      <c r="D92" s="155"/>
      <c r="E92" s="155"/>
      <c r="F92" s="155"/>
      <c r="G92" s="155"/>
      <c r="H92" s="155"/>
    </row>
    <row r="93" spans="1:11" s="33" customFormat="1" ht="15.75" customHeight="1" x14ac:dyDescent="0.3">
      <c r="A93" s="68" t="s">
        <v>53</v>
      </c>
      <c r="B93" s="68"/>
      <c r="C93" s="89" t="s">
        <v>80</v>
      </c>
      <c r="D93" s="89"/>
      <c r="E93" s="159" t="s">
        <v>54</v>
      </c>
      <c r="F93" s="159"/>
      <c r="G93" s="68" t="s">
        <v>55</v>
      </c>
      <c r="H93" s="68"/>
      <c r="J93" s="33" t="s">
        <v>222</v>
      </c>
    </row>
    <row r="94" spans="1:11" s="33" customFormat="1" x14ac:dyDescent="0.3">
      <c r="A94" s="157" t="s">
        <v>212</v>
      </c>
      <c r="B94" s="157"/>
      <c r="C94" s="69">
        <f>COUNT(D104:D107)</f>
        <v>4</v>
      </c>
      <c r="D94" s="70"/>
      <c r="E94" s="71">
        <f>SUM(D104:D107)</f>
        <v>491.72104799999994</v>
      </c>
      <c r="F94" s="72"/>
      <c r="G94" s="71">
        <f>SUM(F104:F107)</f>
        <v>998.79758783999989</v>
      </c>
      <c r="H94" s="72"/>
      <c r="J94" s="33">
        <v>5500</v>
      </c>
      <c r="K94" s="54"/>
    </row>
    <row r="95" spans="1:11" s="33" customFormat="1" x14ac:dyDescent="0.3">
      <c r="A95" s="155" t="s">
        <v>71</v>
      </c>
      <c r="B95" s="155"/>
      <c r="C95" s="155"/>
      <c r="D95" s="155"/>
      <c r="E95" s="155"/>
      <c r="F95" s="155"/>
      <c r="G95" s="155"/>
      <c r="H95" s="155"/>
    </row>
    <row r="96" spans="1:11" s="33" customFormat="1" ht="15.75" customHeight="1" x14ac:dyDescent="0.3">
      <c r="A96" s="68" t="s">
        <v>53</v>
      </c>
      <c r="B96" s="68"/>
      <c r="C96" s="89" t="s">
        <v>80</v>
      </c>
      <c r="D96" s="89"/>
      <c r="E96" s="159" t="s">
        <v>54</v>
      </c>
      <c r="F96" s="159"/>
      <c r="G96" s="68" t="s">
        <v>55</v>
      </c>
      <c r="H96" s="68"/>
    </row>
    <row r="97" spans="1:14" s="33" customFormat="1" ht="16.2" thickBot="1" x14ac:dyDescent="0.35">
      <c r="A97" s="157" t="s">
        <v>213</v>
      </c>
      <c r="B97" s="157"/>
      <c r="C97" s="69">
        <f>COUNT(D112:D115)+COUNT(D117:D120)*3+COUNT(D122:D125)+COUNT(D127:D130)</f>
        <v>24</v>
      </c>
      <c r="D97" s="69"/>
      <c r="E97" s="71">
        <f>SUM(D112:D115)+SUM(D117:D120)*3+SUM(D122:D125)+SUM(D127:D130)</f>
        <v>7696.324584</v>
      </c>
      <c r="F97" s="71"/>
      <c r="G97" s="71">
        <f>SUM(F112:F115)+SUM(F117:F120)*3+SUM(F122:F125)+SUM(F127:F130)</f>
        <v>11831.0869872</v>
      </c>
      <c r="H97" s="71"/>
    </row>
    <row r="98" spans="1:14" s="33" customFormat="1" ht="16.2" thickBot="1" x14ac:dyDescent="0.35">
      <c r="A98" s="166" t="s">
        <v>177</v>
      </c>
      <c r="B98" s="167"/>
      <c r="C98" s="88">
        <f>C94+C97</f>
        <v>28</v>
      </c>
      <c r="D98" s="88"/>
      <c r="E98" s="88">
        <f>E94+E97</f>
        <v>8188.0456320000003</v>
      </c>
      <c r="F98" s="88"/>
      <c r="G98" s="88">
        <f>G94+G97</f>
        <v>12829.88457504</v>
      </c>
      <c r="H98" s="88"/>
      <c r="J98" s="33" t="s">
        <v>223</v>
      </c>
      <c r="K98" s="54">
        <f>3400000/F117</f>
        <v>6188.2062784106711</v>
      </c>
    </row>
    <row r="99" spans="1:14" s="32" customFormat="1" x14ac:dyDescent="0.3">
      <c r="A99" s="86" t="s">
        <v>56</v>
      </c>
      <c r="B99" s="86"/>
      <c r="C99" s="86"/>
      <c r="D99" s="86"/>
      <c r="E99" s="86"/>
      <c r="F99" s="86"/>
      <c r="G99" s="86"/>
      <c r="H99" s="86"/>
      <c r="K99" s="54">
        <f>3500000/F120</f>
        <v>7061.320777966047</v>
      </c>
    </row>
    <row r="100" spans="1:14" x14ac:dyDescent="0.3">
      <c r="A100" s="67" t="s">
        <v>57</v>
      </c>
      <c r="B100" s="67"/>
      <c r="C100" s="67"/>
      <c r="D100" s="67"/>
      <c r="E100" s="67"/>
      <c r="F100" s="67"/>
      <c r="G100" s="67"/>
      <c r="H100" s="67"/>
    </row>
    <row r="101" spans="1:14" ht="47.25" customHeight="1" x14ac:dyDescent="0.3">
      <c r="A101" s="80" t="s">
        <v>124</v>
      </c>
      <c r="B101" s="80" t="s">
        <v>123</v>
      </c>
      <c r="C101" s="80" t="s">
        <v>58</v>
      </c>
      <c r="D101" s="80" t="s">
        <v>59</v>
      </c>
      <c r="E101" s="93" t="s">
        <v>164</v>
      </c>
      <c r="F101" s="41" t="s">
        <v>157</v>
      </c>
      <c r="G101" s="84" t="s">
        <v>61</v>
      </c>
      <c r="H101" s="95"/>
    </row>
    <row r="102" spans="1:14" s="35" customFormat="1" x14ac:dyDescent="0.3">
      <c r="A102" s="81"/>
      <c r="B102" s="81"/>
      <c r="C102" s="81"/>
      <c r="D102" s="81"/>
      <c r="E102" s="94"/>
      <c r="F102" s="13">
        <v>0.6</v>
      </c>
      <c r="G102" s="85"/>
      <c r="H102" s="96"/>
    </row>
    <row r="103" spans="1:14" s="35" customFormat="1" x14ac:dyDescent="0.3">
      <c r="A103" s="61" t="s">
        <v>203</v>
      </c>
      <c r="B103" s="62"/>
      <c r="C103" s="62"/>
      <c r="D103" s="62"/>
      <c r="E103" s="62"/>
      <c r="F103" s="62"/>
      <c r="G103" s="62"/>
      <c r="H103" s="63"/>
      <c r="J103" s="34"/>
    </row>
    <row r="104" spans="1:14" s="35" customFormat="1" ht="15.75" customHeight="1" x14ac:dyDescent="0.3">
      <c r="A104" s="58">
        <v>1</v>
      </c>
      <c r="B104" s="59"/>
      <c r="C104" s="40" t="s">
        <v>204</v>
      </c>
      <c r="D104" s="50">
        <f>(12.292)*(10.764)</f>
        <v>132.31108799999998</v>
      </c>
      <c r="E104" s="50">
        <f>(2.67*1.315)*(10.764)</f>
        <v>37.792942199999992</v>
      </c>
      <c r="F104" s="40">
        <f>(D104+E104)*(($F$102)+1)</f>
        <v>272.16644831999997</v>
      </c>
      <c r="G104" s="175" t="str">
        <f>A103</f>
        <v>Ground Floor For Commercial &amp; Parking</v>
      </c>
      <c r="H104" s="176"/>
      <c r="I104" s="34">
        <f>3200000/F104</f>
        <v>11757.510963429249</v>
      </c>
      <c r="J104" s="50">
        <f>10.764</f>
        <v>10.763999999999999</v>
      </c>
      <c r="L104" s="60"/>
      <c r="M104" s="60"/>
      <c r="N104" s="34"/>
    </row>
    <row r="105" spans="1:14" s="35" customFormat="1" ht="15.75" customHeight="1" x14ac:dyDescent="0.3">
      <c r="A105" s="58">
        <f t="shared" ref="A105:A107" si="0">A104+1</f>
        <v>2</v>
      </c>
      <c r="B105" s="59"/>
      <c r="C105" s="40" t="s">
        <v>204</v>
      </c>
      <c r="D105" s="50">
        <f>(10.549)*(10.764)</f>
        <v>113.54943599999999</v>
      </c>
      <c r="E105" s="50">
        <f>(2.3*1.15)*(10.764)</f>
        <v>28.470779999999994</v>
      </c>
      <c r="F105" s="40">
        <f t="shared" ref="F105:F107" si="1">(D105+E105)*(($F$102)+1)</f>
        <v>227.23234559999997</v>
      </c>
      <c r="G105" s="177"/>
      <c r="H105" s="178"/>
      <c r="I105" s="34"/>
      <c r="L105" s="60"/>
      <c r="M105" s="60"/>
      <c r="N105" s="34"/>
    </row>
    <row r="106" spans="1:14" s="35" customFormat="1" ht="15.75" customHeight="1" x14ac:dyDescent="0.3">
      <c r="A106" s="58">
        <f t="shared" si="0"/>
        <v>3</v>
      </c>
      <c r="B106" s="59"/>
      <c r="C106" s="40" t="s">
        <v>204</v>
      </c>
      <c r="D106" s="50">
        <f>(10.549)*(10.764)</f>
        <v>113.54943599999999</v>
      </c>
      <c r="E106" s="50">
        <f>(2.3*1.15)*(10.764)</f>
        <v>28.470779999999994</v>
      </c>
      <c r="F106" s="40">
        <f t="shared" si="1"/>
        <v>227.23234559999997</v>
      </c>
      <c r="G106" s="177"/>
      <c r="H106" s="178"/>
      <c r="I106" s="34"/>
      <c r="L106" s="60"/>
      <c r="M106" s="60"/>
      <c r="N106" s="34"/>
    </row>
    <row r="107" spans="1:14" s="35" customFormat="1" ht="15.75" customHeight="1" x14ac:dyDescent="0.3">
      <c r="A107" s="58">
        <f t="shared" si="0"/>
        <v>4</v>
      </c>
      <c r="B107" s="59"/>
      <c r="C107" s="40" t="s">
        <v>204</v>
      </c>
      <c r="D107" s="50">
        <f>(12.292)*(10.764)</f>
        <v>132.31108799999998</v>
      </c>
      <c r="E107" s="50">
        <f>(2.67*1.315)*(10.764)</f>
        <v>37.792942199999992</v>
      </c>
      <c r="F107" s="40">
        <f t="shared" si="1"/>
        <v>272.16644831999997</v>
      </c>
      <c r="G107" s="179"/>
      <c r="H107" s="180"/>
      <c r="I107" s="34"/>
      <c r="J107" s="35">
        <f>2.67*3.365+1.355*1.315+1.2*1.2</f>
        <v>12.206375</v>
      </c>
      <c r="L107" s="60"/>
      <c r="M107" s="60"/>
      <c r="N107" s="34"/>
    </row>
    <row r="108" spans="1:14" s="35" customFormat="1" x14ac:dyDescent="0.3">
      <c r="A108" s="58"/>
      <c r="B108" s="87"/>
      <c r="C108" s="87"/>
      <c r="D108" s="87"/>
      <c r="E108" s="87"/>
      <c r="F108" s="87"/>
      <c r="G108" s="87"/>
      <c r="H108" s="59"/>
      <c r="I108" s="34"/>
      <c r="N108" s="34"/>
    </row>
    <row r="109" spans="1:14" ht="47.25" customHeight="1" x14ac:dyDescent="0.3">
      <c r="A109" s="84" t="s">
        <v>125</v>
      </c>
      <c r="B109" s="84" t="s">
        <v>126</v>
      </c>
      <c r="C109" s="80" t="s">
        <v>58</v>
      </c>
      <c r="D109" s="80" t="s">
        <v>59</v>
      </c>
      <c r="E109" s="93" t="s">
        <v>60</v>
      </c>
      <c r="F109" s="41" t="s">
        <v>157</v>
      </c>
      <c r="G109" s="84" t="s">
        <v>61</v>
      </c>
      <c r="H109" s="95"/>
      <c r="I109" s="34"/>
    </row>
    <row r="110" spans="1:14" s="35" customFormat="1" x14ac:dyDescent="0.3">
      <c r="A110" s="85"/>
      <c r="B110" s="85"/>
      <c r="C110" s="81"/>
      <c r="D110" s="81"/>
      <c r="E110" s="94"/>
      <c r="F110" s="13">
        <v>0.5</v>
      </c>
      <c r="G110" s="85"/>
      <c r="H110" s="96"/>
      <c r="I110" s="34"/>
    </row>
    <row r="111" spans="1:14" s="35" customFormat="1" x14ac:dyDescent="0.3">
      <c r="A111" s="61" t="s">
        <v>218</v>
      </c>
      <c r="B111" s="62"/>
      <c r="C111" s="62"/>
      <c r="D111" s="62"/>
      <c r="E111" s="62"/>
      <c r="F111" s="62"/>
      <c r="G111" s="62"/>
      <c r="H111" s="63"/>
      <c r="J111" s="34"/>
    </row>
    <row r="112" spans="1:14" s="35" customFormat="1" x14ac:dyDescent="0.3">
      <c r="A112" s="58">
        <v>101</v>
      </c>
      <c r="B112" s="59"/>
      <c r="C112" s="40" t="s">
        <v>206</v>
      </c>
      <c r="D112" s="50">
        <f>(29.034+0.75*(2.75+2.71+1.2))*(10.764)</f>
        <v>366.28815599999996</v>
      </c>
      <c r="E112" s="40">
        <v>0</v>
      </c>
      <c r="F112" s="40">
        <f>D112*(($F$110)+1)+(IF(E112&lt;101,E112,IF(E112&lt;201,E112/2,IF(E112&lt;=301,E112/3,E112/4))))</f>
        <v>549.43223399999988</v>
      </c>
      <c r="G112" s="175" t="str">
        <f>A111</f>
        <v>1st Floor For Residential</v>
      </c>
      <c r="H112" s="176"/>
      <c r="I112" s="34">
        <f>3255000/F112</f>
        <v>5924.2974812431567</v>
      </c>
      <c r="J112" s="35">
        <f>3.972*2.75+2.367*1.8+1*1.2+2.71*3.015+1.695*1</f>
        <v>26.249250000000004</v>
      </c>
      <c r="L112" s="60"/>
      <c r="M112" s="60"/>
      <c r="N112" s="34"/>
    </row>
    <row r="113" spans="1:14" s="35" customFormat="1" x14ac:dyDescent="0.3">
      <c r="A113" s="58">
        <f t="shared" ref="A113:A115" si="2">A112+1</f>
        <v>102</v>
      </c>
      <c r="B113" s="59"/>
      <c r="C113" s="40" t="s">
        <v>206</v>
      </c>
      <c r="D113" s="50">
        <f>(28.302+0.75*(1.2+2.71+2.75))*(10.764)</f>
        <v>358.40890799999994</v>
      </c>
      <c r="E113" s="40">
        <v>0</v>
      </c>
      <c r="F113" s="40">
        <f>D113*(($F$110)+1)+(IF(E113&lt;101,E113,IF(E113&lt;201,E113/2,IF(E113&lt;=301,E113/3,E113/4))))</f>
        <v>537.61336199999994</v>
      </c>
      <c r="G113" s="177" t="str">
        <f t="shared" ref="G113:G115" si="3">G112</f>
        <v>1st Floor For Residential</v>
      </c>
      <c r="H113" s="178"/>
      <c r="I113" s="34"/>
      <c r="J113" s="35">
        <f>3.972*2.75+2.367*1.8+1*1.2+2.71*3.015+1.695*1+1*1</f>
        <v>27.249250000000004</v>
      </c>
      <c r="L113" s="60"/>
      <c r="M113" s="60"/>
      <c r="N113" s="34"/>
    </row>
    <row r="114" spans="1:14" s="35" customFormat="1" x14ac:dyDescent="0.3">
      <c r="A114" s="58">
        <f t="shared" si="2"/>
        <v>103</v>
      </c>
      <c r="B114" s="59"/>
      <c r="C114" s="40" t="s">
        <v>206</v>
      </c>
      <c r="D114" s="50">
        <f>(27.053)*(10.764)</f>
        <v>291.19849199999999</v>
      </c>
      <c r="E114" s="50">
        <f>(3.206)*(10.764)</f>
        <v>34.509383999999997</v>
      </c>
      <c r="F114" s="40">
        <f>D114*(($F$110)+1)+(IF(E114&lt;101,E114,IF(E114&lt;201,E114/2,IF(E114&lt;=301,E114/3,E114/4))))</f>
        <v>471.30712199999999</v>
      </c>
      <c r="G114" s="177" t="str">
        <f t="shared" si="3"/>
        <v>1st Floor For Residential</v>
      </c>
      <c r="H114" s="178"/>
      <c r="I114" s="34"/>
      <c r="L114" s="60"/>
      <c r="M114" s="60"/>
      <c r="N114" s="34"/>
    </row>
    <row r="115" spans="1:14" s="35" customFormat="1" x14ac:dyDescent="0.3">
      <c r="A115" s="58">
        <f t="shared" si="2"/>
        <v>104</v>
      </c>
      <c r="B115" s="59"/>
      <c r="C115" s="40" t="s">
        <v>206</v>
      </c>
      <c r="D115" s="50">
        <f>(27.736)*(10.764)</f>
        <v>298.55030399999998</v>
      </c>
      <c r="E115" s="50">
        <f>(3.402)*(10.764)</f>
        <v>36.619127999999996</v>
      </c>
      <c r="F115" s="40">
        <f>D115*(($F$110)+1)+(IF(E115&lt;101,E115,IF(E115&lt;201,E115/2,IF(E115&lt;=301,E115/3,E115/4))))</f>
        <v>484.44458399999996</v>
      </c>
      <c r="G115" s="179" t="str">
        <f t="shared" si="3"/>
        <v>1st Floor For Residential</v>
      </c>
      <c r="H115" s="180"/>
      <c r="I115" s="34"/>
      <c r="L115" s="60"/>
      <c r="M115" s="60"/>
      <c r="N115" s="34"/>
    </row>
    <row r="116" spans="1:14" s="35" customFormat="1" x14ac:dyDescent="0.3">
      <c r="A116" s="61" t="s">
        <v>207</v>
      </c>
      <c r="B116" s="62"/>
      <c r="C116" s="62"/>
      <c r="D116" s="62"/>
      <c r="E116" s="62"/>
      <c r="F116" s="62"/>
      <c r="G116" s="62"/>
      <c r="H116" s="63"/>
      <c r="I116" s="34"/>
    </row>
    <row r="117" spans="1:14" s="35" customFormat="1" ht="15.75" customHeight="1" x14ac:dyDescent="0.3">
      <c r="A117" s="58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10^ROW(INDIRECT("1:"&amp;LEN((LEFT(A116,SUM(LEN(A116)-LEN(SUBSTITUTE(A116,{"0","1","2"},""))))))))/10))*100+1&amp;""&amp;" to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",LEN(A116))),LEN(A116)))))))/10))*100+1</f>
        <v>201 to 401</v>
      </c>
      <c r="B117" s="59"/>
      <c r="C117" s="40" t="s">
        <v>206</v>
      </c>
      <c r="D117" s="50">
        <f>(29.034+0.75*(2.75+2.71+1.2))*(10.764)</f>
        <v>366.28815599999996</v>
      </c>
      <c r="E117" s="40">
        <v>0</v>
      </c>
      <c r="F117" s="40">
        <f>D117*(($F$110)+1)+(IF(E117&lt;101,E117,IF(E117&lt;201,E117/2,IF(E117&lt;=301,E117/3,E117/4))))</f>
        <v>549.43223399999988</v>
      </c>
      <c r="G117" s="175" t="str">
        <f>A116</f>
        <v>2nd to 4th Floor</v>
      </c>
      <c r="H117" s="176"/>
      <c r="I117" s="34"/>
    </row>
    <row r="118" spans="1:14" s="35" customFormat="1" ht="15.75" customHeight="1" x14ac:dyDescent="0.3">
      <c r="A118" s="58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to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202 to 402</v>
      </c>
      <c r="B118" s="59"/>
      <c r="C118" s="40" t="s">
        <v>206</v>
      </c>
      <c r="D118" s="50">
        <f>(28.302+0.75*(1.2+2.71+2.75))*(10.764)</f>
        <v>358.40890799999994</v>
      </c>
      <c r="E118" s="40">
        <v>0</v>
      </c>
      <c r="F118" s="40">
        <f>D118*(($F$110)+1)+(IF(E118&lt;101,E118,IF(E118&lt;201,E118/2,IF(E118&lt;=301,E118/3,E118/4))))</f>
        <v>537.61336199999994</v>
      </c>
      <c r="G118" s="177" t="str">
        <f>G117</f>
        <v>2nd to 4th Floor</v>
      </c>
      <c r="H118" s="178"/>
      <c r="I118" s="34"/>
    </row>
    <row r="119" spans="1:14" s="35" customFormat="1" ht="15.75" customHeight="1" x14ac:dyDescent="0.3">
      <c r="A119" s="58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203 to 403</v>
      </c>
      <c r="B119" s="59"/>
      <c r="C119" s="40" t="s">
        <v>206</v>
      </c>
      <c r="D119" s="50">
        <f>(27.053+0.75*(2.75+1.2))*(10.764)</f>
        <v>323.08684199999999</v>
      </c>
      <c r="E119" s="40">
        <v>0</v>
      </c>
      <c r="F119" s="40">
        <f>D119*(($F$110)+1)+(IF(E119&lt;101,E119,IF(E119&lt;201,E119/2,IF(E119&lt;=301,E119/3,E119/4))))</f>
        <v>484.63026300000001</v>
      </c>
      <c r="G119" s="177" t="str">
        <f>G118</f>
        <v>2nd to 4th Floor</v>
      </c>
      <c r="H119" s="178"/>
      <c r="I119" s="34"/>
    </row>
    <row r="120" spans="1:14" s="35" customFormat="1" ht="15.75" customHeight="1" x14ac:dyDescent="0.3">
      <c r="A120" s="58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204 to 404</v>
      </c>
      <c r="B120" s="59"/>
      <c r="C120" s="40" t="s">
        <v>206</v>
      </c>
      <c r="D120" s="50">
        <f>(27.736+0.75*(2.75+1.2))*(10.764)</f>
        <v>330.43865399999999</v>
      </c>
      <c r="E120" s="40">
        <v>0</v>
      </c>
      <c r="F120" s="40">
        <f>D120*(($F$110)+1)+(IF(E120&lt;101,E120,IF(E120&lt;201,E120/2,IF(E120&lt;=301,E120/3,E120/4))))</f>
        <v>495.65798099999995</v>
      </c>
      <c r="G120" s="179" t="str">
        <f>G119</f>
        <v>2nd to 4th Floor</v>
      </c>
      <c r="H120" s="180"/>
      <c r="I120" s="34"/>
    </row>
    <row r="121" spans="1:14" s="35" customFormat="1" x14ac:dyDescent="0.3">
      <c r="A121" s="61" t="s">
        <v>208</v>
      </c>
      <c r="B121" s="62"/>
      <c r="C121" s="62"/>
      <c r="D121" s="62"/>
      <c r="E121" s="62"/>
      <c r="F121" s="62"/>
      <c r="G121" s="62"/>
      <c r="H121" s="63"/>
      <c r="I121" s="34"/>
      <c r="J121" s="34"/>
    </row>
    <row r="122" spans="1:14" s="35" customFormat="1" x14ac:dyDescent="0.3">
      <c r="A122" s="58">
        <v>501</v>
      </c>
      <c r="B122" s="59"/>
      <c r="C122" s="40" t="s">
        <v>206</v>
      </c>
      <c r="D122" s="50">
        <f>(29.034+0.75*(2.75+1.2))*(10.764)</f>
        <v>344.41032599999994</v>
      </c>
      <c r="E122" s="40">
        <v>0</v>
      </c>
      <c r="F122" s="40">
        <f>D122*(($F$110)+1)+(IF(E122&lt;101,E122,IF(E122&lt;201,E122/2,IF(E122&lt;=301,E122/3,E122/4))))</f>
        <v>516.61548899999991</v>
      </c>
      <c r="G122" s="175" t="str">
        <f>A121</f>
        <v>5th Floor</v>
      </c>
      <c r="H122" s="176"/>
      <c r="I122" s="34"/>
      <c r="J122" s="35">
        <f>3.972*2.75+2.367*1.8+1*1.2+2.71*3.015+1.695*1</f>
        <v>26.249250000000004</v>
      </c>
      <c r="L122" s="60"/>
      <c r="M122" s="60"/>
      <c r="N122" s="34"/>
    </row>
    <row r="123" spans="1:14" s="35" customFormat="1" x14ac:dyDescent="0.3">
      <c r="A123" s="58">
        <f t="shared" ref="A123:A125" si="4">A122+1</f>
        <v>502</v>
      </c>
      <c r="B123" s="59"/>
      <c r="C123" s="40" t="s">
        <v>206</v>
      </c>
      <c r="D123" s="50">
        <f>(28.302+0.75*(2.75+1.2))*(10.764)</f>
        <v>336.53107799999998</v>
      </c>
      <c r="E123" s="40">
        <v>0</v>
      </c>
      <c r="F123" s="40">
        <f>D123*(($F$110)+1)+(IF(E123&lt;101,E123,IF(E123&lt;201,E123/2,IF(E123&lt;=301,E123/3,E123/4))))</f>
        <v>504.79661699999997</v>
      </c>
      <c r="G123" s="177" t="str">
        <f t="shared" ref="G123:G125" si="5">G122</f>
        <v>5th Floor</v>
      </c>
      <c r="H123" s="178"/>
      <c r="I123" s="34"/>
      <c r="L123" s="60"/>
      <c r="M123" s="60"/>
      <c r="N123" s="34"/>
    </row>
    <row r="124" spans="1:14" s="35" customFormat="1" x14ac:dyDescent="0.3">
      <c r="A124" s="58">
        <f t="shared" si="4"/>
        <v>503</v>
      </c>
      <c r="B124" s="59"/>
      <c r="C124" s="40" t="s">
        <v>206</v>
      </c>
      <c r="D124" s="50">
        <f>(27.053+0.75*(2.75+1.2))*(10.764)</f>
        <v>323.08684199999999</v>
      </c>
      <c r="E124" s="40">
        <v>0</v>
      </c>
      <c r="F124" s="40">
        <f>D124*(($F$110)+1)+(IF(E124&lt;101,E124,IF(E124&lt;201,E124/2,IF(E124&lt;=301,E124/3,E124/4))))</f>
        <v>484.63026300000001</v>
      </c>
      <c r="G124" s="177" t="str">
        <f t="shared" si="5"/>
        <v>5th Floor</v>
      </c>
      <c r="H124" s="178"/>
      <c r="I124" s="34"/>
      <c r="L124" s="60"/>
      <c r="M124" s="60"/>
      <c r="N124" s="34"/>
    </row>
    <row r="125" spans="1:14" s="35" customFormat="1" x14ac:dyDescent="0.3">
      <c r="A125" s="58">
        <f t="shared" si="4"/>
        <v>504</v>
      </c>
      <c r="B125" s="59"/>
      <c r="C125" s="40" t="s">
        <v>206</v>
      </c>
      <c r="D125" s="50">
        <f>(27.736+0.75*(2.75+1.2))*(10.764)</f>
        <v>330.43865399999999</v>
      </c>
      <c r="E125" s="40">
        <v>0</v>
      </c>
      <c r="F125" s="40">
        <f>D125*(($F$110)+1)+(IF(E125&lt;101,E125,IF(E125&lt;201,E125/2,IF(E125&lt;=301,E125/3,E125/4))))</f>
        <v>495.65798099999995</v>
      </c>
      <c r="G125" s="179" t="str">
        <f t="shared" si="5"/>
        <v>5th Floor</v>
      </c>
      <c r="H125" s="180"/>
      <c r="I125" s="34"/>
      <c r="L125" s="60"/>
      <c r="M125" s="60"/>
      <c r="N125" s="34"/>
    </row>
    <row r="126" spans="1:14" s="35" customFormat="1" x14ac:dyDescent="0.3">
      <c r="A126" s="61" t="s">
        <v>209</v>
      </c>
      <c r="B126" s="62"/>
      <c r="C126" s="62"/>
      <c r="D126" s="62"/>
      <c r="E126" s="62"/>
      <c r="F126" s="62"/>
      <c r="G126" s="62"/>
      <c r="H126" s="63"/>
      <c r="I126" s="34"/>
      <c r="J126" s="34"/>
    </row>
    <row r="127" spans="1:14" s="35" customFormat="1" x14ac:dyDescent="0.3">
      <c r="A127" s="58">
        <v>601</v>
      </c>
      <c r="B127" s="59"/>
      <c r="C127" s="40" t="s">
        <v>210</v>
      </c>
      <c r="D127" s="50">
        <f>(19.005+0.75*(2.75+1.2))*(10.764)</f>
        <v>236.45817</v>
      </c>
      <c r="E127" s="50">
        <f>(2.08*2.86+3.99*0.9+0.95*0.9)*(10.764)</f>
        <v>111.88962719999999</v>
      </c>
      <c r="F127" s="40">
        <f>D127*(($F$110)+1)+(IF(E127&lt;101,E127,IF(E127&lt;201,E127/2,IF(E127&lt;=301,E127/3,E127/4))))</f>
        <v>410.63206859999997</v>
      </c>
      <c r="G127" s="175" t="str">
        <f>A126</f>
        <v>6th Floor</v>
      </c>
      <c r="H127" s="176"/>
      <c r="I127" s="34"/>
      <c r="J127" s="35">
        <f>3.972*2.75+2.367*1.8+1*1.2+2.71*3.015+1.695*1</f>
        <v>26.249250000000004</v>
      </c>
      <c r="L127" s="60"/>
      <c r="M127" s="60"/>
      <c r="N127" s="34"/>
    </row>
    <row r="128" spans="1:14" s="35" customFormat="1" x14ac:dyDescent="0.3">
      <c r="A128" s="58">
        <f t="shared" ref="A128:A130" si="6">A127+1</f>
        <v>602</v>
      </c>
      <c r="B128" s="59"/>
      <c r="C128" s="40" t="s">
        <v>210</v>
      </c>
      <c r="D128" s="50">
        <f>(18.273+0.75*(2.75+1.2))*(10.764)</f>
        <v>228.57892200000001</v>
      </c>
      <c r="E128" s="50">
        <f>(2.08*2.86+3.99*0.9+0.95*0.9)*(10.764)</f>
        <v>111.88962719999999</v>
      </c>
      <c r="F128" s="40">
        <f>D128*(($F$110)+1)+(IF(E128&lt;101,E128,IF(E128&lt;201,E128/2,IF(E128&lt;=301,E128/3,E128/4))))</f>
        <v>398.81319659999997</v>
      </c>
      <c r="G128" s="177" t="str">
        <f t="shared" ref="G128:G130" si="7">G127</f>
        <v>6th Floor</v>
      </c>
      <c r="H128" s="178"/>
      <c r="I128" s="34"/>
      <c r="L128" s="60"/>
      <c r="M128" s="60"/>
      <c r="N128" s="34"/>
    </row>
    <row r="129" spans="1:14" s="35" customFormat="1" x14ac:dyDescent="0.3">
      <c r="A129" s="58">
        <f t="shared" si="6"/>
        <v>603</v>
      </c>
      <c r="B129" s="59"/>
      <c r="C129" s="40" t="s">
        <v>210</v>
      </c>
      <c r="D129" s="50">
        <f>(17.493+0.75*(2.75+1.2))*(10.764)</f>
        <v>220.18300199999999</v>
      </c>
      <c r="E129" s="50">
        <f>(3.05*2.86+1*0.9)*(10.764)</f>
        <v>103.58197199999999</v>
      </c>
      <c r="F129" s="40">
        <f>D129*(($F$110)+1)+(IF(E129&lt;101,E129,IF(E129&lt;201,E129/2,IF(E129&lt;=301,E129/3,E129/4))))</f>
        <v>382.06548899999996</v>
      </c>
      <c r="G129" s="177" t="str">
        <f t="shared" si="7"/>
        <v>6th Floor</v>
      </c>
      <c r="H129" s="178"/>
      <c r="I129" s="34"/>
      <c r="L129" s="60"/>
      <c r="M129" s="60"/>
      <c r="N129" s="34"/>
    </row>
    <row r="130" spans="1:14" s="35" customFormat="1" x14ac:dyDescent="0.3">
      <c r="A130" s="58">
        <f t="shared" si="6"/>
        <v>604</v>
      </c>
      <c r="B130" s="59"/>
      <c r="C130" s="40" t="s">
        <v>210</v>
      </c>
      <c r="D130" s="50">
        <f>(18.175+0.75*(2.75+1.2))*(10.764)</f>
        <v>227.52405000000002</v>
      </c>
      <c r="E130" s="50">
        <f>(3.05*2.86+1*0.9)*(10.764)</f>
        <v>103.58197199999999</v>
      </c>
      <c r="F130" s="40">
        <f>D130*(($F$110)+1)+(IF(E130&lt;101,E130,IF(E130&lt;201,E130/2,IF(E130&lt;=301,E130/3,E130/4))))</f>
        <v>393.07706100000001</v>
      </c>
      <c r="G130" s="179" t="str">
        <f t="shared" si="7"/>
        <v>6th Floor</v>
      </c>
      <c r="H130" s="180"/>
      <c r="I130" s="34"/>
      <c r="L130" s="60"/>
      <c r="M130" s="60"/>
      <c r="N130" s="34"/>
    </row>
    <row r="131" spans="1:14" s="35" customFormat="1" hidden="1" x14ac:dyDescent="0.3">
      <c r="A131" s="61" t="s">
        <v>205</v>
      </c>
      <c r="B131" s="62"/>
      <c r="C131" s="62"/>
      <c r="D131" s="62"/>
      <c r="E131" s="62"/>
      <c r="F131" s="62"/>
      <c r="G131" s="62"/>
      <c r="H131" s="63"/>
      <c r="J131" s="34"/>
    </row>
    <row r="132" spans="1:14" s="35" customFormat="1" hidden="1" x14ac:dyDescent="0.3">
      <c r="A132" s="58">
        <v>1</v>
      </c>
      <c r="B132" s="59"/>
      <c r="C132" s="40"/>
      <c r="D132" s="40"/>
      <c r="E132" s="40">
        <v>0</v>
      </c>
      <c r="F132" s="40">
        <f>D132*(($F$110)+1)+(IF(E132&lt;101,E132,IF(E132&lt;201,E132/2,IF(E132&lt;=301,E132/3,E132/4))))</f>
        <v>0</v>
      </c>
      <c r="G132" s="58" t="str">
        <f>A131</f>
        <v>1st Floor</v>
      </c>
      <c r="H132" s="59"/>
      <c r="I132" s="34"/>
      <c r="L132" s="60"/>
      <c r="M132" s="60"/>
      <c r="N132" s="34"/>
    </row>
    <row r="133" spans="1:14" s="35" customFormat="1" hidden="1" x14ac:dyDescent="0.3">
      <c r="A133" s="58">
        <f t="shared" ref="A133:A135" si="8">A132+1</f>
        <v>2</v>
      </c>
      <c r="B133" s="59"/>
      <c r="C133" s="40"/>
      <c r="D133" s="40"/>
      <c r="E133" s="40">
        <v>0</v>
      </c>
      <c r="F133" s="40">
        <f>D133*(($F$110)+1)+(IF(E133&lt;101,E133,IF(E133&lt;201,E133/2,IF(E133&lt;=301,E133/3,E133/4))))</f>
        <v>0</v>
      </c>
      <c r="G133" s="58" t="str">
        <f t="shared" ref="G133:G135" si="9">G132</f>
        <v>1st Floor</v>
      </c>
      <c r="H133" s="59"/>
      <c r="I133" s="34"/>
      <c r="L133" s="60"/>
      <c r="M133" s="60"/>
      <c r="N133" s="34"/>
    </row>
    <row r="134" spans="1:14" s="35" customFormat="1" hidden="1" x14ac:dyDescent="0.3">
      <c r="A134" s="58">
        <f t="shared" si="8"/>
        <v>3</v>
      </c>
      <c r="B134" s="59"/>
      <c r="C134" s="40"/>
      <c r="D134" s="40"/>
      <c r="E134" s="40">
        <v>0</v>
      </c>
      <c r="F134" s="40">
        <f>D134*(($F$110)+1)+(IF(E134&lt;101,E134,IF(E134&lt;201,E134/2,IF(E134&lt;=301,E134/3,E134/4))))</f>
        <v>0</v>
      </c>
      <c r="G134" s="58" t="str">
        <f t="shared" si="9"/>
        <v>1st Floor</v>
      </c>
      <c r="H134" s="59"/>
      <c r="I134" s="34"/>
      <c r="L134" s="60"/>
      <c r="M134" s="60"/>
      <c r="N134" s="34"/>
    </row>
    <row r="135" spans="1:14" s="35" customFormat="1" hidden="1" x14ac:dyDescent="0.3">
      <c r="A135" s="58">
        <f t="shared" si="8"/>
        <v>4</v>
      </c>
      <c r="B135" s="59"/>
      <c r="C135" s="40"/>
      <c r="D135" s="40"/>
      <c r="E135" s="40">
        <v>0</v>
      </c>
      <c r="F135" s="40">
        <f>D135*(($F$110)+1)+(IF(E135&lt;101,E135,IF(E135&lt;201,E135/2,IF(E135&lt;=301,E135/3,E135/4))))</f>
        <v>0</v>
      </c>
      <c r="G135" s="58" t="str">
        <f t="shared" si="9"/>
        <v>1st Floor</v>
      </c>
      <c r="H135" s="59"/>
      <c r="I135" s="34"/>
      <c r="L135" s="60"/>
      <c r="M135" s="60"/>
      <c r="N135" s="34"/>
    </row>
    <row r="136" spans="1:14" s="35" customFormat="1" hidden="1" x14ac:dyDescent="0.3">
      <c r="A136" s="61" t="s">
        <v>121</v>
      </c>
      <c r="B136" s="62"/>
      <c r="C136" s="62"/>
      <c r="D136" s="62"/>
      <c r="E136" s="62"/>
      <c r="F136" s="62"/>
      <c r="G136" s="62"/>
      <c r="H136" s="63"/>
      <c r="J136" s="34"/>
    </row>
    <row r="137" spans="1:14" s="35" customFormat="1" hidden="1" x14ac:dyDescent="0.3">
      <c r="A137" s="58">
        <v>1</v>
      </c>
      <c r="B137" s="59"/>
      <c r="C137" s="40"/>
      <c r="D137" s="40"/>
      <c r="E137" s="40">
        <v>0</v>
      </c>
      <c r="F137" s="40">
        <f>D137*(($F$110)+1)+(IF(E137&lt;101,E137,IF(E137&lt;201,E137/2,IF(E137&lt;=301,E137/3,E137/4))))</f>
        <v>0</v>
      </c>
      <c r="G137" s="58" t="str">
        <f>A136</f>
        <v>Ground Floor</v>
      </c>
      <c r="H137" s="59"/>
      <c r="I137" s="34"/>
      <c r="L137" s="60"/>
      <c r="M137" s="60"/>
      <c r="N137" s="34"/>
    </row>
    <row r="138" spans="1:14" s="35" customFormat="1" hidden="1" x14ac:dyDescent="0.3">
      <c r="A138" s="58">
        <f t="shared" ref="A138:A140" si="10">A137+1</f>
        <v>2</v>
      </c>
      <c r="B138" s="59"/>
      <c r="C138" s="40"/>
      <c r="D138" s="40"/>
      <c r="E138" s="40">
        <v>0</v>
      </c>
      <c r="F138" s="40">
        <f>D138*(($F$110)+1)+(IF(E138&lt;101,E138,IF(E138&lt;201,E138/2,IF(E138&lt;=301,E138/3,E138/4))))</f>
        <v>0</v>
      </c>
      <c r="G138" s="58" t="str">
        <f t="shared" ref="G138:G140" si="11">G137</f>
        <v>Ground Floor</v>
      </c>
      <c r="H138" s="59"/>
      <c r="I138" s="34"/>
      <c r="L138" s="60"/>
      <c r="M138" s="60"/>
      <c r="N138" s="34"/>
    </row>
    <row r="139" spans="1:14" s="35" customFormat="1" hidden="1" x14ac:dyDescent="0.3">
      <c r="A139" s="58">
        <f t="shared" si="10"/>
        <v>3</v>
      </c>
      <c r="B139" s="59"/>
      <c r="C139" s="40"/>
      <c r="D139" s="40"/>
      <c r="E139" s="40">
        <v>0</v>
      </c>
      <c r="F139" s="40">
        <f>D139*(($F$110)+1)+(IF(E139&lt;101,E139,IF(E139&lt;201,E139/2,IF(E139&lt;=301,E139/3,E139/4))))</f>
        <v>0</v>
      </c>
      <c r="G139" s="58" t="str">
        <f t="shared" si="11"/>
        <v>Ground Floor</v>
      </c>
      <c r="H139" s="59"/>
      <c r="I139" s="34"/>
      <c r="L139" s="60"/>
      <c r="M139" s="60"/>
      <c r="N139" s="34"/>
    </row>
    <row r="140" spans="1:14" s="35" customFormat="1" hidden="1" x14ac:dyDescent="0.3">
      <c r="A140" s="58">
        <f t="shared" si="10"/>
        <v>4</v>
      </c>
      <c r="B140" s="59"/>
      <c r="C140" s="40"/>
      <c r="D140" s="40"/>
      <c r="E140" s="40">
        <v>0</v>
      </c>
      <c r="F140" s="40">
        <f>D140*(($F$110)+1)+(IF(E140&lt;101,E140,IF(E140&lt;201,E140/2,IF(E140&lt;=301,E140/3,E140/4))))</f>
        <v>0</v>
      </c>
      <c r="G140" s="58" t="str">
        <f t="shared" si="11"/>
        <v>Ground Floor</v>
      </c>
      <c r="H140" s="59"/>
      <c r="I140" s="34"/>
      <c r="L140" s="60"/>
      <c r="M140" s="60"/>
      <c r="N140" s="34"/>
    </row>
    <row r="141" spans="1:14" s="35" customFormat="1" hidden="1" x14ac:dyDescent="0.3">
      <c r="A141" s="156" t="s">
        <v>122</v>
      </c>
      <c r="B141" s="156"/>
      <c r="C141" s="156"/>
      <c r="D141" s="156"/>
      <c r="E141" s="156"/>
      <c r="F141" s="156"/>
      <c r="G141" s="156"/>
      <c r="H141" s="156"/>
      <c r="I141" s="34"/>
      <c r="L141" s="60"/>
      <c r="M141" s="60"/>
    </row>
    <row r="142" spans="1:14" s="35" customFormat="1" hidden="1" x14ac:dyDescent="0.3">
      <c r="A142" s="64">
        <f>LEFT(A141,SUM(LEN(A141)-LEN(SUBSTITUTE(A141,{"0","1","2","3","4","5","6","7","8","9"},""))))*100+1</f>
        <v>201</v>
      </c>
      <c r="B142" s="64"/>
      <c r="C142" s="40"/>
      <c r="D142" s="40"/>
      <c r="E142" s="40">
        <v>0</v>
      </c>
      <c r="F142" s="40">
        <f t="shared" ref="F142:F143" si="12">D142*(($F$110)+1)+(IF(E142&lt;101,E142,IF(E142&lt;201,E142/2,IF(E142&lt;=301,E142/3,E142/4))))</f>
        <v>0</v>
      </c>
      <c r="G142" s="64" t="str">
        <f>A141</f>
        <v>2nd Floor</v>
      </c>
      <c r="H142" s="64"/>
      <c r="I142" s="34"/>
      <c r="N142" s="34"/>
    </row>
    <row r="143" spans="1:14" s="35" customFormat="1" hidden="1" x14ac:dyDescent="0.3">
      <c r="A143" s="64">
        <f>A142+1</f>
        <v>202</v>
      </c>
      <c r="B143" s="64"/>
      <c r="C143" s="40"/>
      <c r="D143" s="40"/>
      <c r="E143" s="40">
        <v>0</v>
      </c>
      <c r="F143" s="40">
        <f t="shared" si="12"/>
        <v>0</v>
      </c>
      <c r="G143" s="64" t="str">
        <f>G142</f>
        <v>2nd Floor</v>
      </c>
      <c r="H143" s="64"/>
      <c r="I143" s="34"/>
      <c r="N143" s="34"/>
    </row>
    <row r="144" spans="1:14" s="35" customFormat="1" hidden="1" x14ac:dyDescent="0.3">
      <c r="A144" s="64">
        <f>A143+1</f>
        <v>203</v>
      </c>
      <c r="B144" s="64"/>
      <c r="C144" s="40"/>
      <c r="D144" s="40"/>
      <c r="E144" s="40">
        <v>0</v>
      </c>
      <c r="F144" s="40">
        <f>D144*(($F$110)+1)+(IF(E144&lt;101,E144,IF(E144&lt;201,E144/2,IF(E144&lt;=301,E144/3,E144/4))))</f>
        <v>0</v>
      </c>
      <c r="G144" s="64" t="str">
        <f>G143</f>
        <v>2nd Floor</v>
      </c>
      <c r="H144" s="64"/>
      <c r="I144" s="34"/>
      <c r="N144" s="34"/>
    </row>
    <row r="145" spans="1:14" s="35" customFormat="1" hidden="1" x14ac:dyDescent="0.3">
      <c r="A145" s="64">
        <f>A144+1</f>
        <v>204</v>
      </c>
      <c r="B145" s="64"/>
      <c r="C145" s="40"/>
      <c r="D145" s="40"/>
      <c r="E145" s="40">
        <v>0</v>
      </c>
      <c r="F145" s="40">
        <f>D145*(($F$110)+1)+(IF(E145&lt;101,E145,IF(E145&lt;201,E145/2,IF(E145&lt;=301,E145/3,E145/4))))</f>
        <v>0</v>
      </c>
      <c r="G145" s="64" t="str">
        <f>G144</f>
        <v>2nd Floor</v>
      </c>
      <c r="H145" s="64"/>
      <c r="I145" s="34"/>
      <c r="N145" s="34"/>
    </row>
    <row r="146" spans="1:14" s="35" customFormat="1" hidden="1" x14ac:dyDescent="0.3">
      <c r="A146" s="64">
        <f>A145+1</f>
        <v>205</v>
      </c>
      <c r="B146" s="64"/>
      <c r="C146" s="40"/>
      <c r="D146" s="40"/>
      <c r="E146" s="40">
        <v>0</v>
      </c>
      <c r="F146" s="40">
        <f>D146*(($F$110)+1)+(IF(E146&lt;101,E146,IF(E146&lt;201,E146/2,IF(E146&lt;=301,E146/3,E146/4))))</f>
        <v>0</v>
      </c>
      <c r="G146" s="64" t="str">
        <f>G145</f>
        <v>2nd Floor</v>
      </c>
      <c r="H146" s="64"/>
      <c r="I146" s="34"/>
      <c r="N146" s="34"/>
    </row>
    <row r="147" spans="1:14" s="35" customFormat="1" ht="15.75" hidden="1" customHeight="1" x14ac:dyDescent="0.3">
      <c r="A147" s="61" t="s">
        <v>158</v>
      </c>
      <c r="B147" s="62"/>
      <c r="C147" s="62"/>
      <c r="D147" s="62"/>
      <c r="E147" s="62"/>
      <c r="F147" s="62"/>
      <c r="G147" s="62"/>
      <c r="H147" s="63"/>
      <c r="I147" s="34"/>
    </row>
    <row r="148" spans="1:14" s="35" customFormat="1" hidden="1" x14ac:dyDescent="0.3">
      <c r="A148" s="58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10^ROW(INDIRECT("1:"&amp;LEN((LEFT(A147,SUM(LEN(A147)-LEN(SUBSTITUTE(A147,{"0","1","2"},""))))))))/10))*100+1&amp;""&amp;" ,..,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301 ,.., 1501</v>
      </c>
      <c r="B148" s="59"/>
      <c r="C148" s="40"/>
      <c r="D148" s="40"/>
      <c r="E148" s="40">
        <v>0</v>
      </c>
      <c r="F148" s="40">
        <f>D148*(($F$110)+1)+(IF(E148&lt;101,E148,IF(E148&lt;201,E148/2,IF(E148&lt;=301,E148/3,E148/4))))</f>
        <v>0</v>
      </c>
      <c r="G148" s="58" t="str">
        <f>A147</f>
        <v>3rd, 5th, 7th, 9th, 11th, 13th, 15th Floor</v>
      </c>
      <c r="H148" s="59"/>
      <c r="I148" s="34"/>
    </row>
    <row r="149" spans="1:14" s="35" customFormat="1" hidden="1" x14ac:dyDescent="0.3">
      <c r="A149" s="58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302 ,.., 1502</v>
      </c>
      <c r="B149" s="59"/>
      <c r="C149" s="40"/>
      <c r="D149" s="40"/>
      <c r="E149" s="40">
        <v>0</v>
      </c>
      <c r="F149" s="40">
        <f>D149*(($F$110)+1)+(IF(E149&lt;101,E149,IF(E149&lt;201,E149/2,IF(E149&lt;=301,E149/3,E149/4))))</f>
        <v>0</v>
      </c>
      <c r="G149" s="58" t="str">
        <f>G148</f>
        <v>3rd, 5th, 7th, 9th, 11th, 13th, 15th Floor</v>
      </c>
      <c r="H149" s="59"/>
      <c r="I149" s="34"/>
    </row>
    <row r="150" spans="1:14" s="35" customFormat="1" ht="15.75" hidden="1" customHeight="1" x14ac:dyDescent="0.3">
      <c r="A150" s="58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303 ,.., 1503</v>
      </c>
      <c r="B150" s="59"/>
      <c r="C150" s="40"/>
      <c r="D150" s="40"/>
      <c r="E150" s="40">
        <v>0</v>
      </c>
      <c r="F150" s="40">
        <f>D150*(($F$110)+1)+(IF(E150&lt;101,E150,IF(E150&lt;201,E150/2,IF(E150&lt;=301,E150/3,E150/4))))</f>
        <v>0</v>
      </c>
      <c r="G150" s="58" t="str">
        <f>G149</f>
        <v>3rd, 5th, 7th, 9th, 11th, 13th, 15th Floor</v>
      </c>
      <c r="H150" s="59"/>
      <c r="I150" s="34"/>
    </row>
    <row r="151" spans="1:14" s="35" customFormat="1" ht="15.75" hidden="1" customHeight="1" x14ac:dyDescent="0.3">
      <c r="A151" s="58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304 ,.., 1504</v>
      </c>
      <c r="B151" s="59"/>
      <c r="C151" s="40"/>
      <c r="D151" s="40"/>
      <c r="E151" s="40">
        <v>0</v>
      </c>
      <c r="F151" s="40">
        <f>D151*(($F$110)+1)+(IF(E151&lt;101,E151,IF(E151&lt;201,E151/2,IF(E151&lt;=301,E151/3,E151/4))))</f>
        <v>0</v>
      </c>
      <c r="G151" s="58" t="str">
        <f>G150</f>
        <v>3rd, 5th, 7th, 9th, 11th, 13th, 15th Floor</v>
      </c>
      <c r="H151" s="59"/>
      <c r="I151" s="34"/>
    </row>
    <row r="152" spans="1:14" s="35" customFormat="1" ht="15.75" hidden="1" customHeight="1" x14ac:dyDescent="0.3">
      <c r="A152" s="58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305 ,.., 1505</v>
      </c>
      <c r="B152" s="59"/>
      <c r="C152" s="40"/>
      <c r="D152" s="40"/>
      <c r="E152" s="40">
        <v>0</v>
      </c>
      <c r="F152" s="40">
        <f>D152*(($F$110)+1)+(IF(E152&lt;101,E152,IF(E152&lt;201,E152/2,IF(E152&lt;=301,E152/3,E152/4))))</f>
        <v>0</v>
      </c>
      <c r="G152" s="58" t="str">
        <f>G151</f>
        <v>3rd, 5th, 7th, 9th, 11th, 13th, 15th Floor</v>
      </c>
      <c r="H152" s="59"/>
      <c r="I152" s="34"/>
    </row>
    <row r="153" spans="1:14" s="35" customFormat="1" hidden="1" x14ac:dyDescent="0.3">
      <c r="A153" s="61" t="s">
        <v>152</v>
      </c>
      <c r="B153" s="62"/>
      <c r="C153" s="62"/>
      <c r="D153" s="62"/>
      <c r="E153" s="62"/>
      <c r="F153" s="62"/>
      <c r="G153" s="62"/>
      <c r="H153" s="63"/>
      <c r="I153" s="34"/>
    </row>
    <row r="154" spans="1:14" s="35" customFormat="1" hidden="1" x14ac:dyDescent="0.3">
      <c r="A154" s="58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201 to 501</v>
      </c>
      <c r="B154" s="59"/>
      <c r="C154" s="40"/>
      <c r="D154" s="40"/>
      <c r="E154" s="40">
        <v>0</v>
      </c>
      <c r="F154" s="40">
        <f>D154*(($F$110)+1)+(IF(E154&lt;101,E154,IF(E154&lt;201,E154/2,IF(E154&lt;=301,E154/3,E154/4))))</f>
        <v>0</v>
      </c>
      <c r="G154" s="58" t="str">
        <f>A153</f>
        <v>2nd to 5th Floor</v>
      </c>
      <c r="H154" s="59"/>
      <c r="I154" s="34"/>
    </row>
    <row r="155" spans="1:14" s="35" customFormat="1" hidden="1" x14ac:dyDescent="0.3">
      <c r="A155" s="58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202 to 502</v>
      </c>
      <c r="B155" s="59"/>
      <c r="C155" s="40"/>
      <c r="D155" s="40"/>
      <c r="E155" s="40">
        <v>0</v>
      </c>
      <c r="F155" s="40">
        <f>D155*(($F$110)+1)+(IF(E155&lt;101,E155,IF(E155&lt;201,E155/2,IF(E155&lt;=301,E155/3,E155/4))))</f>
        <v>0</v>
      </c>
      <c r="G155" s="58" t="str">
        <f>G154</f>
        <v>2nd to 5th Floor</v>
      </c>
      <c r="H155" s="59"/>
      <c r="I155" s="34"/>
    </row>
    <row r="156" spans="1:14" s="35" customFormat="1" hidden="1" x14ac:dyDescent="0.3">
      <c r="A156" s="58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203 to 503</v>
      </c>
      <c r="B156" s="59"/>
      <c r="C156" s="40"/>
      <c r="D156" s="40"/>
      <c r="E156" s="40">
        <v>0</v>
      </c>
      <c r="F156" s="40">
        <f>D156*(($F$110)+1)+(IF(E156&lt;101,E156,IF(E156&lt;201,E156/2,IF(E156&lt;=301,E156/3,E156/4))))</f>
        <v>0</v>
      </c>
      <c r="G156" s="58" t="str">
        <f>G155</f>
        <v>2nd to 5th Floor</v>
      </c>
      <c r="H156" s="59"/>
      <c r="I156" s="34"/>
    </row>
    <row r="157" spans="1:14" s="35" customFormat="1" hidden="1" x14ac:dyDescent="0.3">
      <c r="A157" s="58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204 to 504</v>
      </c>
      <c r="B157" s="59"/>
      <c r="C157" s="40"/>
      <c r="D157" s="40"/>
      <c r="E157" s="40">
        <v>0</v>
      </c>
      <c r="F157" s="40">
        <f>D157*(($F$110)+1)+(IF(E157&lt;101,E157,IF(E157&lt;201,E157/2,IF(E157&lt;=301,E157/3,E157/4))))</f>
        <v>0</v>
      </c>
      <c r="G157" s="58" t="str">
        <f>G156</f>
        <v>2nd to 5th Floor</v>
      </c>
      <c r="H157" s="59"/>
      <c r="I157" s="34"/>
    </row>
    <row r="158" spans="1:14" s="35" customFormat="1" hidden="1" x14ac:dyDescent="0.3">
      <c r="A158" s="58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205 to 505</v>
      </c>
      <c r="B158" s="59"/>
      <c r="C158" s="40"/>
      <c r="D158" s="40"/>
      <c r="E158" s="40">
        <v>0</v>
      </c>
      <c r="F158" s="40">
        <f>D158*(($F$110)+1)+(IF(E158&lt;101,E158,IF(E158&lt;201,E158/2,IF(E158&lt;=301,E158/3,E158/4))))</f>
        <v>0</v>
      </c>
      <c r="G158" s="58" t="str">
        <f>G157</f>
        <v>2nd to 5th Floor</v>
      </c>
      <c r="H158" s="59"/>
      <c r="I158" s="34"/>
    </row>
    <row r="159" spans="1:14" s="35" customFormat="1" hidden="1" x14ac:dyDescent="0.3">
      <c r="A159" s="61" t="s">
        <v>153</v>
      </c>
      <c r="B159" s="62"/>
      <c r="C159" s="62"/>
      <c r="D159" s="62"/>
      <c r="E159" s="62"/>
      <c r="F159" s="62"/>
      <c r="G159" s="62"/>
      <c r="H159" s="63"/>
      <c r="I159" s="34"/>
    </row>
    <row r="160" spans="1:14" s="35" customFormat="1" hidden="1" x14ac:dyDescent="0.3">
      <c r="A160" s="58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10^ROW(INDIRECT("1:"&amp;LEN((LEFT(A159,SUM(LEN(A159)-LEN(SUBSTITUTE(A159,{"0","1","2"},""))))))))/10))*100+1&amp;""&amp;" &amp;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201 &amp; 501</v>
      </c>
      <c r="B160" s="59"/>
      <c r="C160" s="40"/>
      <c r="D160" s="40"/>
      <c r="E160" s="40">
        <v>0</v>
      </c>
      <c r="F160" s="40">
        <f>D160*(($F$110)+1)+(IF(E160&lt;101,E160,IF(E160&lt;201,E160/2,IF(E160&lt;=301,E160/3,E160/4))))</f>
        <v>0</v>
      </c>
      <c r="G160" s="58" t="str">
        <f>A159</f>
        <v>2nd &amp; 5th Floor</v>
      </c>
      <c r="H160" s="59"/>
      <c r="I160" s="34"/>
    </row>
    <row r="161" spans="1:9" s="35" customFormat="1" hidden="1" x14ac:dyDescent="0.3">
      <c r="A161" s="58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&amp;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202 &amp; 502</v>
      </c>
      <c r="B161" s="59"/>
      <c r="C161" s="40"/>
      <c r="D161" s="40"/>
      <c r="E161" s="40">
        <v>0</v>
      </c>
      <c r="F161" s="40">
        <f>D161*(($F$110)+1)+(IF(E161&lt;101,E161,IF(E161&lt;201,E161/2,IF(E161&lt;=301,E161/3,E161/4))))</f>
        <v>0</v>
      </c>
      <c r="G161" s="58" t="str">
        <f t="shared" ref="G161:G164" si="13">G160</f>
        <v>2nd &amp; 5th Floor</v>
      </c>
      <c r="H161" s="59"/>
      <c r="I161" s="34"/>
    </row>
    <row r="162" spans="1:9" s="35" customFormat="1" hidden="1" x14ac:dyDescent="0.3">
      <c r="A162" s="58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&amp;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203 &amp; 503</v>
      </c>
      <c r="B162" s="59"/>
      <c r="C162" s="40"/>
      <c r="D162" s="40"/>
      <c r="E162" s="40">
        <v>0</v>
      </c>
      <c r="F162" s="40">
        <f>D162*(($F$110)+1)+(IF(E162&lt;101,E162,IF(E162&lt;201,E162/2,IF(E162&lt;=301,E162/3,E162/4))))</f>
        <v>0</v>
      </c>
      <c r="G162" s="58" t="str">
        <f t="shared" si="13"/>
        <v>2nd &amp; 5th Floor</v>
      </c>
      <c r="H162" s="59"/>
      <c r="I162" s="34"/>
    </row>
    <row r="163" spans="1:9" s="35" customFormat="1" hidden="1" x14ac:dyDescent="0.3">
      <c r="A163" s="58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&amp;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204 &amp; 504</v>
      </c>
      <c r="B163" s="59"/>
      <c r="C163" s="40"/>
      <c r="D163" s="40"/>
      <c r="E163" s="40">
        <v>0</v>
      </c>
      <c r="F163" s="40">
        <f>D163*(($F$110)+1)+(IF(E163&lt;101,E163,IF(E163&lt;201,E163/2,IF(E163&lt;=301,E163/3,E163/4))))</f>
        <v>0</v>
      </c>
      <c r="G163" s="58" t="str">
        <f t="shared" si="13"/>
        <v>2nd &amp; 5th Floor</v>
      </c>
      <c r="H163" s="59"/>
      <c r="I163" s="34"/>
    </row>
    <row r="164" spans="1:9" s="35" customFormat="1" hidden="1" x14ac:dyDescent="0.3">
      <c r="A164" s="58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&amp;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205 &amp; 505</v>
      </c>
      <c r="B164" s="59"/>
      <c r="C164" s="40"/>
      <c r="D164" s="40"/>
      <c r="E164" s="40">
        <v>0</v>
      </c>
      <c r="F164" s="40">
        <f>D164*(($F$110)+1)+(IF(E164&lt;101,E164,IF(E164&lt;201,E164/2,IF(E164&lt;=301,E164/3,E164/4))))</f>
        <v>0</v>
      </c>
      <c r="G164" s="58" t="str">
        <f t="shared" si="13"/>
        <v>2nd &amp; 5th Floor</v>
      </c>
      <c r="H164" s="59"/>
      <c r="I164" s="34"/>
    </row>
    <row r="165" spans="1:9" s="33" customFormat="1" x14ac:dyDescent="0.3">
      <c r="A165" s="83" t="s">
        <v>69</v>
      </c>
      <c r="B165" s="83"/>
      <c r="C165" s="83"/>
      <c r="D165" s="83"/>
      <c r="E165" s="83"/>
      <c r="F165" s="83"/>
      <c r="G165" s="83"/>
      <c r="H165" s="83"/>
    </row>
    <row r="166" spans="1:9" s="33" customFormat="1" x14ac:dyDescent="0.3">
      <c r="A166" s="45" t="s">
        <v>161</v>
      </c>
      <c r="B166" s="163" t="s">
        <v>228</v>
      </c>
      <c r="C166" s="164"/>
      <c r="D166" s="164"/>
      <c r="E166" s="164"/>
      <c r="F166" s="164"/>
      <c r="G166" s="164"/>
      <c r="H166" s="165"/>
    </row>
    <row r="167" spans="1:9" s="33" customFormat="1" x14ac:dyDescent="0.3">
      <c r="A167" s="45" t="s">
        <v>161</v>
      </c>
      <c r="B167" s="160" t="str">
        <f>(IF(F109="Saleable area Loading :","We have considered Saleable area of Flats as per our Calculation.","We considered Saleable area of Flat as per Builder area Sheet."))</f>
        <v>We have considered Saleable area of Flats as per our Calculation.</v>
      </c>
      <c r="C167" s="161"/>
      <c r="D167" s="161"/>
      <c r="E167" s="161"/>
      <c r="F167" s="161"/>
      <c r="G167" s="161"/>
      <c r="H167" s="162"/>
    </row>
    <row r="168" spans="1:9" s="33" customFormat="1" x14ac:dyDescent="0.3">
      <c r="A168" s="45" t="s">
        <v>161</v>
      </c>
      <c r="B168" s="160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8" s="161"/>
      <c r="D168" s="161"/>
      <c r="E168" s="161"/>
      <c r="F168" s="161"/>
      <c r="G168" s="161"/>
      <c r="H168" s="162"/>
    </row>
    <row r="169" spans="1:9" s="33" customFormat="1" x14ac:dyDescent="0.3">
      <c r="A169" s="45" t="s">
        <v>161</v>
      </c>
      <c r="B169" s="55" t="s">
        <v>129</v>
      </c>
      <c r="C169" s="56"/>
      <c r="D169" s="56"/>
      <c r="E169" s="56"/>
      <c r="F169" s="56"/>
      <c r="G169" s="56"/>
      <c r="H169" s="57"/>
    </row>
    <row r="170" spans="1:9" s="33" customFormat="1" x14ac:dyDescent="0.3">
      <c r="A170" s="45" t="s">
        <v>161</v>
      </c>
      <c r="B170" s="55" t="s">
        <v>211</v>
      </c>
      <c r="C170" s="56"/>
      <c r="D170" s="56"/>
      <c r="E170" s="56"/>
      <c r="F170" s="56"/>
      <c r="G170" s="56"/>
      <c r="H170" s="57"/>
    </row>
    <row r="171" spans="1:9" s="33" customFormat="1" x14ac:dyDescent="0.3">
      <c r="A171" s="45" t="s">
        <v>161</v>
      </c>
      <c r="B171" s="55" t="s">
        <v>160</v>
      </c>
      <c r="C171" s="56"/>
      <c r="D171" s="56"/>
      <c r="E171" s="56"/>
      <c r="F171" s="56"/>
      <c r="G171" s="56"/>
      <c r="H171" s="57"/>
    </row>
    <row r="172" spans="1:9" s="33" customFormat="1" x14ac:dyDescent="0.3">
      <c r="A172" s="45" t="s">
        <v>161</v>
      </c>
      <c r="B172" s="55" t="s">
        <v>130</v>
      </c>
      <c r="C172" s="56"/>
      <c r="D172" s="56"/>
      <c r="E172" s="56"/>
      <c r="F172" s="56"/>
      <c r="G172" s="56"/>
      <c r="H172" s="57"/>
    </row>
    <row r="173" spans="1:9" s="33" customFormat="1" ht="34.5" customHeight="1" x14ac:dyDescent="0.3">
      <c r="A173" s="45" t="s">
        <v>161</v>
      </c>
      <c r="B173" s="55" t="s">
        <v>162</v>
      </c>
      <c r="C173" s="56"/>
      <c r="D173" s="56"/>
      <c r="E173" s="56"/>
      <c r="F173" s="56"/>
      <c r="G173" s="56"/>
      <c r="H173" s="57"/>
    </row>
    <row r="174" spans="1:9" s="33" customFormat="1" x14ac:dyDescent="0.3">
      <c r="A174" s="45" t="s">
        <v>161</v>
      </c>
      <c r="B174" s="55" t="s">
        <v>131</v>
      </c>
      <c r="C174" s="56"/>
      <c r="D174" s="56"/>
      <c r="E174" s="56"/>
      <c r="F174" s="56"/>
      <c r="G174" s="56"/>
      <c r="H174" s="57"/>
    </row>
    <row r="175" spans="1:9" s="33" customFormat="1" ht="33" customHeight="1" x14ac:dyDescent="0.3">
      <c r="A175" s="45" t="s">
        <v>161</v>
      </c>
      <c r="B175" s="55" t="s">
        <v>227</v>
      </c>
      <c r="C175" s="56"/>
      <c r="D175" s="56"/>
      <c r="E175" s="56"/>
      <c r="F175" s="56"/>
      <c r="G175" s="56"/>
      <c r="H175" s="57"/>
    </row>
    <row r="176" spans="1:9" x14ac:dyDescent="0.3">
      <c r="A176" s="158" t="s">
        <v>62</v>
      </c>
      <c r="B176" s="158"/>
      <c r="C176" s="158"/>
      <c r="D176" s="158"/>
      <c r="E176" s="158"/>
      <c r="F176" s="158"/>
      <c r="G176" s="158"/>
      <c r="H176" s="158"/>
    </row>
    <row r="177" spans="1:8" x14ac:dyDescent="0.3">
      <c r="A177" s="65" t="s">
        <v>63</v>
      </c>
      <c r="B177" s="65"/>
      <c r="C177" s="65"/>
      <c r="D177" s="65"/>
      <c r="E177" s="65"/>
      <c r="F177" s="65"/>
      <c r="G177" s="65"/>
      <c r="H177" s="65"/>
    </row>
    <row r="178" spans="1:8" ht="15.75" customHeight="1" x14ac:dyDescent="0.3">
      <c r="A178" s="174" t="s">
        <v>64</v>
      </c>
      <c r="B178" s="174"/>
      <c r="C178" s="174"/>
      <c r="D178" s="174"/>
      <c r="E178" s="174"/>
      <c r="F178" s="174"/>
      <c r="G178" s="174"/>
      <c r="H178" s="174"/>
    </row>
    <row r="179" spans="1:8" x14ac:dyDescent="0.3">
      <c r="A179" s="65" t="s">
        <v>65</v>
      </c>
      <c r="B179" s="65"/>
      <c r="C179" s="65"/>
      <c r="D179" s="65"/>
      <c r="E179" s="65"/>
      <c r="F179" s="65"/>
      <c r="G179" s="65"/>
      <c r="H179" s="65"/>
    </row>
    <row r="180" spans="1:8" x14ac:dyDescent="0.3">
      <c r="A180" s="65" t="s">
        <v>66</v>
      </c>
      <c r="B180" s="65"/>
      <c r="C180" s="65"/>
      <c r="D180" s="65"/>
      <c r="E180" s="65"/>
      <c r="F180" s="65"/>
      <c r="G180" s="65"/>
      <c r="H180" s="65"/>
    </row>
    <row r="181" spans="1:8" x14ac:dyDescent="0.3">
      <c r="A181" s="65" t="s">
        <v>132</v>
      </c>
      <c r="B181" s="65"/>
      <c r="C181" s="65"/>
      <c r="D181" s="65"/>
      <c r="E181" s="65"/>
      <c r="F181" s="65"/>
      <c r="G181" s="65"/>
      <c r="H181" s="65"/>
    </row>
    <row r="182" spans="1:8" x14ac:dyDescent="0.3">
      <c r="A182" s="130" t="s">
        <v>133</v>
      </c>
      <c r="B182" s="130"/>
      <c r="C182" s="130"/>
      <c r="D182" s="130"/>
      <c r="E182" s="130"/>
      <c r="F182" s="130"/>
      <c r="G182" s="130"/>
      <c r="H182" s="130"/>
    </row>
    <row r="183" spans="1:8" x14ac:dyDescent="0.3">
      <c r="A183" s="154" t="s">
        <v>79</v>
      </c>
      <c r="B183" s="154"/>
      <c r="C183" s="154" t="s">
        <v>229</v>
      </c>
      <c r="D183" s="154"/>
      <c r="E183" s="154" t="s">
        <v>108</v>
      </c>
      <c r="F183" s="154"/>
      <c r="G183" s="154" t="s">
        <v>230</v>
      </c>
      <c r="H183" s="154"/>
    </row>
    <row r="184" spans="1:8" x14ac:dyDescent="0.3">
      <c r="A184" s="153" t="s">
        <v>81</v>
      </c>
      <c r="B184" s="153"/>
      <c r="C184" s="153"/>
      <c r="D184" s="153"/>
      <c r="E184" s="153"/>
      <c r="F184" s="153"/>
      <c r="G184" s="153"/>
      <c r="H184" s="153"/>
    </row>
    <row r="185" spans="1:8" x14ac:dyDescent="0.3">
      <c r="A185" s="153"/>
      <c r="B185" s="153"/>
      <c r="C185" s="153"/>
      <c r="D185" s="153"/>
      <c r="E185" s="153"/>
      <c r="F185" s="153"/>
      <c r="G185" s="153"/>
      <c r="H185" s="153"/>
    </row>
    <row r="186" spans="1:8" x14ac:dyDescent="0.3">
      <c r="A186" s="153"/>
      <c r="B186" s="153"/>
      <c r="C186" s="153"/>
      <c r="D186" s="153"/>
      <c r="E186" s="153"/>
      <c r="F186" s="153"/>
      <c r="G186" s="153"/>
      <c r="H186" s="153"/>
    </row>
    <row r="187" spans="1:8" x14ac:dyDescent="0.3">
      <c r="A187" s="153"/>
      <c r="B187" s="153"/>
      <c r="C187" s="153"/>
      <c r="D187" s="153"/>
      <c r="E187" s="153"/>
      <c r="F187" s="153"/>
      <c r="G187" s="153"/>
      <c r="H187" s="153"/>
    </row>
    <row r="188" spans="1:8" x14ac:dyDescent="0.3">
      <c r="A188" s="36" t="s">
        <v>67</v>
      </c>
      <c r="B188" s="37"/>
      <c r="C188" s="37"/>
      <c r="D188" s="36" t="str">
        <f>E8</f>
        <v>Pinnacle</v>
      </c>
      <c r="F188" s="37"/>
      <c r="G188" s="37"/>
      <c r="H188" s="37"/>
    </row>
    <row r="189" spans="1:8" x14ac:dyDescent="0.3">
      <c r="A189" s="37"/>
      <c r="B189" s="37"/>
      <c r="C189" s="37"/>
      <c r="D189" s="37"/>
      <c r="E189" s="37"/>
      <c r="F189" s="37"/>
      <c r="G189" s="37"/>
      <c r="H189" s="37"/>
    </row>
    <row r="190" spans="1:8" x14ac:dyDescent="0.3">
      <c r="A190" s="37"/>
      <c r="B190" s="37"/>
      <c r="C190" s="37"/>
      <c r="D190" s="37"/>
      <c r="E190" s="37"/>
      <c r="F190" s="37"/>
      <c r="G190" s="37"/>
      <c r="H190" s="37"/>
    </row>
    <row r="191" spans="1:8" ht="15" customHeight="1" x14ac:dyDescent="0.3"/>
    <row r="232" spans="1:1" x14ac:dyDescent="0.3">
      <c r="A232" s="39" t="s">
        <v>174</v>
      </c>
    </row>
    <row r="276" spans="1:1" x14ac:dyDescent="0.3">
      <c r="A276" s="39" t="s">
        <v>68</v>
      </c>
    </row>
  </sheetData>
  <mergeCells count="359">
    <mergeCell ref="I10:L10"/>
    <mergeCell ref="E41:H41"/>
    <mergeCell ref="A41:D41"/>
    <mergeCell ref="A181:H181"/>
    <mergeCell ref="A178:H178"/>
    <mergeCell ref="G157:H157"/>
    <mergeCell ref="A142:B142"/>
    <mergeCell ref="A96:B96"/>
    <mergeCell ref="D109:D110"/>
    <mergeCell ref="E109:E110"/>
    <mergeCell ref="G109:H110"/>
    <mergeCell ref="A74:B74"/>
    <mergeCell ref="F80:H80"/>
    <mergeCell ref="G94:H94"/>
    <mergeCell ref="G104:H107"/>
    <mergeCell ref="G112:H115"/>
    <mergeCell ref="G117:H120"/>
    <mergeCell ref="G122:H125"/>
    <mergeCell ref="G127:H130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51:B151"/>
    <mergeCell ref="A148:B148"/>
    <mergeCell ref="G140:H140"/>
    <mergeCell ref="F89:H89"/>
    <mergeCell ref="E93:F93"/>
    <mergeCell ref="A93:B93"/>
    <mergeCell ref="A98:B98"/>
    <mergeCell ref="C98:D98"/>
    <mergeCell ref="A154:B154"/>
    <mergeCell ref="G151:H151"/>
    <mergeCell ref="A115:B115"/>
    <mergeCell ref="B172:H172"/>
    <mergeCell ref="B168:H168"/>
    <mergeCell ref="A162:B162"/>
    <mergeCell ref="G162:H162"/>
    <mergeCell ref="G161:H161"/>
    <mergeCell ref="A159:H159"/>
    <mergeCell ref="A160:B160"/>
    <mergeCell ref="A161:B161"/>
    <mergeCell ref="A164:B164"/>
    <mergeCell ref="G164:H164"/>
    <mergeCell ref="A163:B163"/>
    <mergeCell ref="G163:H163"/>
    <mergeCell ref="B166:H166"/>
    <mergeCell ref="B167:H167"/>
    <mergeCell ref="A184:H187"/>
    <mergeCell ref="A183:B183"/>
    <mergeCell ref="E183:F183"/>
    <mergeCell ref="C183:D183"/>
    <mergeCell ref="G183:H183"/>
    <mergeCell ref="A92:H92"/>
    <mergeCell ref="A90:E90"/>
    <mergeCell ref="F90:H90"/>
    <mergeCell ref="A91:E91"/>
    <mergeCell ref="F91:H91"/>
    <mergeCell ref="A141:H141"/>
    <mergeCell ref="A97:B97"/>
    <mergeCell ref="A150:B150"/>
    <mergeCell ref="A94:B94"/>
    <mergeCell ref="A179:H179"/>
    <mergeCell ref="A95:H95"/>
    <mergeCell ref="A182:H182"/>
    <mergeCell ref="A180:H180"/>
    <mergeCell ref="A176:H176"/>
    <mergeCell ref="A177:H177"/>
    <mergeCell ref="E96:F96"/>
    <mergeCell ref="B175:H175"/>
    <mergeCell ref="G154:H154"/>
    <mergeCell ref="A152:B152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37:B37"/>
    <mergeCell ref="C37:H37"/>
    <mergeCell ref="A44:D44"/>
    <mergeCell ref="L107:M107"/>
    <mergeCell ref="L106:M106"/>
    <mergeCell ref="L105:M105"/>
    <mergeCell ref="L104:M104"/>
    <mergeCell ref="A76:B76"/>
    <mergeCell ref="C97:D97"/>
    <mergeCell ref="E97:F97"/>
    <mergeCell ref="G97:H97"/>
    <mergeCell ref="F86:H86"/>
    <mergeCell ref="A80:E80"/>
    <mergeCell ref="A103:H103"/>
    <mergeCell ref="E101:E102"/>
    <mergeCell ref="G101:H102"/>
    <mergeCell ref="A59:C59"/>
    <mergeCell ref="E69:F78"/>
    <mergeCell ref="G69:H78"/>
    <mergeCell ref="A77:B77"/>
    <mergeCell ref="A78:B78"/>
    <mergeCell ref="D59:H59"/>
    <mergeCell ref="A75:B75"/>
    <mergeCell ref="A68:B68"/>
    <mergeCell ref="F79:H79"/>
    <mergeCell ref="F84:H84"/>
    <mergeCell ref="L141:M141"/>
    <mergeCell ref="A108:H108"/>
    <mergeCell ref="A109:A110"/>
    <mergeCell ref="A146:B146"/>
    <mergeCell ref="A143:B143"/>
    <mergeCell ref="A144:B144"/>
    <mergeCell ref="E98:F98"/>
    <mergeCell ref="G98:H98"/>
    <mergeCell ref="C96:D96"/>
    <mergeCell ref="G96:H96"/>
    <mergeCell ref="A99:H99"/>
    <mergeCell ref="G144:H144"/>
    <mergeCell ref="F87:H87"/>
    <mergeCell ref="C93:D93"/>
    <mergeCell ref="L140:M140"/>
    <mergeCell ref="G137:H137"/>
    <mergeCell ref="L137:M137"/>
    <mergeCell ref="A138:B138"/>
    <mergeCell ref="G138:H138"/>
    <mergeCell ref="L138:M138"/>
    <mergeCell ref="A139:B139"/>
    <mergeCell ref="A87:E87"/>
    <mergeCell ref="G158:H158"/>
    <mergeCell ref="A165:H165"/>
    <mergeCell ref="A157:B157"/>
    <mergeCell ref="A158:B158"/>
    <mergeCell ref="G156:H156"/>
    <mergeCell ref="C101:C102"/>
    <mergeCell ref="B109:B110"/>
    <mergeCell ref="A153:H153"/>
    <mergeCell ref="A147:H147"/>
    <mergeCell ref="A140:B140"/>
    <mergeCell ref="G150:H150"/>
    <mergeCell ref="G148:H148"/>
    <mergeCell ref="A137:B137"/>
    <mergeCell ref="A107:B107"/>
    <mergeCell ref="A155:B155"/>
    <mergeCell ref="A156:B156"/>
    <mergeCell ref="A145:B145"/>
    <mergeCell ref="G155:H155"/>
    <mergeCell ref="A149:B149"/>
    <mergeCell ref="G143:H143"/>
    <mergeCell ref="B101:B102"/>
    <mergeCell ref="A101:A102"/>
    <mergeCell ref="C109:C110"/>
    <mergeCell ref="A136:H136"/>
    <mergeCell ref="A38:B38"/>
    <mergeCell ref="C38:H38"/>
    <mergeCell ref="B173:H173"/>
    <mergeCell ref="A47:B47"/>
    <mergeCell ref="C47:H47"/>
    <mergeCell ref="B171:H171"/>
    <mergeCell ref="F81:H81"/>
    <mergeCell ref="A81:E81"/>
    <mergeCell ref="G149:H149"/>
    <mergeCell ref="G145:H145"/>
    <mergeCell ref="G142:H142"/>
    <mergeCell ref="D101:D102"/>
    <mergeCell ref="A83:E83"/>
    <mergeCell ref="A104:B104"/>
    <mergeCell ref="A105:B105"/>
    <mergeCell ref="A106:B106"/>
    <mergeCell ref="A85:E85"/>
    <mergeCell ref="F85:H85"/>
    <mergeCell ref="A86:E86"/>
    <mergeCell ref="A88:E88"/>
    <mergeCell ref="F82:H82"/>
    <mergeCell ref="G139:H139"/>
    <mergeCell ref="A79:E79"/>
    <mergeCell ref="F83:H83"/>
    <mergeCell ref="A82:E82"/>
    <mergeCell ref="A111:H111"/>
    <mergeCell ref="A112:B112"/>
    <mergeCell ref="L112:M112"/>
    <mergeCell ref="A113:B113"/>
    <mergeCell ref="L113:M113"/>
    <mergeCell ref="A114:B114"/>
    <mergeCell ref="L114:M114"/>
    <mergeCell ref="A84:E84"/>
    <mergeCell ref="F88:H88"/>
    <mergeCell ref="A100:H100"/>
    <mergeCell ref="G93:H93"/>
    <mergeCell ref="A89:E89"/>
    <mergeCell ref="C94:D94"/>
    <mergeCell ref="E94:F94"/>
    <mergeCell ref="L115:M115"/>
    <mergeCell ref="A131:H131"/>
    <mergeCell ref="A132:B132"/>
    <mergeCell ref="G132:H132"/>
    <mergeCell ref="L132:M132"/>
    <mergeCell ref="A130:B130"/>
    <mergeCell ref="L130:M130"/>
    <mergeCell ref="A133:B133"/>
    <mergeCell ref="G133:H133"/>
    <mergeCell ref="L133:M133"/>
    <mergeCell ref="L124:M124"/>
    <mergeCell ref="A125:B125"/>
    <mergeCell ref="L125:M125"/>
    <mergeCell ref="A126:H126"/>
    <mergeCell ref="A127:B127"/>
    <mergeCell ref="L127:M127"/>
    <mergeCell ref="A128:B128"/>
    <mergeCell ref="L128:M128"/>
    <mergeCell ref="A129:B129"/>
    <mergeCell ref="L129:M129"/>
    <mergeCell ref="B174:H174"/>
    <mergeCell ref="A134:B134"/>
    <mergeCell ref="G134:H134"/>
    <mergeCell ref="L134:M134"/>
    <mergeCell ref="A135:B135"/>
    <mergeCell ref="G135:H135"/>
    <mergeCell ref="L135:M135"/>
    <mergeCell ref="A116:H116"/>
    <mergeCell ref="A117:B117"/>
    <mergeCell ref="A118:B118"/>
    <mergeCell ref="A119:B119"/>
    <mergeCell ref="A120:B120"/>
    <mergeCell ref="A121:H121"/>
    <mergeCell ref="A122:B122"/>
    <mergeCell ref="L122:M122"/>
    <mergeCell ref="A123:B123"/>
    <mergeCell ref="L123:M123"/>
    <mergeCell ref="A124:B124"/>
    <mergeCell ref="G146:H146"/>
    <mergeCell ref="G152:H152"/>
    <mergeCell ref="L139:M139"/>
    <mergeCell ref="B169:H169"/>
    <mergeCell ref="B170:H170"/>
    <mergeCell ref="G160:H160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7" max="16383" man="1"/>
    <brk id="231" max="16383" man="1"/>
    <brk id="2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1" t="s">
        <v>109</v>
      </c>
      <c r="C3" s="181"/>
      <c r="D3" s="181"/>
      <c r="E3" s="181"/>
      <c r="F3" s="181"/>
      <c r="G3" s="181"/>
      <c r="H3" s="181"/>
    </row>
    <row r="4" spans="1:9" x14ac:dyDescent="0.3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2025-09-12T10:24:53Z</cp:lastPrinted>
  <dcterms:created xsi:type="dcterms:W3CDTF">2019-07-16T09:29:46Z</dcterms:created>
  <dcterms:modified xsi:type="dcterms:W3CDTF">2025-09-12T10:25:46Z</dcterms:modified>
</cp:coreProperties>
</file>