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7FEDDF78-F73F-48AB-821A-080510A91B2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G10" i="5"/>
  <c r="F10" i="5"/>
  <c r="F9" i="5"/>
  <c r="G9" i="5" s="1"/>
  <c r="F8" i="5"/>
  <c r="G8" i="5" s="1"/>
  <c r="G7" i="5"/>
  <c r="F7" i="5"/>
  <c r="G6" i="5"/>
  <c r="F6" i="5"/>
  <c r="F5" i="5"/>
  <c r="G5" i="5" s="1"/>
  <c r="G12" i="5" s="1"/>
  <c r="D192" i="1"/>
  <c r="B174" i="1"/>
  <c r="D171" i="1"/>
  <c r="F171" i="1" s="1"/>
  <c r="D169" i="1"/>
  <c r="F169" i="1" s="1"/>
  <c r="G168" i="1"/>
  <c r="D168" i="1"/>
  <c r="F168" i="1" s="1"/>
  <c r="I168" i="1" s="1"/>
  <c r="A168" i="1"/>
  <c r="A169" i="1" s="1"/>
  <c r="A170" i="1" s="1"/>
  <c r="A171" i="1" s="1"/>
  <c r="D166" i="1"/>
  <c r="F166" i="1" s="1"/>
  <c r="D165" i="1"/>
  <c r="F165" i="1" s="1"/>
  <c r="D164" i="1"/>
  <c r="C124" i="1" s="1"/>
  <c r="G163" i="1"/>
  <c r="F163" i="1"/>
  <c r="D163" i="1"/>
  <c r="D158" i="1"/>
  <c r="F158" i="1" s="1"/>
  <c r="D157" i="1"/>
  <c r="F157" i="1" s="1"/>
  <c r="D156" i="1"/>
  <c r="F156" i="1" s="1"/>
  <c r="G155" i="1"/>
  <c r="F155" i="1"/>
  <c r="D155" i="1"/>
  <c r="A155" i="1"/>
  <c r="A156" i="1" s="1"/>
  <c r="A157" i="1" s="1"/>
  <c r="A158" i="1" s="1"/>
  <c r="A159" i="1" s="1"/>
  <c r="D153" i="1"/>
  <c r="F153" i="1" s="1"/>
  <c r="I153" i="1" s="1"/>
  <c r="D152" i="1"/>
  <c r="F152" i="1" s="1"/>
  <c r="F151" i="1"/>
  <c r="D151" i="1"/>
  <c r="D150" i="1"/>
  <c r="F150" i="1" s="1"/>
  <c r="G149" i="1"/>
  <c r="D149" i="1"/>
  <c r="F149" i="1" s="1"/>
  <c r="D145" i="1"/>
  <c r="F145" i="1" s="1"/>
  <c r="F143" i="1"/>
  <c r="D143" i="1"/>
  <c r="D142" i="1"/>
  <c r="F142" i="1" s="1"/>
  <c r="D141" i="1"/>
  <c r="F141" i="1" s="1"/>
  <c r="G140" i="1"/>
  <c r="D140" i="1"/>
  <c r="F140" i="1" s="1"/>
  <c r="A140" i="1"/>
  <c r="A141" i="1" s="1"/>
  <c r="A142" i="1" s="1"/>
  <c r="A143" i="1" s="1"/>
  <c r="A144" i="1" s="1"/>
  <c r="A145" i="1" s="1"/>
  <c r="D138" i="1"/>
  <c r="F138" i="1" s="1"/>
  <c r="I138" i="1" s="1"/>
  <c r="F137" i="1"/>
  <c r="D137" i="1"/>
  <c r="D136" i="1"/>
  <c r="F136" i="1" s="1"/>
  <c r="D135" i="1"/>
  <c r="F135" i="1" s="1"/>
  <c r="D134" i="1"/>
  <c r="G133" i="1"/>
  <c r="D133" i="1"/>
  <c r="F133" i="1" s="1"/>
  <c r="F119" i="1"/>
  <c r="J107" i="1"/>
  <c r="J106" i="1"/>
  <c r="J105" i="1"/>
  <c r="J104" i="1"/>
  <c r="C96" i="1"/>
  <c r="D95" i="1"/>
  <c r="D94" i="1"/>
  <c r="J93" i="1"/>
  <c r="D93" i="1"/>
  <c r="J92" i="1"/>
  <c r="D92" i="1"/>
  <c r="J91" i="1"/>
  <c r="D91" i="1"/>
  <c r="J90" i="1"/>
  <c r="D90" i="1"/>
  <c r="D89" i="1"/>
  <c r="J88" i="1"/>
  <c r="J89" i="1" s="1"/>
  <c r="J94" i="1" s="1"/>
  <c r="J95" i="1" s="1"/>
  <c r="C87" i="1" s="1"/>
  <c r="D88" i="1"/>
  <c r="J87" i="1"/>
  <c r="J86" i="1"/>
  <c r="C86" i="1"/>
  <c r="J85" i="1"/>
  <c r="J82" i="1"/>
  <c r="J84" i="1" s="1"/>
  <c r="C82" i="1"/>
  <c r="D81" i="1"/>
  <c r="D80" i="1"/>
  <c r="J79" i="1"/>
  <c r="D79" i="1"/>
  <c r="J78" i="1"/>
  <c r="D78" i="1"/>
  <c r="J77" i="1"/>
  <c r="D77" i="1"/>
  <c r="J76" i="1"/>
  <c r="D76" i="1"/>
  <c r="D75" i="1"/>
  <c r="J74" i="1"/>
  <c r="J75" i="1" s="1"/>
  <c r="J80" i="1" s="1"/>
  <c r="J81" i="1" s="1"/>
  <c r="C73" i="1" s="1"/>
  <c r="D74" i="1"/>
  <c r="J73" i="1"/>
  <c r="J72" i="1"/>
  <c r="D72" i="1"/>
  <c r="C72" i="1"/>
  <c r="J71" i="1"/>
  <c r="J68" i="1"/>
  <c r="J70" i="1" s="1"/>
  <c r="C68" i="1"/>
  <c r="D62" i="1"/>
  <c r="D55" i="1"/>
  <c r="C51" i="1"/>
  <c r="G50" i="1"/>
  <c r="C50" i="1"/>
  <c r="G43" i="1"/>
  <c r="G44" i="1" s="1"/>
  <c r="E43" i="1"/>
  <c r="E44" i="1" s="1"/>
  <c r="E29" i="1"/>
  <c r="E26" i="1"/>
  <c r="E24" i="1"/>
  <c r="C14" i="1"/>
  <c r="E7" i="1"/>
  <c r="E3" i="1"/>
  <c r="A149" i="1"/>
  <c r="A163" i="1"/>
  <c r="A133" i="1"/>
  <c r="H97" i="1"/>
  <c r="F164" i="1" l="1"/>
  <c r="J69" i="1"/>
  <c r="E124" i="1"/>
  <c r="E122" i="1"/>
  <c r="D87" i="1"/>
  <c r="E86" i="1"/>
  <c r="G124" i="1"/>
  <c r="G123" i="1"/>
  <c r="G72" i="1"/>
  <c r="D66" i="1" s="1"/>
  <c r="F67" i="1" s="1"/>
  <c r="E72" i="1"/>
  <c r="D73" i="1"/>
  <c r="I69" i="1" s="1"/>
  <c r="I70" i="1" s="1"/>
  <c r="I68" i="1" s="1"/>
  <c r="C70" i="1" s="1"/>
  <c r="E123" i="1"/>
  <c r="E125" i="1" s="1"/>
  <c r="G86" i="1"/>
  <c r="D86" i="1"/>
  <c r="I83" i="1" s="1"/>
  <c r="I84" i="1" s="1"/>
  <c r="C123" i="1"/>
  <c r="C122" i="1"/>
  <c r="C125" i="1" s="1"/>
  <c r="F134" i="1"/>
  <c r="G122" i="1" s="1"/>
  <c r="G125" i="1" s="1"/>
  <c r="D106" i="1"/>
  <c r="D102" i="1"/>
  <c r="J96" i="1"/>
  <c r="J98" i="1" s="1"/>
  <c r="J102" i="1"/>
  <c r="J103" i="1" s="1"/>
  <c r="J108" i="1" s="1"/>
  <c r="J109" i="1" s="1"/>
  <c r="C101" i="1" s="1"/>
  <c r="J101" i="1"/>
  <c r="C100" i="1" s="1"/>
  <c r="J99" i="1"/>
  <c r="D109" i="1"/>
  <c r="D105" i="1"/>
  <c r="D107" i="1"/>
  <c r="D108" i="1"/>
  <c r="D104" i="1"/>
  <c r="J100" i="1"/>
  <c r="D103" i="1"/>
  <c r="A150" i="1"/>
  <c r="A134" i="1"/>
  <c r="A164" i="1"/>
  <c r="J83" i="1" l="1"/>
  <c r="I82" i="1" s="1"/>
  <c r="C84" i="1" s="1"/>
  <c r="D67" i="1"/>
  <c r="E100" i="1"/>
  <c r="D101" i="1"/>
  <c r="G100" i="1"/>
  <c r="D100" i="1"/>
  <c r="A151" i="1"/>
  <c r="A165" i="1"/>
  <c r="A135" i="1"/>
  <c r="I97" i="1" l="1"/>
  <c r="I98" i="1" s="1"/>
  <c r="J97" i="1"/>
  <c r="A136" i="1"/>
  <c r="A152" i="1"/>
  <c r="A166" i="1"/>
  <c r="I96" i="1" l="1"/>
  <c r="C98" i="1" s="1"/>
  <c r="A137" i="1"/>
  <c r="A153" i="1"/>
  <c r="A138" i="1" l="1"/>
</calcChain>
</file>

<file path=xl/sharedStrings.xml><?xml version="1.0" encoding="utf-8"?>
<sst xmlns="http://schemas.openxmlformats.org/spreadsheetml/2006/main" count="355" uniqueCount="220">
  <si>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</si>
  <si>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</si>
  <si>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</si>
  <si>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</si>
  <si>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</si>
  <si>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</si>
  <si>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</si>
  <si>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 Om Sai Builders &amp; Developers</t>
  </si>
  <si>
    <t>Name of the builder company</t>
  </si>
  <si>
    <t>Name of the Project</t>
  </si>
  <si>
    <t>Rakshi Elanza</t>
  </si>
  <si>
    <t>Contact Details ( Name &amp; Contact No.)</t>
  </si>
  <si>
    <t>Mr. Amol 9987969234</t>
  </si>
  <si>
    <t xml:space="preserve">Site Person - Contact Details (Name &amp; Contact No.)
</t>
  </si>
  <si>
    <t>NA</t>
  </si>
  <si>
    <t>Name / No of the Building</t>
  </si>
  <si>
    <t>Wing A, B &amp; C</t>
  </si>
  <si>
    <t>Docouments Provided</t>
  </si>
  <si>
    <t>Approved Plans, CC, Sale Plans</t>
  </si>
  <si>
    <t>RERA No.</t>
  </si>
  <si>
    <t>P51800023224</t>
  </si>
  <si>
    <t xml:space="preserve">Project location details       </t>
  </si>
  <si>
    <t>CTS No</t>
  </si>
  <si>
    <t>1(pt) of village Sahar, CTS No. 118 of village Bamanwada &amp; CTS No. 632(pt) of village Chakala</t>
  </si>
  <si>
    <t>Locality</t>
  </si>
  <si>
    <t>Mahatma Kabir Nagar</t>
  </si>
  <si>
    <t>Road</t>
  </si>
  <si>
    <t>Bamanwada Road</t>
  </si>
  <si>
    <t>Locality/Village</t>
  </si>
  <si>
    <t>Sahar, Bamanwada &amp; Chakala</t>
  </si>
  <si>
    <t>City</t>
  </si>
  <si>
    <t>Andheri</t>
  </si>
  <si>
    <t>District</t>
  </si>
  <si>
    <t>Mumbai</t>
  </si>
  <si>
    <t>Taluka</t>
  </si>
  <si>
    <t>Pin Code</t>
  </si>
  <si>
    <t>Nearby Landmark</t>
  </si>
  <si>
    <t>The Heather Co-op. Housing Society</t>
  </si>
  <si>
    <t xml:space="preserve">Distance from city centre: </t>
  </si>
  <si>
    <t>2.8KM from Andheri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</si>
  <si>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</si>
  <si>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</si>
  <si>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</si>
  <si>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</si>
  <si>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</si>
  <si>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</si>
  <si>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</si>
  <si>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</si>
  <si>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</si>
  <si>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</si>
  <si>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</si>
  <si>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</si>
  <si>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</si>
  <si>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</si>
  <si>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</si>
  <si>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</si>
  <si>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</si>
  <si>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</si>
  <si>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</si>
  <si>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Slums</t>
  </si>
  <si>
    <t>West</t>
  </si>
  <si>
    <t>MC Chagla Road</t>
  </si>
  <si>
    <t>North</t>
  </si>
  <si>
    <t>Airports Authority Colony</t>
  </si>
  <si>
    <t>South</t>
  </si>
  <si>
    <t>Does the boundaries at site match, as mentioned in the Docoumentation: NA</t>
  </si>
  <si>
    <t>Latitude</t>
  </si>
  <si>
    <t>Longitude</t>
  </si>
  <si>
    <t>Location Link</t>
  </si>
  <si>
    <t>https://goo.gl/maps/GnV2dPpvpqa5QFQZ6</t>
  </si>
  <si>
    <t>Area Statement Details :</t>
  </si>
  <si>
    <t>Slum</t>
  </si>
  <si>
    <t>Non Slum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</si>
  <si>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</si>
  <si>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</si>
  <si>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</si>
  <si>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</si>
  <si>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</si>
  <si>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</si>
  <si>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03 Wings</t>
  </si>
  <si>
    <t xml:space="preserve">Approval Detail : Plan approval </t>
  </si>
  <si>
    <t>Name of Municipal Corporation/Authority</t>
  </si>
  <si>
    <t>SRA</t>
  </si>
  <si>
    <t xml:space="preserve">Layout Approval No     </t>
  </si>
  <si>
    <t>SRA/ENG/3928/KE/STGL/AP</t>
  </si>
  <si>
    <t>Dated</t>
  </si>
  <si>
    <t xml:space="preserve">Approved Floor plan No.  </t>
  </si>
  <si>
    <t xml:space="preserve">Commencement-CC No
Valid Up to: </t>
  </si>
  <si>
    <t>This CC is re-endorsed cum grant further CC of sale wing 'A' Gr.(pt)/Stilt(pt) + 1st &amp; 2nd upper floors &amp; RCC frame work for 3rd to 11th upper floors including LMR &amp; OHWT, sale wing 'B' 7th to 11th upper floors including LMR &amp; OHWT &amp; sale wing 'C' 7th to 9th upper floors including LMR &amp; OHWT as per approved plans dated 04/01/2022.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</si>
  <si>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</si>
  <si>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</si>
  <si>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</si>
  <si>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</si>
  <si>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</si>
  <si>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- 154</t>
  </si>
  <si>
    <t>Approved no of Floors</t>
  </si>
  <si>
    <t>A Wing = G + 1st to 11th Floor
B Wing = G + 1st to 11th Floor
C Wing = G + 1st to 9th Floor</t>
  </si>
  <si>
    <t>Proposed no of Floors</t>
  </si>
  <si>
    <t>A Wing = G + 1st to 11th Floor</t>
  </si>
  <si>
    <t>B Wing = G + 1st to 11th Floor</t>
  </si>
  <si>
    <t>C Wing = G + 1st to 9th Floor</t>
  </si>
  <si>
    <t>Expected Completion</t>
  </si>
  <si>
    <t xml:space="preserve">As per RERA - 30/03/2027
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</si>
  <si>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</si>
  <si>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</si>
  <si>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</si>
  <si>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 Vitrified tiles flooring 2. Granite Kitchen Platform 3. Decorative
Enternace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</si>
  <si>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</si>
  <si>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</si>
  <si>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</si>
  <si>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</si>
  <si>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</si>
  <si>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</si>
  <si>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</si>
  <si>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</si>
  <si>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</si>
  <si>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</si>
  <si>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</si>
  <si>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</si>
  <si>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</si>
  <si>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</si>
  <si>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</si>
  <si>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</si>
  <si>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</si>
  <si>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</si>
  <si>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</si>
  <si>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</si>
  <si>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</si>
  <si>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</si>
  <si>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</si>
  <si>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</si>
  <si>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</si>
  <si>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</si>
  <si>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</si>
  <si>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</si>
  <si>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</si>
  <si>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</si>
  <si>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</si>
  <si>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</si>
  <si>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</si>
  <si>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</si>
  <si>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</si>
  <si>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</si>
  <si>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</si>
  <si>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</si>
  <si>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</si>
  <si>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</si>
  <si>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Development Charges</t>
  </si>
  <si>
    <t>Corpus Fund</t>
  </si>
  <si>
    <t>Legal Charges</t>
  </si>
  <si>
    <t>Water, Electricity and other charges</t>
  </si>
  <si>
    <t>Society Formation Charges</t>
  </si>
  <si>
    <t>Advance Maintenance Charges</t>
  </si>
  <si>
    <t xml:space="preserve">Recommended rate of Parking </t>
  </si>
  <si>
    <t>Distressed valuation of the Property</t>
  </si>
  <si>
    <t>Residential Area Details :</t>
  </si>
  <si>
    <t>Building &amp; Wing</t>
  </si>
  <si>
    <t>No. of Units</t>
  </si>
  <si>
    <t>Total Carpet Area</t>
  </si>
  <si>
    <t>Total Saleable Area</t>
  </si>
  <si>
    <t>Wing A</t>
  </si>
  <si>
    <t>Wing B</t>
  </si>
  <si>
    <t>Wing C</t>
  </si>
  <si>
    <t>Total</t>
  </si>
  <si>
    <t>Building details Floor Wise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</si>
  <si>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</si>
  <si>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</si>
  <si>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Description</t>
  </si>
  <si>
    <t>Gross Carpet area</t>
  </si>
  <si>
    <t>Attached Terrace area</t>
  </si>
  <si>
    <t>Saleable area Loading :</t>
  </si>
  <si>
    <t>Floor</t>
  </si>
  <si>
    <t xml:space="preserve">Sale Wing A </t>
  </si>
  <si>
    <t xml:space="preserve">Ground Floor for Parking </t>
  </si>
  <si>
    <t>1st to 7th, 9th to 11th Floor</t>
  </si>
  <si>
    <t>2BHK</t>
  </si>
  <si>
    <t>1BHK</t>
  </si>
  <si>
    <t>3BHK</t>
  </si>
  <si>
    <t>8th Floor (Part Refuge Area)</t>
  </si>
  <si>
    <t>Refuge Area</t>
  </si>
  <si>
    <t xml:space="preserve">Sale Wing B </t>
  </si>
  <si>
    <t xml:space="preserve">Sale Wing C </t>
  </si>
  <si>
    <t>1st to 7th &amp; 9th Floor</t>
  </si>
  <si>
    <t>8th Floor (Part Refuge Area &amp; Amenties)</t>
  </si>
  <si>
    <t xml:space="preserve">Remarks:  </t>
  </si>
  <si>
    <t>*</t>
  </si>
  <si>
    <t>(Slow Speed)</t>
  </si>
  <si>
    <t>We considered Carpet area as per Approved Plan.</t>
  </si>
  <si>
    <t>We considered Gross carpet area = Net carpet.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</si>
  <si>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</si>
  <si>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</si>
  <si>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</si>
  <si>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</si>
  <si>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</si>
  <si>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</si>
  <si>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</si>
  <si>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</si>
  <si>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</si>
  <si>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</si>
  <si>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</si>
  <si>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</si>
  <si>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</si>
  <si>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</si>
  <si>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</si>
  <si>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</si>
  <si>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</si>
  <si>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</si>
  <si>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</si>
  <si>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</si>
  <si>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</si>
  <si>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</si>
  <si>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</si>
  <si>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</si>
  <si>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</si>
  <si>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</si>
  <si>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</si>
  <si>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</si>
  <si>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 xml:space="preserve">Construction work is in process at the time of the visit. Internal visit was not allowed.
Wing B = Construction work is the same as last visit, but work is in process at the time of the visit. (Slow Speed)
</t>
  </si>
  <si>
    <t>Kunal Kadam</t>
  </si>
  <si>
    <t>Ganesh Wadkar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</si>
</sst>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7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u/>
      <sz val="11"/>
      <color rgb="FF008AF2"/>
      <name val="Calibri"/>
      <family val="2"/>
    </font>
    <font>
      <u/>
      <sz val="12"/>
      <color rgb="FF008AF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95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0" fillId="0" borderId="2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/>
      <protection locked="0"/>
    </xf>
    <xf numFmtId="0" fontId="10" fillId="0" borderId="22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15" xfId="8" applyFont="1" applyBorder="1" applyAlignment="1" applyProtection="1">
      <alignment horizontal="center" vertical="top" wrapText="1"/>
      <protection locked="0"/>
    </xf>
    <xf numFmtId="9" fontId="10" fillId="0" borderId="15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0" fontId="16" fillId="0" borderId="0" xfId="8" applyFont="1"/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22" xfId="0" applyFont="1" applyBorder="1"/>
    <xf numFmtId="0" fontId="19" fillId="0" borderId="0" xfId="0" applyFont="1" applyProtection="1">
      <protection hidden="1"/>
    </xf>
    <xf numFmtId="0" fontId="10" fillId="0" borderId="24" xfId="8" applyFont="1" applyBorder="1"/>
    <xf numFmtId="0" fontId="19" fillId="0" borderId="24" xfId="0" applyFont="1" applyBorder="1" applyProtection="1">
      <protection hidden="1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8" xfId="0" applyNumberFormat="1" applyBorder="1"/>
    <xf numFmtId="1" fontId="10" fillId="0" borderId="0" xfId="8" applyNumberFormat="1" applyFont="1" applyAlignment="1">
      <alignment horizontal="center" vertical="center"/>
    </xf>
    <xf numFmtId="9" fontId="12" fillId="0" borderId="14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0" applyFont="1" applyAlignment="1">
      <alignment horizontal="center" vertical="center"/>
    </xf>
    <xf numFmtId="0" fontId="14" fillId="0" borderId="0" xfId="8" applyFont="1" applyProtection="1"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2" fillId="0" borderId="2" xfId="8" applyFont="1" applyBorder="1" applyAlignment="1" applyProtection="1">
      <alignment horizontal="center" vertical="top"/>
      <protection locked="0"/>
    </xf>
    <xf numFmtId="0" fontId="12" fillId="0" borderId="3" xfId="8" applyFont="1" applyBorder="1" applyAlignment="1" applyProtection="1">
      <alignment horizontal="center" vertical="top"/>
      <protection locked="0"/>
    </xf>
    <xf numFmtId="0" fontId="12" fillId="0" borderId="4" xfId="8" applyFont="1" applyBorder="1" applyAlignment="1" applyProtection="1">
      <alignment horizontal="center" vertical="top"/>
      <protection locked="0"/>
    </xf>
    <xf numFmtId="0" fontId="9" fillId="0" borderId="2" xfId="8" applyFont="1" applyBorder="1" applyAlignment="1" applyProtection="1">
      <alignment horizontal="center" vertical="top"/>
      <protection locked="0"/>
    </xf>
    <xf numFmtId="0" fontId="9" fillId="0" borderId="4" xfId="8" applyFont="1" applyBorder="1" applyAlignment="1" applyProtection="1">
      <alignment horizontal="center" vertical="top"/>
      <protection locked="0"/>
    </xf>
    <xf numFmtId="166" fontId="9" fillId="0" borderId="2" xfId="8" applyNumberFormat="1" applyFont="1" applyBorder="1" applyAlignment="1" applyProtection="1">
      <alignment horizontal="center" vertical="top"/>
      <protection locked="0"/>
    </xf>
    <xf numFmtId="166" fontId="9" fillId="0" borderId="4" xfId="8" applyNumberFormat="1" applyFont="1" applyBorder="1" applyAlignment="1" applyProtection="1">
      <alignment horizontal="center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4" fillId="0" borderId="2" xfId="8" applyFont="1" applyBorder="1" applyAlignment="1" applyProtection="1">
      <alignment horizontal="left" vertical="top"/>
      <protection locked="0"/>
    </xf>
    <xf numFmtId="0" fontId="14" fillId="0" borderId="3" xfId="8" applyFont="1" applyBorder="1" applyAlignment="1" applyProtection="1">
      <alignment horizontal="left" vertical="top"/>
      <protection locked="0"/>
    </xf>
    <xf numFmtId="0" fontId="14" fillId="0" borderId="4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/>
      <protection locked="0"/>
    </xf>
    <xf numFmtId="0" fontId="10" fillId="0" borderId="5" xfId="8" applyFont="1" applyBorder="1" applyAlignment="1" applyProtection="1">
      <alignment horizontal="left" vertical="top"/>
      <protection locked="0"/>
    </xf>
    <xf numFmtId="0" fontId="10" fillId="0" borderId="9" xfId="8" applyFont="1" applyBorder="1" applyAlignment="1" applyProtection="1">
      <alignment horizontal="left" vertical="top"/>
      <protection locked="0"/>
    </xf>
    <xf numFmtId="0" fontId="10" fillId="0" borderId="6" xfId="8" applyFont="1" applyBorder="1" applyAlignment="1" applyProtection="1">
      <alignment horizontal="left" vertical="top"/>
      <protection locked="0"/>
    </xf>
    <xf numFmtId="0" fontId="10" fillId="0" borderId="11" xfId="8" applyFont="1" applyBorder="1" applyAlignment="1" applyProtection="1">
      <alignment horizontal="left" vertical="top"/>
      <protection locked="0"/>
    </xf>
    <xf numFmtId="0" fontId="10" fillId="0" borderId="0" xfId="8" applyFont="1" applyAlignment="1" applyProtection="1">
      <alignment horizontal="left" vertical="top"/>
      <protection locked="0"/>
    </xf>
    <xf numFmtId="0" fontId="10" fillId="0" borderId="12" xfId="8" applyFont="1" applyBorder="1" applyAlignment="1" applyProtection="1">
      <alignment horizontal="left" vertical="top"/>
      <protection locked="0"/>
    </xf>
    <xf numFmtId="0" fontId="10" fillId="0" borderId="7" xfId="8" applyFont="1" applyBorder="1" applyAlignment="1" applyProtection="1">
      <alignment horizontal="left" vertical="top"/>
      <protection locked="0"/>
    </xf>
    <xf numFmtId="0" fontId="10" fillId="0" borderId="13" xfId="8" applyFont="1" applyBorder="1" applyAlignment="1" applyProtection="1">
      <alignment horizontal="left" vertical="top"/>
      <protection locked="0"/>
    </xf>
    <xf numFmtId="0" fontId="10" fillId="0" borderId="8" xfId="8" applyFont="1" applyBorder="1" applyAlignment="1" applyProtection="1">
      <alignment horizontal="left" vertical="top"/>
      <protection locked="0"/>
    </xf>
    <xf numFmtId="0" fontId="9" fillId="0" borderId="14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13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5" xfId="8" applyFont="1" applyBorder="1" applyAlignment="1" applyProtection="1">
      <alignment horizontal="left" vertical="top" wrapText="1"/>
      <protection locked="0"/>
    </xf>
    <xf numFmtId="0" fontId="7" fillId="0" borderId="15" xfId="8" applyFont="1" applyBorder="1" applyAlignment="1" applyProtection="1">
      <alignment horizontal="left" vertical="top" wrapText="1"/>
      <protection locked="0"/>
    </xf>
    <xf numFmtId="0" fontId="14" fillId="0" borderId="16" xfId="8" applyFont="1" applyBorder="1" applyAlignment="1" applyProtection="1">
      <alignment horizontal="left" vertical="top" wrapText="1"/>
      <protection locked="0"/>
    </xf>
    <xf numFmtId="0" fontId="14" fillId="0" borderId="17" xfId="8" applyFont="1" applyBorder="1" applyAlignment="1" applyProtection="1">
      <alignment horizontal="left" vertical="top" wrapText="1"/>
      <protection locked="0"/>
    </xf>
    <xf numFmtId="0" fontId="14" fillId="0" borderId="18" xfId="8" applyFont="1" applyBorder="1" applyAlignment="1" applyProtection="1">
      <alignment horizontal="left" vertical="top" wrapText="1"/>
      <protection locked="0"/>
    </xf>
    <xf numFmtId="0" fontId="14" fillId="0" borderId="19" xfId="8" applyFont="1" applyBorder="1" applyAlignment="1" applyProtection="1">
      <alignment horizontal="left" vertical="top" wrapText="1"/>
      <protection locked="0"/>
    </xf>
    <xf numFmtId="0" fontId="14" fillId="0" borderId="20" xfId="8" applyFont="1" applyBorder="1" applyAlignment="1" applyProtection="1">
      <alignment horizontal="left" vertical="top" wrapText="1"/>
      <protection locked="0"/>
    </xf>
    <xf numFmtId="0" fontId="14" fillId="0" borderId="21" xfId="8" applyFont="1" applyBorder="1" applyAlignment="1" applyProtection="1">
      <alignment horizontal="left" vertical="top"/>
      <protection locked="0"/>
    </xf>
    <xf numFmtId="0" fontId="14" fillId="0" borderId="1" xfId="8" applyFont="1" applyBorder="1" applyAlignment="1" applyProtection="1">
      <alignment horizontal="left" vertical="top"/>
      <protection locked="0"/>
    </xf>
    <xf numFmtId="0" fontId="14" fillId="0" borderId="1" xfId="8" applyFont="1" applyBorder="1" applyAlignment="1" applyProtection="1">
      <alignment horizontal="left" vertical="top" wrapText="1"/>
      <protection locked="0"/>
    </xf>
    <xf numFmtId="0" fontId="14" fillId="0" borderId="22" xfId="8" applyFont="1" applyBorder="1" applyAlignment="1" applyProtection="1">
      <alignment horizontal="left" vertical="top" wrapText="1"/>
      <protection locked="0"/>
    </xf>
    <xf numFmtId="0" fontId="10" fillId="0" borderId="21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2" xfId="8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0" fontId="10" fillId="0" borderId="15" xfId="8" applyFont="1" applyBorder="1" applyAlignment="1" applyProtection="1">
      <alignment horizontal="center" vertical="top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12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9" fontId="10" fillId="0" borderId="23" xfId="2" applyFont="1" applyFill="1" applyBorder="1" applyAlignment="1" applyProtection="1">
      <alignment horizontal="center" vertical="center" wrapText="1"/>
      <protection locked="0"/>
    </xf>
    <xf numFmtId="9" fontId="10" fillId="0" borderId="24" xfId="2" applyFont="1" applyFill="1" applyBorder="1" applyAlignment="1" applyProtection="1">
      <alignment horizontal="center" vertical="center" wrapText="1"/>
      <protection locked="0"/>
    </xf>
    <xf numFmtId="9" fontId="10" fillId="0" borderId="28" xfId="2" applyFont="1" applyFill="1" applyBorder="1" applyAlignment="1" applyProtection="1">
      <alignment horizontal="center" vertical="center" wrapText="1"/>
      <protection locked="0"/>
    </xf>
    <xf numFmtId="0" fontId="12" fillId="0" borderId="14" xfId="8" applyFont="1" applyBorder="1" applyAlignment="1" applyProtection="1">
      <alignment horizontal="left" vertical="top"/>
      <protection locked="0"/>
    </xf>
    <xf numFmtId="0" fontId="12" fillId="0" borderId="14" xfId="8" applyFont="1" applyBorder="1" applyAlignment="1" applyProtection="1">
      <alignment horizontal="center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4" fillId="0" borderId="2" xfId="0" applyNumberFormat="1" applyFont="1" applyBorder="1" applyAlignment="1" applyProtection="1">
      <alignment vertical="top" wrapText="1"/>
      <protection locked="0"/>
    </xf>
    <xf numFmtId="1" fontId="14" fillId="0" borderId="3" xfId="0" applyNumberFormat="1" applyFont="1" applyBorder="1" applyAlignment="1" applyProtection="1">
      <alignment vertical="top" wrapText="1"/>
      <protection locked="0"/>
    </xf>
    <xf numFmtId="1" fontId="14" fillId="0" borderId="4" xfId="0" applyNumberFormat="1" applyFont="1" applyBorder="1" applyAlignment="1" applyProtection="1">
      <alignment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20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4" xfId="8" applyNumberFormat="1" applyFont="1" applyBorder="1" applyAlignment="1" applyProtection="1">
      <alignment horizontal="center" vertical="top" wrapText="1"/>
      <protection locked="0"/>
    </xf>
    <xf numFmtId="1" fontId="15" fillId="0" borderId="10" xfId="8" applyNumberFormat="1" applyFont="1" applyBorder="1" applyAlignment="1" applyProtection="1">
      <alignment horizontal="center" vertical="top" wrapText="1"/>
      <protection locked="0"/>
    </xf>
    <xf numFmtId="1" fontId="15" fillId="0" borderId="14" xfId="8" applyNumberFormat="1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12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>
      <alignment horizontal="left"/>
    </xf>
    <xf numFmtId="0" fontId="25" fillId="0" borderId="1" xfId="3" applyFont="1" applyFill="1" applyBorder="1" applyAlignment="1" applyProtection="1">
      <alignment horizontal="left" vertical="top" wrapText="1"/>
      <protection locked="0"/>
    </xf>
    <xf numFmtId="0" fontId="26" fillId="0" borderId="1" xfId="8" applyFont="1" applyBorder="1" applyAlignment="1" applyProtection="1">
      <alignment horizontal="left" vertical="top" wrapText="1"/>
      <protection locked="0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colors>
    <mruColors>
      <color rgb="FF008AF2"/>
      <color rgb="FF1D9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132553</xdr:colOff>
      <xdr:row>252</xdr:row>
      <xdr:rowOff>80617</xdr:rowOff>
    </xdr:from>
    <xdr:to>
      <xdr:col>6</xdr:col>
      <xdr:colOff>620812</xdr:colOff>
      <xdr:row>268</xdr:row>
      <xdr:rowOff>120217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894080" y="55401210"/>
          <a:ext cx="4641215" cy="32404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142875</xdr:colOff>
      <xdr:row>235</xdr:row>
      <xdr:rowOff>47625</xdr:rowOff>
    </xdr:from>
    <xdr:to>
      <xdr:col>6</xdr:col>
      <xdr:colOff>677962</xdr:colOff>
      <xdr:row>251</xdr:row>
      <xdr:rowOff>87225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904875" y="51968400"/>
          <a:ext cx="4687570" cy="32397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413497</xdr:colOff>
      <xdr:row>191</xdr:row>
      <xdr:rowOff>126627</xdr:rowOff>
    </xdr:from>
    <xdr:to>
      <xdr:col>10</xdr:col>
      <xdr:colOff>443899</xdr:colOff>
      <xdr:row>192</xdr:row>
      <xdr:rowOff>195794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100060" y="43055540"/>
          <a:ext cx="792480" cy="2692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A</a:t>
          </a:r>
          <a:endParaRPr lang="en-IN" sz="1400" b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104254</xdr:colOff>
      <xdr:row>191</xdr:row>
      <xdr:rowOff>115420</xdr:rowOff>
    </xdr:from>
    <xdr:to>
      <xdr:col>13</xdr:col>
      <xdr:colOff>106641</xdr:colOff>
      <xdr:row>192</xdr:row>
      <xdr:rowOff>179731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62515" y="43044110"/>
          <a:ext cx="792480" cy="2647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C</a:t>
          </a:r>
          <a:endParaRPr lang="en-IN" sz="1400" b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210670</xdr:colOff>
      <xdr:row>191</xdr:row>
      <xdr:rowOff>114860</xdr:rowOff>
    </xdr:from>
    <xdr:to>
      <xdr:col>16</xdr:col>
      <xdr:colOff>217539</xdr:colOff>
      <xdr:row>192</xdr:row>
      <xdr:rowOff>179171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2354560" y="43043475"/>
          <a:ext cx="788035" cy="2647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  <a:endParaRPr lang="en-IN" sz="1400" b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579345</xdr:colOff>
      <xdr:row>193</xdr:row>
      <xdr:rowOff>10646</xdr:rowOff>
    </xdr:from>
    <xdr:to>
      <xdr:col>12</xdr:col>
      <xdr:colOff>143435</xdr:colOff>
      <xdr:row>194</xdr:row>
      <xdr:rowOff>55470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9732645" y="43339385"/>
          <a:ext cx="268605" cy="24511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621665</xdr:colOff>
      <xdr:row>201</xdr:row>
      <xdr:rowOff>154305</xdr:rowOff>
    </xdr:from>
    <xdr:to>
      <xdr:col>16</xdr:col>
      <xdr:colOff>94217</xdr:colOff>
      <xdr:row>203</xdr:row>
      <xdr:rowOff>123587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108815" y="45074205"/>
          <a:ext cx="910590" cy="3689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15</xdr:col>
      <xdr:colOff>48895</xdr:colOff>
      <xdr:row>199</xdr:row>
      <xdr:rowOff>165100</xdr:rowOff>
    </xdr:from>
    <xdr:to>
      <xdr:col>15</xdr:col>
      <xdr:colOff>206722</xdr:colOff>
      <xdr:row>202</xdr:row>
      <xdr:rowOff>60325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 flipV="1">
          <a:off x="12193270" y="44684950"/>
          <a:ext cx="157480" cy="495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1047750</xdr:colOff>
      <xdr:row>192</xdr:row>
      <xdr:rowOff>15736</xdr:rowOff>
    </xdr:from>
    <xdr:to>
      <xdr:col>17</xdr:col>
      <xdr:colOff>302894</xdr:colOff>
      <xdr:row>228</xdr:row>
      <xdr:rowOff>69884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745730" y="42748696"/>
          <a:ext cx="6463664" cy="7178848"/>
          <a:chOff x="95250" y="43125886"/>
          <a:chExt cx="6315074" cy="7245523"/>
        </a:xfrm>
      </xdr:grpSpPr>
      <xdr:pic>
        <xdr:nvPicPr>
          <xdr:cNvPr id="45" name="Picture 44" descr="https://vsjcllp.vsjadon.com/upload/insp-236421-1525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09950" y="48196500"/>
            <a:ext cx="1620649" cy="21711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6421-843.jp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825" y="45958125"/>
            <a:ext cx="1620649" cy="21724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6421-844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0" y="48197742"/>
            <a:ext cx="1619406" cy="21736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36421-847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43131685"/>
            <a:ext cx="2055026" cy="27568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6421-862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19325" y="43131684"/>
            <a:ext cx="2055026" cy="27583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6421-925.jpg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2174" y="45953570"/>
            <a:ext cx="1618992" cy="21736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36421-928.jpg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55823" y="43125886"/>
            <a:ext cx="2054501" cy="27583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36421-1512.jpg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05200" y="45955364"/>
            <a:ext cx="2880140" cy="21736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1057275</xdr:colOff>
      <xdr:row>204</xdr:row>
      <xdr:rowOff>25261</xdr:rowOff>
    </xdr:from>
    <xdr:to>
      <xdr:col>9</xdr:col>
      <xdr:colOff>716995</xdr:colOff>
      <xdr:row>205</xdr:row>
      <xdr:rowOff>179070</xdr:rowOff>
    </xdr:to>
    <xdr:sp macro="" textlink="">
      <xdr:nvSpPr>
        <xdr:cNvPr id="62" name="Rectangle 4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755255" y="45128041"/>
          <a:ext cx="856060" cy="351929"/>
        </a:xfrm>
        <a:prstGeom prst="rect">
          <a:avLst/>
        </a:prstGeom>
        <a:solidFill>
          <a:schemeClr val="bg2"/>
        </a:solid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ysClr val="windowText" lastClr="000000"/>
              </a:solidFill>
            </a:rPr>
            <a:t>A Wing</a:t>
          </a:r>
          <a:r>
            <a:rPr lang="en-IN" b="1">
              <a:solidFill>
                <a:srgbClr val="FF0000"/>
              </a:solidFill>
            </a:rPr>
            <a:t> </a:t>
          </a:r>
        </a:p>
      </xdr:txBody>
    </xdr:sp>
    <xdr:clientData/>
  </xdr:twoCellAnchor>
  <xdr:twoCellAnchor>
    <xdr:from>
      <xdr:col>14</xdr:col>
      <xdr:colOff>320040</xdr:colOff>
      <xdr:row>204</xdr:row>
      <xdr:rowOff>15736</xdr:rowOff>
    </xdr:from>
    <xdr:to>
      <xdr:col>15</xdr:col>
      <xdr:colOff>494110</xdr:colOff>
      <xdr:row>205</xdr:row>
      <xdr:rowOff>169545</xdr:rowOff>
    </xdr:to>
    <xdr:sp macro="" textlink="">
      <xdr:nvSpPr>
        <xdr:cNvPr id="63" name="Rectangle 4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123420" y="45118516"/>
          <a:ext cx="852250" cy="351929"/>
        </a:xfrm>
        <a:prstGeom prst="rect">
          <a:avLst/>
        </a:prstGeom>
        <a:solidFill>
          <a:schemeClr val="bg2"/>
        </a:solid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ysClr val="windowText" lastClr="000000"/>
              </a:solidFill>
            </a:rPr>
            <a:t>C Wing</a:t>
          </a:r>
          <a:r>
            <a:rPr lang="en-IN" b="1">
              <a:solidFill>
                <a:srgbClr val="FF0000"/>
              </a:solidFill>
            </a:rPr>
            <a:t> </a:t>
          </a:r>
        </a:p>
      </xdr:txBody>
    </xdr:sp>
    <xdr:clientData/>
  </xdr:twoCellAnchor>
  <xdr:twoCellAnchor>
    <xdr:from>
      <xdr:col>11</xdr:col>
      <xdr:colOff>512445</xdr:colOff>
      <xdr:row>204</xdr:row>
      <xdr:rowOff>25261</xdr:rowOff>
    </xdr:from>
    <xdr:to>
      <xdr:col>12</xdr:col>
      <xdr:colOff>642700</xdr:colOff>
      <xdr:row>205</xdr:row>
      <xdr:rowOff>179070</xdr:rowOff>
    </xdr:to>
    <xdr:sp macro="" textlink="">
      <xdr:nvSpPr>
        <xdr:cNvPr id="64" name="Rectangle 4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9915525" y="45128041"/>
          <a:ext cx="854155" cy="351929"/>
        </a:xfrm>
        <a:prstGeom prst="rect">
          <a:avLst/>
        </a:prstGeom>
        <a:solidFill>
          <a:schemeClr val="bg2"/>
        </a:solid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ysClr val="windowText" lastClr="000000"/>
              </a:solidFill>
            </a:rPr>
            <a:t>B Wing</a:t>
          </a:r>
          <a:r>
            <a:rPr lang="en-IN" b="1">
              <a:solidFill>
                <a:srgbClr val="FF0000"/>
              </a:solidFill>
            </a:rPr>
            <a:t> </a:t>
          </a:r>
        </a:p>
      </xdr:txBody>
    </xdr:sp>
    <xdr:clientData/>
  </xdr:twoCellAnchor>
  <xdr:twoCellAnchor>
    <xdr:from>
      <xdr:col>0</xdr:col>
      <xdr:colOff>83821</xdr:colOff>
      <xdr:row>193</xdr:row>
      <xdr:rowOff>15240</xdr:rowOff>
    </xdr:from>
    <xdr:to>
      <xdr:col>7</xdr:col>
      <xdr:colOff>739141</xdr:colOff>
      <xdr:row>222</xdr:row>
      <xdr:rowOff>4049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2594F44-6040-D51F-6CC4-E79C392C2CE4}"/>
            </a:ext>
          </a:extLst>
        </xdr:cNvPr>
        <xdr:cNvGrpSpPr/>
      </xdr:nvGrpSpPr>
      <xdr:grpSpPr>
        <a:xfrm>
          <a:off x="83821" y="42946320"/>
          <a:ext cx="6499860" cy="5726669"/>
          <a:chOff x="-597748" y="321177"/>
          <a:chExt cx="7831699" cy="7364969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16FEDB1-841E-2B24-6EDD-0B3D813D98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6284" y="3065255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5657AFF2-421D-1328-E88D-5F6C605590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6283" y="341564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85C9C023-5E54-693C-2C95-A75CA0AF11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59268" y="3065255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9DFE0E9-D5CE-B341-BB09-422E4D53EF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597748" y="341564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9D31A0A6-AA44-263E-0972-D968448CAA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0534" y="5788946"/>
            <a:ext cx="2516400" cy="189604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01EEDAF-A871-7610-5686-673894B93A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59267" y="341564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5B118E2F-0E0F-A5B3-C2F9-8D7C4F6C9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6282" y="5788946"/>
            <a:ext cx="1895444" cy="18972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4EC1AE76-5503-26BF-A49F-0A783436E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75" y="5788946"/>
            <a:ext cx="1895444" cy="18972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9062588C-EE2E-DA3C-8D7C-9D2DA3FFFE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597748" y="3065255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TextBox 23">
            <a:extLst>
              <a:ext uri="{FF2B5EF4-FFF2-40B4-BE49-F238E27FC236}">
                <a16:creationId xmlns:a16="http://schemas.microsoft.com/office/drawing/2014/main" id="{6D82B856-1A91-54E6-9431-3E02A7E730E3}"/>
              </a:ext>
            </a:extLst>
          </xdr:cNvPr>
          <xdr:cNvSpPr txBox="1"/>
        </xdr:nvSpPr>
        <xdr:spPr>
          <a:xfrm>
            <a:off x="3197918" y="3150349"/>
            <a:ext cx="815348" cy="34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Wing B</a:t>
            </a:r>
            <a:endParaRPr lang="en-IN" sz="1050" b="1"/>
          </a:p>
        </xdr:txBody>
      </xdr:sp>
      <xdr:sp macro="" textlink="">
        <xdr:nvSpPr>
          <xdr:cNvPr id="36" name="TextBox 24">
            <a:extLst>
              <a:ext uri="{FF2B5EF4-FFF2-40B4-BE49-F238E27FC236}">
                <a16:creationId xmlns:a16="http://schemas.microsoft.com/office/drawing/2014/main" id="{9BA50F90-A9D3-2D91-E77B-CE5441E50DAC}"/>
              </a:ext>
            </a:extLst>
          </xdr:cNvPr>
          <xdr:cNvSpPr txBox="1"/>
        </xdr:nvSpPr>
        <xdr:spPr>
          <a:xfrm>
            <a:off x="5222241" y="3011849"/>
            <a:ext cx="815348" cy="34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Wing C</a:t>
            </a:r>
            <a:endParaRPr lang="en-IN" sz="1050" b="1"/>
          </a:p>
        </xdr:txBody>
      </xdr:sp>
      <xdr:sp macro="" textlink="">
        <xdr:nvSpPr>
          <xdr:cNvPr id="37" name="TextBox 25">
            <a:extLst>
              <a:ext uri="{FF2B5EF4-FFF2-40B4-BE49-F238E27FC236}">
                <a16:creationId xmlns:a16="http://schemas.microsoft.com/office/drawing/2014/main" id="{444446F4-D65E-183D-13E2-4F796B0FAC70}"/>
              </a:ext>
            </a:extLst>
          </xdr:cNvPr>
          <xdr:cNvSpPr txBox="1"/>
        </xdr:nvSpPr>
        <xdr:spPr>
          <a:xfrm>
            <a:off x="680253" y="3055028"/>
            <a:ext cx="815348" cy="34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Wing B</a:t>
            </a:r>
            <a:endParaRPr lang="en-IN" sz="1050" b="1"/>
          </a:p>
        </xdr:txBody>
      </xdr:sp>
      <xdr:sp macro="" textlink="">
        <xdr:nvSpPr>
          <xdr:cNvPr id="38" name="TextBox 26">
            <a:extLst>
              <a:ext uri="{FF2B5EF4-FFF2-40B4-BE49-F238E27FC236}">
                <a16:creationId xmlns:a16="http://schemas.microsoft.com/office/drawing/2014/main" id="{13F0D235-C072-12E7-0704-95CBDB2A6B28}"/>
              </a:ext>
            </a:extLst>
          </xdr:cNvPr>
          <xdr:cNvSpPr txBox="1"/>
        </xdr:nvSpPr>
        <xdr:spPr>
          <a:xfrm>
            <a:off x="6210066" y="321177"/>
            <a:ext cx="815348" cy="34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Wing A</a:t>
            </a:r>
            <a:endParaRPr lang="en-IN" sz="1050" b="1"/>
          </a:p>
        </xdr:txBody>
      </xdr:sp>
      <xdr:sp macro="" textlink="">
        <xdr:nvSpPr>
          <xdr:cNvPr id="39" name="TextBox 27">
            <a:extLst>
              <a:ext uri="{FF2B5EF4-FFF2-40B4-BE49-F238E27FC236}">
                <a16:creationId xmlns:a16="http://schemas.microsoft.com/office/drawing/2014/main" id="{92423952-2E77-7D1C-1CA3-0CA50709C7DF}"/>
              </a:ext>
            </a:extLst>
          </xdr:cNvPr>
          <xdr:cNvSpPr txBox="1"/>
        </xdr:nvSpPr>
        <xdr:spPr>
          <a:xfrm>
            <a:off x="2417968" y="964149"/>
            <a:ext cx="26642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C</a:t>
            </a:r>
            <a:endParaRPr lang="en-IN" sz="1200" b="1"/>
          </a:p>
        </xdr:txBody>
      </xdr:sp>
      <xdr:sp macro="" textlink="">
        <xdr:nvSpPr>
          <xdr:cNvPr id="40" name="TextBox 28">
            <a:extLst>
              <a:ext uri="{FF2B5EF4-FFF2-40B4-BE49-F238E27FC236}">
                <a16:creationId xmlns:a16="http://schemas.microsoft.com/office/drawing/2014/main" id="{232463AA-873C-4B2C-50B7-ED501256D97B}"/>
              </a:ext>
            </a:extLst>
          </xdr:cNvPr>
          <xdr:cNvSpPr txBox="1"/>
        </xdr:nvSpPr>
        <xdr:spPr>
          <a:xfrm>
            <a:off x="3257886" y="465438"/>
            <a:ext cx="815348" cy="34024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/>
              <a:t>Wing A</a:t>
            </a:r>
            <a:endParaRPr lang="en-IN" sz="1050" b="1"/>
          </a:p>
        </xdr:txBody>
      </xdr:sp>
      <xdr:sp macro="" textlink="">
        <xdr:nvSpPr>
          <xdr:cNvPr id="43" name="TextBox 29">
            <a:extLst>
              <a:ext uri="{FF2B5EF4-FFF2-40B4-BE49-F238E27FC236}">
                <a16:creationId xmlns:a16="http://schemas.microsoft.com/office/drawing/2014/main" id="{39092FF0-AF59-8437-9F27-46B90DA480A3}"/>
              </a:ext>
            </a:extLst>
          </xdr:cNvPr>
          <xdr:cNvSpPr txBox="1"/>
        </xdr:nvSpPr>
        <xdr:spPr>
          <a:xfrm>
            <a:off x="236648" y="1866902"/>
            <a:ext cx="772339" cy="36036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Wing A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44" name="Straight Arrow Connector 43">
            <a:extLst>
              <a:ext uri="{FF2B5EF4-FFF2-40B4-BE49-F238E27FC236}">
                <a16:creationId xmlns:a16="http://schemas.microsoft.com/office/drawing/2014/main" id="{E1F55A4F-6343-C0F5-CC7D-AAF683ED14F9}"/>
              </a:ext>
            </a:extLst>
          </xdr:cNvPr>
          <xdr:cNvCxnSpPr>
            <a:stCxn id="39" idx="2"/>
          </xdr:cNvCxnSpPr>
        </xdr:nvCxnSpPr>
        <xdr:spPr>
          <a:xfrm flipH="1">
            <a:off x="2468787" y="1241148"/>
            <a:ext cx="82391" cy="31566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Arrow Connector 46">
            <a:extLst>
              <a:ext uri="{FF2B5EF4-FFF2-40B4-BE49-F238E27FC236}">
                <a16:creationId xmlns:a16="http://schemas.microsoft.com/office/drawing/2014/main" id="{8D759C1F-C9D5-BF23-CB89-9A1AC47F7CF5}"/>
              </a:ext>
            </a:extLst>
          </xdr:cNvPr>
          <xdr:cNvCxnSpPr>
            <a:stCxn id="40" idx="2"/>
          </xdr:cNvCxnSpPr>
        </xdr:nvCxnSpPr>
        <xdr:spPr>
          <a:xfrm flipH="1">
            <a:off x="3257886" y="805684"/>
            <a:ext cx="407674" cy="22047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Arrow Connector 50">
            <a:extLst>
              <a:ext uri="{FF2B5EF4-FFF2-40B4-BE49-F238E27FC236}">
                <a16:creationId xmlns:a16="http://schemas.microsoft.com/office/drawing/2014/main" id="{391B36DE-F7F6-37CA-CF70-E55341DAC853}"/>
              </a:ext>
            </a:extLst>
          </xdr:cNvPr>
          <xdr:cNvCxnSpPr>
            <a:stCxn id="35" idx="2"/>
          </xdr:cNvCxnSpPr>
        </xdr:nvCxnSpPr>
        <xdr:spPr>
          <a:xfrm>
            <a:off x="3605592" y="3490595"/>
            <a:ext cx="72327" cy="63436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nV2dPpvpqa5QFQZ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4"/>
  <sheetViews>
    <sheetView tabSelected="1" view="pageBreakPreview" zoomScaleNormal="100" zoomScaleSheetLayoutView="100" zoomScalePageLayoutView="145" workbookViewId="0">
      <selection activeCell="J7" sqref="J7"/>
    </sheetView>
  </sheetViews>
  <sheetFormatPr defaultColWidth="9.109375" defaultRowHeight="15.6"/>
  <cols>
    <col min="1" max="1" width="11.44140625" style="19" customWidth="1"/>
    <col min="2" max="2" width="12" style="19" customWidth="1"/>
    <col min="3" max="3" width="12.6640625" style="19" customWidth="1"/>
    <col min="4" max="4" width="14.109375" style="19" customWidth="1"/>
    <col min="5" max="7" width="11.6640625" style="19" customWidth="1"/>
    <col min="8" max="8" width="12.44140625" style="19" customWidth="1"/>
    <col min="9" max="9" width="17.44140625" style="20" customWidth="1"/>
    <col min="10" max="10" width="11.44140625" style="20" customWidth="1"/>
    <col min="11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16.5" customHeight="1">
      <c r="A2" s="55" t="s">
        <v>1</v>
      </c>
      <c r="B2" s="55"/>
      <c r="C2" s="55"/>
      <c r="D2" s="55"/>
      <c r="E2" s="55"/>
      <c r="F2" s="55"/>
      <c r="G2" s="55"/>
      <c r="H2" s="55"/>
    </row>
    <row r="3" spans="1:8">
      <c r="A3" s="56" t="s">
        <v>2</v>
      </c>
      <c r="B3" s="56"/>
      <c r="C3" s="56"/>
      <c r="D3" s="56"/>
      <c r="E3" s="57" t="str">
        <f ca="1">TEXT(TODAY(),"DD/MM/YYYY")</f>
        <v>09/09/2025</v>
      </c>
      <c r="F3" s="56"/>
      <c r="G3" s="56"/>
      <c r="H3" s="56"/>
    </row>
    <row r="4" spans="1:8" ht="15" customHeight="1">
      <c r="A4" s="56" t="s">
        <v>3</v>
      </c>
      <c r="B4" s="56"/>
      <c r="C4" s="56"/>
      <c r="D4" s="56"/>
      <c r="E4" s="56" t="s">
        <v>4</v>
      </c>
      <c r="F4" s="56"/>
      <c r="G4" s="56"/>
      <c r="H4" s="56"/>
    </row>
    <row r="5" spans="1:8">
      <c r="A5" s="56" t="s">
        <v>5</v>
      </c>
      <c r="B5" s="56"/>
      <c r="C5" s="56"/>
      <c r="D5" s="56"/>
      <c r="E5" s="57">
        <v>45908</v>
      </c>
      <c r="F5" s="56"/>
      <c r="G5" s="56"/>
      <c r="H5" s="56"/>
    </row>
    <row r="6" spans="1:8" ht="16.5" customHeight="1">
      <c r="A6" s="56" t="s">
        <v>6</v>
      </c>
      <c r="B6" s="56"/>
      <c r="C6" s="56"/>
      <c r="D6" s="56"/>
      <c r="E6" s="56" t="s">
        <v>7</v>
      </c>
      <c r="F6" s="56"/>
      <c r="G6" s="56"/>
      <c r="H6" s="56"/>
    </row>
    <row r="7" spans="1:8" ht="15" customHeight="1">
      <c r="A7" s="56" t="s">
        <v>8</v>
      </c>
      <c r="B7" s="56"/>
      <c r="C7" s="56"/>
      <c r="D7" s="56"/>
      <c r="E7" s="56" t="str">
        <f>E6</f>
        <v>M/s. Om Sai Builders &amp; Developers</v>
      </c>
      <c r="F7" s="56"/>
      <c r="G7" s="56"/>
      <c r="H7" s="56"/>
    </row>
    <row r="8" spans="1:8">
      <c r="A8" s="56" t="s">
        <v>9</v>
      </c>
      <c r="B8" s="56"/>
      <c r="C8" s="56"/>
      <c r="D8" s="56"/>
      <c r="E8" s="58" t="s">
        <v>10</v>
      </c>
      <c r="F8" s="58"/>
      <c r="G8" s="58"/>
      <c r="H8" s="58"/>
    </row>
    <row r="9" spans="1:8">
      <c r="A9" s="56" t="s">
        <v>11</v>
      </c>
      <c r="B9" s="56"/>
      <c r="C9" s="56"/>
      <c r="D9" s="56"/>
      <c r="E9" s="56" t="s">
        <v>12</v>
      </c>
      <c r="F9" s="56"/>
      <c r="G9" s="56"/>
      <c r="H9" s="56"/>
    </row>
    <row r="10" spans="1:8" hidden="1">
      <c r="A10" s="59" t="s">
        <v>13</v>
      </c>
      <c r="B10" s="56"/>
      <c r="C10" s="56"/>
      <c r="D10" s="56"/>
      <c r="E10" s="56" t="s">
        <v>14</v>
      </c>
      <c r="F10" s="56"/>
      <c r="G10" s="56"/>
      <c r="H10" s="56"/>
    </row>
    <row r="11" spans="1:8">
      <c r="A11" s="56" t="s">
        <v>15</v>
      </c>
      <c r="B11" s="56"/>
      <c r="C11" s="56"/>
      <c r="D11" s="56"/>
      <c r="E11" s="56" t="s">
        <v>16</v>
      </c>
      <c r="F11" s="56"/>
      <c r="G11" s="56"/>
      <c r="H11" s="56"/>
    </row>
    <row r="12" spans="1:8">
      <c r="A12" s="60" t="s">
        <v>17</v>
      </c>
      <c r="B12" s="60"/>
      <c r="C12" s="60"/>
      <c r="D12" s="60"/>
      <c r="E12" s="61" t="s">
        <v>18</v>
      </c>
      <c r="F12" s="61"/>
      <c r="G12" s="61"/>
      <c r="H12" s="61"/>
    </row>
    <row r="13" spans="1:8">
      <c r="A13" s="62" t="s">
        <v>19</v>
      </c>
      <c r="B13" s="62"/>
      <c r="C13" s="62"/>
      <c r="D13" s="62"/>
      <c r="E13" s="61" t="s">
        <v>20</v>
      </c>
      <c r="F13" s="60"/>
      <c r="G13" s="60"/>
      <c r="H13" s="60"/>
    </row>
    <row r="14" spans="1:8" ht="66" customHeight="1">
      <c r="A14" s="61" t="s">
        <v>21</v>
      </c>
      <c r="B14" s="61"/>
      <c r="C14" s="6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Rakshi Elanza, CTS No.1(pt) of village Sahar, CTS No. 118 of village Bamanwada &amp; CTS No. 632(pt) of village Chakala, near The Heather Co-op. Housing Society, Bamanwada Road, Mahatma Kabir Nagar, Sahar, Bamanwada &amp; Chakala, Andheri, Andheri, Mumbai - 400099.</v>
      </c>
      <c r="D14" s="61"/>
      <c r="E14" s="61"/>
      <c r="F14" s="61"/>
      <c r="G14" s="61"/>
      <c r="H14" s="61"/>
    </row>
    <row r="15" spans="1:8" ht="33.75" customHeight="1">
      <c r="A15" s="61" t="s">
        <v>22</v>
      </c>
      <c r="B15" s="61"/>
      <c r="C15" s="61" t="s">
        <v>23</v>
      </c>
      <c r="D15" s="61"/>
      <c r="E15" s="61"/>
      <c r="F15" s="61"/>
      <c r="G15" s="61"/>
      <c r="H15" s="61"/>
    </row>
    <row r="16" spans="1:8" ht="15.75" customHeight="1">
      <c r="A16" s="61" t="s">
        <v>24</v>
      </c>
      <c r="B16" s="61"/>
      <c r="C16" s="61" t="s">
        <v>25</v>
      </c>
      <c r="D16" s="61"/>
      <c r="E16" s="61"/>
      <c r="F16" s="61"/>
      <c r="G16" s="61"/>
      <c r="H16" s="61"/>
    </row>
    <row r="17" spans="1:8" ht="33.75" customHeight="1">
      <c r="A17" s="61" t="s">
        <v>26</v>
      </c>
      <c r="B17" s="61"/>
      <c r="C17" s="60" t="s">
        <v>27</v>
      </c>
      <c r="D17" s="60"/>
      <c r="E17" s="61" t="s">
        <v>28</v>
      </c>
      <c r="F17" s="61"/>
      <c r="G17" s="61" t="s">
        <v>29</v>
      </c>
      <c r="H17" s="61"/>
    </row>
    <row r="18" spans="1:8">
      <c r="A18" s="60" t="s">
        <v>30</v>
      </c>
      <c r="B18" s="60"/>
      <c r="C18" s="61" t="s">
        <v>31</v>
      </c>
      <c r="D18" s="61"/>
      <c r="E18" s="61" t="s">
        <v>32</v>
      </c>
      <c r="F18" s="61"/>
      <c r="G18" s="63" t="s">
        <v>33</v>
      </c>
      <c r="H18" s="63"/>
    </row>
    <row r="19" spans="1:8">
      <c r="A19" s="60" t="s">
        <v>34</v>
      </c>
      <c r="B19" s="60"/>
      <c r="C19" s="61" t="s">
        <v>31</v>
      </c>
      <c r="D19" s="61"/>
      <c r="E19" s="61" t="s">
        <v>35</v>
      </c>
      <c r="F19" s="61"/>
      <c r="G19" s="61">
        <v>400099</v>
      </c>
      <c r="H19" s="61"/>
    </row>
    <row r="20" spans="1:8" ht="32.25" customHeight="1">
      <c r="A20" s="62" t="s">
        <v>36</v>
      </c>
      <c r="B20" s="62"/>
      <c r="C20" s="59" t="s">
        <v>37</v>
      </c>
      <c r="D20" s="59"/>
      <c r="E20" s="64" t="s">
        <v>38</v>
      </c>
      <c r="F20" s="64"/>
      <c r="G20" s="61" t="s">
        <v>39</v>
      </c>
      <c r="H20" s="61"/>
    </row>
    <row r="21" spans="1:8" ht="15" customHeight="1">
      <c r="A21" s="64" t="s">
        <v>40</v>
      </c>
      <c r="B21" s="64"/>
      <c r="C21" s="64"/>
      <c r="D21" s="64"/>
      <c r="E21" s="56" t="s">
        <v>41</v>
      </c>
      <c r="F21" s="56"/>
      <c r="G21" s="56"/>
      <c r="H21" s="56"/>
    </row>
    <row r="22" spans="1:8" ht="18.75" customHeight="1">
      <c r="A22" s="64"/>
      <c r="B22" s="64"/>
      <c r="C22" s="64"/>
      <c r="D22" s="64"/>
      <c r="E22" s="56"/>
      <c r="F22" s="56"/>
      <c r="G22" s="56"/>
      <c r="H22" s="56"/>
    </row>
    <row r="23" spans="1:8" ht="15" customHeight="1">
      <c r="A23" s="64" t="s">
        <v>42</v>
      </c>
      <c r="B23" s="64"/>
      <c r="C23" s="64"/>
      <c r="D23" s="64"/>
      <c r="E23" s="59" t="s">
        <v>43</v>
      </c>
      <c r="F23" s="59"/>
      <c r="G23" s="59"/>
      <c r="H23" s="59"/>
    </row>
    <row r="24" spans="1:8" ht="15" customHeight="1">
      <c r="A24" s="62" t="s">
        <v>44</v>
      </c>
      <c r="B24" s="62"/>
      <c r="C24" s="62"/>
      <c r="D24" s="62"/>
      <c r="E24" s="59" t="str">
        <f>IF(AND(G18="Mumbai"),"Upper Class","Middle Class")</f>
        <v>Upper Class</v>
      </c>
      <c r="F24" s="59"/>
      <c r="G24" s="59"/>
      <c r="H24" s="59"/>
    </row>
    <row r="25" spans="1:8">
      <c r="A25" s="62" t="s">
        <v>45</v>
      </c>
      <c r="B25" s="62"/>
      <c r="C25" s="62"/>
      <c r="D25" s="62"/>
      <c r="E25" s="59" t="s">
        <v>46</v>
      </c>
      <c r="F25" s="59"/>
      <c r="G25" s="59"/>
      <c r="H25" s="59"/>
    </row>
    <row r="26" spans="1:8" ht="15.75" customHeight="1">
      <c r="A26" s="62" t="s">
        <v>47</v>
      </c>
      <c r="B26" s="62"/>
      <c r="C26" s="62"/>
      <c r="D26" s="62"/>
      <c r="E26" s="59" t="str">
        <f>IF(AND(G18="Mumbai"),"Developed","Developing")</f>
        <v>Developed</v>
      </c>
      <c r="F26" s="59"/>
      <c r="G26" s="59"/>
      <c r="H26" s="59"/>
    </row>
    <row r="27" spans="1:8">
      <c r="A27" s="62" t="s">
        <v>48</v>
      </c>
      <c r="B27" s="62"/>
      <c r="C27" s="62"/>
      <c r="D27" s="62"/>
      <c r="E27" s="59" t="s">
        <v>49</v>
      </c>
      <c r="F27" s="59"/>
      <c r="G27" s="59"/>
      <c r="H27" s="59"/>
    </row>
    <row r="28" spans="1:8" ht="15.75" customHeight="1">
      <c r="A28" s="62" t="s">
        <v>50</v>
      </c>
      <c r="B28" s="62"/>
      <c r="C28" s="62"/>
      <c r="D28" s="62"/>
      <c r="E28" s="59" t="s">
        <v>51</v>
      </c>
      <c r="F28" s="59"/>
      <c r="G28" s="59"/>
      <c r="H28" s="59"/>
    </row>
    <row r="29" spans="1:8" ht="15" customHeight="1">
      <c r="A29" s="62" t="s">
        <v>52</v>
      </c>
      <c r="B29" s="62"/>
      <c r="C29" s="62"/>
      <c r="D29" s="62"/>
      <c r="E29" s="5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59"/>
      <c r="G29" s="59"/>
      <c r="H29" s="59"/>
    </row>
    <row r="30" spans="1:8" ht="15.75" customHeight="1">
      <c r="A30" s="62" t="s">
        <v>53</v>
      </c>
      <c r="B30" s="62"/>
      <c r="C30" s="62"/>
      <c r="D30" s="62"/>
      <c r="E30" s="59" t="s">
        <v>54</v>
      </c>
      <c r="F30" s="59"/>
      <c r="G30" s="59"/>
      <c r="H30" s="59"/>
    </row>
    <row r="31" spans="1:8" s="13" customFormat="1">
      <c r="A31" s="65" t="s">
        <v>55</v>
      </c>
      <c r="B31" s="65"/>
      <c r="C31" s="66" t="s">
        <v>56</v>
      </c>
      <c r="D31" s="66"/>
      <c r="E31" s="66"/>
      <c r="F31" s="66" t="s">
        <v>57</v>
      </c>
      <c r="G31" s="66"/>
      <c r="H31" s="66"/>
    </row>
    <row r="32" spans="1:8" s="13" customFormat="1">
      <c r="A32" s="67" t="s">
        <v>58</v>
      </c>
      <c r="B32" s="67" t="s">
        <v>14</v>
      </c>
      <c r="C32" s="68" t="s">
        <v>14</v>
      </c>
      <c r="D32" s="68"/>
      <c r="E32" s="68"/>
      <c r="F32" s="68" t="s">
        <v>59</v>
      </c>
      <c r="G32" s="68"/>
      <c r="H32" s="68"/>
    </row>
    <row r="33" spans="1:8">
      <c r="A33" s="67" t="s">
        <v>60</v>
      </c>
      <c r="B33" s="67" t="s">
        <v>14</v>
      </c>
      <c r="C33" s="68" t="s">
        <v>14</v>
      </c>
      <c r="D33" s="68"/>
      <c r="E33" s="68"/>
      <c r="F33" s="68" t="s">
        <v>61</v>
      </c>
      <c r="G33" s="68"/>
      <c r="H33" s="68"/>
    </row>
    <row r="34" spans="1:8" s="13" customFormat="1">
      <c r="A34" s="67" t="s">
        <v>62</v>
      </c>
      <c r="B34" s="67" t="s">
        <v>14</v>
      </c>
      <c r="C34" s="68" t="s">
        <v>14</v>
      </c>
      <c r="D34" s="68"/>
      <c r="E34" s="68"/>
      <c r="F34" s="68" t="s">
        <v>63</v>
      </c>
      <c r="G34" s="68"/>
      <c r="H34" s="68"/>
    </row>
    <row r="35" spans="1:8">
      <c r="A35" s="67" t="s">
        <v>64</v>
      </c>
      <c r="B35" s="67" t="s">
        <v>14</v>
      </c>
      <c r="C35" s="68" t="s">
        <v>14</v>
      </c>
      <c r="D35" s="68"/>
      <c r="E35" s="68"/>
      <c r="F35" s="68" t="s">
        <v>27</v>
      </c>
      <c r="G35" s="68"/>
      <c r="H35" s="68"/>
    </row>
    <row r="36" spans="1:8">
      <c r="A36" s="62" t="s">
        <v>65</v>
      </c>
      <c r="B36" s="62"/>
      <c r="C36" s="62"/>
      <c r="D36" s="62"/>
      <c r="E36" s="62"/>
      <c r="F36" s="62"/>
      <c r="G36" s="62"/>
      <c r="H36" s="62"/>
    </row>
    <row r="37" spans="1:8" ht="15.75" customHeight="1">
      <c r="A37" s="55" t="s">
        <v>66</v>
      </c>
      <c r="B37" s="55"/>
      <c r="C37" s="69">
        <v>19.104745000000001</v>
      </c>
      <c r="D37" s="69"/>
      <c r="E37" s="55" t="s">
        <v>67</v>
      </c>
      <c r="F37" s="55"/>
      <c r="G37" s="70">
        <v>72.859243000000006</v>
      </c>
      <c r="H37" s="70"/>
    </row>
    <row r="38" spans="1:8">
      <c r="A38" s="55" t="s">
        <v>68</v>
      </c>
      <c r="B38" s="55"/>
      <c r="C38" s="193" t="s">
        <v>69</v>
      </c>
      <c r="D38" s="194"/>
      <c r="E38" s="194"/>
      <c r="F38" s="194"/>
      <c r="G38" s="194"/>
      <c r="H38" s="194"/>
    </row>
    <row r="39" spans="1:8">
      <c r="A39" s="71" t="s">
        <v>70</v>
      </c>
      <c r="B39" s="71"/>
      <c r="C39" s="71"/>
      <c r="D39" s="71"/>
      <c r="E39" s="71"/>
      <c r="F39" s="71"/>
      <c r="G39" s="71"/>
      <c r="H39" s="71"/>
    </row>
    <row r="40" spans="1:8">
      <c r="A40" s="72"/>
      <c r="B40" s="73"/>
      <c r="C40" s="73"/>
      <c r="D40" s="74"/>
      <c r="E40" s="72" t="s">
        <v>71</v>
      </c>
      <c r="F40" s="74"/>
      <c r="G40" s="72" t="s">
        <v>72</v>
      </c>
      <c r="H40" s="74"/>
    </row>
    <row r="41" spans="1:8">
      <c r="A41" s="62" t="s">
        <v>73</v>
      </c>
      <c r="B41" s="62"/>
      <c r="C41" s="62"/>
      <c r="D41" s="62"/>
      <c r="E41" s="75">
        <v>3190.49</v>
      </c>
      <c r="F41" s="76"/>
      <c r="G41" s="75">
        <v>351.3</v>
      </c>
      <c r="H41" s="76"/>
    </row>
    <row r="42" spans="1:8">
      <c r="A42" s="62" t="s">
        <v>74</v>
      </c>
      <c r="B42" s="62"/>
      <c r="C42" s="62"/>
      <c r="D42" s="62"/>
      <c r="E42" s="75">
        <v>4</v>
      </c>
      <c r="F42" s="76"/>
      <c r="G42" s="75">
        <v>1</v>
      </c>
      <c r="H42" s="76"/>
    </row>
    <row r="43" spans="1:8">
      <c r="A43" s="62" t="s">
        <v>75</v>
      </c>
      <c r="B43" s="62"/>
      <c r="C43" s="62"/>
      <c r="D43" s="62"/>
      <c r="E43" s="77">
        <f>E45/E41-E42</f>
        <v>0.71325721127475727</v>
      </c>
      <c r="F43" s="78"/>
      <c r="G43" s="77">
        <f>G45/G41-G42</f>
        <v>1.0011386279533161</v>
      </c>
      <c r="H43" s="78"/>
    </row>
    <row r="44" spans="1:8">
      <c r="A44" s="62" t="s">
        <v>76</v>
      </c>
      <c r="B44" s="62"/>
      <c r="C44" s="62"/>
      <c r="D44" s="62"/>
      <c r="E44" s="77">
        <f>E42+E43</f>
        <v>4.7132572112747573</v>
      </c>
      <c r="F44" s="78"/>
      <c r="G44" s="77">
        <f>G42+G43</f>
        <v>2.0011386279533161</v>
      </c>
      <c r="H44" s="78"/>
    </row>
    <row r="45" spans="1:8">
      <c r="A45" s="62" t="s">
        <v>77</v>
      </c>
      <c r="B45" s="62"/>
      <c r="C45" s="62"/>
      <c r="D45" s="62"/>
      <c r="E45" s="75">
        <v>15037.6</v>
      </c>
      <c r="F45" s="76"/>
      <c r="G45" s="75">
        <v>703</v>
      </c>
      <c r="H45" s="76"/>
    </row>
    <row r="46" spans="1:8">
      <c r="A46" s="56" t="s">
        <v>78</v>
      </c>
      <c r="B46" s="56"/>
      <c r="C46" s="56"/>
      <c r="D46" s="56"/>
      <c r="E46" s="60" t="s">
        <v>79</v>
      </c>
      <c r="F46" s="60"/>
      <c r="G46" s="60"/>
      <c r="H46" s="60"/>
    </row>
    <row r="47" spans="1:8">
      <c r="A47" s="71" t="s">
        <v>80</v>
      </c>
      <c r="B47" s="71"/>
      <c r="C47" s="71"/>
      <c r="D47" s="71"/>
      <c r="E47" s="71"/>
      <c r="F47" s="71"/>
      <c r="G47" s="71"/>
      <c r="H47" s="71"/>
    </row>
    <row r="48" spans="1:8" ht="33.75" customHeight="1">
      <c r="A48" s="79" t="s">
        <v>81</v>
      </c>
      <c r="B48" s="80"/>
      <c r="C48" s="81" t="s">
        <v>82</v>
      </c>
      <c r="D48" s="82"/>
      <c r="E48" s="82"/>
      <c r="F48" s="82"/>
      <c r="G48" s="82"/>
      <c r="H48" s="83"/>
    </row>
    <row r="49" spans="1:14" ht="15.75" customHeight="1">
      <c r="A49" s="79" t="s">
        <v>83</v>
      </c>
      <c r="B49" s="80"/>
      <c r="C49" s="79" t="s">
        <v>84</v>
      </c>
      <c r="D49" s="84"/>
      <c r="E49" s="80"/>
      <c r="F49" s="21" t="s">
        <v>85</v>
      </c>
      <c r="G49" s="85">
        <v>44565</v>
      </c>
      <c r="H49" s="86"/>
    </row>
    <row r="50" spans="1:14">
      <c r="A50" s="79" t="s">
        <v>86</v>
      </c>
      <c r="B50" s="80"/>
      <c r="C50" s="79" t="str">
        <f>C49</f>
        <v>SRA/ENG/3928/KE/STGL/AP</v>
      </c>
      <c r="D50" s="84"/>
      <c r="E50" s="80"/>
      <c r="F50" s="21" t="s">
        <v>85</v>
      </c>
      <c r="G50" s="85">
        <f>G49</f>
        <v>44565</v>
      </c>
      <c r="H50" s="86"/>
    </row>
    <row r="51" spans="1:14" s="14" customFormat="1" ht="15.75" customHeight="1">
      <c r="A51" s="173" t="s">
        <v>87</v>
      </c>
      <c r="B51" s="174"/>
      <c r="C51" s="79" t="str">
        <f>C50</f>
        <v>SRA/ENG/3928/KE/STGL/AP</v>
      </c>
      <c r="D51" s="84"/>
      <c r="E51" s="80"/>
      <c r="F51" s="21" t="s">
        <v>85</v>
      </c>
      <c r="G51" s="85">
        <v>44595</v>
      </c>
      <c r="H51" s="86"/>
    </row>
    <row r="52" spans="1:14" s="14" customFormat="1" ht="78.75" customHeight="1">
      <c r="A52" s="175"/>
      <c r="B52" s="176"/>
      <c r="C52" s="79" t="s">
        <v>88</v>
      </c>
      <c r="D52" s="84"/>
      <c r="E52" s="84"/>
      <c r="F52" s="84"/>
      <c r="G52" s="84"/>
      <c r="H52" s="80"/>
    </row>
    <row r="53" spans="1:14">
      <c r="A53" s="87" t="s">
        <v>89</v>
      </c>
      <c r="B53" s="88"/>
      <c r="C53" s="87" t="s">
        <v>90</v>
      </c>
      <c r="D53" s="89"/>
      <c r="E53" s="88"/>
      <c r="F53" s="22" t="s">
        <v>85</v>
      </c>
      <c r="G53" s="90" t="s">
        <v>14</v>
      </c>
      <c r="H53" s="91"/>
    </row>
    <row r="54" spans="1:14">
      <c r="A54" s="92" t="s">
        <v>91</v>
      </c>
      <c r="B54" s="92"/>
      <c r="C54" s="92"/>
      <c r="D54" s="92"/>
      <c r="E54" s="92"/>
      <c r="F54" s="92"/>
      <c r="G54" s="92"/>
      <c r="H54" s="92"/>
    </row>
    <row r="55" spans="1:14">
      <c r="A55" s="64" t="s">
        <v>92</v>
      </c>
      <c r="B55" s="64"/>
      <c r="C55" s="64"/>
      <c r="D55" s="62">
        <f>E45</f>
        <v>15037.6</v>
      </c>
      <c r="E55" s="62"/>
      <c r="F55" s="62"/>
      <c r="G55" s="62"/>
      <c r="H55" s="62"/>
    </row>
    <row r="56" spans="1:14">
      <c r="A56" s="59" t="s">
        <v>93</v>
      </c>
      <c r="B56" s="56"/>
      <c r="C56" s="56"/>
      <c r="D56" s="60" t="s">
        <v>94</v>
      </c>
      <c r="E56" s="60"/>
      <c r="F56" s="60"/>
      <c r="G56" s="60"/>
      <c r="H56" s="60"/>
      <c r="I56" s="23"/>
    </row>
    <row r="57" spans="1:14" ht="48.75" customHeight="1">
      <c r="A57" s="93" t="s">
        <v>95</v>
      </c>
      <c r="B57" s="94"/>
      <c r="C57" s="95"/>
      <c r="D57" s="96" t="s">
        <v>96</v>
      </c>
      <c r="E57" s="97"/>
      <c r="F57" s="97"/>
      <c r="G57" s="97"/>
      <c r="H57" s="97"/>
    </row>
    <row r="58" spans="1:14" ht="15.75" customHeight="1">
      <c r="A58" s="93" t="s">
        <v>97</v>
      </c>
      <c r="B58" s="94"/>
      <c r="C58" s="94"/>
      <c r="D58" s="98" t="s">
        <v>98</v>
      </c>
      <c r="E58" s="99"/>
      <c r="F58" s="99"/>
      <c r="G58" s="99"/>
      <c r="H58" s="100"/>
    </row>
    <row r="59" spans="1:14" ht="15.75" customHeight="1">
      <c r="A59" s="109"/>
      <c r="B59" s="110"/>
      <c r="C59" s="110"/>
      <c r="D59" s="101" t="s">
        <v>99</v>
      </c>
      <c r="E59" s="102"/>
      <c r="F59" s="102"/>
      <c r="G59" s="102"/>
      <c r="H59" s="103"/>
    </row>
    <row r="60" spans="1:14" ht="15.75" customHeight="1">
      <c r="A60" s="111"/>
      <c r="B60" s="112"/>
      <c r="C60" s="112"/>
      <c r="D60" s="104" t="s">
        <v>100</v>
      </c>
      <c r="E60" s="105"/>
      <c r="F60" s="105"/>
      <c r="G60" s="105"/>
      <c r="H60" s="106"/>
    </row>
    <row r="61" spans="1:14" ht="15.75" customHeight="1">
      <c r="A61" s="62" t="s">
        <v>101</v>
      </c>
      <c r="B61" s="62"/>
      <c r="C61" s="62"/>
      <c r="D61" s="107" t="s">
        <v>102</v>
      </c>
      <c r="E61" s="107"/>
      <c r="F61" s="107"/>
      <c r="G61" s="107"/>
      <c r="H61" s="107"/>
      <c r="J61" s="24"/>
      <c r="K61" s="23"/>
      <c r="N61" s="23"/>
    </row>
    <row r="62" spans="1:14" ht="15.75" customHeight="1">
      <c r="A62" s="62" t="s">
        <v>103</v>
      </c>
      <c r="B62" s="62"/>
      <c r="C62" s="62"/>
      <c r="D62" s="108" t="str">
        <f>(IF(G53="NA","60 Years After Completion",IF(G53&lt;&gt;"NA",""&amp;60-ROUNDDOWN((E3-G53)/360,0)&amp;" Years"," ")))</f>
        <v>60 Years After Completion</v>
      </c>
      <c r="E62" s="108"/>
      <c r="F62" s="108"/>
      <c r="G62" s="108"/>
      <c r="H62" s="108"/>
      <c r="N62" s="23"/>
    </row>
    <row r="63" spans="1:14" ht="15.75" customHeight="1">
      <c r="A63" s="62" t="s">
        <v>104</v>
      </c>
      <c r="B63" s="62"/>
      <c r="C63" s="62"/>
      <c r="D63" s="64" t="s">
        <v>49</v>
      </c>
      <c r="E63" s="64"/>
      <c r="F63" s="64"/>
      <c r="G63" s="64"/>
      <c r="H63" s="64"/>
      <c r="J63" s="25"/>
      <c r="K63" s="25"/>
    </row>
    <row r="64" spans="1:14" ht="31.5" customHeight="1">
      <c r="A64" s="62" t="s">
        <v>105</v>
      </c>
      <c r="B64" s="62"/>
      <c r="C64" s="62"/>
      <c r="D64" s="59" t="s">
        <v>106</v>
      </c>
      <c r="E64" s="64"/>
      <c r="F64" s="64"/>
      <c r="G64" s="64"/>
      <c r="H64" s="64"/>
    </row>
    <row r="65" spans="1:14">
      <c r="A65" s="64" t="s">
        <v>107</v>
      </c>
      <c r="B65" s="64"/>
      <c r="C65" s="64"/>
      <c r="D65" s="64" t="s">
        <v>14</v>
      </c>
      <c r="E65" s="64"/>
      <c r="F65" s="64"/>
      <c r="G65" s="64"/>
      <c r="H65" s="64"/>
      <c r="I65" s="35"/>
      <c r="J65" s="35"/>
      <c r="K65" s="35"/>
      <c r="L65" s="35"/>
      <c r="M65" s="35"/>
      <c r="N65" s="35"/>
    </row>
    <row r="66" spans="1:14" ht="15.75" customHeight="1">
      <c r="A66" s="113" t="s">
        <v>108</v>
      </c>
      <c r="B66" s="113"/>
      <c r="C66" s="113"/>
      <c r="D66" s="114" t="str">
        <f>(IF(G72&gt;95%,"Nothing",IF(G72&gt;0%,"Cement, Aggregate, Steel, etc",IF(G72=0%,"Work not yet Started"))))</f>
        <v>Cement, Aggregate, Steel, etc</v>
      </c>
      <c r="E66" s="114"/>
      <c r="F66" s="114"/>
      <c r="G66" s="114"/>
      <c r="H66" s="114"/>
      <c r="J66" s="25"/>
    </row>
    <row r="67" spans="1:14" ht="33.75" customHeight="1">
      <c r="A67" s="115" t="s">
        <v>109</v>
      </c>
      <c r="B67" s="115"/>
      <c r="C67" s="115"/>
      <c r="D67" s="116" t="str">
        <f>(IF(D66="Nothing","Yes",IF(D66="Cement, Aggregate, Steel, etc","Under Construction",IF(D66="Work not yet Started","Work not yet Started"))))</f>
        <v>Under Construction</v>
      </c>
      <c r="E67" s="116"/>
      <c r="F67" s="116" t="str">
        <f>(IF(D66="Nothing","Yes",IF(D66="Cement, Aggregate, Steel, etc","Under Construction",IF(D66="Work not yet Started","Work not yet Started"))))</f>
        <v>Under Construction</v>
      </c>
      <c r="G67" s="116"/>
      <c r="H67" s="116"/>
    </row>
    <row r="68" spans="1:14" ht="15.75" customHeight="1">
      <c r="A68" s="117" t="s">
        <v>110</v>
      </c>
      <c r="B68" s="118"/>
      <c r="C68" s="119" t="str">
        <f>D58</f>
        <v>A Wing = G + 1st to 11th Floor</v>
      </c>
      <c r="D68" s="120"/>
      <c r="E68" s="120"/>
      <c r="F68" s="120"/>
      <c r="G68" s="120"/>
      <c r="H68" s="121"/>
      <c r="I68" s="36" t="str">
        <f>IF(D81=100%,"All work Completed. Possession granted to the Building.",IF(D80=100%,"All work Completed, Waiting for OC",I69&amp;""&amp;I70&amp;""&amp;J69&amp;""&amp;J68&amp;" "&amp;J70))</f>
        <v>Excavation, Plinth, RCC Slab, Brickwork Completed, Internal Plaster upto 9 Floor, External Plaster upto 8 Floor Completed</v>
      </c>
      <c r="J68" s="37" t="str">
        <f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9 Floor, External Plaster upto 8 Floor</v>
      </c>
    </row>
    <row r="69" spans="1:14">
      <c r="A69" s="26" t="s">
        <v>111</v>
      </c>
      <c r="B69" s="27">
        <v>0</v>
      </c>
      <c r="C69" s="27" t="s">
        <v>112</v>
      </c>
      <c r="D69" s="27">
        <v>1</v>
      </c>
      <c r="E69" s="27" t="s">
        <v>113</v>
      </c>
      <c r="F69" s="27">
        <v>0</v>
      </c>
      <c r="G69" s="27" t="s">
        <v>114</v>
      </c>
      <c r="H69" s="28">
        <v>11</v>
      </c>
      <c r="I69" s="38" t="str">
        <f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39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.9" customHeight="1">
      <c r="A70" s="122" t="s">
        <v>115</v>
      </c>
      <c r="B70" s="123"/>
      <c r="C70" s="124" t="str">
        <f>(IF($G$53="NA",I68,"All work Completed. OC Received."))</f>
        <v>Excavation, Plinth, RCC Slab, Brickwork Completed, Internal Plaster upto 9 Floor, External Plaster upto 8 Floor Completed</v>
      </c>
      <c r="D70" s="124"/>
      <c r="E70" s="124"/>
      <c r="F70" s="124"/>
      <c r="G70" s="124"/>
      <c r="H70" s="125"/>
      <c r="I70" s="38" t="str">
        <f>IF(I69&lt;&gt;""," Completed","")</f>
        <v xml:space="preserve"> Completed</v>
      </c>
      <c r="J70" s="39" t="str">
        <f>IF(J68&lt;&gt;"","Completed","")</f>
        <v>Completed</v>
      </c>
    </row>
    <row r="71" spans="1:14" ht="15.75" customHeight="1">
      <c r="A71" s="126" t="s">
        <v>116</v>
      </c>
      <c r="B71" s="127"/>
      <c r="C71" s="29" t="s">
        <v>117</v>
      </c>
      <c r="D71" s="29" t="s">
        <v>118</v>
      </c>
      <c r="E71" s="127" t="s">
        <v>119</v>
      </c>
      <c r="F71" s="127"/>
      <c r="G71" s="127" t="s">
        <v>120</v>
      </c>
      <c r="H71" s="128"/>
      <c r="I71" s="40" t="s">
        <v>121</v>
      </c>
      <c r="J71" s="41">
        <f>H69*25%</f>
        <v>2.75</v>
      </c>
    </row>
    <row r="72" spans="1:14">
      <c r="A72" s="126" t="s">
        <v>122</v>
      </c>
      <c r="B72" s="127"/>
      <c r="C72" s="29">
        <f>J73</f>
        <v>11</v>
      </c>
      <c r="D72" s="30">
        <f>((100/H69)*C72)/100</f>
        <v>1.0000000000000002</v>
      </c>
      <c r="E72" s="131">
        <f>(((C73/H69*10)+(40/(D69+F69+H69)*C74)+(7.5/(H69)*C75)+(7.5/(H69)*C76)+(10/H69*C77)+(10/H69*C78)+(5/H69*C79)+(5/H69*C80)+(5/H69*C81))/100)</f>
        <v>0.70909090909090911</v>
      </c>
      <c r="F72" s="132"/>
      <c r="G72" s="131">
        <f>((((C72/H69)*20)+((C73/H69)*25)+(30/(H69+F69+D69)*C74)+(5/H69*C75)+(5/H69*C76)+(5/H69*C77)+(5/H69*C78)+(0/H69*C79)+(0/H69*C80)+(5/H69*C81))/100)</f>
        <v>0.87727272727272732</v>
      </c>
      <c r="H72" s="137"/>
      <c r="I72" s="40" t="s">
        <v>123</v>
      </c>
      <c r="J72" s="42">
        <f>H69*50%</f>
        <v>5.5</v>
      </c>
    </row>
    <row r="73" spans="1:14">
      <c r="A73" s="126" t="s">
        <v>124</v>
      </c>
      <c r="B73" s="127"/>
      <c r="C73" s="29">
        <f>J81</f>
        <v>11</v>
      </c>
      <c r="D73" s="30">
        <f>((100/H69)*C73)/100</f>
        <v>1.0000000000000002</v>
      </c>
      <c r="E73" s="133"/>
      <c r="F73" s="134"/>
      <c r="G73" s="133"/>
      <c r="H73" s="138"/>
      <c r="I73" s="40" t="s">
        <v>125</v>
      </c>
      <c r="J73" s="42">
        <f>H69</f>
        <v>11</v>
      </c>
    </row>
    <row r="74" spans="1:14" ht="15.75" customHeight="1">
      <c r="A74" s="126" t="s">
        <v>126</v>
      </c>
      <c r="B74" s="127"/>
      <c r="C74" s="29">
        <v>12</v>
      </c>
      <c r="D74" s="30">
        <f>((100/(D69+F69+H69))*C74)/100</f>
        <v>1</v>
      </c>
      <c r="E74" s="133"/>
      <c r="F74" s="134"/>
      <c r="G74" s="133"/>
      <c r="H74" s="138"/>
      <c r="I74" s="40" t="s">
        <v>127</v>
      </c>
      <c r="J74" s="43">
        <f>(IF(B69&gt;1,(H69/(B69+2)),H69/4))</f>
        <v>2.75</v>
      </c>
    </row>
    <row r="75" spans="1:14" ht="15.75" customHeight="1">
      <c r="A75" s="126" t="s">
        <v>128</v>
      </c>
      <c r="B75" s="127" t="s">
        <v>129</v>
      </c>
      <c r="C75" s="29">
        <v>11</v>
      </c>
      <c r="D75" s="30">
        <f>((100/H69)*C75)/100</f>
        <v>1.0000000000000002</v>
      </c>
      <c r="E75" s="133"/>
      <c r="F75" s="134"/>
      <c r="G75" s="133"/>
      <c r="H75" s="138"/>
      <c r="I75" s="40" t="s">
        <v>130</v>
      </c>
      <c r="J75" s="43">
        <f>(IF(B69&gt;1,(H69/(B69+2)+J74),H69/4+J74))</f>
        <v>5.5</v>
      </c>
    </row>
    <row r="76" spans="1:14" ht="15.75" customHeight="1">
      <c r="A76" s="126" t="s">
        <v>131</v>
      </c>
      <c r="B76" s="127" t="s">
        <v>129</v>
      </c>
      <c r="C76" s="29">
        <v>9</v>
      </c>
      <c r="D76" s="30">
        <f>((100/H69)*C76)/100</f>
        <v>0.81818181818181823</v>
      </c>
      <c r="E76" s="133"/>
      <c r="F76" s="134"/>
      <c r="G76" s="133"/>
      <c r="H76" s="138"/>
      <c r="I76" s="40" t="s">
        <v>132</v>
      </c>
      <c r="J76" s="43">
        <f>(IF(B69&gt;1,(H69/(B69+2)+J75),0))</f>
        <v>0</v>
      </c>
    </row>
    <row r="77" spans="1:14" ht="15" customHeight="1">
      <c r="A77" s="126" t="s">
        <v>133</v>
      </c>
      <c r="B77" s="127" t="s">
        <v>134</v>
      </c>
      <c r="C77" s="29">
        <v>8</v>
      </c>
      <c r="D77" s="30">
        <f>((100/(H69))*C77)/100</f>
        <v>0.72727272727272729</v>
      </c>
      <c r="E77" s="133"/>
      <c r="F77" s="134"/>
      <c r="G77" s="133"/>
      <c r="H77" s="138"/>
      <c r="I77" s="40" t="s">
        <v>135</v>
      </c>
      <c r="J77" s="43">
        <f>(IF(B69&gt;2,(H69/(B69+2)+J76),0))</f>
        <v>0</v>
      </c>
    </row>
    <row r="78" spans="1:14" ht="15.75" customHeight="1">
      <c r="A78" s="126" t="s">
        <v>136</v>
      </c>
      <c r="B78" s="127" t="s">
        <v>136</v>
      </c>
      <c r="C78" s="29">
        <v>0</v>
      </c>
      <c r="D78" s="30">
        <f>((100/H69)*C78)/100</f>
        <v>0</v>
      </c>
      <c r="E78" s="133"/>
      <c r="F78" s="134"/>
      <c r="G78" s="133"/>
      <c r="H78" s="138"/>
      <c r="I78" s="40" t="s">
        <v>137</v>
      </c>
      <c r="J78" s="44">
        <f>(IF(B69&gt;3,(H69/(B69+2)+J77),0))</f>
        <v>0</v>
      </c>
    </row>
    <row r="79" spans="1:14" ht="15.75" customHeight="1">
      <c r="A79" s="126" t="s">
        <v>138</v>
      </c>
      <c r="B79" s="127"/>
      <c r="C79" s="29">
        <v>0</v>
      </c>
      <c r="D79" s="30">
        <f>((100/H69)*C79)/100</f>
        <v>0</v>
      </c>
      <c r="E79" s="133"/>
      <c r="F79" s="134"/>
      <c r="G79" s="133"/>
      <c r="H79" s="138"/>
      <c r="I79" s="40" t="s">
        <v>139</v>
      </c>
      <c r="J79" s="43">
        <f>(IF(B69&gt;4,(H69/(B69+2)+J78),0))</f>
        <v>0</v>
      </c>
    </row>
    <row r="80" spans="1:14" ht="15.75" customHeight="1">
      <c r="A80" s="126" t="s">
        <v>140</v>
      </c>
      <c r="B80" s="127" t="s">
        <v>140</v>
      </c>
      <c r="C80" s="29">
        <v>0</v>
      </c>
      <c r="D80" s="30">
        <f>((100/(H69))*C80)/100</f>
        <v>0</v>
      </c>
      <c r="E80" s="133"/>
      <c r="F80" s="134"/>
      <c r="G80" s="133"/>
      <c r="H80" s="138"/>
      <c r="I80" s="40" t="s">
        <v>141</v>
      </c>
      <c r="J80" s="43">
        <f>(IF(B69=1,(H69/(B69+3)+J75),IF(B69=0,(H69/4+J75),IF(B69&gt;1,0))))</f>
        <v>8.25</v>
      </c>
    </row>
    <row r="81" spans="1:10">
      <c r="A81" s="129" t="s">
        <v>142</v>
      </c>
      <c r="B81" s="130"/>
      <c r="C81" s="31">
        <v>0</v>
      </c>
      <c r="D81" s="32">
        <f>((100/(H69))*C81)/100</f>
        <v>0</v>
      </c>
      <c r="E81" s="135"/>
      <c r="F81" s="136"/>
      <c r="G81" s="135"/>
      <c r="H81" s="139"/>
      <c r="I81" s="45" t="s">
        <v>143</v>
      </c>
      <c r="J81" s="46">
        <f>(IF(B69&gt;1.5,(H69/(B69+2)+J75+MAX(0,J76-J75)+MAX(0,J77-J76)+MAX(0,J78-J77)+MAX(0,J79-J78)+MAX(0,J80-J79)),IF(B69=1,(H69/(B69+3)+J80),IF(B69=0,H69/4+J80))))</f>
        <v>11</v>
      </c>
    </row>
    <row r="82" spans="1:10" ht="15.75" customHeight="1">
      <c r="A82" s="117" t="s">
        <v>110</v>
      </c>
      <c r="B82" s="118"/>
      <c r="C82" s="119" t="str">
        <f>D59</f>
        <v>B Wing = G + 1st to 11th Floor</v>
      </c>
      <c r="D82" s="120"/>
      <c r="E82" s="120"/>
      <c r="F82" s="120"/>
      <c r="G82" s="120"/>
      <c r="H82" s="121"/>
      <c r="I82" s="36" t="str">
        <f>IF(D95=100%,"All work Completed. Possession granted to the Building.",IF(D94=100%,"All work Completed, Waiting for OC",I83&amp;""&amp;I84&amp;""&amp;J83&amp;""&amp;J82&amp;" "&amp;J84))</f>
        <v>Excavation, Plinth, RCC Slab, Brickwork, Internal Plaster, External Plaster Completed, Flooring upto 10 Floor, Painting upto 9 Floor Completed</v>
      </c>
      <c r="J82" s="37" t="str">
        <f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Flooring upto 10 Floor, Painting upto 9 Floor</v>
      </c>
    </row>
    <row r="83" spans="1:10">
      <c r="A83" s="26" t="s">
        <v>111</v>
      </c>
      <c r="B83" s="27">
        <v>0</v>
      </c>
      <c r="C83" s="27" t="s">
        <v>112</v>
      </c>
      <c r="D83" s="27">
        <v>1</v>
      </c>
      <c r="E83" s="27" t="s">
        <v>113</v>
      </c>
      <c r="F83" s="27">
        <v>0</v>
      </c>
      <c r="G83" s="27" t="s">
        <v>114</v>
      </c>
      <c r="H83" s="28">
        <v>11</v>
      </c>
      <c r="I83" s="38" t="str">
        <f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</v>
      </c>
      <c r="J83" s="39" t="str">
        <f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customHeight="1">
      <c r="A84" s="122" t="s">
        <v>115</v>
      </c>
      <c r="B84" s="123"/>
      <c r="C84" s="124" t="str">
        <f>(IF($G$53="NA",I82,"All work Completed. OC Received."))</f>
        <v>Excavation, Plinth, RCC Slab, Brickwork, Internal Plaster, External Plaster Completed, Flooring upto 10 Floor, Painting upto 9 Floor Completed</v>
      </c>
      <c r="D84" s="124"/>
      <c r="E84" s="124"/>
      <c r="F84" s="124"/>
      <c r="G84" s="124"/>
      <c r="H84" s="125"/>
      <c r="I84" s="38" t="str">
        <f>IF(I83&lt;&gt;""," Completed","")</f>
        <v xml:space="preserve"> Completed</v>
      </c>
      <c r="J84" s="39" t="str">
        <f>IF(J82&lt;&gt;"","Completed","")</f>
        <v>Completed</v>
      </c>
    </row>
    <row r="85" spans="1:10" ht="15.75" customHeight="1">
      <c r="A85" s="126" t="s">
        <v>116</v>
      </c>
      <c r="B85" s="127"/>
      <c r="C85" s="29" t="s">
        <v>117</v>
      </c>
      <c r="D85" s="29" t="s">
        <v>118</v>
      </c>
      <c r="E85" s="127" t="s">
        <v>119</v>
      </c>
      <c r="F85" s="127"/>
      <c r="G85" s="127" t="s">
        <v>120</v>
      </c>
      <c r="H85" s="128"/>
      <c r="I85" s="40" t="s">
        <v>121</v>
      </c>
      <c r="J85" s="41">
        <f>H83*25%</f>
        <v>2.75</v>
      </c>
    </row>
    <row r="86" spans="1:10">
      <c r="A86" s="126" t="s">
        <v>122</v>
      </c>
      <c r="B86" s="127"/>
      <c r="C86" s="29">
        <f>J87</f>
        <v>11</v>
      </c>
      <c r="D86" s="30">
        <f>((100/H83)*C86)/100</f>
        <v>1.0000000000000002</v>
      </c>
      <c r="E86" s="131">
        <f>(((C87/H83*10)+(40/(D83+F83+H83)*C88)+(7.5/(H83)*C89)+(7.5/(H83)*C90)+(10/H83*C91)+(10/H83*C92)+(5/H83*C93)+(5/H83*C94)+(5/H83*C95))/100)</f>
        <v>0.88181818181818183</v>
      </c>
      <c r="F86" s="132"/>
      <c r="G86" s="131">
        <f>((((C86/H83)*20)+((C87/H83)*25)+(30/(H83+F83+D83)*C88)+(5/H83*C89)+(5/H83*C90)+(5/H83*C91)+(5/H83*C92)+(0/H83*C93)+(0/H83*C94)+(5/H83*C95))/100)</f>
        <v>0.94545454545454544</v>
      </c>
      <c r="H86" s="137"/>
      <c r="I86" s="40" t="s">
        <v>123</v>
      </c>
      <c r="J86" s="42">
        <f>H83*50%</f>
        <v>5.5</v>
      </c>
    </row>
    <row r="87" spans="1:10">
      <c r="A87" s="126" t="s">
        <v>124</v>
      </c>
      <c r="B87" s="127"/>
      <c r="C87" s="29">
        <f>J95</f>
        <v>11</v>
      </c>
      <c r="D87" s="30">
        <f>((100/H83)*C87)/100</f>
        <v>1.0000000000000002</v>
      </c>
      <c r="E87" s="133"/>
      <c r="F87" s="134"/>
      <c r="G87" s="133"/>
      <c r="H87" s="138"/>
      <c r="I87" s="40" t="s">
        <v>125</v>
      </c>
      <c r="J87" s="42">
        <f>H83</f>
        <v>11</v>
      </c>
    </row>
    <row r="88" spans="1:10" ht="15.75" customHeight="1">
      <c r="A88" s="126" t="s">
        <v>126</v>
      </c>
      <c r="B88" s="127"/>
      <c r="C88" s="29">
        <v>12</v>
      </c>
      <c r="D88" s="30">
        <f>((100/(D83+F83+H83))*C88)/100</f>
        <v>1</v>
      </c>
      <c r="E88" s="133"/>
      <c r="F88" s="134"/>
      <c r="G88" s="133"/>
      <c r="H88" s="138"/>
      <c r="I88" s="40" t="s">
        <v>127</v>
      </c>
      <c r="J88" s="43">
        <f>(IF(B83&gt;1,(H83/(B83+2)),H83/4))</f>
        <v>2.75</v>
      </c>
    </row>
    <row r="89" spans="1:10" ht="15.75" customHeight="1">
      <c r="A89" s="126" t="s">
        <v>128</v>
      </c>
      <c r="B89" s="127" t="s">
        <v>129</v>
      </c>
      <c r="C89" s="29">
        <v>11</v>
      </c>
      <c r="D89" s="30">
        <f>((100/H83)*C89)/100</f>
        <v>1.0000000000000002</v>
      </c>
      <c r="E89" s="133"/>
      <c r="F89" s="134"/>
      <c r="G89" s="133"/>
      <c r="H89" s="138"/>
      <c r="I89" s="40" t="s">
        <v>130</v>
      </c>
      <c r="J89" s="43">
        <f>(IF(B83&gt;1,(H83/(B83+2)+J88),H83/4+J88))</f>
        <v>5.5</v>
      </c>
    </row>
    <row r="90" spans="1:10" ht="15.75" customHeight="1">
      <c r="A90" s="126" t="s">
        <v>131</v>
      </c>
      <c r="B90" s="127" t="s">
        <v>129</v>
      </c>
      <c r="C90" s="29">
        <v>11</v>
      </c>
      <c r="D90" s="30">
        <f>((100/H83)*C90)/100</f>
        <v>1.0000000000000002</v>
      </c>
      <c r="E90" s="133"/>
      <c r="F90" s="134"/>
      <c r="G90" s="133"/>
      <c r="H90" s="138"/>
      <c r="I90" s="40" t="s">
        <v>132</v>
      </c>
      <c r="J90" s="43">
        <f>(IF(B83&gt;1,(H83/(B83+2)+J89),0))</f>
        <v>0</v>
      </c>
    </row>
    <row r="91" spans="1:10" ht="15" customHeight="1">
      <c r="A91" s="126" t="s">
        <v>133</v>
      </c>
      <c r="B91" s="127" t="s">
        <v>134</v>
      </c>
      <c r="C91" s="29">
        <v>11</v>
      </c>
      <c r="D91" s="30">
        <f>((100/(H83))*C91)/100</f>
        <v>1.0000000000000002</v>
      </c>
      <c r="E91" s="133"/>
      <c r="F91" s="134"/>
      <c r="G91" s="133"/>
      <c r="H91" s="138"/>
      <c r="I91" s="40" t="s">
        <v>135</v>
      </c>
      <c r="J91" s="43">
        <f>(IF(B83&gt;2,(H83/(B83+2)+J90),0))</f>
        <v>0</v>
      </c>
    </row>
    <row r="92" spans="1:10" ht="15.75" customHeight="1">
      <c r="A92" s="126" t="s">
        <v>136</v>
      </c>
      <c r="B92" s="127" t="s">
        <v>136</v>
      </c>
      <c r="C92" s="29">
        <v>10</v>
      </c>
      <c r="D92" s="30">
        <f>((100/H83)*C92)/100</f>
        <v>0.90909090909090917</v>
      </c>
      <c r="E92" s="133"/>
      <c r="F92" s="134"/>
      <c r="G92" s="133"/>
      <c r="H92" s="138"/>
      <c r="I92" s="40" t="s">
        <v>137</v>
      </c>
      <c r="J92" s="44">
        <f>(IF(B83&gt;3,(H83/(B83+2)+J91),0))</f>
        <v>0</v>
      </c>
    </row>
    <row r="93" spans="1:10" ht="15.75" customHeight="1">
      <c r="A93" s="126" t="s">
        <v>138</v>
      </c>
      <c r="B93" s="127"/>
      <c r="C93" s="29">
        <v>9</v>
      </c>
      <c r="D93" s="30">
        <f>((100/H83)*C93)/100</f>
        <v>0.81818181818181823</v>
      </c>
      <c r="E93" s="133"/>
      <c r="F93" s="134"/>
      <c r="G93" s="133"/>
      <c r="H93" s="138"/>
      <c r="I93" s="40" t="s">
        <v>139</v>
      </c>
      <c r="J93" s="43">
        <f>(IF(B83&gt;4,(H83/(B83+2)+J92),0))</f>
        <v>0</v>
      </c>
    </row>
    <row r="94" spans="1:10" ht="15.75" customHeight="1">
      <c r="A94" s="126" t="s">
        <v>140</v>
      </c>
      <c r="B94" s="127" t="s">
        <v>140</v>
      </c>
      <c r="C94" s="29">
        <v>0</v>
      </c>
      <c r="D94" s="30">
        <f>((100/(H83))*C94)/100</f>
        <v>0</v>
      </c>
      <c r="E94" s="133"/>
      <c r="F94" s="134"/>
      <c r="G94" s="133"/>
      <c r="H94" s="138"/>
      <c r="I94" s="40" t="s">
        <v>141</v>
      </c>
      <c r="J94" s="43">
        <f>(IF(B83=1,(H83/(B83+3)+J89),IF(B83=0,(H83/4+J89),IF(B83&gt;1,0))))</f>
        <v>8.25</v>
      </c>
    </row>
    <row r="95" spans="1:10">
      <c r="A95" s="129" t="s">
        <v>142</v>
      </c>
      <c r="B95" s="130"/>
      <c r="C95" s="31">
        <v>0</v>
      </c>
      <c r="D95" s="32">
        <f>((100/(H83))*C95)/100</f>
        <v>0</v>
      </c>
      <c r="E95" s="135"/>
      <c r="F95" s="136"/>
      <c r="G95" s="135"/>
      <c r="H95" s="139"/>
      <c r="I95" s="45" t="s">
        <v>143</v>
      </c>
      <c r="J95" s="46">
        <f>(IF(B83&gt;1.5,(H83/(B83+2)+J89+MAX(0,J90-J89)+MAX(0,J91-J90)+MAX(0,J92-J91)+MAX(0,J93-J92)+MAX(0,J94-J93)),IF(B83=1,(H83/(B83+3)+J94),IF(B83=0,H83/4+J94))))</f>
        <v>11</v>
      </c>
    </row>
    <row r="96" spans="1:10" ht="15.75" customHeight="1">
      <c r="A96" s="117" t="s">
        <v>110</v>
      </c>
      <c r="B96" s="118"/>
      <c r="C96" s="119" t="str">
        <f>D60</f>
        <v>C Wing = G + 1st to 9th Floor</v>
      </c>
      <c r="D96" s="120"/>
      <c r="E96" s="120"/>
      <c r="F96" s="120"/>
      <c r="G96" s="120"/>
      <c r="H96" s="121"/>
      <c r="I96" s="36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Plaster, Flooring Completed, Painting upto 8 Floor, Finishing upto 6 Floor Completed</v>
      </c>
      <c r="J96" s="37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Painting upto 8 Floor, Finishing upto 6 Floor</v>
      </c>
    </row>
    <row r="97" spans="1:10">
      <c r="A97" s="26" t="s">
        <v>111</v>
      </c>
      <c r="B97" s="27">
        <v>0</v>
      </c>
      <c r="C97" s="27" t="s">
        <v>112</v>
      </c>
      <c r="D97" s="27">
        <v>1</v>
      </c>
      <c r="E97" s="27" t="s">
        <v>113</v>
      </c>
      <c r="F97" s="27">
        <v>0</v>
      </c>
      <c r="G97" s="27" t="s">
        <v>114</v>
      </c>
      <c r="H97" s="28">
        <f ca="1">--TRIM(RIGHT(SUBSTITUTE(LEFT(C96,_xlfn.AGGREGATE(16,6,FIND({0,1,2,3,4,5,6,7,8,9},C96,ROW(INDIRECT("1:"&amp;LEN(C96)))),1))," ",REPT(" ",LEN(C96))),LEN(C96)))</f>
        <v>9</v>
      </c>
      <c r="I97" s="38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Plaster, Flooring</v>
      </c>
      <c r="J97" s="39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2.1" customHeight="1">
      <c r="A98" s="122" t="s">
        <v>115</v>
      </c>
      <c r="B98" s="123"/>
      <c r="C98" s="124" t="str">
        <f ca="1">(IF($G$53="NA",I96,"All work Completed. OC Received."))</f>
        <v>Excavation, Plinth, RCC Slab, Brickwork, Internal Plaster, External Plaster, Flooring Completed, Painting upto 8 Floor, Finishing upto 6 Floor Completed</v>
      </c>
      <c r="D98" s="124"/>
      <c r="E98" s="124"/>
      <c r="F98" s="124"/>
      <c r="G98" s="124"/>
      <c r="H98" s="125"/>
      <c r="I98" s="38" t="str">
        <f ca="1">IF(I97&lt;&gt;""," Completed","")</f>
        <v xml:space="preserve"> Completed</v>
      </c>
      <c r="J98" s="39" t="str">
        <f ca="1">IF(J96&lt;&gt;"","Completed","")</f>
        <v>Completed</v>
      </c>
    </row>
    <row r="99" spans="1:10" ht="15.75" customHeight="1">
      <c r="A99" s="126" t="s">
        <v>116</v>
      </c>
      <c r="B99" s="127"/>
      <c r="C99" s="29" t="s">
        <v>117</v>
      </c>
      <c r="D99" s="29" t="s">
        <v>118</v>
      </c>
      <c r="E99" s="127" t="s">
        <v>119</v>
      </c>
      <c r="F99" s="127"/>
      <c r="G99" s="127" t="s">
        <v>120</v>
      </c>
      <c r="H99" s="128"/>
      <c r="I99" s="40" t="s">
        <v>121</v>
      </c>
      <c r="J99" s="41">
        <f ca="1">H97*25%</f>
        <v>2.25</v>
      </c>
    </row>
    <row r="100" spans="1:10">
      <c r="A100" s="126" t="s">
        <v>122</v>
      </c>
      <c r="B100" s="127"/>
      <c r="C100" s="29">
        <f ca="1">J101</f>
        <v>9</v>
      </c>
      <c r="D100" s="30">
        <f ca="1">((100/H97)*C100)/100</f>
        <v>1</v>
      </c>
      <c r="E100" s="131">
        <f ca="1">(((C101/H97*10)+(40/(D97+F97+H97)*C102)+(7.5/(H97)*C103)+(7.5/(H97)*C104)+(10/H97*C105)+(10/H97*C106)+(5/H97*C107)+(5/H97*C108)+(5/H97*C109))/100)</f>
        <v>0.9277777777777777</v>
      </c>
      <c r="F100" s="132"/>
      <c r="G100" s="131">
        <f ca="1">((((C100/H97)*20)+((C101/H97)*25)+(30/(H97+F97+D97)*C102)+(5/H97*C103)+(5/H97*C104)+(5/H97*C105)+(5/H97*C106)+(0/H97*C107)+(0/H97*C108)+(5/H97*C109))/100)</f>
        <v>0.95</v>
      </c>
      <c r="H100" s="137"/>
      <c r="I100" s="40" t="s">
        <v>123</v>
      </c>
      <c r="J100" s="42">
        <f ca="1">H97*50%</f>
        <v>4.5</v>
      </c>
    </row>
    <row r="101" spans="1:10">
      <c r="A101" s="126" t="s">
        <v>124</v>
      </c>
      <c r="B101" s="127"/>
      <c r="C101" s="29">
        <f ca="1">J109</f>
        <v>9</v>
      </c>
      <c r="D101" s="30">
        <f ca="1">((100/H97)*C101)/100</f>
        <v>1</v>
      </c>
      <c r="E101" s="133"/>
      <c r="F101" s="134"/>
      <c r="G101" s="133"/>
      <c r="H101" s="138"/>
      <c r="I101" s="40" t="s">
        <v>125</v>
      </c>
      <c r="J101" s="42">
        <f ca="1">H97</f>
        <v>9</v>
      </c>
    </row>
    <row r="102" spans="1:10" ht="15.75" customHeight="1">
      <c r="A102" s="126" t="s">
        <v>126</v>
      </c>
      <c r="B102" s="127"/>
      <c r="C102" s="29">
        <v>10</v>
      </c>
      <c r="D102" s="30">
        <f ca="1">((100/(D97+F97+H97))*C102)/100</f>
        <v>1</v>
      </c>
      <c r="E102" s="133"/>
      <c r="F102" s="134"/>
      <c r="G102" s="133"/>
      <c r="H102" s="138"/>
      <c r="I102" s="40" t="s">
        <v>127</v>
      </c>
      <c r="J102" s="43">
        <f ca="1">(IF(B97&gt;1,(H97/(B97+2)),H97/4))</f>
        <v>2.25</v>
      </c>
    </row>
    <row r="103" spans="1:10" ht="15.75" customHeight="1">
      <c r="A103" s="126" t="s">
        <v>128</v>
      </c>
      <c r="B103" s="127" t="s">
        <v>129</v>
      </c>
      <c r="C103" s="29">
        <v>9</v>
      </c>
      <c r="D103" s="30">
        <f ca="1">((100/H97)*C103)/100</f>
        <v>1</v>
      </c>
      <c r="E103" s="133"/>
      <c r="F103" s="134"/>
      <c r="G103" s="133"/>
      <c r="H103" s="138"/>
      <c r="I103" s="40" t="s">
        <v>130</v>
      </c>
      <c r="J103" s="43">
        <f ca="1">(IF(B97&gt;1,(H97/(B97+2)+J102),H97/4+J102))</f>
        <v>4.5</v>
      </c>
    </row>
    <row r="104" spans="1:10" ht="15.75" customHeight="1">
      <c r="A104" s="126" t="s">
        <v>131</v>
      </c>
      <c r="B104" s="127" t="s">
        <v>129</v>
      </c>
      <c r="C104" s="29">
        <v>9</v>
      </c>
      <c r="D104" s="30">
        <f ca="1">((100/H97)*C104)/100</f>
        <v>1</v>
      </c>
      <c r="E104" s="133"/>
      <c r="F104" s="134"/>
      <c r="G104" s="133"/>
      <c r="H104" s="138"/>
      <c r="I104" s="40" t="s">
        <v>132</v>
      </c>
      <c r="J104" s="43">
        <f>(IF(B97&gt;1,(H97/(B97+2)+J103),0))</f>
        <v>0</v>
      </c>
    </row>
    <row r="105" spans="1:10" ht="15" customHeight="1">
      <c r="A105" s="126" t="s">
        <v>133</v>
      </c>
      <c r="B105" s="127" t="s">
        <v>134</v>
      </c>
      <c r="C105" s="29">
        <v>9</v>
      </c>
      <c r="D105" s="30">
        <f ca="1">((100/(H97))*C105)/100</f>
        <v>1</v>
      </c>
      <c r="E105" s="133"/>
      <c r="F105" s="134"/>
      <c r="G105" s="133"/>
      <c r="H105" s="138"/>
      <c r="I105" s="40" t="s">
        <v>135</v>
      </c>
      <c r="J105" s="43">
        <f>(IF(B97&gt;2,(H97/(B97+2)+J104),0))</f>
        <v>0</v>
      </c>
    </row>
    <row r="106" spans="1:10" ht="15.75" customHeight="1">
      <c r="A106" s="126" t="s">
        <v>136</v>
      </c>
      <c r="B106" s="127" t="s">
        <v>136</v>
      </c>
      <c r="C106" s="29">
        <v>9</v>
      </c>
      <c r="D106" s="30">
        <f ca="1">((100/H97)*C106)/100</f>
        <v>1</v>
      </c>
      <c r="E106" s="133"/>
      <c r="F106" s="134"/>
      <c r="G106" s="133"/>
      <c r="H106" s="138"/>
      <c r="I106" s="40" t="s">
        <v>137</v>
      </c>
      <c r="J106" s="44">
        <f>(IF(B97&gt;3,(H97/(B97+2)+J105),0))</f>
        <v>0</v>
      </c>
    </row>
    <row r="107" spans="1:10" ht="15.75" customHeight="1">
      <c r="A107" s="126" t="s">
        <v>138</v>
      </c>
      <c r="B107" s="127"/>
      <c r="C107" s="29">
        <v>8</v>
      </c>
      <c r="D107" s="30">
        <f ca="1">((100/H97)*C107)/100</f>
        <v>0.88888888888888884</v>
      </c>
      <c r="E107" s="133"/>
      <c r="F107" s="134"/>
      <c r="G107" s="133"/>
      <c r="H107" s="138"/>
      <c r="I107" s="40" t="s">
        <v>139</v>
      </c>
      <c r="J107" s="43">
        <f>(IF(B97&gt;4,(H97/(B97+2)+J106),0))</f>
        <v>0</v>
      </c>
    </row>
    <row r="108" spans="1:10" ht="15.75" customHeight="1">
      <c r="A108" s="126" t="s">
        <v>140</v>
      </c>
      <c r="B108" s="127" t="s">
        <v>140</v>
      </c>
      <c r="C108" s="29">
        <v>6</v>
      </c>
      <c r="D108" s="30">
        <f ca="1">((100/(H97))*C108)/100</f>
        <v>0.66666666666666652</v>
      </c>
      <c r="E108" s="133"/>
      <c r="F108" s="134"/>
      <c r="G108" s="133"/>
      <c r="H108" s="138"/>
      <c r="I108" s="40" t="s">
        <v>141</v>
      </c>
      <c r="J108" s="43">
        <f ca="1">(IF(B97=1,(H97/(B97+3)+J103),IF(B97=0,(H97/4+J103),IF(B97&gt;1,0))))</f>
        <v>6.75</v>
      </c>
    </row>
    <row r="109" spans="1:10">
      <c r="A109" s="129" t="s">
        <v>142</v>
      </c>
      <c r="B109" s="130"/>
      <c r="C109" s="31">
        <v>0</v>
      </c>
      <c r="D109" s="32">
        <f ca="1">((100/(H97))*C109)/100</f>
        <v>0</v>
      </c>
      <c r="E109" s="135"/>
      <c r="F109" s="136"/>
      <c r="G109" s="135"/>
      <c r="H109" s="139"/>
      <c r="I109" s="45" t="s">
        <v>143</v>
      </c>
      <c r="J109" s="46">
        <f ca="1">(IF(B97&gt;1.5,(H97/(B97+2)+J103+MAX(0,J104-J103)+MAX(0,J105-J104)+MAX(0,J106-J105)+MAX(0,J107-J106)+MAX(0,J108-J107)),IF(B97=1,(H97/(B97+3)+J108),IF(B97=0,H97/4+J108))))</f>
        <v>9</v>
      </c>
    </row>
    <row r="110" spans="1:10">
      <c r="A110" s="140" t="s">
        <v>144</v>
      </c>
      <c r="B110" s="140"/>
      <c r="C110" s="140"/>
      <c r="D110" s="140"/>
      <c r="E110" s="140"/>
      <c r="F110" s="141" t="s">
        <v>145</v>
      </c>
      <c r="G110" s="141"/>
      <c r="H110" s="141"/>
    </row>
    <row r="111" spans="1:10">
      <c r="A111" s="62" t="s">
        <v>146</v>
      </c>
      <c r="B111" s="62"/>
      <c r="C111" s="62"/>
      <c r="D111" s="62"/>
      <c r="E111" s="62"/>
      <c r="F111" s="142">
        <v>18200</v>
      </c>
      <c r="G111" s="142"/>
      <c r="H111" s="142"/>
    </row>
    <row r="112" spans="1:10" s="15" customFormat="1">
      <c r="A112" s="62" t="s">
        <v>147</v>
      </c>
      <c r="B112" s="62"/>
      <c r="C112" s="62"/>
      <c r="D112" s="62"/>
      <c r="E112" s="62"/>
      <c r="F112" s="143">
        <v>6000</v>
      </c>
      <c r="G112" s="143"/>
      <c r="H112" s="143"/>
    </row>
    <row r="113" spans="1:14" s="15" customFormat="1">
      <c r="A113" s="62" t="s">
        <v>148</v>
      </c>
      <c r="B113" s="62"/>
      <c r="C113" s="62"/>
      <c r="D113" s="62"/>
      <c r="E113" s="62"/>
      <c r="F113" s="143">
        <v>30000</v>
      </c>
      <c r="G113" s="143"/>
      <c r="H113" s="143"/>
    </row>
    <row r="114" spans="1:14" s="15" customFormat="1" hidden="1">
      <c r="A114" s="62" t="s">
        <v>149</v>
      </c>
      <c r="B114" s="62"/>
      <c r="C114" s="62"/>
      <c r="D114" s="62"/>
      <c r="E114" s="62"/>
      <c r="F114" s="143">
        <v>3000</v>
      </c>
      <c r="G114" s="143"/>
      <c r="H114" s="143"/>
    </row>
    <row r="115" spans="1:14" s="15" customFormat="1">
      <c r="A115" s="62" t="s">
        <v>150</v>
      </c>
      <c r="B115" s="62"/>
      <c r="C115" s="62"/>
      <c r="D115" s="62"/>
      <c r="E115" s="62"/>
      <c r="F115" s="143">
        <v>10000</v>
      </c>
      <c r="G115" s="143"/>
      <c r="H115" s="143"/>
    </row>
    <row r="116" spans="1:14" s="15" customFormat="1">
      <c r="A116" s="62" t="s">
        <v>151</v>
      </c>
      <c r="B116" s="62"/>
      <c r="C116" s="62"/>
      <c r="D116" s="62"/>
      <c r="E116" s="62"/>
      <c r="F116" s="143">
        <v>3000</v>
      </c>
      <c r="G116" s="143"/>
      <c r="H116" s="143"/>
    </row>
    <row r="117" spans="1:14" s="15" customFormat="1">
      <c r="A117" s="62" t="s">
        <v>152</v>
      </c>
      <c r="B117" s="62"/>
      <c r="C117" s="62"/>
      <c r="D117" s="62"/>
      <c r="E117" s="62"/>
      <c r="F117" s="143">
        <v>35000</v>
      </c>
      <c r="G117" s="143"/>
      <c r="H117" s="143"/>
    </row>
    <row r="118" spans="1:14">
      <c r="A118" s="62" t="s">
        <v>153</v>
      </c>
      <c r="B118" s="62"/>
      <c r="C118" s="62"/>
      <c r="D118" s="62"/>
      <c r="E118" s="62"/>
      <c r="F118" s="143">
        <v>800000</v>
      </c>
      <c r="G118" s="143"/>
      <c r="H118" s="143"/>
    </row>
    <row r="119" spans="1:14" s="16" customFormat="1">
      <c r="A119" s="71" t="s">
        <v>154</v>
      </c>
      <c r="B119" s="71"/>
      <c r="C119" s="71"/>
      <c r="D119" s="71"/>
      <c r="E119" s="71"/>
      <c r="F119" s="143">
        <f>F111*0.8</f>
        <v>14560</v>
      </c>
      <c r="G119" s="143"/>
      <c r="H119" s="143"/>
    </row>
    <row r="120" spans="1:14" s="17" customFormat="1">
      <c r="A120" s="144" t="s">
        <v>155</v>
      </c>
      <c r="B120" s="144"/>
      <c r="C120" s="144"/>
      <c r="D120" s="144"/>
      <c r="E120" s="144"/>
      <c r="F120" s="144"/>
      <c r="G120" s="144"/>
      <c r="H120" s="144"/>
    </row>
    <row r="121" spans="1:14" s="17" customFormat="1" ht="15.75" customHeight="1">
      <c r="A121" s="145" t="s">
        <v>156</v>
      </c>
      <c r="B121" s="145"/>
      <c r="C121" s="146" t="s">
        <v>157</v>
      </c>
      <c r="D121" s="146"/>
      <c r="E121" s="147" t="s">
        <v>158</v>
      </c>
      <c r="F121" s="147"/>
      <c r="G121" s="145" t="s">
        <v>159</v>
      </c>
      <c r="H121" s="145"/>
    </row>
    <row r="122" spans="1:14" s="17" customFormat="1">
      <c r="A122" s="148" t="s">
        <v>160</v>
      </c>
      <c r="B122" s="148"/>
      <c r="C122" s="149">
        <f>COUNT(D133:D138)*10+COUNT(D140:D143,D145)</f>
        <v>65</v>
      </c>
      <c r="D122" s="149"/>
      <c r="E122" s="150">
        <f>SUM(D133:D138)*10+SUM(D140:D143,D145)</f>
        <v>40154.563799999996</v>
      </c>
      <c r="F122" s="150"/>
      <c r="G122" s="150">
        <f>SUM(F133:F138)*10+SUM(F140:F143,F145)</f>
        <v>62239.57389</v>
      </c>
      <c r="H122" s="150"/>
    </row>
    <row r="123" spans="1:14" s="17" customFormat="1">
      <c r="A123" s="148" t="s">
        <v>161</v>
      </c>
      <c r="B123" s="148"/>
      <c r="C123" s="149">
        <f>COUNT(D149:D153)*10+COUNT(D155:D158)</f>
        <v>54</v>
      </c>
      <c r="D123" s="149"/>
      <c r="E123" s="150">
        <f>SUM(D149:D153)*10+SUM(D155:D158)</f>
        <v>24831.902159999998</v>
      </c>
      <c r="F123" s="150"/>
      <c r="G123" s="150">
        <f>SUM(F149:F153)*10+SUM(F155:F158)</f>
        <v>38489.448347999991</v>
      </c>
      <c r="H123" s="150"/>
    </row>
    <row r="124" spans="1:14" s="17" customFormat="1">
      <c r="A124" s="148" t="s">
        <v>162</v>
      </c>
      <c r="B124" s="148"/>
      <c r="C124" s="149">
        <f>COUNT(D163:D166)*8+COUNT(D168:D169,D171)</f>
        <v>35</v>
      </c>
      <c r="D124" s="149"/>
      <c r="E124" s="150">
        <f>SUM(D163:D166)*8+SUM(D168:D169,D171)</f>
        <v>18047.998799999998</v>
      </c>
      <c r="F124" s="150"/>
      <c r="G124" s="150">
        <f>SUM(F163:F166)*8+SUM(F168:F169,F171)</f>
        <v>27974.398139999998</v>
      </c>
      <c r="H124" s="150"/>
    </row>
    <row r="125" spans="1:14" s="17" customFormat="1">
      <c r="A125" s="144" t="s">
        <v>163</v>
      </c>
      <c r="B125" s="144"/>
      <c r="C125" s="146">
        <f>SUM(C122:C124)</f>
        <v>154</v>
      </c>
      <c r="D125" s="146"/>
      <c r="E125" s="151">
        <f>SUM(E122:E124)</f>
        <v>83034.464759999988</v>
      </c>
      <c r="F125" s="147"/>
      <c r="G125" s="145">
        <f>SUM(G122:G124)</f>
        <v>128703.42037799998</v>
      </c>
      <c r="H125" s="145"/>
    </row>
    <row r="126" spans="1:14" s="16" customFormat="1">
      <c r="A126" s="55" t="s">
        <v>164</v>
      </c>
      <c r="B126" s="55"/>
      <c r="C126" s="55"/>
      <c r="D126" s="55"/>
      <c r="E126" s="55"/>
      <c r="F126" s="55"/>
      <c r="G126" s="55"/>
      <c r="H126" s="55"/>
    </row>
    <row r="127" spans="1:14" s="18" customFormat="1">
      <c r="A127" s="152"/>
      <c r="B127" s="153"/>
      <c r="C127" s="153"/>
      <c r="D127" s="153"/>
      <c r="E127" s="153"/>
      <c r="F127" s="153"/>
      <c r="G127" s="153"/>
      <c r="H127" s="154"/>
      <c r="I127" s="47"/>
      <c r="N127" s="47"/>
    </row>
    <row r="128" spans="1:14" ht="47.25" customHeight="1">
      <c r="A128" s="177" t="s">
        <v>165</v>
      </c>
      <c r="B128" s="177" t="s">
        <v>166</v>
      </c>
      <c r="C128" s="182" t="s">
        <v>167</v>
      </c>
      <c r="D128" s="182" t="s">
        <v>168</v>
      </c>
      <c r="E128" s="184" t="s">
        <v>169</v>
      </c>
      <c r="F128" s="34" t="s">
        <v>170</v>
      </c>
      <c r="G128" s="177" t="s">
        <v>171</v>
      </c>
      <c r="H128" s="178"/>
      <c r="I128" s="47"/>
    </row>
    <row r="129" spans="1:14" s="18" customFormat="1">
      <c r="A129" s="179"/>
      <c r="B129" s="179"/>
      <c r="C129" s="183"/>
      <c r="D129" s="183"/>
      <c r="E129" s="185"/>
      <c r="F129" s="48">
        <v>0.55000000000000004</v>
      </c>
      <c r="G129" s="179"/>
      <c r="H129" s="180"/>
      <c r="I129" s="47"/>
    </row>
    <row r="130" spans="1:14" s="18" customFormat="1">
      <c r="A130" s="155" t="s">
        <v>172</v>
      </c>
      <c r="B130" s="156"/>
      <c r="C130" s="156"/>
      <c r="D130" s="156"/>
      <c r="E130" s="156"/>
      <c r="F130" s="156"/>
      <c r="G130" s="156"/>
      <c r="H130" s="157"/>
      <c r="J130" s="47"/>
    </row>
    <row r="131" spans="1:14" s="18" customFormat="1">
      <c r="A131" s="155" t="s">
        <v>173</v>
      </c>
      <c r="B131" s="156"/>
      <c r="C131" s="156"/>
      <c r="D131" s="156"/>
      <c r="E131" s="156"/>
      <c r="F131" s="156"/>
      <c r="G131" s="156"/>
      <c r="H131" s="157"/>
      <c r="J131" s="47"/>
    </row>
    <row r="132" spans="1:14" s="18" customFormat="1">
      <c r="A132" s="155" t="s">
        <v>174</v>
      </c>
      <c r="B132" s="156"/>
      <c r="C132" s="156"/>
      <c r="D132" s="156"/>
      <c r="E132" s="156"/>
      <c r="F132" s="156"/>
      <c r="G132" s="156"/>
      <c r="H132" s="157"/>
      <c r="I132" s="47"/>
    </row>
    <row r="133" spans="1:14" s="18" customFormat="1" ht="15.75" customHeight="1">
      <c r="A133" s="152" t="str">
        <f ca="1">(SUMPRODUCT(MID(0&amp;(LEFT(A132,SUM(LEN(A132)-LEN(SUBSTITUTE(A132,{"0","1","2"},""))))),LARGE(INDEX(ISNUMBER(--MID((LEFT(A132,SUM(LEN(A132)-LEN(SUBSTITUTE(A132,{"0","1","2"},""))))),ROW(INDIRECT("1:"&amp;LEN((LEFT(A132,SUM(LEN(A132)-LEN(SUBSTITUTE(A132,{"0","1","2"},"")))))))),1))*ROW(INDIRECT("1:"&amp;LEN((LEFT(A132,SUM(LEN(A132)-LEN(SUBSTITUTE(A132,{"0","1","2"},"")))))))),0),ROW(INDIRECT("1:"&amp;LEN((LEFT(A132,SUM(LEN(A132)-LEN(SUBSTITUTE(A132,{"0","1","2"},"")))))))))+1,1)*10^ROW(INDIRECT("1:"&amp;LEN((LEFT(A132,SUM(LEN(A132)-LEN(SUBSTITUTE(A132,{"0","1","2"},""))))))))/10))*100+1&amp;""&amp;" to "&amp;""&amp;(SUMPRODUCT(MID(0&amp;(--TRIM(RIGHT(SUBSTITUTE(LEFT(A132,_xlfn.AGGREGATE(16,6,FIND({0,1,2,3,4,5,6,7,8,9},A132,ROW(INDIRECT("1:"&amp;LEN(A132)))),1))," ",REPT(" ",LEN(A132))),LEN(A132)))),LARGE(INDEX(ISNUMBER(--MID((--TRIM(RIGHT(SUBSTITUTE(LEFT(A132,_xlfn.AGGREGATE(16,6,FIND({0,1,2,3,4,5,6,7,8,9},A132,ROW(INDIRECT("1:"&amp;LEN(A132)))),1))," ",REPT(" ",LEN(A132))),LEN(A132)))),ROW(INDIRECT("1:"&amp;LEN((--TRIM(RIGHT(SUBSTITUTE(LEFT(A132,_xlfn.AGGREGATE(16,6,FIND({0,1,2,3,4,5,6,7,8,9},A132,ROW(INDIRECT("1:"&amp;LEN(A132)))),1))," ",REPT(" ",LEN(A132))),LEN(A132))))))),1))*ROW(INDIRECT("1:"&amp;LEN((--TRIM(RIGHT(SUBSTITUTE(LEFT(A132,_xlfn.AGGREGATE(16,6,FIND({0,1,2,3,4,5,6,7,8,9},A132,ROW(INDIRECT("1:"&amp;LEN(A132)))),1))," ",REPT(" ",LEN(A132))),LEN(A132))))))),0),ROW(INDIRECT("1:"&amp;LEN((--TRIM(RIGHT(SUBSTITUTE(LEFT(A132,_xlfn.AGGREGATE(16,6,FIND({0,1,2,3,4,5,6,7,8,9},A132,ROW(INDIRECT("1:"&amp;LEN(A132)))),1))," ",REPT(" ",LEN(A132))),LEN(A132))))))))+1,1)*10^ROW(INDIRECT("1:"&amp;LEN((--TRIM(RIGHT(SUBSTITUTE(LEFT(A132,_xlfn.AGGREGATE(16,6,FIND({0,1,2,3,4,5,6,7,8,9},A132,ROW(INDIRECT("1:"&amp;LEN(A132)))),1))," ",REPT(" ",LEN(A132))),LEN(A132)))))))/10))*100+1</f>
        <v>101 to 1101</v>
      </c>
      <c r="B133" s="154"/>
      <c r="C133" s="49" t="s">
        <v>175</v>
      </c>
      <c r="D133" s="49">
        <f>58.83*10.764</f>
        <v>633.24611999999991</v>
      </c>
      <c r="E133" s="49">
        <v>0</v>
      </c>
      <c r="F133" s="49">
        <f t="shared" ref="F133:F138" si="0">D133*(($F$129)+1)+(IF(E133&lt;101,E133,IF(E133&lt;201,E133/2,IF(E133&lt;=301,E133/3,E133/4))))</f>
        <v>981.53148599999986</v>
      </c>
      <c r="G133" s="186" t="str">
        <f>A132</f>
        <v>1st to 7th, 9th to 11th Floor</v>
      </c>
      <c r="H133" s="187"/>
      <c r="I133" s="47"/>
    </row>
    <row r="134" spans="1:14" s="18" customFormat="1" ht="15.75" customHeight="1">
      <c r="A134" s="152" t="str">
        <f ca="1">(SUMPRODUCT(MID(0&amp;(LEFT(A133,SUM(LEN(A133)-LEN(SUBSTITUTE(A133,{"0","1","2"},""))))),LARGE(INDEX(ISNUMBER(--MID((LEFT(A133,SUM(LEN(A133)-LEN(SUBSTITUTE(A133,{"0","1","2"},""))))),ROW(INDIRECT("1:"&amp;LEN((LEFT(A133,SUM(LEN(A133)-LEN(SUBSTITUTE(A133,{"0","1","2"},"")))))))),1))*ROW(INDIRECT("1:"&amp;LEN((LEFT(A133,SUM(LEN(A133)-LEN(SUBSTITUTE(A133,{"0","1","2"},"")))))))),0),ROW(INDIRECT("1:"&amp;LEN((LEFT(A133,SUM(LEN(A133)-LEN(SUBSTITUTE(A133,{"0","1","2"},"")))))))))+1,1)*10^ROW(INDIRECT("1:"&amp;LEN((LEFT(A133,SUM(LEN(A133)-LEN(SUBSTITUTE(A133,{"0","1","2"},""))))))))/10))*1+1&amp;""&amp;" to "&amp;""&amp;(SUMPRODUCT(MID(0&amp;(--TRIM(RIGHT(SUBSTITUTE(LEFT(A133,_xlfn.AGGREGATE(16,6,FIND({0,1,2,3,4,5,6,7,8,9},A133,ROW(INDIRECT("1:"&amp;LEN(A133)))),1))," ",REPT(" ",LEN(A133))),LEN(A133)))),LARGE(INDEX(ISNUMBER(--MID((--TRIM(RIGHT(SUBSTITUTE(LEFT(A133,_xlfn.AGGREGATE(16,6,FIND({0,1,2,3,4,5,6,7,8,9},A133,ROW(INDIRECT("1:"&amp;LEN(A133)))),1))," ",REPT(" ",LEN(A133))),LEN(A133)))),ROW(INDIRECT("1:"&amp;LEN((--TRIM(RIGHT(SUBSTITUTE(LEFT(A133,_xlfn.AGGREGATE(16,6,FIND({0,1,2,3,4,5,6,7,8,9},A133,ROW(INDIRECT("1:"&amp;LEN(A133)))),1))," ",REPT(" ",LEN(A133))),LEN(A133))))))),1))*ROW(INDIRECT("1:"&amp;LEN((--TRIM(RIGHT(SUBSTITUTE(LEFT(A133,_xlfn.AGGREGATE(16,6,FIND({0,1,2,3,4,5,6,7,8,9},A133,ROW(INDIRECT("1:"&amp;LEN(A133)))),1))," ",REPT(" ",LEN(A133))),LEN(A133))))))),0),ROW(INDIRECT("1:"&amp;LEN((--TRIM(RIGHT(SUBSTITUTE(LEFT(A133,_xlfn.AGGREGATE(16,6,FIND({0,1,2,3,4,5,6,7,8,9},A133,ROW(INDIRECT("1:"&amp;LEN(A133)))),1))," ",REPT(" ",LEN(A133))),LEN(A133))))))))+1,1)*10^ROW(INDIRECT("1:"&amp;LEN((--TRIM(RIGHT(SUBSTITUTE(LEFT(A133,_xlfn.AGGREGATE(16,6,FIND({0,1,2,3,4,5,6,7,8,9},A133,ROW(INDIRECT("1:"&amp;LEN(A133)))),1))," ",REPT(" ",LEN(A133))),LEN(A133)))))))/10))*1+1</f>
        <v>102 to 1102</v>
      </c>
      <c r="B134" s="154"/>
      <c r="C134" s="49" t="s">
        <v>176</v>
      </c>
      <c r="D134" s="49">
        <f>34.28*10.764</f>
        <v>368.98991999999998</v>
      </c>
      <c r="E134" s="49">
        <v>0</v>
      </c>
      <c r="F134" s="49">
        <f t="shared" si="0"/>
        <v>571.93437600000004</v>
      </c>
      <c r="G134" s="188"/>
      <c r="H134" s="189"/>
      <c r="I134" s="47"/>
    </row>
    <row r="135" spans="1:14" s="18" customFormat="1" ht="15.75" customHeight="1">
      <c r="A135" s="152" t="str">
        <f ca="1">(SUMPRODUCT(MID(0&amp;(LEFT(A134,SUM(LEN(A134)-LEN(SUBSTITUTE(A134,{"0","1","2"},""))))),LARGE(INDEX(ISNUMBER(--MID((LEFT(A134,SUM(LEN(A134)-LEN(SUBSTITUTE(A134,{"0","1","2"},""))))),ROW(INDIRECT("1:"&amp;LEN((LEFT(A134,SUM(LEN(A134)-LEN(SUBSTITUTE(A134,{"0","1","2"},"")))))))),1))*ROW(INDIRECT("1:"&amp;LEN((LEFT(A134,SUM(LEN(A134)-LEN(SUBSTITUTE(A134,{"0","1","2"},"")))))))),0),ROW(INDIRECT("1:"&amp;LEN((LEFT(A134,SUM(LEN(A134)-LEN(SUBSTITUTE(A134,{"0","1","2"},"")))))))))+1,1)*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",LEN(A134))),LEN(A134)))),LARGE(INDEX(ISNUMBER(--MID((--TRIM(RIGHT(SUBSTITUTE(LEFT(A134,_xlfn.AGGREGATE(16,6,FIND({0,1,2,3,4,5,6,7,8,9},A134,ROW(INDIRECT("1:"&amp;LEN(A134)))),1))," ",REPT(" ",LEN(A134))),LEN(A134)))),ROW(INDIRECT("1:"&amp;LEN((--TRIM(RIGHT(SUBSTITUTE(LEFT(A134,_xlfn.AGGREGATE(16,6,FIND({0,1,2,3,4,5,6,7,8,9},A134,ROW(INDIRECT("1:"&amp;LEN(A134)))),1))," ",REPT(" ",LEN(A134))),LEN(A134))))))),1))*ROW(INDIRECT("1:"&amp;LEN((--TRIM(RIGHT(SUBSTITUTE(LEFT(A134,_xlfn.AGGREGATE(16,6,FIND({0,1,2,3,4,5,6,7,8,9},A134,ROW(INDIRECT("1:"&amp;LEN(A134)))),1))," ",REPT(" ",LEN(A134))),LEN(A134))))))),0),ROW(INDIRECT("1:"&amp;LEN((--TRIM(RIGHT(SUBSTITUTE(LEFT(A134,_xlfn.AGGREGATE(16,6,FIND({0,1,2,3,4,5,6,7,8,9},A134,ROW(INDIRECT("1:"&amp;LEN(A134)))),1))," ",REPT(" ",LEN(A134))),LEN(A134))))))))+1,1)*10^ROW(INDIRECT("1:"&amp;LEN((--TRIM(RIGHT(SUBSTITUTE(LEFT(A134,_xlfn.AGGREGATE(16,6,FIND({0,1,2,3,4,5,6,7,8,9},A134,ROW(INDIRECT("1:"&amp;LEN(A134)))),1))," ",REPT(" ",LEN(A134))),LEN(A134)))))))/10))*1+1</f>
        <v>103 to 1103</v>
      </c>
      <c r="B135" s="154"/>
      <c r="C135" s="49" t="s">
        <v>175</v>
      </c>
      <c r="D135" s="49">
        <f>56.36*10.764</f>
        <v>606.65904</v>
      </c>
      <c r="E135" s="49">
        <v>0</v>
      </c>
      <c r="F135" s="49">
        <f t="shared" si="0"/>
        <v>940.32151199999998</v>
      </c>
      <c r="G135" s="188"/>
      <c r="H135" s="189"/>
      <c r="I135" s="47"/>
    </row>
    <row r="136" spans="1:14" s="18" customFormat="1" ht="15.75" customHeight="1">
      <c r="A136" s="152" t="str">
        <f ca="1">(SUMPRODUCT(MID(0&amp;(LEFT(A135,SUM(LEN(A135)-LEN(SUBSTITUTE(A135,{"0","1","2"},""))))),LARGE(INDEX(ISNUMBER(--MID((LEFT(A135,SUM(LEN(A135)-LEN(SUBSTITUTE(A135,{"0","1","2"},""))))),ROW(INDIRECT("1:"&amp;LEN((LEFT(A135,SUM(LEN(A135)-LEN(SUBSTITUTE(A135,{"0","1","2"},"")))))))),1))*ROW(INDIRECT("1:"&amp;LEN((LEFT(A135,SUM(LEN(A135)-LEN(SUBSTITUTE(A135,{"0","1","2"},"")))))))),0),ROW(INDIRECT("1:"&amp;LEN((LEFT(A135,SUM(LEN(A135)-LEN(SUBSTITUTE(A135,{"0","1","2"},"")))))))))+1,1)*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",LEN(A135))),LEN(A135)))),LARGE(INDEX(ISNUMBER(--MID((--TRIM(RIGHT(SUBSTITUTE(LEFT(A135,_xlfn.AGGREGATE(16,6,FIND({0,1,2,3,4,5,6,7,8,9},A135,ROW(INDIRECT("1:"&amp;LEN(A135)))),1))," ",REPT(" ",LEN(A135))),LEN(A135)))),ROW(INDIRECT("1:"&amp;LEN((--TRIM(RIGHT(SUBSTITUTE(LEFT(A135,_xlfn.AGGREGATE(16,6,FIND({0,1,2,3,4,5,6,7,8,9},A135,ROW(INDIRECT("1:"&amp;LEN(A135)))),1))," ",REPT(" ",LEN(A135))),LEN(A135))))))),1))*ROW(INDIRECT("1:"&amp;LEN((--TRIM(RIGHT(SUBSTITUTE(LEFT(A135,_xlfn.AGGREGATE(16,6,FIND({0,1,2,3,4,5,6,7,8,9},A135,ROW(INDIRECT("1:"&amp;LEN(A135)))),1))," ",REPT(" ",LEN(A135))),LEN(A135))))))),0),ROW(INDIRECT("1:"&amp;LEN((--TRIM(RIGHT(SUBSTITUTE(LEFT(A135,_xlfn.AGGREGATE(16,6,FIND({0,1,2,3,4,5,6,7,8,9},A135,ROW(INDIRECT("1:"&amp;LEN(A135)))),1))," ",REPT(" ",LEN(A135))),LEN(A135))))))))+1,1)*10^ROW(INDIRECT("1:"&amp;LEN((--TRIM(RIGHT(SUBSTITUTE(LEFT(A135,_xlfn.AGGREGATE(16,6,FIND({0,1,2,3,4,5,6,7,8,9},A135,ROW(INDIRECT("1:"&amp;LEN(A135)))),1))," ",REPT(" ",LEN(A135))),LEN(A135)))))))/10))*1+1</f>
        <v>104 to 1104</v>
      </c>
      <c r="B136" s="154"/>
      <c r="C136" s="49" t="s">
        <v>175</v>
      </c>
      <c r="D136" s="49">
        <f>55.08*10.764</f>
        <v>592.8811199999999</v>
      </c>
      <c r="E136" s="49">
        <v>0</v>
      </c>
      <c r="F136" s="49">
        <f t="shared" si="0"/>
        <v>918.96573599999988</v>
      </c>
      <c r="G136" s="188"/>
      <c r="H136" s="189"/>
      <c r="I136" s="47"/>
    </row>
    <row r="137" spans="1:14" s="18" customFormat="1" ht="15.75" customHeight="1">
      <c r="A137" s="152" t="str">
        <f ca="1">(SUMPRODUCT(MID(0&amp;(LEFT(A136,SUM(LEN(A136)-LEN(SUBSTITUTE(A136,{"0","1","2"},""))))),LARGE(INDEX(ISNUMBER(--MID((LEFT(A136,SUM(LEN(A136)-LEN(SUBSTITUTE(A136,{"0","1","2"},""))))),ROW(INDIRECT("1:"&amp;LEN((LEFT(A136,SUM(LEN(A136)-LEN(SUBSTITUTE(A136,{"0","1","2"},"")))))))),1))*ROW(INDIRECT("1:"&amp;LEN((LEFT(A136,SUM(LEN(A136)-LEN(SUBSTITUTE(A136,{"0","1","2"},"")))))))),0),ROW(INDIRECT("1:"&amp;LEN((LEFT(A136,SUM(LEN(A136)-LEN(SUBSTITUTE(A136,{"0","1","2"},"")))))))))+1,1)*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",LEN(A136))),LEN(A136)))),LARGE(INDEX(ISNUMBER(--MID((--TRIM(RIGHT(SUBSTITUTE(LEFT(A136,_xlfn.AGGREGATE(16,6,FIND({0,1,2,3,4,5,6,7,8,9},A136,ROW(INDIRECT("1:"&amp;LEN(A136)))),1))," ",REPT(" ",LEN(A136))),LEN(A136)))),ROW(INDIRECT("1:"&amp;LEN((--TRIM(RIGHT(SUBSTITUTE(LEFT(A136,_xlfn.AGGREGATE(16,6,FIND({0,1,2,3,4,5,6,7,8,9},A136,ROW(INDIRECT("1:"&amp;LEN(A136)))),1))," ",REPT(" ",LEN(A136))),LEN(A136))))))),1))*ROW(INDIRECT("1:"&amp;LEN((--TRIM(RIGHT(SUBSTITUTE(LEFT(A136,_xlfn.AGGREGATE(16,6,FIND({0,1,2,3,4,5,6,7,8,9},A136,ROW(INDIRECT("1:"&amp;LEN(A136)))),1))," ",REPT(" ",LEN(A136))),LEN(A136))))))),0),ROW(INDIRECT("1:"&amp;LEN((--TRIM(RIGHT(SUBSTITUTE(LEFT(A136,_xlfn.AGGREGATE(16,6,FIND({0,1,2,3,4,5,6,7,8,9},A136,ROW(INDIRECT("1:"&amp;LEN(A136)))),1))," ",REPT(" ",LEN(A136))),LEN(A136))))))))+1,1)*10^ROW(INDIRECT("1:"&amp;LEN((--TRIM(RIGHT(SUBSTITUTE(LEFT(A136,_xlfn.AGGREGATE(16,6,FIND({0,1,2,3,4,5,6,7,8,9},A136,ROW(INDIRECT("1:"&amp;LEN(A136)))),1))," ",REPT(" ",LEN(A136))),LEN(A136)))))))/10))*1+1</f>
        <v>105 to 1105</v>
      </c>
      <c r="B137" s="154"/>
      <c r="C137" s="49" t="s">
        <v>175</v>
      </c>
      <c r="D137" s="49">
        <f>58.91*10.764</f>
        <v>634.10723999999993</v>
      </c>
      <c r="E137" s="49">
        <v>0</v>
      </c>
      <c r="F137" s="49">
        <f t="shared" si="0"/>
        <v>982.86622199999988</v>
      </c>
      <c r="G137" s="188"/>
      <c r="H137" s="189"/>
      <c r="I137" s="47"/>
    </row>
    <row r="138" spans="1:14" s="18" customFormat="1" ht="15.75" customHeight="1">
      <c r="A138" s="152" t="str">
        <f ca="1">(SUMPRODUCT(MID(0&amp;(LEFT(A137,SUM(LEN(A137)-LEN(SUBSTITUTE(A137,{"0","1","2"},""))))),LARGE(INDEX(ISNUMBER(--MID((LEFT(A137,SUM(LEN(A137)-LEN(SUBSTITUTE(A137,{"0","1","2"},""))))),ROW(INDIRECT("1:"&amp;LEN((LEFT(A137,SUM(LEN(A137)-LEN(SUBSTITUTE(A137,{"0","1","2"},"")))))))),1))*ROW(INDIRECT("1:"&amp;LEN((LEFT(A137,SUM(LEN(A137)-LEN(SUBSTITUTE(A137,{"0","1","2"},"")))))))),0),ROW(INDIRECT("1:"&amp;LEN((LEFT(A137,SUM(LEN(A137)-LEN(SUBSTITUTE(A137,{"0","1","2"},"")))))))))+1,1)*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",LEN(A137))),LEN(A137)))),LARGE(INDEX(ISNUMBER(--MID((--TRIM(RIGHT(SUBSTITUTE(LEFT(A137,_xlfn.AGGREGATE(16,6,FIND({0,1,2,3,4,5,6,7,8,9},A137,ROW(INDIRECT("1:"&amp;LEN(A137)))),1))," ",REPT(" ",LEN(A137))),LEN(A137)))),ROW(INDIRECT("1:"&amp;LEN((--TRIM(RIGHT(SUBSTITUTE(LEFT(A137,_xlfn.AGGREGATE(16,6,FIND({0,1,2,3,4,5,6,7,8,9},A137,ROW(INDIRECT("1:"&amp;LEN(A137)))),1))," ",REPT(" ",LEN(A137))),LEN(A137))))))),1))*ROW(INDIRECT("1:"&amp;LEN((--TRIM(RIGHT(SUBSTITUTE(LEFT(A137,_xlfn.AGGREGATE(16,6,FIND({0,1,2,3,4,5,6,7,8,9},A137,ROW(INDIRECT("1:"&amp;LEN(A137)))),1))," ",REPT(" ",LEN(A137))),LEN(A137))))))),0),ROW(INDIRECT("1:"&amp;LEN((--TRIM(RIGHT(SUBSTITUTE(LEFT(A137,_xlfn.AGGREGATE(16,6,FIND({0,1,2,3,4,5,6,7,8,9},A137,ROW(INDIRECT("1:"&amp;LEN(A137)))),1))," ",REPT(" ",LEN(A137))),LEN(A137))))))))+1,1)*10^ROW(INDIRECT("1:"&amp;LEN((--TRIM(RIGHT(SUBSTITUTE(LEFT(A137,_xlfn.AGGREGATE(16,6,FIND({0,1,2,3,4,5,6,7,8,9},A137,ROW(INDIRECT("1:"&amp;LEN(A137)))),1))," ",REPT(" ",LEN(A137))),LEN(A137)))))))/10))*1+1</f>
        <v>106 to 1106</v>
      </c>
      <c r="B138" s="154"/>
      <c r="C138" s="49" t="s">
        <v>177</v>
      </c>
      <c r="D138" s="49">
        <f>80.76*10.764</f>
        <v>869.30064000000004</v>
      </c>
      <c r="E138" s="49">
        <v>0</v>
      </c>
      <c r="F138" s="49">
        <f t="shared" si="0"/>
        <v>1347.4159920000002</v>
      </c>
      <c r="G138" s="190"/>
      <c r="H138" s="191"/>
      <c r="I138" s="47">
        <f>26000000/F138</f>
        <v>19296.19371773049</v>
      </c>
    </row>
    <row r="139" spans="1:14" s="18" customFormat="1">
      <c r="A139" s="158" t="s">
        <v>178</v>
      </c>
      <c r="B139" s="158"/>
      <c r="C139" s="158"/>
      <c r="D139" s="158"/>
      <c r="E139" s="158"/>
      <c r="F139" s="158"/>
      <c r="G139" s="158"/>
      <c r="H139" s="158"/>
      <c r="I139" s="47"/>
      <c r="L139" s="159"/>
      <c r="M139" s="159"/>
    </row>
    <row r="140" spans="1:14" s="18" customFormat="1" ht="15.75" customHeight="1">
      <c r="A140" s="160">
        <f>LEFT(A139,SUM(LEN(A139)-LEN(SUBSTITUTE(A139,{"0","1","2","3","4","5","6","7","8","9"},""))))*100+1</f>
        <v>801</v>
      </c>
      <c r="B140" s="160"/>
      <c r="C140" s="49" t="s">
        <v>175</v>
      </c>
      <c r="D140" s="49">
        <f>58.83*10.764</f>
        <v>633.24611999999991</v>
      </c>
      <c r="E140" s="49">
        <v>0</v>
      </c>
      <c r="F140" s="49">
        <f t="shared" ref="F140:F143" si="1">D140*(($F$129)+1)+(IF(E140&lt;101,E140,IF(E140&lt;201,E140/2,IF(E140&lt;=301,E140/3,E140/4))))</f>
        <v>981.53148599999986</v>
      </c>
      <c r="G140" s="186" t="str">
        <f>A139</f>
        <v>8th Floor (Part Refuge Area)</v>
      </c>
      <c r="H140" s="187"/>
      <c r="I140" s="47"/>
      <c r="N140" s="47"/>
    </row>
    <row r="141" spans="1:14" s="18" customFormat="1" ht="15.75" customHeight="1">
      <c r="A141" s="160">
        <f>A140+1</f>
        <v>802</v>
      </c>
      <c r="B141" s="160"/>
      <c r="C141" s="49" t="s">
        <v>176</v>
      </c>
      <c r="D141" s="49">
        <f>34.28*10.764</f>
        <v>368.98991999999998</v>
      </c>
      <c r="E141" s="49">
        <v>0</v>
      </c>
      <c r="F141" s="49">
        <f t="shared" si="1"/>
        <v>571.93437600000004</v>
      </c>
      <c r="G141" s="188"/>
      <c r="H141" s="189"/>
      <c r="I141" s="47"/>
      <c r="N141" s="47"/>
    </row>
    <row r="142" spans="1:14" s="18" customFormat="1" ht="15.75" customHeight="1">
      <c r="A142" s="160">
        <f>A141+1</f>
        <v>803</v>
      </c>
      <c r="B142" s="160"/>
      <c r="C142" s="49" t="s">
        <v>175</v>
      </c>
      <c r="D142" s="49">
        <f>56.36*10.764</f>
        <v>606.65904</v>
      </c>
      <c r="E142" s="49">
        <v>0</v>
      </c>
      <c r="F142" s="49">
        <f t="shared" si="1"/>
        <v>940.32151199999998</v>
      </c>
      <c r="G142" s="188"/>
      <c r="H142" s="189"/>
      <c r="I142" s="47"/>
      <c r="N142" s="47"/>
    </row>
    <row r="143" spans="1:14" s="18" customFormat="1" ht="15.75" customHeight="1">
      <c r="A143" s="160">
        <f>A142+1</f>
        <v>804</v>
      </c>
      <c r="B143" s="160"/>
      <c r="C143" s="49" t="s">
        <v>175</v>
      </c>
      <c r="D143" s="49">
        <f>58.02*10.764</f>
        <v>624.52728000000002</v>
      </c>
      <c r="E143" s="49">
        <v>0</v>
      </c>
      <c r="F143" s="49">
        <f t="shared" si="1"/>
        <v>968.01728400000002</v>
      </c>
      <c r="G143" s="188"/>
      <c r="H143" s="189"/>
      <c r="I143" s="47"/>
      <c r="N143" s="47"/>
    </row>
    <row r="144" spans="1:14" s="18" customFormat="1" ht="15.75" customHeight="1">
      <c r="A144" s="160">
        <f>A143+1</f>
        <v>805</v>
      </c>
      <c r="B144" s="160"/>
      <c r="C144" s="152" t="s">
        <v>179</v>
      </c>
      <c r="D144" s="153"/>
      <c r="E144" s="153"/>
      <c r="F144" s="154"/>
      <c r="G144" s="188"/>
      <c r="H144" s="189"/>
      <c r="I144" s="47"/>
      <c r="N144" s="47"/>
    </row>
    <row r="145" spans="1:14" s="18" customFormat="1" ht="15.75" customHeight="1">
      <c r="A145" s="160">
        <f>A144+1</f>
        <v>806</v>
      </c>
      <c r="B145" s="160"/>
      <c r="C145" s="49" t="s">
        <v>177</v>
      </c>
      <c r="D145" s="49">
        <f>80.76*10.764</f>
        <v>869.30064000000004</v>
      </c>
      <c r="E145" s="49">
        <v>0</v>
      </c>
      <c r="F145" s="49">
        <f>D145*(($F$129)+1)+(IF(E145&lt;101,E145,IF(E145&lt;201,E145/2,IF(E145&lt;=301,E145/3,E145/4))))</f>
        <v>1347.4159920000002</v>
      </c>
      <c r="G145" s="190"/>
      <c r="H145" s="191"/>
      <c r="I145" s="47"/>
      <c r="N145" s="47"/>
    </row>
    <row r="146" spans="1:14" s="18" customFormat="1">
      <c r="A146" s="155" t="s">
        <v>180</v>
      </c>
      <c r="B146" s="156"/>
      <c r="C146" s="156"/>
      <c r="D146" s="156"/>
      <c r="E146" s="156"/>
      <c r="F146" s="156"/>
      <c r="G146" s="156"/>
      <c r="H146" s="157"/>
      <c r="J146" s="47"/>
    </row>
    <row r="147" spans="1:14" s="18" customFormat="1">
      <c r="A147" s="155" t="s">
        <v>173</v>
      </c>
      <c r="B147" s="156"/>
      <c r="C147" s="156"/>
      <c r="D147" s="156"/>
      <c r="E147" s="156"/>
      <c r="F147" s="156"/>
      <c r="G147" s="156"/>
      <c r="H147" s="157"/>
      <c r="J147" s="47"/>
    </row>
    <row r="148" spans="1:14" s="18" customFormat="1">
      <c r="A148" s="155" t="s">
        <v>174</v>
      </c>
      <c r="B148" s="156"/>
      <c r="C148" s="156"/>
      <c r="D148" s="156"/>
      <c r="E148" s="156"/>
      <c r="F148" s="156"/>
      <c r="G148" s="156"/>
      <c r="H148" s="157"/>
      <c r="I148" s="47"/>
    </row>
    <row r="149" spans="1:14" s="18" customFormat="1" ht="15.75" customHeight="1">
      <c r="A149" s="152" t="str">
        <f ca="1">(SUMPRODUCT(MID(0&amp;(LEFT(A148,SUM(LEN(A148)-LEN(SUBSTITUTE(A148,{"0","1","2"},""))))),LARGE(INDEX(ISNUMBER(--MID((LEFT(A148,SUM(LEN(A148)-LEN(SUBSTITUTE(A148,{"0","1","2"},""))))),ROW(INDIRECT("1:"&amp;LEN((LEFT(A148,SUM(LEN(A148)-LEN(SUBSTITUTE(A148,{"0","1","2"},"")))))))),1))*ROW(INDIRECT("1:"&amp;LEN((LEFT(A148,SUM(LEN(A148)-LEN(SUBSTITUTE(A148,{"0","1","2"},"")))))))),0),ROW(INDIRECT("1:"&amp;LEN((LEFT(A148,SUM(LEN(A148)-LEN(SUBSTITUTE(A148,{"0","1","2"},"")))))))))+1,1)*10^ROW(INDIRECT("1:"&amp;LEN((LEFT(A148,SUM(LEN(A148)-LEN(SUBSTITUTE(A148,{"0","1","2"},""))))))))/10))*100+1&amp;""&amp;" to "&amp;""&amp;(SUMPRODUCT(MID(0&amp;(--TRIM(RIGHT(SUBSTITUTE(LEFT(A148,_xlfn.AGGREGATE(16,6,FIND({0,1,2,3,4,5,6,7,8,9},A148,ROW(INDIRECT("1:"&amp;LEN(A148)))),1))," ",REPT(" ",LEN(A148))),LEN(A148)))),LARGE(INDEX(ISNUMBER(--MID((--TRIM(RIGHT(SUBSTITUTE(LEFT(A148,_xlfn.AGGREGATE(16,6,FIND({0,1,2,3,4,5,6,7,8,9},A148,ROW(INDIRECT("1:"&amp;LEN(A148)))),1))," ",REPT(" ",LEN(A148))),LEN(A148)))),ROW(INDIRECT("1:"&amp;LEN((--TRIM(RIGHT(SUBSTITUTE(LEFT(A148,_xlfn.AGGREGATE(16,6,FIND({0,1,2,3,4,5,6,7,8,9},A148,ROW(INDIRECT("1:"&amp;LEN(A148)))),1))," ",REPT(" ",LEN(A148))),LEN(A148))))))),1))*ROW(INDIRECT("1:"&amp;LEN((--TRIM(RIGHT(SUBSTITUTE(LEFT(A148,_xlfn.AGGREGATE(16,6,FIND({0,1,2,3,4,5,6,7,8,9},A148,ROW(INDIRECT("1:"&amp;LEN(A148)))),1))," ",REPT(" ",LEN(A148))),LEN(A148))))))),0),ROW(INDIRECT("1:"&amp;LEN((--TRIM(RIGHT(SUBSTITUTE(LEFT(A148,_xlfn.AGGREGATE(16,6,FIND({0,1,2,3,4,5,6,7,8,9},A148,ROW(INDIRECT("1:"&amp;LEN(A148)))),1))," ",REPT(" ",LEN(A148))),LEN(A148))))))))+1,1)*10^ROW(INDIRECT("1:"&amp;LEN((--TRIM(RIGHT(SUBSTITUTE(LEFT(A148,_xlfn.AGGREGATE(16,6,FIND({0,1,2,3,4,5,6,7,8,9},A148,ROW(INDIRECT("1:"&amp;LEN(A148)))),1))," ",REPT(" ",LEN(A148))),LEN(A148)))))))/10))*100+1</f>
        <v>101 to 1101</v>
      </c>
      <c r="B149" s="154"/>
      <c r="C149" s="49" t="s">
        <v>175</v>
      </c>
      <c r="D149" s="49">
        <f>49.62*10.764</f>
        <v>534.10967999999991</v>
      </c>
      <c r="E149" s="49">
        <v>0</v>
      </c>
      <c r="F149" s="49">
        <f>D149*(($F$129)+1)+(IF(E149&lt;101,E149,IF(E149&lt;201,E149/2,IF(E149&lt;=301,E149/3,E149/4))))</f>
        <v>827.87000399999988</v>
      </c>
      <c r="G149" s="186" t="str">
        <f>A148</f>
        <v>1st to 7th, 9th to 11th Floor</v>
      </c>
      <c r="H149" s="187"/>
      <c r="I149" s="47"/>
    </row>
    <row r="150" spans="1:14" s="18" customFormat="1" ht="15.75" customHeight="1">
      <c r="A150" s="152" t="str">
        <f ca="1">(SUMPRODUCT(MID(0&amp;(LEFT(A149,SUM(LEN(A149)-LEN(SUBSTITUTE(A149,{"0","1","2"},""))))),LARGE(INDEX(ISNUMBER(--MID((LEFT(A149,SUM(LEN(A149)-LEN(SUBSTITUTE(A149,{"0","1","2"},""))))),ROW(INDIRECT("1:"&amp;LEN((LEFT(A149,SUM(LEN(A149)-LEN(SUBSTITUTE(A149,{"0","1","2"},"")))))))),1))*ROW(INDIRECT("1:"&amp;LEN((LEFT(A149,SUM(LEN(A149)-LEN(SUBSTITUTE(A149,{"0","1","2"},"")))))))),0),ROW(INDIRECT("1:"&amp;LEN((LEFT(A149,SUM(LEN(A149)-LEN(SUBSTITUTE(A149,{"0","1","2"},"")))))))))+1,1)*10^ROW(INDIRECT("1:"&amp;LEN((LEFT(A149,SUM(LEN(A149)-LEN(SUBSTITUTE(A149,{"0","1","2"},""))))))))/10))*1+1&amp;""&amp;" to "&amp;""&amp;(SUMPRODUCT(MID(0&amp;(--TRIM(RIGHT(SUBSTITUTE(LEFT(A149,_xlfn.AGGREGATE(16,6,FIND({0,1,2,3,4,5,6,7,8,9},A149,ROW(INDIRECT("1:"&amp;LEN(A149)))),1))," ",REPT(" ",LEN(A149))),LEN(A149)))),LARGE(INDEX(ISNUMBER(--MID((--TRIM(RIGHT(SUBSTITUTE(LEFT(A149,_xlfn.AGGREGATE(16,6,FIND({0,1,2,3,4,5,6,7,8,9},A149,ROW(INDIRECT("1:"&amp;LEN(A149)))),1))," ",REPT(" ",LEN(A149))),LEN(A149)))),ROW(INDIRECT("1:"&amp;LEN((--TRIM(RIGHT(SUBSTITUTE(LEFT(A149,_xlfn.AGGREGATE(16,6,FIND({0,1,2,3,4,5,6,7,8,9},A149,ROW(INDIRECT("1:"&amp;LEN(A149)))),1))," ",REPT(" ",LEN(A149))),LEN(A149))))))),1))*ROW(INDIRECT("1:"&amp;LEN((--TRIM(RIGHT(SUBSTITUTE(LEFT(A149,_xlfn.AGGREGATE(16,6,FIND({0,1,2,3,4,5,6,7,8,9},A149,ROW(INDIRECT("1:"&amp;LEN(A149)))),1))," ",REPT(" ",LEN(A149))),LEN(A149))))))),0),ROW(INDIRECT("1:"&amp;LEN((--TRIM(RIGHT(SUBSTITUTE(LEFT(A149,_xlfn.AGGREGATE(16,6,FIND({0,1,2,3,4,5,6,7,8,9},A149,ROW(INDIRECT("1:"&amp;LEN(A149)))),1))," ",REPT(" ",LEN(A149))),LEN(A149))))))))+1,1)*10^ROW(INDIRECT("1:"&amp;LEN((--TRIM(RIGHT(SUBSTITUTE(LEFT(A149,_xlfn.AGGREGATE(16,6,FIND({0,1,2,3,4,5,6,7,8,9},A149,ROW(INDIRECT("1:"&amp;LEN(A149)))),1))," ",REPT(" ",LEN(A149))),LEN(A149)))))))/10))*1+1</f>
        <v>102 to 1102</v>
      </c>
      <c r="B150" s="154"/>
      <c r="C150" s="49" t="s">
        <v>176</v>
      </c>
      <c r="D150" s="49">
        <f>35.14*10.764</f>
        <v>378.24696</v>
      </c>
      <c r="E150" s="49">
        <v>0</v>
      </c>
      <c r="F150" s="49">
        <f>D150*(($F$129)+1)+(IF(E150&lt;101,E150,IF(E150&lt;201,E150/2,IF(E150&lt;=301,E150/3,E150/4))))</f>
        <v>586.28278799999998</v>
      </c>
      <c r="G150" s="188"/>
      <c r="H150" s="189"/>
      <c r="I150" s="47"/>
    </row>
    <row r="151" spans="1:14" s="18" customFormat="1" ht="15.75" customHeight="1">
      <c r="A151" s="152" t="str">
        <f ca="1">(SUMPRODUCT(MID(0&amp;(LEFT(A150,SUM(LEN(A150)-LEN(SUBSTITUTE(A150,{"0","1","2"},""))))),LARGE(INDEX(ISNUMBER(--MID((LEFT(A150,SUM(LEN(A150)-LEN(SUBSTITUTE(A150,{"0","1","2"},""))))),ROW(INDIRECT("1:"&amp;LEN((LEFT(A150,SUM(LEN(A150)-LEN(SUBSTITUTE(A150,{"0","1","2"},"")))))))),1))*ROW(INDIRECT("1:"&amp;LEN((LEFT(A150,SUM(LEN(A150)-LEN(SUBSTITUTE(A150,{"0","1","2"},"")))))))),0),ROW(INDIRECT("1:"&amp;LEN((LEFT(A150,SUM(LEN(A150)-LEN(SUBSTITUTE(A150,{"0","1","2"},"")))))))))+1,1)*10^ROW(INDIRECT("1:"&amp;LEN((LEFT(A150,SUM(LEN(A150)-LEN(SUBSTITUTE(A150,{"0","1","2"},""))))))))/10))*1+1&amp;""&amp;" to "&amp;""&amp;(SUMPRODUCT(MID(0&amp;(--TRIM(RIGHT(SUBSTITUTE(LEFT(A150,_xlfn.AGGREGATE(16,6,FIND({0,1,2,3,4,5,6,7,8,9},A150,ROW(INDIRECT("1:"&amp;LEN(A150)))),1))," ",REPT(" ",LEN(A150))),LEN(A150)))),LARGE(INDEX(ISNUMBER(--MID((--TRIM(RIGHT(SUBSTITUTE(LEFT(A150,_xlfn.AGGREGATE(16,6,FIND({0,1,2,3,4,5,6,7,8,9},A150,ROW(INDIRECT("1:"&amp;LEN(A150)))),1))," ",REPT(" ",LEN(A150))),LEN(A150)))),ROW(INDIRECT("1:"&amp;LEN((--TRIM(RIGHT(SUBSTITUTE(LEFT(A150,_xlfn.AGGREGATE(16,6,FIND({0,1,2,3,4,5,6,7,8,9},A150,ROW(INDIRECT("1:"&amp;LEN(A150)))),1))," ",REPT(" ",LEN(A150))),LEN(A150))))))),1))*ROW(INDIRECT("1:"&amp;LEN((--TRIM(RIGHT(SUBSTITUTE(LEFT(A150,_xlfn.AGGREGATE(16,6,FIND({0,1,2,3,4,5,6,7,8,9},A150,ROW(INDIRECT("1:"&amp;LEN(A150)))),1))," ",REPT(" ",LEN(A150))),LEN(A150))))))),0),ROW(INDIRECT("1:"&amp;LEN((--TRIM(RIGHT(SUBSTITUTE(LEFT(A150,_xlfn.AGGREGATE(16,6,FIND({0,1,2,3,4,5,6,7,8,9},A150,ROW(INDIRECT("1:"&amp;LEN(A150)))),1))," ",REPT(" ",LEN(A150))),LEN(A150))))))))+1,1)*10^ROW(INDIRECT("1:"&amp;LEN((--TRIM(RIGHT(SUBSTITUTE(LEFT(A150,_xlfn.AGGREGATE(16,6,FIND({0,1,2,3,4,5,6,7,8,9},A150,ROW(INDIRECT("1:"&amp;LEN(A150)))),1))," ",REPT(" ",LEN(A150))),LEN(A150)))))))/10))*1+1</f>
        <v>103 to 1103</v>
      </c>
      <c r="B151" s="154"/>
      <c r="C151" s="49" t="s">
        <v>176</v>
      </c>
      <c r="D151" s="49">
        <f>34.78*10.764</f>
        <v>374.37191999999999</v>
      </c>
      <c r="E151" s="49">
        <v>0</v>
      </c>
      <c r="F151" s="49">
        <f>D151*(($F$129)+1)+(IF(E151&lt;101,E151,IF(E151&lt;201,E151/2,IF(E151&lt;=301,E151/3,E151/4))))</f>
        <v>580.276476</v>
      </c>
      <c r="G151" s="188"/>
      <c r="H151" s="189"/>
      <c r="I151" s="47"/>
    </row>
    <row r="152" spans="1:14" s="18" customFormat="1" ht="15.75" customHeight="1">
      <c r="A152" s="152" t="str">
        <f ca="1">(SUMPRODUCT(MID(0&amp;(LEFT(A151,SUM(LEN(A151)-LEN(SUBSTITUTE(A151,{"0","1","2"},""))))),LARGE(INDEX(ISNUMBER(--MID((LEFT(A151,SUM(LEN(A151)-LEN(SUBSTITUTE(A151,{"0","1","2"},""))))),ROW(INDIRECT("1:"&amp;LEN((LEFT(A151,SUM(LEN(A151)-LEN(SUBSTITUTE(A151,{"0","1","2"},"")))))))),1))*ROW(INDIRECT("1:"&amp;LEN((LEFT(A151,SUM(LEN(A151)-LEN(SUBSTITUTE(A151,{"0","1","2"},"")))))))),0),ROW(INDIRECT("1:"&amp;LEN((LEFT(A151,SUM(LEN(A151)-LEN(SUBSTITUTE(A151,{"0","1","2"},"")))))))))+1,1)*10^ROW(INDIRECT("1:"&amp;LEN((LEFT(A151,SUM(LEN(A151)-LEN(SUBSTITUTE(A151,{"0","1","2"},""))))))))/10))*1+1&amp;""&amp;" to "&amp;""&amp;(SUMPRODUCT(MID(0&amp;(--TRIM(RIGHT(SUBSTITUTE(LEFT(A151,_xlfn.AGGREGATE(16,6,FIND({0,1,2,3,4,5,6,7,8,9},A151,ROW(INDIRECT("1:"&amp;LEN(A151)))),1))," ",REPT(" ",LEN(A151))),LEN(A151)))),LARGE(INDEX(ISNUMBER(--MID((--TRIM(RIGHT(SUBSTITUTE(LEFT(A151,_xlfn.AGGREGATE(16,6,FIND({0,1,2,3,4,5,6,7,8,9},A151,ROW(INDIRECT("1:"&amp;LEN(A151)))),1))," ",REPT(" ",LEN(A151))),LEN(A151)))),ROW(INDIRECT("1:"&amp;LEN((--TRIM(RIGHT(SUBSTITUTE(LEFT(A151,_xlfn.AGGREGATE(16,6,FIND({0,1,2,3,4,5,6,7,8,9},A151,ROW(INDIRECT("1:"&amp;LEN(A151)))),1))," ",REPT(" ",LEN(A151))),LEN(A151))))))),1))*ROW(INDIRECT("1:"&amp;LEN((--TRIM(RIGHT(SUBSTITUTE(LEFT(A151,_xlfn.AGGREGATE(16,6,FIND({0,1,2,3,4,5,6,7,8,9},A151,ROW(INDIRECT("1:"&amp;LEN(A151)))),1))," ",REPT(" ",LEN(A151))),LEN(A151))))))),0),ROW(INDIRECT("1:"&amp;LEN((--TRIM(RIGHT(SUBSTITUTE(LEFT(A151,_xlfn.AGGREGATE(16,6,FIND({0,1,2,3,4,5,6,7,8,9},A151,ROW(INDIRECT("1:"&amp;LEN(A151)))),1))," ",REPT(" ",LEN(A151))),LEN(A151))))))))+1,1)*10^ROW(INDIRECT("1:"&amp;LEN((--TRIM(RIGHT(SUBSTITUTE(LEFT(A151,_xlfn.AGGREGATE(16,6,FIND({0,1,2,3,4,5,6,7,8,9},A151,ROW(INDIRECT("1:"&amp;LEN(A151)))),1))," ",REPT(" ",LEN(A151))),LEN(A151)))))))/10))*1+1</f>
        <v>104 to 1104</v>
      </c>
      <c r="B152" s="154"/>
      <c r="C152" s="49" t="s">
        <v>175</v>
      </c>
      <c r="D152" s="49">
        <f>58.1*10.764</f>
        <v>625.38839999999993</v>
      </c>
      <c r="E152" s="49">
        <v>0</v>
      </c>
      <c r="F152" s="49">
        <f>D152*(($F$129)+1)+(IF(E152&lt;101,E152,IF(E152&lt;201,E152/2,IF(E152&lt;=301,E152/3,E152/4))))</f>
        <v>969.35201999999992</v>
      </c>
      <c r="G152" s="188"/>
      <c r="H152" s="189"/>
      <c r="I152" s="47"/>
    </row>
    <row r="153" spans="1:14" s="18" customFormat="1" ht="15.75" customHeight="1">
      <c r="A153" s="152" t="str">
        <f ca="1">(SUMPRODUCT(MID(0&amp;(LEFT(A152,SUM(LEN(A152)-LEN(SUBSTITUTE(A152,{"0","1","2"},""))))),LARGE(INDEX(ISNUMBER(--MID((LEFT(A152,SUM(LEN(A152)-LEN(SUBSTITUTE(A152,{"0","1","2"},""))))),ROW(INDIRECT("1:"&amp;LEN((LEFT(A152,SUM(LEN(A152)-LEN(SUBSTITUTE(A152,{"0","1","2"},"")))))))),1))*ROW(INDIRECT("1:"&amp;LEN((LEFT(A152,SUM(LEN(A152)-LEN(SUBSTITUTE(A152,{"0","1","2"},"")))))))),0),ROW(INDIRECT("1:"&amp;LEN((LEFT(A152,SUM(LEN(A152)-LEN(SUBSTITUTE(A152,{"0","1","2"},"")))))))))+1,1)*10^ROW(INDIRECT("1:"&amp;LEN((LEFT(A152,SUM(LEN(A152)-LEN(SUBSTITUTE(A152,{"0","1","2"},""))))))))/10))*1+1&amp;""&amp;" to "&amp;""&amp;(SUMPRODUCT(MID(0&amp;(--TRIM(RIGHT(SUBSTITUTE(LEFT(A152,_xlfn.AGGREGATE(16,6,FIND({0,1,2,3,4,5,6,7,8,9},A152,ROW(INDIRECT("1:"&amp;LEN(A152)))),1))," ",REPT(" ",LEN(A152))),LEN(A152)))),LARGE(INDEX(ISNUMBER(--MID((--TRIM(RIGHT(SUBSTITUTE(LEFT(A152,_xlfn.AGGREGATE(16,6,FIND({0,1,2,3,4,5,6,7,8,9},A152,ROW(INDIRECT("1:"&amp;LEN(A152)))),1))," ",REPT(" ",LEN(A152))),LEN(A152)))),ROW(INDIRECT("1:"&amp;LEN((--TRIM(RIGHT(SUBSTITUTE(LEFT(A152,_xlfn.AGGREGATE(16,6,FIND({0,1,2,3,4,5,6,7,8,9},A152,ROW(INDIRECT("1:"&amp;LEN(A152)))),1))," ",REPT(" ",LEN(A152))),LEN(A152))))))),1))*ROW(INDIRECT("1:"&amp;LEN((--TRIM(RIGHT(SUBSTITUTE(LEFT(A152,_xlfn.AGGREGATE(16,6,FIND({0,1,2,3,4,5,6,7,8,9},A152,ROW(INDIRECT("1:"&amp;LEN(A152)))),1))," ",REPT(" ",LEN(A152))),LEN(A152))))))),0),ROW(INDIRECT("1:"&amp;LEN((--TRIM(RIGHT(SUBSTITUTE(LEFT(A152,_xlfn.AGGREGATE(16,6,FIND({0,1,2,3,4,5,6,7,8,9},A152,ROW(INDIRECT("1:"&amp;LEN(A152)))),1))," ",REPT(" ",LEN(A152))),LEN(A152))))))))+1,1)*10^ROW(INDIRECT("1:"&amp;LEN((--TRIM(RIGHT(SUBSTITUTE(LEFT(A152,_xlfn.AGGREGATE(16,6,FIND({0,1,2,3,4,5,6,7,8,9},A152,ROW(INDIRECT("1:"&amp;LEN(A152)))),1))," ",REPT(" ",LEN(A152))),LEN(A152)))))))/10))*1+1</f>
        <v>105 to 1105</v>
      </c>
      <c r="B153" s="154"/>
      <c r="C153" s="49" t="s">
        <v>176</v>
      </c>
      <c r="D153" s="49">
        <f>35.29*10.764</f>
        <v>379.86155999999994</v>
      </c>
      <c r="E153" s="49">
        <v>0</v>
      </c>
      <c r="F153" s="49">
        <f>D153*(($F$129)+1)+(IF(E153&lt;101,E153,IF(E153&lt;201,E153/2,IF(E153&lt;=301,E153/3,E153/4))))</f>
        <v>588.78541799999994</v>
      </c>
      <c r="G153" s="190"/>
      <c r="H153" s="191"/>
      <c r="I153" s="47">
        <f>9650000/F153</f>
        <v>16389.672204823524</v>
      </c>
    </row>
    <row r="154" spans="1:14" s="18" customFormat="1">
      <c r="A154" s="158" t="s">
        <v>178</v>
      </c>
      <c r="B154" s="158"/>
      <c r="C154" s="158"/>
      <c r="D154" s="158"/>
      <c r="E154" s="158"/>
      <c r="F154" s="158"/>
      <c r="G154" s="158"/>
      <c r="H154" s="158"/>
      <c r="I154" s="47"/>
      <c r="L154" s="159"/>
      <c r="M154" s="159"/>
    </row>
    <row r="155" spans="1:14" s="18" customFormat="1" ht="15.75" customHeight="1">
      <c r="A155" s="160">
        <f>LEFT(A154,SUM(LEN(A154)-LEN(SUBSTITUTE(A154,{"0","1","2","3","4","5","6","7","8","9"},""))))*100+1</f>
        <v>801</v>
      </c>
      <c r="B155" s="160"/>
      <c r="C155" s="49" t="s">
        <v>175</v>
      </c>
      <c r="D155" s="49">
        <f>49.62*10.764</f>
        <v>534.10967999999991</v>
      </c>
      <c r="E155" s="49">
        <v>0</v>
      </c>
      <c r="F155" s="49">
        <f>D155*(($F$129)+1)+(IF(E155&lt;101,E155,IF(E155&lt;201,E155/2,IF(E155&lt;=301,E155/3,E155/4))))</f>
        <v>827.87000399999988</v>
      </c>
      <c r="G155" s="186" t="str">
        <f>A154</f>
        <v>8th Floor (Part Refuge Area)</v>
      </c>
      <c r="H155" s="187"/>
      <c r="I155" s="47"/>
      <c r="N155" s="47"/>
    </row>
    <row r="156" spans="1:14" s="18" customFormat="1" ht="15.75" customHeight="1">
      <c r="A156" s="160">
        <f>A155+1</f>
        <v>802</v>
      </c>
      <c r="B156" s="160"/>
      <c r="C156" s="49" t="s">
        <v>176</v>
      </c>
      <c r="D156" s="49">
        <f>35.14*10.764</f>
        <v>378.24696</v>
      </c>
      <c r="E156" s="49">
        <v>0</v>
      </c>
      <c r="F156" s="49">
        <f>D156*(($F$129)+1)+(IF(E156&lt;101,E156,IF(E156&lt;201,E156/2,IF(E156&lt;=301,E156/3,E156/4))))</f>
        <v>586.28278799999998</v>
      </c>
      <c r="G156" s="188"/>
      <c r="H156" s="189"/>
      <c r="I156" s="47"/>
      <c r="N156" s="47"/>
    </row>
    <row r="157" spans="1:14" s="18" customFormat="1" ht="15.75" customHeight="1">
      <c r="A157" s="160">
        <f>A156+1</f>
        <v>803</v>
      </c>
      <c r="B157" s="160"/>
      <c r="C157" s="49" t="s">
        <v>176</v>
      </c>
      <c r="D157" s="49">
        <f>34.78*10.764</f>
        <v>374.37191999999999</v>
      </c>
      <c r="E157" s="49">
        <v>0</v>
      </c>
      <c r="F157" s="49">
        <f>D157*(($F$129)+1)+(IF(E157&lt;101,E157,IF(E157&lt;201,E157/2,IF(E157&lt;=301,E157/3,E157/4))))</f>
        <v>580.276476</v>
      </c>
      <c r="G157" s="188"/>
      <c r="H157" s="189"/>
      <c r="I157" s="47"/>
      <c r="N157" s="47"/>
    </row>
    <row r="158" spans="1:14" s="18" customFormat="1" ht="15.75" customHeight="1">
      <c r="A158" s="160">
        <f>A157+1</f>
        <v>804</v>
      </c>
      <c r="B158" s="160"/>
      <c r="C158" s="49" t="s">
        <v>175</v>
      </c>
      <c r="D158" s="49">
        <f>58.1*10.764</f>
        <v>625.38839999999993</v>
      </c>
      <c r="E158" s="49">
        <v>0</v>
      </c>
      <c r="F158" s="49">
        <f>D158*(($F$129)+1)+(IF(E158&lt;101,E158,IF(E158&lt;201,E158/2,IF(E158&lt;=301,E158/3,E158/4))))</f>
        <v>969.35201999999992</v>
      </c>
      <c r="G158" s="188"/>
      <c r="H158" s="189"/>
      <c r="I158" s="47"/>
      <c r="N158" s="47"/>
    </row>
    <row r="159" spans="1:14" s="18" customFormat="1" ht="15.75" customHeight="1">
      <c r="A159" s="160">
        <f>A158+1</f>
        <v>805</v>
      </c>
      <c r="B159" s="160"/>
      <c r="C159" s="152" t="s">
        <v>179</v>
      </c>
      <c r="D159" s="153"/>
      <c r="E159" s="153"/>
      <c r="F159" s="154"/>
      <c r="G159" s="190"/>
      <c r="H159" s="191"/>
      <c r="I159" s="47"/>
      <c r="N159" s="47"/>
    </row>
    <row r="160" spans="1:14" s="18" customFormat="1">
      <c r="A160" s="155" t="s">
        <v>181</v>
      </c>
      <c r="B160" s="156"/>
      <c r="C160" s="156"/>
      <c r="D160" s="156"/>
      <c r="E160" s="156"/>
      <c r="F160" s="156"/>
      <c r="G160" s="156"/>
      <c r="H160" s="157"/>
      <c r="J160" s="47"/>
    </row>
    <row r="161" spans="1:14" s="18" customFormat="1">
      <c r="A161" s="155" t="s">
        <v>173</v>
      </c>
      <c r="B161" s="156"/>
      <c r="C161" s="156"/>
      <c r="D161" s="156"/>
      <c r="E161" s="156"/>
      <c r="F161" s="156"/>
      <c r="G161" s="156"/>
      <c r="H161" s="157"/>
      <c r="J161" s="47"/>
    </row>
    <row r="162" spans="1:14" s="18" customFormat="1">
      <c r="A162" s="155" t="s">
        <v>182</v>
      </c>
      <c r="B162" s="156"/>
      <c r="C162" s="156"/>
      <c r="D162" s="156"/>
      <c r="E162" s="156"/>
      <c r="F162" s="156"/>
      <c r="G162" s="156"/>
      <c r="H162" s="157"/>
      <c r="I162" s="47"/>
    </row>
    <row r="163" spans="1:14" s="18" customFormat="1" ht="15.75" customHeight="1">
      <c r="A163" s="152" t="str">
        <f ca="1">(SUMPRODUCT(MID(0&amp;(LEFT(A162,SUM(LEN(A162)-LEN(SUBSTITUTE(A162,{"0","1","2"},""))))),LARGE(INDEX(ISNUMBER(--MID((LEFT(A162,SUM(LEN(A162)-LEN(SUBSTITUTE(A162,{"0","1","2"},""))))),ROW(INDIRECT("1:"&amp;LEN((LEFT(A162,SUM(LEN(A162)-LEN(SUBSTITUTE(A162,{"0","1","2"},"")))))))),1))*ROW(INDIRECT("1:"&amp;LEN((LEFT(A162,SUM(LEN(A162)-LEN(SUBSTITUTE(A162,{"0","1","2"},"")))))))),0),ROW(INDIRECT("1:"&amp;LEN((LEFT(A162,SUM(LEN(A162)-LEN(SUBSTITUTE(A162,{"0","1","2"},"")))))))))+1,1)*10^ROW(INDIRECT("1:"&amp;LEN((LEFT(A162,SUM(LEN(A162)-LEN(SUBSTITUTE(A162,{"0","1","2"},""))))))))/10))*100+1&amp;""&amp;" to "&amp;""&amp;(SUMPRODUCT(MID(0&amp;(--TRIM(RIGHT(SUBSTITUTE(LEFT(A162,_xlfn.AGGREGATE(16,6,FIND({0,1,2,3,4,5,6,7,8,9},A162,ROW(INDIRECT("1:"&amp;LEN(A162)))),1))," ",REPT(" ",LEN(A162))),LEN(A162)))),LARGE(INDEX(ISNUMBER(--MID((--TRIM(RIGHT(SUBSTITUTE(LEFT(A162,_xlfn.AGGREGATE(16,6,FIND({0,1,2,3,4,5,6,7,8,9},A162,ROW(INDIRECT("1:"&amp;LEN(A162)))),1))," ",REPT(" ",LEN(A162))),LEN(A162)))),ROW(INDIRECT("1:"&amp;LEN((--TRIM(RIGHT(SUBSTITUTE(LEFT(A162,_xlfn.AGGREGATE(16,6,FIND({0,1,2,3,4,5,6,7,8,9},A162,ROW(INDIRECT("1:"&amp;LEN(A162)))),1))," ",REPT(" ",LEN(A162))),LEN(A162))))))),1))*ROW(INDIRECT("1:"&amp;LEN((--TRIM(RIGHT(SUBSTITUTE(LEFT(A162,_xlfn.AGGREGATE(16,6,FIND({0,1,2,3,4,5,6,7,8,9},A162,ROW(INDIRECT("1:"&amp;LEN(A162)))),1))," ",REPT(" ",LEN(A162))),LEN(A162))))))),0),ROW(INDIRECT("1:"&amp;LEN((--TRIM(RIGHT(SUBSTITUTE(LEFT(A162,_xlfn.AGGREGATE(16,6,FIND({0,1,2,3,4,5,6,7,8,9},A162,ROW(INDIRECT("1:"&amp;LEN(A162)))),1))," ",REPT(" ",LEN(A162))),LEN(A162))))))))+1,1)*10^ROW(INDIRECT("1:"&amp;LEN((--TRIM(RIGHT(SUBSTITUTE(LEFT(A162,_xlfn.AGGREGATE(16,6,FIND({0,1,2,3,4,5,6,7,8,9},A162,ROW(INDIRECT("1:"&amp;LEN(A162)))),1))," ",REPT(" ",LEN(A162))),LEN(A162)))))))/10))*100+1</f>
        <v>101 to 901</v>
      </c>
      <c r="B163" s="154"/>
      <c r="C163" s="49" t="s">
        <v>175</v>
      </c>
      <c r="D163" s="49">
        <f>59.14*10.764</f>
        <v>636.58295999999996</v>
      </c>
      <c r="E163" s="49">
        <v>0</v>
      </c>
      <c r="F163" s="49">
        <f>D163*(($F$129)+1)+(IF(E163&lt;101,E163,IF(E163&lt;201,E163/2,IF(E163&lt;=301,E163/3,E163/4))))</f>
        <v>986.70358799999997</v>
      </c>
      <c r="G163" s="186" t="str">
        <f>A162</f>
        <v>1st to 7th &amp; 9th Floor</v>
      </c>
      <c r="H163" s="187"/>
      <c r="I163" s="47"/>
    </row>
    <row r="164" spans="1:14" s="18" customFormat="1" ht="15.75" customHeight="1">
      <c r="A164" s="152" t="str">
        <f ca="1">(SUMPRODUCT(MID(0&amp;(LEFT(A163,SUM(LEN(A163)-LEN(SUBSTITUTE(A163,{"0","1","2"},""))))),LARGE(INDEX(ISNUMBER(--MID((LEFT(A163,SUM(LEN(A163)-LEN(SUBSTITUTE(A163,{"0","1","2"},""))))),ROW(INDIRECT("1:"&amp;LEN((LEFT(A163,SUM(LEN(A163)-LEN(SUBSTITUTE(A163,{"0","1","2"},"")))))))),1))*ROW(INDIRECT("1:"&amp;LEN((LEFT(A163,SUM(LEN(A163)-LEN(SUBSTITUTE(A163,{"0","1","2"},"")))))))),0),ROW(INDIRECT("1:"&amp;LEN((LEFT(A163,SUM(LEN(A163)-LEN(SUBSTITUTE(A163,{"0","1","2"},"")))))))))+1,1)*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",LEN(A163))),LEN(A163)))),LARGE(INDEX(ISNUMBER(--MID((--TRIM(RIGHT(SUBSTITUTE(LEFT(A163,_xlfn.AGGREGATE(16,6,FIND({0,1,2,3,4,5,6,7,8,9},A163,ROW(INDIRECT("1:"&amp;LEN(A163)))),1))," ",REPT(" ",LEN(A163))),LEN(A163)))),ROW(INDIRECT("1:"&amp;LEN((--TRIM(RIGHT(SUBSTITUTE(LEFT(A163,_xlfn.AGGREGATE(16,6,FIND({0,1,2,3,4,5,6,7,8,9},A163,ROW(INDIRECT("1:"&amp;LEN(A163)))),1))," ",REPT(" ",LEN(A163))),LEN(A163))))))),1))*ROW(INDIRECT("1:"&amp;LEN((--TRIM(RIGHT(SUBSTITUTE(LEFT(A163,_xlfn.AGGREGATE(16,6,FIND({0,1,2,3,4,5,6,7,8,9},A163,ROW(INDIRECT("1:"&amp;LEN(A163)))),1))," ",REPT(" ",LEN(A163))),LEN(A163))))))),0),ROW(INDIRECT("1:"&amp;LEN((--TRIM(RIGHT(SUBSTITUTE(LEFT(A163,_xlfn.AGGREGATE(16,6,FIND({0,1,2,3,4,5,6,7,8,9},A163,ROW(INDIRECT("1:"&amp;LEN(A163)))),1))," ",REPT(" ",LEN(A163))),LEN(A163))))))))+1,1)*10^ROW(INDIRECT("1:"&amp;LEN((--TRIM(RIGHT(SUBSTITUTE(LEFT(A163,_xlfn.AGGREGATE(16,6,FIND({0,1,2,3,4,5,6,7,8,9},A163,ROW(INDIRECT("1:"&amp;LEN(A163)))),1))," ",REPT(" ",LEN(A163))),LEN(A163)))))))/10))*1+1</f>
        <v>102 to 902</v>
      </c>
      <c r="B164" s="154"/>
      <c r="C164" s="49" t="s">
        <v>176</v>
      </c>
      <c r="D164" s="49">
        <f>36.9*10.764</f>
        <v>397.19159999999994</v>
      </c>
      <c r="E164" s="49">
        <v>0</v>
      </c>
      <c r="F164" s="49">
        <f>D164*(($F$129)+1)+(IF(E164&lt;101,E164,IF(E164&lt;201,E164/2,IF(E164&lt;=301,E164/3,E164/4))))</f>
        <v>615.64697999999987</v>
      </c>
      <c r="G164" s="188"/>
      <c r="H164" s="189"/>
      <c r="I164" s="47"/>
    </row>
    <row r="165" spans="1:14" s="18" customFormat="1" ht="15.75" customHeight="1">
      <c r="A165" s="152" t="str">
        <f ca="1">(SUMPRODUCT(MID(0&amp;(LEFT(A164,SUM(LEN(A164)-LEN(SUBSTITUTE(A164,{"0","1","2"},""))))),LARGE(INDEX(ISNUMBER(--MID((LEFT(A164,SUM(LEN(A164)-LEN(SUBSTITUTE(A164,{"0","1","2"},""))))),ROW(INDIRECT("1:"&amp;LEN((LEFT(A164,SUM(LEN(A164)-LEN(SUBSTITUTE(A164,{"0","1","2"},"")))))))),1))*ROW(INDIRECT("1:"&amp;LEN((LEFT(A164,SUM(LEN(A164)-LEN(SUBSTITUTE(A164,{"0","1","2"},"")))))))),0),ROW(INDIRECT("1:"&amp;LEN((LEFT(A164,SUM(LEN(A164)-LEN(SUBSTITUTE(A164,{"0","1","2"},"")))))))))+1,1)*10^ROW(INDIRECT("1:"&amp;LEN((LEFT(A164,SUM(LEN(A164)-LEN(SUBSTITUTE(A164,{"0","1","2"},""))))))))/10))*1+1&amp;""&amp;" to "&amp;""&amp;(SUMPRODUCT(MID(0&amp;(--TRIM(RIGHT(SUBSTITUTE(LEFT(A164,_xlfn.AGGREGATE(16,6,FIND({0,1,2,3,4,5,6,7,8,9},A164,ROW(INDIRECT("1:"&amp;LEN(A164)))),1))," ",REPT(" ",LEN(A164))),LEN(A164)))),LARGE(INDEX(ISNUMBER(--MID((--TRIM(RIGHT(SUBSTITUTE(LEFT(A164,_xlfn.AGGREGATE(16,6,FIND({0,1,2,3,4,5,6,7,8,9},A164,ROW(INDIRECT("1:"&amp;LEN(A164)))),1))," ",REPT(" ",LEN(A164))),LEN(A164)))),ROW(INDIRECT("1:"&amp;LEN((--TRIM(RIGHT(SUBSTITUTE(LEFT(A164,_xlfn.AGGREGATE(16,6,FIND({0,1,2,3,4,5,6,7,8,9},A164,ROW(INDIRECT("1:"&amp;LEN(A164)))),1))," ",REPT(" ",LEN(A164))),LEN(A164))))))),1))*ROW(INDIRECT("1:"&amp;LEN((--TRIM(RIGHT(SUBSTITUTE(LEFT(A164,_xlfn.AGGREGATE(16,6,FIND({0,1,2,3,4,5,6,7,8,9},A164,ROW(INDIRECT("1:"&amp;LEN(A164)))),1))," ",REPT(" ",LEN(A164))),LEN(A164))))))),0),ROW(INDIRECT("1:"&amp;LEN((--TRIM(RIGHT(SUBSTITUTE(LEFT(A164,_xlfn.AGGREGATE(16,6,FIND({0,1,2,3,4,5,6,7,8,9},A164,ROW(INDIRECT("1:"&amp;LEN(A164)))),1))," ",REPT(" ",LEN(A164))),LEN(A164))))))))+1,1)*10^ROW(INDIRECT("1:"&amp;LEN((--TRIM(RIGHT(SUBSTITUTE(LEFT(A164,_xlfn.AGGREGATE(16,6,FIND({0,1,2,3,4,5,6,7,8,9},A164,ROW(INDIRECT("1:"&amp;LEN(A164)))),1))," ",REPT(" ",LEN(A164))),LEN(A164)))))))/10))*1+1</f>
        <v>103 to 903</v>
      </c>
      <c r="B165" s="154"/>
      <c r="C165" s="49" t="s">
        <v>176</v>
      </c>
      <c r="D165" s="49">
        <f>36.9*10.764</f>
        <v>397.19159999999994</v>
      </c>
      <c r="E165" s="49">
        <v>0</v>
      </c>
      <c r="F165" s="49">
        <f>D165*(($F$129)+1)+(IF(E165&lt;101,E165,IF(E165&lt;201,E165/2,IF(E165&lt;=301,E165/3,E165/4))))</f>
        <v>615.64697999999987</v>
      </c>
      <c r="G165" s="188"/>
      <c r="H165" s="189"/>
      <c r="I165" s="47"/>
    </row>
    <row r="166" spans="1:14" s="18" customFormat="1" ht="15.75" customHeight="1">
      <c r="A166" s="152" t="str">
        <f ca="1">(SUMPRODUCT(MID(0&amp;(LEFT(A165,SUM(LEN(A165)-LEN(SUBSTITUTE(A165,{"0","1","2"},""))))),LARGE(INDEX(ISNUMBER(--MID((LEFT(A165,SUM(LEN(A165)-LEN(SUBSTITUTE(A165,{"0","1","2"},""))))),ROW(INDIRECT("1:"&amp;LEN((LEFT(A165,SUM(LEN(A165)-LEN(SUBSTITUTE(A165,{"0","1","2"},"")))))))),1))*ROW(INDIRECT("1:"&amp;LEN((LEFT(A165,SUM(LEN(A165)-LEN(SUBSTITUTE(A165,{"0","1","2"},"")))))))),0),ROW(INDIRECT("1:"&amp;LEN((LEFT(A165,SUM(LEN(A165)-LEN(SUBSTITUTE(A165,{"0","1","2"},"")))))))))+1,1)*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",LEN(A165))),LEN(A165)))),LARGE(INDEX(ISNUMBER(--MID((--TRIM(RIGHT(SUBSTITUTE(LEFT(A165,_xlfn.AGGREGATE(16,6,FIND({0,1,2,3,4,5,6,7,8,9},A165,ROW(INDIRECT("1:"&amp;LEN(A165)))),1))," ",REPT(" ",LEN(A165))),LEN(A165)))),ROW(INDIRECT("1:"&amp;LEN((--TRIM(RIGHT(SUBSTITUTE(LEFT(A165,_xlfn.AGGREGATE(16,6,FIND({0,1,2,3,4,5,6,7,8,9},A165,ROW(INDIRECT("1:"&amp;LEN(A165)))),1))," ",REPT(" ",LEN(A165))),LEN(A165))))))),1))*ROW(INDIRECT("1:"&amp;LEN((--TRIM(RIGHT(SUBSTITUTE(LEFT(A165,_xlfn.AGGREGATE(16,6,FIND({0,1,2,3,4,5,6,7,8,9},A165,ROW(INDIRECT("1:"&amp;LEN(A165)))),1))," ",REPT(" ",LEN(A165))),LEN(A165))))))),0),ROW(INDIRECT("1:"&amp;LEN((--TRIM(RIGHT(SUBSTITUTE(LEFT(A165,_xlfn.AGGREGATE(16,6,FIND({0,1,2,3,4,5,6,7,8,9},A165,ROW(INDIRECT("1:"&amp;LEN(A165)))),1))," ",REPT(" ",LEN(A165))),LEN(A165))))))))+1,1)*10^ROW(INDIRECT("1:"&amp;LEN((--TRIM(RIGHT(SUBSTITUTE(LEFT(A165,_xlfn.AGGREGATE(16,6,FIND({0,1,2,3,4,5,6,7,8,9},A165,ROW(INDIRECT("1:"&amp;LEN(A165)))),1))," ",REPT(" ",LEN(A165))),LEN(A165)))))))/10))*1+1</f>
        <v>104 to 904</v>
      </c>
      <c r="B166" s="154"/>
      <c r="C166" s="49" t="s">
        <v>175</v>
      </c>
      <c r="D166" s="49">
        <f>57.46*10.764</f>
        <v>618.49943999999994</v>
      </c>
      <c r="E166" s="49">
        <v>0</v>
      </c>
      <c r="F166" s="49">
        <f>D166*(($F$129)+1)+(IF(E166&lt;101,E166,IF(E166&lt;201,E166/2,IF(E166&lt;=301,E166/3,E166/4))))</f>
        <v>958.67413199999987</v>
      </c>
      <c r="G166" s="190"/>
      <c r="H166" s="191"/>
      <c r="I166" s="47"/>
    </row>
    <row r="167" spans="1:14" s="18" customFormat="1">
      <c r="A167" s="158" t="s">
        <v>183</v>
      </c>
      <c r="B167" s="158"/>
      <c r="C167" s="158"/>
      <c r="D167" s="158"/>
      <c r="E167" s="158"/>
      <c r="F167" s="158"/>
      <c r="G167" s="158"/>
      <c r="H167" s="158"/>
      <c r="I167" s="47"/>
      <c r="L167" s="159"/>
      <c r="M167" s="159"/>
    </row>
    <row r="168" spans="1:14" s="18" customFormat="1" ht="15.75" customHeight="1">
      <c r="A168" s="160">
        <f>LEFT(A167,SUM(LEN(A167)-LEN(SUBSTITUTE(A167,{"0","1","2","3","4","5","6","7","8","9"},""))))*100+1</f>
        <v>801</v>
      </c>
      <c r="B168" s="160"/>
      <c r="C168" s="49" t="s">
        <v>175</v>
      </c>
      <c r="D168" s="49">
        <f>59.14*10.764</f>
        <v>636.58295999999996</v>
      </c>
      <c r="E168" s="49">
        <v>0</v>
      </c>
      <c r="F168" s="49">
        <f>D168*(($F$129)+1)+(IF(E168&lt;101,E168,IF(E168&lt;201,E168/2,IF(E168&lt;=301,E168/3,E168/4))))</f>
        <v>986.70358799999997</v>
      </c>
      <c r="G168" s="186" t="str">
        <f>A167</f>
        <v>8th Floor (Part Refuge Area &amp; Amenties)</v>
      </c>
      <c r="H168" s="187"/>
      <c r="I168" s="47">
        <f>16500000/F168</f>
        <v>16722.347218220515</v>
      </c>
      <c r="N168" s="47"/>
    </row>
    <row r="169" spans="1:14" s="18" customFormat="1" ht="15.75" customHeight="1">
      <c r="A169" s="160">
        <f>A168+1</f>
        <v>802</v>
      </c>
      <c r="B169" s="160"/>
      <c r="C169" s="49" t="s">
        <v>176</v>
      </c>
      <c r="D169" s="49">
        <f>36.9*10.764</f>
        <v>397.19159999999994</v>
      </c>
      <c r="E169" s="49">
        <v>0</v>
      </c>
      <c r="F169" s="49">
        <f>D169*(($F$129)+1)+(IF(E169&lt;101,E169,IF(E169&lt;201,E169/2,IF(E169&lt;=301,E169/3,E169/4))))</f>
        <v>615.64697999999987</v>
      </c>
      <c r="G169" s="188"/>
      <c r="H169" s="189"/>
      <c r="I169" s="47"/>
      <c r="N169" s="47"/>
    </row>
    <row r="170" spans="1:14" s="18" customFormat="1" ht="15.75" customHeight="1">
      <c r="A170" s="160">
        <f>A169+1</f>
        <v>803</v>
      </c>
      <c r="B170" s="160"/>
      <c r="C170" s="152" t="s">
        <v>179</v>
      </c>
      <c r="D170" s="153"/>
      <c r="E170" s="153"/>
      <c r="F170" s="154"/>
      <c r="G170" s="188"/>
      <c r="H170" s="189"/>
      <c r="I170" s="47"/>
      <c r="N170" s="47"/>
    </row>
    <row r="171" spans="1:14" s="18" customFormat="1" ht="15.75" customHeight="1">
      <c r="A171" s="160">
        <f>A170+1</f>
        <v>804</v>
      </c>
      <c r="B171" s="160"/>
      <c r="C171" s="49" t="s">
        <v>175</v>
      </c>
      <c r="D171" s="49">
        <f>57.46*10.764</f>
        <v>618.49943999999994</v>
      </c>
      <c r="E171" s="49">
        <v>0</v>
      </c>
      <c r="F171" s="49">
        <f>D171*(($F$129)+1)+(IF(E171&lt;101,E171,IF(E171&lt;201,E171/2,IF(E171&lt;=301,E171/3,E171/4))))</f>
        <v>958.67413199999987</v>
      </c>
      <c r="G171" s="190"/>
      <c r="H171" s="191"/>
      <c r="I171" s="47"/>
      <c r="N171" s="47"/>
    </row>
    <row r="172" spans="1:14" s="17" customFormat="1">
      <c r="A172" s="162" t="s">
        <v>184</v>
      </c>
      <c r="B172" s="162"/>
      <c r="C172" s="162"/>
      <c r="D172" s="162"/>
      <c r="E172" s="162"/>
      <c r="F172" s="162"/>
      <c r="G172" s="162"/>
      <c r="H172" s="162"/>
    </row>
    <row r="173" spans="1:14" s="17" customFormat="1">
      <c r="A173" s="33" t="s">
        <v>185</v>
      </c>
      <c r="B173" s="163" t="s">
        <v>217</v>
      </c>
      <c r="C173" s="164"/>
      <c r="D173" s="164"/>
      <c r="E173" s="164"/>
      <c r="F173" s="164"/>
      <c r="G173" s="164"/>
      <c r="H173" s="165"/>
      <c r="I173" s="52" t="s">
        <v>186</v>
      </c>
    </row>
    <row r="174" spans="1:14" s="17" customFormat="1">
      <c r="A174" s="33" t="s">
        <v>185</v>
      </c>
      <c r="B174" s="166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174" s="167"/>
      <c r="D174" s="167"/>
      <c r="E174" s="167"/>
      <c r="F174" s="167"/>
      <c r="G174" s="167"/>
      <c r="H174" s="168"/>
    </row>
    <row r="175" spans="1:14" s="17" customFormat="1">
      <c r="A175" s="33" t="s">
        <v>185</v>
      </c>
      <c r="B175" s="169" t="s">
        <v>187</v>
      </c>
      <c r="C175" s="170"/>
      <c r="D175" s="170"/>
      <c r="E175" s="170"/>
      <c r="F175" s="170"/>
      <c r="G175" s="170"/>
      <c r="H175" s="171"/>
    </row>
    <row r="176" spans="1:14" s="17" customFormat="1">
      <c r="A176" s="33" t="s">
        <v>185</v>
      </c>
      <c r="B176" s="169" t="s">
        <v>188</v>
      </c>
      <c r="C176" s="170"/>
      <c r="D176" s="170"/>
      <c r="E176" s="170"/>
      <c r="F176" s="170"/>
      <c r="G176" s="170"/>
      <c r="H176" s="171"/>
    </row>
    <row r="177" spans="1:8" s="17" customFormat="1">
      <c r="A177" s="33" t="s">
        <v>185</v>
      </c>
      <c r="B177" s="169" t="s">
        <v>189</v>
      </c>
      <c r="C177" s="170"/>
      <c r="D177" s="170"/>
      <c r="E177" s="170"/>
      <c r="F177" s="170"/>
      <c r="G177" s="170"/>
      <c r="H177" s="171"/>
    </row>
    <row r="178" spans="1:8" s="17" customFormat="1">
      <c r="A178" s="33" t="s">
        <v>185</v>
      </c>
      <c r="B178" s="169" t="s">
        <v>190</v>
      </c>
      <c r="C178" s="170"/>
      <c r="D178" s="170"/>
      <c r="E178" s="170"/>
      <c r="F178" s="170"/>
      <c r="G178" s="170"/>
      <c r="H178" s="171"/>
    </row>
    <row r="179" spans="1:8" s="17" customFormat="1" ht="34.5" customHeight="1">
      <c r="A179" s="33" t="s">
        <v>185</v>
      </c>
      <c r="B179" s="169" t="s">
        <v>191</v>
      </c>
      <c r="C179" s="170"/>
      <c r="D179" s="170"/>
      <c r="E179" s="170"/>
      <c r="F179" s="170"/>
      <c r="G179" s="170"/>
      <c r="H179" s="171"/>
    </row>
    <row r="180" spans="1:8" s="17" customFormat="1">
      <c r="A180" s="33" t="s">
        <v>185</v>
      </c>
      <c r="B180" s="169" t="s">
        <v>192</v>
      </c>
      <c r="C180" s="170"/>
      <c r="D180" s="170"/>
      <c r="E180" s="170"/>
      <c r="F180" s="170"/>
      <c r="G180" s="170"/>
      <c r="H180" s="171"/>
    </row>
    <row r="181" spans="1:8">
      <c r="A181" s="92" t="s">
        <v>193</v>
      </c>
      <c r="B181" s="92"/>
      <c r="C181" s="92"/>
      <c r="D181" s="92"/>
      <c r="E181" s="92"/>
      <c r="F181" s="92"/>
      <c r="G181" s="92"/>
      <c r="H181" s="92"/>
    </row>
    <row r="182" spans="1:8">
      <c r="A182" s="62" t="s">
        <v>194</v>
      </c>
      <c r="B182" s="62"/>
      <c r="C182" s="62"/>
      <c r="D182" s="62"/>
      <c r="E182" s="62"/>
      <c r="F182" s="62"/>
      <c r="G182" s="62"/>
      <c r="H182" s="62"/>
    </row>
    <row r="183" spans="1:8" ht="15.75" customHeight="1">
      <c r="A183" s="161" t="s">
        <v>195</v>
      </c>
      <c r="B183" s="161"/>
      <c r="C183" s="161"/>
      <c r="D183" s="161"/>
      <c r="E183" s="161"/>
      <c r="F183" s="161"/>
      <c r="G183" s="161"/>
      <c r="H183" s="161"/>
    </row>
    <row r="184" spans="1:8">
      <c r="A184" s="62" t="s">
        <v>196</v>
      </c>
      <c r="B184" s="62"/>
      <c r="C184" s="62"/>
      <c r="D184" s="62"/>
      <c r="E184" s="62"/>
      <c r="F184" s="62"/>
      <c r="G184" s="62"/>
      <c r="H184" s="62"/>
    </row>
    <row r="185" spans="1:8">
      <c r="A185" s="62" t="s">
        <v>197</v>
      </c>
      <c r="B185" s="62"/>
      <c r="C185" s="62"/>
      <c r="D185" s="62"/>
      <c r="E185" s="62"/>
      <c r="F185" s="62"/>
      <c r="G185" s="62"/>
      <c r="H185" s="62"/>
    </row>
    <row r="186" spans="1:8">
      <c r="A186" s="62" t="s">
        <v>198</v>
      </c>
      <c r="B186" s="62"/>
      <c r="C186" s="62"/>
      <c r="D186" s="62"/>
      <c r="E186" s="62"/>
      <c r="F186" s="62"/>
      <c r="G186" s="62"/>
      <c r="H186" s="62"/>
    </row>
    <row r="187" spans="1:8" ht="35.25" customHeight="1">
      <c r="A187" s="64" t="s">
        <v>199</v>
      </c>
      <c r="B187" s="64"/>
      <c r="C187" s="64"/>
      <c r="D187" s="64"/>
      <c r="E187" s="64"/>
      <c r="F187" s="64"/>
      <c r="G187" s="64"/>
      <c r="H187" s="64"/>
    </row>
    <row r="188" spans="1:8">
      <c r="A188" s="181" t="s">
        <v>200</v>
      </c>
      <c r="B188" s="181"/>
      <c r="C188" s="181" t="s">
        <v>219</v>
      </c>
      <c r="D188" s="181"/>
      <c r="E188" s="181" t="s">
        <v>201</v>
      </c>
      <c r="F188" s="181"/>
      <c r="G188" s="181" t="s">
        <v>218</v>
      </c>
      <c r="H188" s="181"/>
    </row>
    <row r="189" spans="1:8">
      <c r="A189" s="172" t="s">
        <v>202</v>
      </c>
      <c r="B189" s="172"/>
      <c r="C189" s="172"/>
      <c r="D189" s="172"/>
      <c r="E189" s="172"/>
      <c r="F189" s="172"/>
      <c r="G189" s="172"/>
      <c r="H189" s="172"/>
    </row>
    <row r="190" spans="1:8">
      <c r="A190" s="172"/>
      <c r="B190" s="172"/>
      <c r="C190" s="172"/>
      <c r="D190" s="172"/>
      <c r="E190" s="172"/>
      <c r="F190" s="172"/>
      <c r="G190" s="172"/>
      <c r="H190" s="172"/>
    </row>
    <row r="191" spans="1:8">
      <c r="A191" s="172"/>
      <c r="B191" s="172"/>
      <c r="C191" s="172"/>
      <c r="D191" s="172"/>
      <c r="E191" s="172"/>
      <c r="F191" s="172"/>
      <c r="G191" s="172"/>
      <c r="H191" s="172"/>
    </row>
    <row r="192" spans="1:8">
      <c r="A192" s="50" t="s">
        <v>203</v>
      </c>
      <c r="B192" s="51"/>
      <c r="C192" s="51"/>
      <c r="D192" s="50" t="str">
        <f>E8</f>
        <v>Rakshi Elanza</v>
      </c>
      <c r="F192" s="51"/>
      <c r="G192" s="51"/>
      <c r="H192" s="51"/>
    </row>
    <row r="193" spans="1:8">
      <c r="A193" s="51"/>
      <c r="B193" s="51"/>
      <c r="C193" s="51"/>
      <c r="D193" s="51"/>
      <c r="E193" s="51"/>
      <c r="F193" s="51"/>
      <c r="G193" s="51"/>
      <c r="H193" s="51"/>
    </row>
    <row r="194" spans="1:8">
      <c r="A194" s="51"/>
      <c r="B194" s="51"/>
      <c r="C194" s="51"/>
      <c r="D194" s="51"/>
      <c r="E194" s="51"/>
      <c r="F194" s="51"/>
      <c r="G194" s="51"/>
      <c r="H194" s="51"/>
    </row>
    <row r="195" spans="1:8" ht="15" customHeight="1"/>
    <row r="234" spans="1:1">
      <c r="A234" s="53" t="s">
        <v>204</v>
      </c>
    </row>
  </sheetData>
  <mergeCells count="329">
    <mergeCell ref="A189:H191"/>
    <mergeCell ref="A51:B52"/>
    <mergeCell ref="G128:H129"/>
    <mergeCell ref="A186:H186"/>
    <mergeCell ref="A187:H187"/>
    <mergeCell ref="A188:B188"/>
    <mergeCell ref="C188:D188"/>
    <mergeCell ref="E188:F188"/>
    <mergeCell ref="G188:H188"/>
    <mergeCell ref="A128:A129"/>
    <mergeCell ref="B128:B129"/>
    <mergeCell ref="C128:C129"/>
    <mergeCell ref="D128:D129"/>
    <mergeCell ref="E128:E129"/>
    <mergeCell ref="G168:H171"/>
    <mergeCell ref="G163:H166"/>
    <mergeCell ref="G155:H159"/>
    <mergeCell ref="G149:H153"/>
    <mergeCell ref="G140:H145"/>
    <mergeCell ref="G133:H138"/>
    <mergeCell ref="B177:H177"/>
    <mergeCell ref="B178:H178"/>
    <mergeCell ref="B179:H179"/>
    <mergeCell ref="B180:H180"/>
    <mergeCell ref="A181:H181"/>
    <mergeCell ref="A182:H182"/>
    <mergeCell ref="A183:H183"/>
    <mergeCell ref="A184:H184"/>
    <mergeCell ref="A185:H185"/>
    <mergeCell ref="A169:B169"/>
    <mergeCell ref="A170:B170"/>
    <mergeCell ref="C170:F170"/>
    <mergeCell ref="A171:B171"/>
    <mergeCell ref="A172:H172"/>
    <mergeCell ref="B173:H173"/>
    <mergeCell ref="B174:H174"/>
    <mergeCell ref="B175:H175"/>
    <mergeCell ref="B176:H176"/>
    <mergeCell ref="A161:H161"/>
    <mergeCell ref="A162:H162"/>
    <mergeCell ref="A163:B163"/>
    <mergeCell ref="A164:B164"/>
    <mergeCell ref="A165:B165"/>
    <mergeCell ref="A166:B166"/>
    <mergeCell ref="A167:H167"/>
    <mergeCell ref="L167:M167"/>
    <mergeCell ref="A168:B168"/>
    <mergeCell ref="A154:H154"/>
    <mergeCell ref="L154:M154"/>
    <mergeCell ref="A155:B155"/>
    <mergeCell ref="A156:B156"/>
    <mergeCell ref="A157:B157"/>
    <mergeCell ref="A158:B158"/>
    <mergeCell ref="A159:B159"/>
    <mergeCell ref="C159:F159"/>
    <mergeCell ref="A160:H160"/>
    <mergeCell ref="A145:B145"/>
    <mergeCell ref="A146:H146"/>
    <mergeCell ref="A147:H147"/>
    <mergeCell ref="A148:H148"/>
    <mergeCell ref="A149:B149"/>
    <mergeCell ref="A150:B150"/>
    <mergeCell ref="A151:B151"/>
    <mergeCell ref="A152:B152"/>
    <mergeCell ref="A153:B153"/>
    <mergeCell ref="A138:B138"/>
    <mergeCell ref="A139:H139"/>
    <mergeCell ref="L139:M139"/>
    <mergeCell ref="A140:B140"/>
    <mergeCell ref="A141:B141"/>
    <mergeCell ref="A142:B142"/>
    <mergeCell ref="A143:B143"/>
    <mergeCell ref="A144:B144"/>
    <mergeCell ref="C144:F144"/>
    <mergeCell ref="A127:H127"/>
    <mergeCell ref="A130:H130"/>
    <mergeCell ref="A131:H131"/>
    <mergeCell ref="A132:H132"/>
    <mergeCell ref="A133:B133"/>
    <mergeCell ref="A134:B134"/>
    <mergeCell ref="A135:B135"/>
    <mergeCell ref="A136:B136"/>
    <mergeCell ref="A137:B137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126:H126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116:E116"/>
    <mergeCell ref="F116:H116"/>
    <mergeCell ref="A117:E117"/>
    <mergeCell ref="F117:H117"/>
    <mergeCell ref="A118:E118"/>
    <mergeCell ref="F118:H118"/>
    <mergeCell ref="A119:E119"/>
    <mergeCell ref="F119:H119"/>
    <mergeCell ref="A120:H120"/>
    <mergeCell ref="A111:E111"/>
    <mergeCell ref="F111:H111"/>
    <mergeCell ref="A112:E112"/>
    <mergeCell ref="F112:H112"/>
    <mergeCell ref="A113:E113"/>
    <mergeCell ref="F113:H113"/>
    <mergeCell ref="A114:E114"/>
    <mergeCell ref="F114:H114"/>
    <mergeCell ref="A115:E115"/>
    <mergeCell ref="F115:H115"/>
    <mergeCell ref="A103:B103"/>
    <mergeCell ref="A104:B104"/>
    <mergeCell ref="A105:B105"/>
    <mergeCell ref="A106:B106"/>
    <mergeCell ref="A107:B107"/>
    <mergeCell ref="A108:B108"/>
    <mergeCell ref="A109:B109"/>
    <mergeCell ref="A110:E110"/>
    <mergeCell ref="F110:H110"/>
    <mergeCell ref="A95:B95"/>
    <mergeCell ref="A96:B96"/>
    <mergeCell ref="C96:H96"/>
    <mergeCell ref="A98:B98"/>
    <mergeCell ref="C98:H98"/>
    <mergeCell ref="A99:B99"/>
    <mergeCell ref="E99:F99"/>
    <mergeCell ref="G99:H99"/>
    <mergeCell ref="A100:B100"/>
    <mergeCell ref="E86:F95"/>
    <mergeCell ref="G86:H95"/>
    <mergeCell ref="E100:F109"/>
    <mergeCell ref="G100:H109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01:B101"/>
    <mergeCell ref="A102:B102"/>
    <mergeCell ref="A78:B78"/>
    <mergeCell ref="A79:B79"/>
    <mergeCell ref="A80:B80"/>
    <mergeCell ref="A81:B81"/>
    <mergeCell ref="A82:B82"/>
    <mergeCell ref="C82:H82"/>
    <mergeCell ref="A84:B84"/>
    <mergeCell ref="C84:H84"/>
    <mergeCell ref="A85:B85"/>
    <mergeCell ref="E85:F85"/>
    <mergeCell ref="G85:H85"/>
    <mergeCell ref="E72:F81"/>
    <mergeCell ref="G72:H81"/>
    <mergeCell ref="A71:B71"/>
    <mergeCell ref="E71:F71"/>
    <mergeCell ref="G71:H71"/>
    <mergeCell ref="A72:B72"/>
    <mergeCell ref="A73:B73"/>
    <mergeCell ref="A74:B74"/>
    <mergeCell ref="A75:B75"/>
    <mergeCell ref="A76:B76"/>
    <mergeCell ref="A77:B77"/>
    <mergeCell ref="A65:C65"/>
    <mergeCell ref="D65:H65"/>
    <mergeCell ref="A66:C66"/>
    <mergeCell ref="D66:H66"/>
    <mergeCell ref="A67:C67"/>
    <mergeCell ref="D67:H67"/>
    <mergeCell ref="A68:B68"/>
    <mergeCell ref="C68:H68"/>
    <mergeCell ref="A70:B70"/>
    <mergeCell ref="C70:H7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58:C60"/>
    <mergeCell ref="A54:H54"/>
    <mergeCell ref="A55:C55"/>
    <mergeCell ref="D55:H55"/>
    <mergeCell ref="A56:C56"/>
    <mergeCell ref="D56:H56"/>
    <mergeCell ref="A57:C57"/>
    <mergeCell ref="D57:H57"/>
    <mergeCell ref="D58:H58"/>
    <mergeCell ref="D59:H59"/>
    <mergeCell ref="A50:B50"/>
    <mergeCell ref="C50:E50"/>
    <mergeCell ref="G50:H50"/>
    <mergeCell ref="C51:E51"/>
    <mergeCell ref="G51:H51"/>
    <mergeCell ref="C52:H52"/>
    <mergeCell ref="A53:B53"/>
    <mergeCell ref="C53:E53"/>
    <mergeCell ref="G53:H53"/>
    <mergeCell ref="A45:D45"/>
    <mergeCell ref="E45:F45"/>
    <mergeCell ref="G45:H45"/>
    <mergeCell ref="A46:D46"/>
    <mergeCell ref="E46:H46"/>
    <mergeCell ref="A47:H47"/>
    <mergeCell ref="A48:B48"/>
    <mergeCell ref="C48:H48"/>
    <mergeCell ref="A49:B49"/>
    <mergeCell ref="C49:E49"/>
    <mergeCell ref="G49:H49"/>
    <mergeCell ref="A42:D42"/>
    <mergeCell ref="E42:F42"/>
    <mergeCell ref="G42:H42"/>
    <mergeCell ref="A43:D43"/>
    <mergeCell ref="E43:F43"/>
    <mergeCell ref="G43:H43"/>
    <mergeCell ref="A44:D44"/>
    <mergeCell ref="E44:F44"/>
    <mergeCell ref="G44:H44"/>
    <mergeCell ref="A38:B38"/>
    <mergeCell ref="C38:H38"/>
    <mergeCell ref="A39:H39"/>
    <mergeCell ref="A40:D40"/>
    <mergeCell ref="E40:F40"/>
    <mergeCell ref="G40:H40"/>
    <mergeCell ref="A41:D41"/>
    <mergeCell ref="E41:F41"/>
    <mergeCell ref="G41:H41"/>
    <mergeCell ref="A34:B34"/>
    <mergeCell ref="C34:E34"/>
    <mergeCell ref="F34:H34"/>
    <mergeCell ref="A35:B35"/>
    <mergeCell ref="C35:E35"/>
    <mergeCell ref="F35:H35"/>
    <mergeCell ref="A36:H36"/>
    <mergeCell ref="A37:B37"/>
    <mergeCell ref="C37:D37"/>
    <mergeCell ref="E37:F37"/>
    <mergeCell ref="G37:H37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8" r:id="rId1" tooltip="https://goo.gl/maps/GnV2dPpvpqa5QFQZ6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7" max="16383" man="1"/>
    <brk id="191" max="16383" man="1"/>
    <brk id="23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92" t="s">
        <v>205</v>
      </c>
      <c r="C3" s="192"/>
      <c r="D3" s="192"/>
      <c r="E3" s="192"/>
      <c r="F3" s="192"/>
      <c r="G3" s="192"/>
      <c r="H3" s="192"/>
    </row>
    <row r="4" spans="1:9">
      <c r="A4" s="2"/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212</v>
      </c>
    </row>
    <row r="5" spans="1:9" ht="15" customHeight="1">
      <c r="A5" s="2"/>
      <c r="B5" s="4" t="s">
        <v>213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213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213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213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213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214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214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215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216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2025-09-09T09:16:33Z</cp:lastPrinted>
  <dcterms:created xsi:type="dcterms:W3CDTF">2019-07-16T09:29:00Z</dcterms:created>
  <dcterms:modified xsi:type="dcterms:W3CDTF">2025-09-09T09:21:40Z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46C40D96813B4C938E42ADECFDD71452_12</vt:lpwstr>
  </property>
</Properties>
</file>