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Sept 25\Dump\"/>
    </mc:Choice>
  </mc:AlternateContent>
  <xr:revisionPtr revIDLastSave="0" documentId="13_ncr:1_{10438144-8806-4099-BEF9-806893300982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Report!$A$1:$H$401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7" i="1" l="1"/>
  <c r="D251" i="1"/>
  <c r="D242" i="1"/>
  <c r="A204" i="1"/>
  <c r="A205" i="1" s="1"/>
  <c r="A206" i="1" s="1"/>
  <c r="A207" i="1" s="1"/>
  <c r="A208" i="1" s="1"/>
  <c r="A209" i="1" s="1"/>
  <c r="A210" i="1" s="1"/>
  <c r="A211" i="1" s="1"/>
  <c r="A215" i="1"/>
  <c r="A216" i="1" s="1"/>
  <c r="A217" i="1" s="1"/>
  <c r="A218" i="1" s="1"/>
  <c r="A219" i="1" s="1"/>
  <c r="A220" i="1" s="1"/>
  <c r="A221" i="1" s="1"/>
  <c r="A222" i="1" s="1"/>
  <c r="F251" i="1" l="1"/>
  <c r="D250" i="1"/>
  <c r="F250" i="1" s="1"/>
  <c r="D249" i="1"/>
  <c r="F249" i="1" s="1"/>
  <c r="D248" i="1"/>
  <c r="F248" i="1" s="1"/>
  <c r="D247" i="1"/>
  <c r="F247" i="1" s="1"/>
  <c r="D246" i="1"/>
  <c r="F246" i="1" s="1"/>
  <c r="D245" i="1"/>
  <c r="F245" i="1" s="1"/>
  <c r="D244" i="1"/>
  <c r="F244" i="1" s="1"/>
  <c r="F242" i="1"/>
  <c r="D241" i="1"/>
  <c r="F241" i="1" s="1"/>
  <c r="D240" i="1"/>
  <c r="F240" i="1" s="1"/>
  <c r="D239" i="1"/>
  <c r="F239" i="1" s="1"/>
  <c r="D238" i="1"/>
  <c r="D237" i="1"/>
  <c r="F237" i="1" s="1"/>
  <c r="D236" i="1"/>
  <c r="F236" i="1" s="1"/>
  <c r="D235" i="1"/>
  <c r="F235" i="1" s="1"/>
  <c r="D234" i="1"/>
  <c r="F234" i="1" s="1"/>
  <c r="E226" i="1"/>
  <c r="D232" i="1"/>
  <c r="F232" i="1" s="1"/>
  <c r="D231" i="1"/>
  <c r="F231" i="1" s="1"/>
  <c r="D230" i="1"/>
  <c r="D229" i="1"/>
  <c r="F229" i="1" s="1"/>
  <c r="D228" i="1"/>
  <c r="F228" i="1" s="1"/>
  <c r="D227" i="1"/>
  <c r="F227" i="1" s="1"/>
  <c r="D226" i="1"/>
  <c r="D225" i="1"/>
  <c r="F225" i="1" s="1"/>
  <c r="D224" i="1"/>
  <c r="D222" i="1"/>
  <c r="F222" i="1" s="1"/>
  <c r="D221" i="1"/>
  <c r="F221" i="1" s="1"/>
  <c r="D220" i="1"/>
  <c r="F220" i="1" s="1"/>
  <c r="D219" i="1"/>
  <c r="F219" i="1" s="1"/>
  <c r="D218" i="1"/>
  <c r="F218" i="1" s="1"/>
  <c r="D217" i="1"/>
  <c r="F217" i="1" s="1"/>
  <c r="D216" i="1"/>
  <c r="F216" i="1" s="1"/>
  <c r="D215" i="1"/>
  <c r="F215" i="1" s="1"/>
  <c r="D214" i="1"/>
  <c r="F214" i="1" s="1"/>
  <c r="D212" i="1"/>
  <c r="D211" i="1"/>
  <c r="F211" i="1" s="1"/>
  <c r="D210" i="1"/>
  <c r="F210" i="1" s="1"/>
  <c r="D209" i="1"/>
  <c r="F209" i="1" s="1"/>
  <c r="D208" i="1"/>
  <c r="F208" i="1" s="1"/>
  <c r="D207" i="1"/>
  <c r="F207" i="1" s="1"/>
  <c r="D205" i="1"/>
  <c r="F205" i="1" s="1"/>
  <c r="D204" i="1"/>
  <c r="F204" i="1" s="1"/>
  <c r="D203" i="1"/>
  <c r="F203" i="1" s="1"/>
  <c r="D201" i="1"/>
  <c r="F201" i="1" s="1"/>
  <c r="D200" i="1"/>
  <c r="F200" i="1" s="1"/>
  <c r="D199" i="1"/>
  <c r="F199" i="1" s="1"/>
  <c r="D198" i="1"/>
  <c r="D197" i="1"/>
  <c r="D196" i="1"/>
  <c r="D195" i="1"/>
  <c r="F195" i="1" s="1"/>
  <c r="D194" i="1"/>
  <c r="F194" i="1" s="1"/>
  <c r="D193" i="1"/>
  <c r="F193" i="1" s="1"/>
  <c r="D192" i="1"/>
  <c r="F192" i="1" s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F183" i="1" s="1"/>
  <c r="D182" i="1"/>
  <c r="F182" i="1" s="1"/>
  <c r="D181" i="1"/>
  <c r="F181" i="1" s="1"/>
  <c r="D179" i="1"/>
  <c r="F179" i="1" s="1"/>
  <c r="D178" i="1"/>
  <c r="F178" i="1" s="1"/>
  <c r="D177" i="1"/>
  <c r="F177" i="1" s="1"/>
  <c r="D176" i="1"/>
  <c r="D175" i="1"/>
  <c r="F175" i="1" s="1"/>
  <c r="D174" i="1"/>
  <c r="F174" i="1" s="1"/>
  <c r="D173" i="1"/>
  <c r="F173" i="1" s="1"/>
  <c r="D172" i="1"/>
  <c r="F172" i="1" s="1"/>
  <c r="D171" i="1"/>
  <c r="F171" i="1" s="1"/>
  <c r="D170" i="1"/>
  <c r="D168" i="1"/>
  <c r="F168" i="1" s="1"/>
  <c r="L168" i="1" s="1"/>
  <c r="D167" i="1"/>
  <c r="D166" i="1"/>
  <c r="D165" i="1"/>
  <c r="D164" i="1"/>
  <c r="D163" i="1"/>
  <c r="D162" i="1"/>
  <c r="D161" i="1"/>
  <c r="D160" i="1"/>
  <c r="D159" i="1"/>
  <c r="F224" i="1"/>
  <c r="F212" i="1"/>
  <c r="F196" i="1"/>
  <c r="J244" i="1"/>
  <c r="I244" i="1"/>
  <c r="G244" i="1"/>
  <c r="G245" i="1" s="1"/>
  <c r="G246" i="1" s="1"/>
  <c r="G247" i="1" s="1"/>
  <c r="G248" i="1" s="1"/>
  <c r="G249" i="1" s="1"/>
  <c r="G250" i="1" s="1"/>
  <c r="G251" i="1" s="1"/>
  <c r="J242" i="1"/>
  <c r="I242" i="1"/>
  <c r="F238" i="1"/>
  <c r="J234" i="1"/>
  <c r="I234" i="1"/>
  <c r="G234" i="1"/>
  <c r="G235" i="1" s="1"/>
  <c r="G236" i="1" s="1"/>
  <c r="G237" i="1" s="1"/>
  <c r="G238" i="1" s="1"/>
  <c r="G239" i="1" s="1"/>
  <c r="G240" i="1" s="1"/>
  <c r="G241" i="1" s="1"/>
  <c r="G242" i="1" s="1"/>
  <c r="J232" i="1"/>
  <c r="I232" i="1"/>
  <c r="F230" i="1"/>
  <c r="J224" i="1"/>
  <c r="I224" i="1"/>
  <c r="G224" i="1"/>
  <c r="G225" i="1" s="1"/>
  <c r="G226" i="1" s="1"/>
  <c r="G227" i="1" s="1"/>
  <c r="G228" i="1" s="1"/>
  <c r="G229" i="1" s="1"/>
  <c r="G230" i="1" s="1"/>
  <c r="G231" i="1" s="1"/>
  <c r="G232" i="1" s="1"/>
  <c r="J222" i="1"/>
  <c r="I222" i="1"/>
  <c r="J214" i="1"/>
  <c r="I214" i="1"/>
  <c r="G214" i="1"/>
  <c r="G215" i="1" s="1"/>
  <c r="G216" i="1" s="1"/>
  <c r="G217" i="1" s="1"/>
  <c r="J212" i="1"/>
  <c r="I212" i="1"/>
  <c r="J203" i="1"/>
  <c r="I203" i="1"/>
  <c r="G203" i="1"/>
  <c r="G204" i="1" s="1"/>
  <c r="G205" i="1" s="1"/>
  <c r="G206" i="1" s="1"/>
  <c r="G207" i="1" s="1"/>
  <c r="G208" i="1" s="1"/>
  <c r="G209" i="1" s="1"/>
  <c r="G210" i="1" s="1"/>
  <c r="G211" i="1" s="1"/>
  <c r="G212" i="1" s="1"/>
  <c r="J201" i="1"/>
  <c r="I201" i="1"/>
  <c r="F198" i="1"/>
  <c r="F197" i="1"/>
  <c r="J192" i="1"/>
  <c r="I192" i="1"/>
  <c r="G192" i="1"/>
  <c r="G193" i="1" s="1"/>
  <c r="G194" i="1" s="1"/>
  <c r="G195" i="1" s="1"/>
  <c r="G196" i="1" s="1"/>
  <c r="G197" i="1" s="1"/>
  <c r="G198" i="1" s="1"/>
  <c r="G199" i="1" s="1"/>
  <c r="G200" i="1" s="1"/>
  <c r="G201" i="1" s="1"/>
  <c r="J190" i="1"/>
  <c r="I190" i="1"/>
  <c r="J181" i="1"/>
  <c r="I181" i="1"/>
  <c r="G181" i="1"/>
  <c r="G182" i="1" s="1"/>
  <c r="G183" i="1" s="1"/>
  <c r="G184" i="1" s="1"/>
  <c r="G185" i="1" s="1"/>
  <c r="G186" i="1" s="1"/>
  <c r="G187" i="1" s="1"/>
  <c r="G188" i="1" s="1"/>
  <c r="G189" i="1" s="1"/>
  <c r="G190" i="1" s="1"/>
  <c r="F176" i="1"/>
  <c r="F170" i="1"/>
  <c r="J179" i="1"/>
  <c r="I179" i="1"/>
  <c r="J170" i="1"/>
  <c r="I170" i="1"/>
  <c r="G170" i="1"/>
  <c r="G171" i="1" s="1"/>
  <c r="G172" i="1" s="1"/>
  <c r="G173" i="1" s="1"/>
  <c r="G174" i="1" s="1"/>
  <c r="G175" i="1" s="1"/>
  <c r="G176" i="1" s="1"/>
  <c r="G177" i="1" s="1"/>
  <c r="G178" i="1" s="1"/>
  <c r="G179" i="1" s="1"/>
  <c r="J168" i="1"/>
  <c r="I168" i="1"/>
  <c r="J159" i="1"/>
  <c r="I159" i="1"/>
  <c r="D153" i="1"/>
  <c r="F153" i="1" s="1"/>
  <c r="D152" i="1"/>
  <c r="F152" i="1" s="1"/>
  <c r="D151" i="1"/>
  <c r="F151" i="1" s="1"/>
  <c r="D150" i="1"/>
  <c r="F150" i="1" s="1"/>
  <c r="D149" i="1"/>
  <c r="F149" i="1" s="1"/>
  <c r="D148" i="1"/>
  <c r="F148" i="1" s="1"/>
  <c r="D147" i="1"/>
  <c r="F147" i="1" s="1"/>
  <c r="D146" i="1"/>
  <c r="F146" i="1" s="1"/>
  <c r="D145" i="1"/>
  <c r="F145" i="1" s="1"/>
  <c r="E143" i="1"/>
  <c r="D143" i="1"/>
  <c r="E142" i="1"/>
  <c r="D142" i="1"/>
  <c r="E141" i="1"/>
  <c r="D141" i="1"/>
  <c r="E140" i="1"/>
  <c r="D140" i="1"/>
  <c r="E139" i="1"/>
  <c r="D139" i="1"/>
  <c r="E138" i="1"/>
  <c r="D138" i="1"/>
  <c r="A146" i="1"/>
  <c r="A147" i="1" s="1"/>
  <c r="A148" i="1" s="1"/>
  <c r="A149" i="1" s="1"/>
  <c r="A150" i="1" s="1"/>
  <c r="A151" i="1" s="1"/>
  <c r="A152" i="1" s="1"/>
  <c r="A153" i="1" s="1"/>
  <c r="G145" i="1"/>
  <c r="I139" i="1"/>
  <c r="I138" i="1"/>
  <c r="E42" i="1"/>
  <c r="E124" i="1" l="1"/>
  <c r="E126" i="1" s="1"/>
  <c r="K250" i="1"/>
  <c r="J250" i="1"/>
  <c r="C129" i="1"/>
  <c r="C131" i="1" s="1"/>
  <c r="C124" i="1"/>
  <c r="C126" i="1" s="1"/>
  <c r="E129" i="1"/>
  <c r="E131" i="1" s="1"/>
  <c r="F226" i="1"/>
  <c r="G218" i="1"/>
  <c r="G219" i="1" s="1"/>
  <c r="G220" i="1" s="1"/>
  <c r="G221" i="1" s="1"/>
  <c r="G222" i="1" s="1"/>
  <c r="F142" i="1"/>
  <c r="F143" i="1"/>
  <c r="Z12" i="1"/>
  <c r="I14" i="1"/>
  <c r="F159" i="1" l="1"/>
  <c r="L159" i="1" s="1"/>
  <c r="F138" i="1"/>
  <c r="E132" i="1" l="1"/>
  <c r="C132" i="1"/>
  <c r="E43" i="1" l="1"/>
  <c r="E44" i="1" s="1"/>
  <c r="C15" i="1" l="1"/>
  <c r="E30" i="1" l="1"/>
  <c r="F160" i="1" l="1"/>
  <c r="L160" i="1" s="1"/>
  <c r="F161" i="1"/>
  <c r="L161" i="1" s="1"/>
  <c r="F162" i="1"/>
  <c r="L162" i="1" s="1"/>
  <c r="G159" i="1"/>
  <c r="F121" i="1" l="1"/>
  <c r="F139" i="1" l="1"/>
  <c r="F140" i="1"/>
  <c r="F141" i="1"/>
  <c r="G124" i="1" l="1"/>
  <c r="G126" i="1" s="1"/>
  <c r="B254" i="1"/>
  <c r="F167" i="1" l="1"/>
  <c r="F166" i="1"/>
  <c r="F164" i="1"/>
  <c r="L164" i="1" s="1"/>
  <c r="F163" i="1"/>
  <c r="L163" i="1" s="1"/>
  <c r="F165" i="1"/>
  <c r="L165" i="1" s="1"/>
  <c r="L166" i="1" l="1"/>
  <c r="K166" i="1"/>
  <c r="K167" i="1"/>
  <c r="L167" i="1"/>
  <c r="G129" i="1"/>
  <c r="G131" i="1" s="1"/>
  <c r="G132" i="1" s="1"/>
  <c r="B25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76" i="1"/>
  <c r="A139" i="1"/>
  <c r="A140" i="1" s="1"/>
  <c r="A141" i="1" s="1"/>
  <c r="A142" i="1" s="1"/>
  <c r="A143" i="1" s="1"/>
  <c r="G138" i="1"/>
  <c r="C94" i="1"/>
  <c r="B95" i="1" s="1"/>
  <c r="C80" i="1"/>
  <c r="B81" i="1" s="1"/>
  <c r="C66" i="1"/>
  <c r="D55" i="1"/>
  <c r="G50" i="1"/>
  <c r="G51" i="1" s="1"/>
  <c r="C50" i="1"/>
  <c r="E27" i="1"/>
  <c r="E25" i="1"/>
  <c r="E7" i="1"/>
  <c r="E3" i="1"/>
  <c r="B67" i="1" l="1"/>
  <c r="D60" i="1"/>
  <c r="H95" i="1"/>
  <c r="H81" i="1"/>
  <c r="H67" i="1"/>
  <c r="J100" i="1" l="1"/>
  <c r="J101" i="1" s="1"/>
  <c r="J106" i="1" s="1"/>
  <c r="D106" i="1"/>
  <c r="D104" i="1"/>
  <c r="D102" i="1"/>
  <c r="C100" i="1"/>
  <c r="J94" i="1" s="1"/>
  <c r="J96" i="1" s="1"/>
  <c r="J98" i="1"/>
  <c r="D101" i="1"/>
  <c r="D107" i="1"/>
  <c r="D105" i="1"/>
  <c r="D103" i="1"/>
  <c r="J97" i="1"/>
  <c r="J99" i="1"/>
  <c r="C98" i="1" s="1"/>
  <c r="D98" i="1" s="1"/>
  <c r="J85" i="1"/>
  <c r="C84" i="1" s="1"/>
  <c r="D84" i="1" s="1"/>
  <c r="J83" i="1"/>
  <c r="J86" i="1"/>
  <c r="J87" i="1" s="1"/>
  <c r="J92" i="1" s="1"/>
  <c r="J80" i="1"/>
  <c r="J82" i="1" s="1"/>
  <c r="D88" i="1"/>
  <c r="D90" i="1"/>
  <c r="D93" i="1"/>
  <c r="D87" i="1"/>
  <c r="D91" i="1"/>
  <c r="D92" i="1"/>
  <c r="D89" i="1"/>
  <c r="J84" i="1"/>
  <c r="J102" i="1"/>
  <c r="J103" i="1" s="1"/>
  <c r="J104" i="1" s="1"/>
  <c r="J105" i="1" s="1"/>
  <c r="J88" i="1"/>
  <c r="J89" i="1" s="1"/>
  <c r="J90" i="1" s="1"/>
  <c r="J91" i="1" s="1"/>
  <c r="J74" i="1"/>
  <c r="J75" i="1" s="1"/>
  <c r="J76" i="1" s="1"/>
  <c r="J77" i="1" s="1"/>
  <c r="D86" i="1"/>
  <c r="J107" i="1" l="1"/>
  <c r="C99" i="1" s="1"/>
  <c r="E98" i="1" s="1"/>
  <c r="D100" i="1"/>
  <c r="J93" i="1"/>
  <c r="J81" i="1" s="1"/>
  <c r="J95" i="1" l="1"/>
  <c r="D99" i="1"/>
  <c r="I95" i="1" s="1"/>
  <c r="I96" i="1" s="1"/>
  <c r="I94" i="1" s="1"/>
  <c r="C96" i="1" s="1"/>
  <c r="G98" i="1"/>
  <c r="E84" i="1"/>
  <c r="G84" i="1"/>
  <c r="D85" i="1"/>
  <c r="I81" i="1" s="1"/>
  <c r="I82" i="1" s="1"/>
  <c r="I80" i="1" l="1"/>
  <c r="C82" i="1" s="1"/>
  <c r="D76" i="1"/>
  <c r="D72" i="1"/>
  <c r="D73" i="1"/>
  <c r="J69" i="1"/>
  <c r="D74" i="1"/>
  <c r="D75" i="1"/>
  <c r="J70" i="1"/>
  <c r="D78" i="1"/>
  <c r="J72" i="1"/>
  <c r="J73" i="1" s="1"/>
  <c r="J78" i="1" s="1"/>
  <c r="J79" i="1" s="1"/>
  <c r="C71" i="1" s="1"/>
  <c r="D77" i="1"/>
  <c r="J66" i="1"/>
  <c r="J68" i="1" s="1"/>
  <c r="J71" i="1"/>
  <c r="C70" i="1" s="1"/>
  <c r="D79" i="1"/>
  <c r="E70" i="1" l="1"/>
  <c r="D71" i="1"/>
  <c r="G70" i="1"/>
  <c r="D64" i="1" s="1"/>
  <c r="D70" i="1"/>
  <c r="I67" i="1" l="1"/>
  <c r="I68" i="1" s="1"/>
  <c r="D65" i="1"/>
  <c r="F65" i="1"/>
  <c r="J67" i="1"/>
  <c r="I66" i="1" l="1"/>
  <c r="C68" i="1" s="1"/>
</calcChain>
</file>

<file path=xl/sharedStrings.xml><?xml version="1.0" encoding="utf-8"?>
<sst xmlns="http://schemas.openxmlformats.org/spreadsheetml/2006/main" count="565" uniqueCount="296">
  <si>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</si>
  <si>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</si>
  <si>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</si>
  <si>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</si>
  <si>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</si>
  <si>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</si>
  <si>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</si>
  <si>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</si>
  <si>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</si>
  <si>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</si>
  <si>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</si>
  <si>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</si>
  <si>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</si>
  <si>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</si>
  <si>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</si>
  <si>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</si>
  <si>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</si>
  <si>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</si>
  <si>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</si>
  <si>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</si>
  <si>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</si>
  <si>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</si>
  <si>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</si>
  <si>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</si>
  <si>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</si>
  <si>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</si>
  <si>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</si>
  <si>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</si>
  <si>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</si>
  <si>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</si>
  <si>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</si>
  <si>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</si>
  <si>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</si>
  <si>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</si>
  <si>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</si>
  <si>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</si>
  <si>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</si>
  <si>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</si>
  <si>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</si>
  <si>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</si>
  <si>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</si>
  <si>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</si>
  <si>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</si>
  <si>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</si>
  <si>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</si>
  <si>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</si>
  <si>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</si>
  <si>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</si>
  <si>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</si>
  <si>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</si>
  <si>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</si>
  <si>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</si>
  <si>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</si>
  <si>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</si>
  <si>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</si>
  <si>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</si>
  <si>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</si>
  <si>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</si>
  <si>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</si>
  <si>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</si>
  <si>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</si>
  <si>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</si>
  <si>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</si>
  <si>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</si>
  <si>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</si>
  <si>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</si>
  <si>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</si>
  <si>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</si>
  <si>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</si>
  <si>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</si>
  <si>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</si>
  <si>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</si>
  <si>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</si>
  <si>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</si>
  <si>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</si>
  <si>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</si>
  <si>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</si>
  <si>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</si>
  <si>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</si>
  <si>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</si>
  <si>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</si>
  <si>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</si>
  <si>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</si>
  <si>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</si>
  <si>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</si>
  <si>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</si>
  <si>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</si>
  <si>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</si>
  <si>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</si>
  <si>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</si>
  <si>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</si>
  <si>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</si>
  <si>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</si>
  <si>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</si>
  <si>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</si>
  <si>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</si>
  <si>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</si>
  <si>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</si>
  <si>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</si>
  <si>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</si>
  <si>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</si>
  <si>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</si>
  <si>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</si>
  <si>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</si>
  <si>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</si>
  <si>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</si>
  <si>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</si>
  <si>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</si>
  <si>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</si>
  <si>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</si>
  <si>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</si>
  <si>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</si>
  <si>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</si>
  <si>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</si>
  <si>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</si>
  <si>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</si>
  <si>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</si>
  <si>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</si>
  <si>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</si>
  <si>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</si>
  <si>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</si>
  <si>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</si>
  <si>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</si>
  <si>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</si>
  <si>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</si>
  <si>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</si>
  <si>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</si>
  <si>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</si>
  <si>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</si>
  <si>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</si>
  <si>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</si>
  <si>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</si>
  <si>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</si>
  <si>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</si>
  <si>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</si>
  <si>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</si>
  <si>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</si>
  <si>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</si>
  <si>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</si>
  <si>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</si>
  <si>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</si>
  <si>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</si>
  <si>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</si>
  <si>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</si>
  <si>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</si>
  <si>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</si>
  <si>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</si>
  <si>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</si>
  <si>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</si>
  <si>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</si>
  <si>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</si>
  <si>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</si>
  <si>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</si>
  <si>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</si>
  <si>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</si>
  <si>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</si>
  <si>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</si>
  <si>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</si>
  <si>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</si>
  <si>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</si>
  <si>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</si>
  <si>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</si>
  <si>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</si>
  <si>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</si>
  <si>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</si>
  <si>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</si>
  <si>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</si>
  <si>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</si>
  <si>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</si>
  <si>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</si>
  <si>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</si>
  <si>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</si>
  <si>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</si>
  <si>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</si>
  <si>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</si>
  <si>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</si>
  <si>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</si>
  <si>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</si>
  <si>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</si>
  <si>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</si>
  <si>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</si>
  <si>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</si>
  <si>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</si>
  <si>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</si>
  <si>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</si>
  <si>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</si>
  <si>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</si>
  <si>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</si>
  <si>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</si>
  <si>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</si>
  <si>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</si>
  <si>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</si>
  <si>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</si>
  <si>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</si>
  <si>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</si>
  <si>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</si>
  <si>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</si>
  <si>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</si>
  <si>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</si>
  <si>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</si>
  <si>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</si>
  <si>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</si>
  <si>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</si>
  <si>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</si>
  <si>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</si>
  <si>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</si>
  <si>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</si>
  <si>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</si>
  <si>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</si>
  <si>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</si>
  <si>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</si>
  <si>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</si>
  <si>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</si>
  <si>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</si>
  <si>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</si>
  <si>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</si>
  <si>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</si>
  <si>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</si>
  <si>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</si>
  <si>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</si>
  <si>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</si>
  <si>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</si>
  <si>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</si>
  <si>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</si>
  <si>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</si>
  <si>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</si>
  <si>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</si>
  <si>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</si>
  <si>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</si>
  <si>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</si>
  <si>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</si>
  <si>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</si>
  <si>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</si>
  <si>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Axis Sanpada</t>
  </si>
  <si>
    <t>Riddhi Siddhi Chs</t>
  </si>
  <si>
    <t>P52000051369</t>
  </si>
  <si>
    <t>Plot No</t>
  </si>
  <si>
    <t>72/A</t>
  </si>
  <si>
    <t>HOC Colony</t>
  </si>
  <si>
    <t>Swami Nityanand Rd</t>
  </si>
  <si>
    <t>Panvel West</t>
  </si>
  <si>
    <t>Shree Sai Prasad Building</t>
  </si>
  <si>
    <t>2.1KM from Panvel Railway Station</t>
  </si>
  <si>
    <t xml:space="preserve">Swami Nityanand Rd/ Shree Sai Prasad </t>
  </si>
  <si>
    <t>Shreeji Residency</t>
  </si>
  <si>
    <t>Row House</t>
  </si>
  <si>
    <t>Rajhans Building</t>
  </si>
  <si>
    <t>12.19M Existing Rd</t>
  </si>
  <si>
    <t>Other Plot</t>
  </si>
  <si>
    <t>6M Wide Drive Way</t>
  </si>
  <si>
    <t>https://goo.gl/maps/daeiQnSoM6i1cBL56</t>
  </si>
  <si>
    <t>18.996506, 73.108523</t>
  </si>
  <si>
    <t>Panvel Municipal Corporation</t>
  </si>
  <si>
    <t>PMP/NRV/16463/J.K.1886/2022</t>
  </si>
  <si>
    <t>PMC/TP/Panvel/72A/22-22/16463/1886/2022</t>
  </si>
  <si>
    <t>Gr + 1st to 11th Floor</t>
  </si>
  <si>
    <t>As per RERA - 31/12/2025</t>
  </si>
  <si>
    <t>Shop</t>
  </si>
  <si>
    <t>Ground Floor Commercial, Entrance Lobby, Society Office, Meter Room, Fire Control Room, Driver Room &amp; Parking</t>
  </si>
  <si>
    <t>1st Floor For Commercial &amp; Parking</t>
  </si>
  <si>
    <t>2nd Podium Floor For Parking</t>
  </si>
  <si>
    <t>3rd Floor For Residential</t>
  </si>
  <si>
    <t>1BHK</t>
  </si>
  <si>
    <t>3BHK</t>
  </si>
  <si>
    <t>2BHK</t>
  </si>
  <si>
    <t>4th Floor</t>
  </si>
  <si>
    <t>5th Floor</t>
  </si>
  <si>
    <t>6th Floor</t>
  </si>
  <si>
    <t>7th Floor (Part Refuge Area)</t>
  </si>
  <si>
    <t>Refuge Area</t>
  </si>
  <si>
    <t>-</t>
  </si>
  <si>
    <t>8th Floor</t>
  </si>
  <si>
    <t>9th Floor</t>
  </si>
  <si>
    <t>Terrace Area?</t>
  </si>
  <si>
    <t>3BHK Duplex With 10th Floor</t>
  </si>
  <si>
    <t>10th Floor</t>
  </si>
  <si>
    <t>11th Floor(Part Terrace Area)</t>
  </si>
  <si>
    <t>Flats</t>
  </si>
  <si>
    <t>Flats - 84, Shops - 15</t>
  </si>
  <si>
    <t>builder salable area is not match with carpet Area</t>
  </si>
  <si>
    <t>existing Building is there but not mention in legal, aggrement or any other documents</t>
  </si>
  <si>
    <t>Water supply, power backup, sewage management, lifts/elevators, security, parking.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</si>
  <si>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</si>
  <si>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Rupali Warade – 7021355243/9324664510</t>
  </si>
  <si>
    <t>8500 to 10000</t>
  </si>
  <si>
    <t>15000 to 17000</t>
  </si>
  <si>
    <t>Water, MSEB, Development Charges</t>
  </si>
  <si>
    <t>Riddhi Siddhi Co-opertive Housing Society</t>
  </si>
  <si>
    <r>
      <t>Approved Plans, CC,</t>
    </r>
    <r>
      <rPr>
        <sz val="12"/>
        <color theme="1"/>
        <rFont val="Times New Roman"/>
        <family val="1"/>
      </rPr>
      <t xml:space="preserve"> Cost Sheet.</t>
    </r>
  </si>
  <si>
    <t>We considered Gross carpet area = Net carpet + Balcony + Chajja Area.</t>
  </si>
  <si>
    <t>Mr. Krishna Singh 9820756610</t>
  </si>
  <si>
    <t>Please check from Fire Noc &amp; Airport Noc.</t>
  </si>
  <si>
    <t>Qualcon Landmarks LLP</t>
  </si>
  <si>
    <t xml:space="preserve">Construction work is in process at the time of Visit. (Slow Speed)
</t>
  </si>
  <si>
    <t>Kunal Kadam</t>
  </si>
  <si>
    <t>Ravindra vishwakarma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</si>
</sst>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1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8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vertical="top" wrapText="1"/>
      <protection locked="0"/>
    </xf>
    <xf numFmtId="0" fontId="7" fillId="2" borderId="0" xfId="1" applyFont="1" applyFill="1"/>
    <xf numFmtId="0" fontId="7" fillId="0" borderId="1" xfId="1" applyFont="1" applyBorder="1" applyAlignment="1" applyProtection="1">
      <alignment horizontal="center" vertical="top"/>
      <protection locked="0"/>
    </xf>
    <xf numFmtId="1" fontId="7" fillId="2" borderId="0" xfId="1" applyNumberFormat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 applyProtection="1">
      <alignment horizontal="left" vertical="top"/>
      <protection locked="0"/>
    </xf>
    <xf numFmtId="0" fontId="10" fillId="0" borderId="20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14" fontId="7" fillId="0" borderId="7" xfId="1" applyNumberFormat="1" applyFont="1" applyBorder="1" applyAlignment="1" applyProtection="1">
      <alignment horizontal="left" vertical="top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center" vertical="center" wrapText="1"/>
      <protection locked="0"/>
    </xf>
    <xf numFmtId="0" fontId="12" fillId="0" borderId="20" xfId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1" fontId="10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7" fillId="0" borderId="7" xfId="0" applyNumberFormat="1" applyFont="1" applyBorder="1" applyAlignment="1" applyProtection="1">
      <alignment vertical="top" wrapText="1"/>
      <protection locked="0"/>
    </xf>
    <xf numFmtId="1" fontId="17" fillId="0" borderId="20" xfId="0" applyNumberFormat="1" applyFont="1" applyBorder="1" applyAlignment="1" applyProtection="1">
      <alignment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2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829236</xdr:colOff>
      <xdr:row>318</xdr:row>
      <xdr:rowOff>100853</xdr:rowOff>
    </xdr:from>
    <xdr:to>
      <xdr:col>6</xdr:col>
      <xdr:colOff>49772</xdr:colOff>
      <xdr:row>345</xdr:row>
      <xdr:rowOff>54794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6060" y="63089118"/>
          <a:ext cx="3658065" cy="540000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214312</xdr:colOff>
      <xdr:row>361</xdr:row>
      <xdr:rowOff>0</xdr:rowOff>
    </xdr:from>
    <xdr:to>
      <xdr:col>6</xdr:col>
      <xdr:colOff>429091</xdr:colOff>
      <xdr:row>373</xdr:row>
      <xdr:rowOff>99530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1136" y="72065029"/>
          <a:ext cx="4652308" cy="252000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0</xdr:col>
      <xdr:colOff>235318</xdr:colOff>
      <xdr:row>374</xdr:row>
      <xdr:rowOff>21005</xdr:rowOff>
    </xdr:from>
    <xdr:to>
      <xdr:col>7</xdr:col>
      <xdr:colOff>541589</xdr:colOff>
      <xdr:row>391</xdr:row>
      <xdr:rowOff>192004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5318" y="74708211"/>
          <a:ext cx="6357447" cy="360000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/>
      </xdr:spPr>
    </xdr:pic>
    <xdr:clientData/>
  </xdr:twoCellAnchor>
  <xdr:twoCellAnchor>
    <xdr:from>
      <xdr:col>2</xdr:col>
      <xdr:colOff>300991</xdr:colOff>
      <xdr:row>378</xdr:row>
      <xdr:rowOff>42296</xdr:rowOff>
    </xdr:from>
    <xdr:to>
      <xdr:col>5</xdr:col>
      <xdr:colOff>236552</xdr:colOff>
      <xdr:row>385</xdr:row>
      <xdr:rowOff>127447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694855">
          <a:off x="1970667" y="75536325"/>
          <a:ext cx="2681003" cy="1497093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437030</xdr:colOff>
      <xdr:row>344</xdr:row>
      <xdr:rowOff>156882</xdr:rowOff>
    </xdr:from>
    <xdr:to>
      <xdr:col>5</xdr:col>
      <xdr:colOff>67235</xdr:colOff>
      <xdr:row>344</xdr:row>
      <xdr:rowOff>158470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4022912" y="67638706"/>
          <a:ext cx="459441" cy="1588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818030</xdr:colOff>
      <xdr:row>343</xdr:row>
      <xdr:rowOff>89647</xdr:rowOff>
    </xdr:from>
    <xdr:to>
      <xdr:col>5</xdr:col>
      <xdr:colOff>560294</xdr:colOff>
      <xdr:row>345</xdr:row>
      <xdr:rowOff>190501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403912" y="67369765"/>
          <a:ext cx="571500" cy="5042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 b="1">
              <a:solidFill>
                <a:srgbClr val="C00000"/>
              </a:solidFill>
            </a:rPr>
            <a:t>N</a:t>
          </a:r>
        </a:p>
      </xdr:txBody>
    </xdr:sp>
    <xdr:clientData/>
  </xdr:twoCellAnchor>
  <xdr:twoCellAnchor>
    <xdr:from>
      <xdr:col>10</xdr:col>
      <xdr:colOff>241355</xdr:colOff>
      <xdr:row>273</xdr:row>
      <xdr:rowOff>135917</xdr:rowOff>
    </xdr:from>
    <xdr:to>
      <xdr:col>18</xdr:col>
      <xdr:colOff>376610</xdr:colOff>
      <xdr:row>314</xdr:row>
      <xdr:rowOff>88292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8775755" y="51052757"/>
          <a:ext cx="6162675" cy="8067675"/>
          <a:chOff x="136348" y="537925"/>
          <a:chExt cx="6721652" cy="7927900"/>
        </a:xfrm>
      </xdr:grpSpPr>
      <xdr:pic>
        <xdr:nvPicPr>
          <xdr:cNvPr id="22" name="Picture 21" descr="https://vsjcllp.vsjadon.com/upload/insp-236726-1525.jpg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83968" y="7025825"/>
            <a:ext cx="1918222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36726-843.jpg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6747" y="537925"/>
            <a:ext cx="3203416" cy="42756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36726-844.jpg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6348" y="7025825"/>
            <a:ext cx="1918222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36726-847.jpg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55167" y="4907799"/>
            <a:ext cx="1475400" cy="19692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36726-861.jpg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26366" y="7025825"/>
            <a:ext cx="1078875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36726-860.jpg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1239" y="4907799"/>
            <a:ext cx="1475400" cy="19692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36726-880.jpg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6" y="4907799"/>
            <a:ext cx="1475400" cy="19692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36726-931.jpg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29841" y="4907799"/>
            <a:ext cx="1475400" cy="19692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https://vsjcllp.vsjadon.com/upload/insp-236726-916.jpg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55167" y="7010400"/>
            <a:ext cx="1078875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Picture 43" descr="https://vsjcllp.vsjadon.com/upload/insp-236726-928.jpg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4584" y="537925"/>
            <a:ext cx="3203416" cy="42756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327661</xdr:colOff>
      <xdr:row>277</xdr:row>
      <xdr:rowOff>22860</xdr:rowOff>
    </xdr:from>
    <xdr:to>
      <xdr:col>7</xdr:col>
      <xdr:colOff>365761</xdr:colOff>
      <xdr:row>316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BA9D642-903C-B474-E32A-CFC2B3B95458}"/>
            </a:ext>
          </a:extLst>
        </xdr:cNvPr>
        <xdr:cNvGrpSpPr/>
      </xdr:nvGrpSpPr>
      <xdr:grpSpPr>
        <a:xfrm>
          <a:off x="327661" y="51732180"/>
          <a:ext cx="5867400" cy="7696200"/>
          <a:chOff x="388129" y="129997"/>
          <a:chExt cx="6071985" cy="8488224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5B839AE2-79D2-0EC9-4661-49AEE05E9A4C}"/>
              </a:ext>
            </a:extLst>
          </xdr:cNvPr>
          <xdr:cNvGrpSpPr/>
        </xdr:nvGrpSpPr>
        <xdr:grpSpPr>
          <a:xfrm>
            <a:off x="1446523" y="6818221"/>
            <a:ext cx="3955196" cy="1800000"/>
            <a:chOff x="927566" y="6818221"/>
            <a:chExt cx="3955196" cy="1800000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DA3BE030-44D2-AB89-275A-56A66B57663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927566" y="6818221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3F0CF388-2EB6-1B68-3B03-9A48468AB67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84984" y="6818221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F38CD25C-EB67-3C79-EF44-2AA042065036}"/>
              </a:ext>
            </a:extLst>
          </xdr:cNvPr>
          <xdr:cNvGrpSpPr/>
        </xdr:nvGrpSpPr>
        <xdr:grpSpPr>
          <a:xfrm>
            <a:off x="442990" y="129997"/>
            <a:ext cx="5962263" cy="3844005"/>
            <a:chOff x="497851" y="129997"/>
            <a:chExt cx="5962263" cy="3844005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E5F7261F-F47F-1D35-4BD2-B64434E0C61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80114" y="129997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2AA51407-6215-619F-6B46-5B009EFDD63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97851" y="129997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D950B8AE-C18D-6FE7-B750-BCAD185EE0A1}"/>
              </a:ext>
            </a:extLst>
          </xdr:cNvPr>
          <xdr:cNvGrpSpPr/>
        </xdr:nvGrpSpPr>
        <xdr:grpSpPr>
          <a:xfrm>
            <a:off x="388129" y="4135340"/>
            <a:ext cx="6071985" cy="2520000"/>
            <a:chOff x="388129" y="4135340"/>
            <a:chExt cx="6071985" cy="2520000"/>
          </a:xfrm>
        </xdr:grpSpPr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3890B15C-2B25-0FAD-FCD7-C11ADCEFED5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88129" y="413534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6278B3A8-7D78-7A36-85B2-7D4C042BF6D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84984" y="413534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2AF2CC56-3ED3-17B7-139D-62DA1B08087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72083" y="413534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aeiQnSoM6i1cBL5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360"/>
  <sheetViews>
    <sheetView tabSelected="1" view="pageBreakPreview" zoomScaleNormal="100" zoomScaleSheetLayoutView="100" zoomScalePageLayoutView="85" workbookViewId="0">
      <selection activeCell="K8" sqref="K8"/>
    </sheetView>
  </sheetViews>
  <sheetFormatPr defaultColWidth="9.109375" defaultRowHeight="15.6" x14ac:dyDescent="0.3"/>
  <cols>
    <col min="1" max="1" width="11.44140625" style="41" customWidth="1"/>
    <col min="2" max="2" width="12" style="41" customWidth="1"/>
    <col min="3" max="3" width="12.6640625" style="41" customWidth="1"/>
    <col min="4" max="4" width="14.109375" style="41" customWidth="1"/>
    <col min="5" max="6" width="11.6640625" style="41" customWidth="1"/>
    <col min="7" max="7" width="11.44140625" style="41" customWidth="1"/>
    <col min="8" max="8" width="10.5546875" style="41" customWidth="1"/>
    <col min="9" max="9" width="17.44140625" style="22" customWidth="1"/>
    <col min="10" max="10" width="11.44140625" style="22" customWidth="1"/>
    <col min="11" max="11" width="10.5546875" style="22" bestFit="1" customWidth="1"/>
    <col min="12" max="12" width="13.109375" style="22" customWidth="1"/>
    <col min="13" max="13" width="11.88671875" style="22" customWidth="1"/>
    <col min="14" max="14" width="12.5546875" style="22" customWidth="1"/>
    <col min="15" max="15" width="9.88671875" style="22" customWidth="1"/>
    <col min="16" max="16" width="11.6640625" style="22" customWidth="1"/>
    <col min="17" max="247" width="9.109375" style="22"/>
    <col min="248" max="248" width="8.6640625" style="22" customWidth="1"/>
    <col min="249" max="249" width="9.88671875" style="22" customWidth="1"/>
    <col min="250" max="250" width="14.44140625" style="22" customWidth="1"/>
    <col min="251" max="251" width="7.33203125" style="22" customWidth="1"/>
    <col min="252" max="252" width="5.5546875" style="22" customWidth="1"/>
    <col min="253" max="253" width="9" style="22" customWidth="1"/>
    <col min="254" max="255" width="9.88671875" style="22" customWidth="1"/>
    <col min="256" max="256" width="11.109375" style="22" customWidth="1"/>
    <col min="257" max="257" width="2.88671875" style="22" customWidth="1"/>
    <col min="258" max="258" width="3.5546875" style="22" customWidth="1"/>
    <col min="259" max="503" width="9.109375" style="22"/>
    <col min="504" max="504" width="8.6640625" style="22" customWidth="1"/>
    <col min="505" max="505" width="9.88671875" style="22" customWidth="1"/>
    <col min="506" max="506" width="14.44140625" style="22" customWidth="1"/>
    <col min="507" max="507" width="7.33203125" style="22" customWidth="1"/>
    <col min="508" max="508" width="5.5546875" style="22" customWidth="1"/>
    <col min="509" max="509" width="9" style="22" customWidth="1"/>
    <col min="510" max="511" width="9.88671875" style="22" customWidth="1"/>
    <col min="512" max="512" width="11.109375" style="22" customWidth="1"/>
    <col min="513" max="513" width="2.88671875" style="22" customWidth="1"/>
    <col min="514" max="514" width="3.5546875" style="22" customWidth="1"/>
    <col min="515" max="759" width="9.109375" style="22"/>
    <col min="760" max="760" width="8.6640625" style="22" customWidth="1"/>
    <col min="761" max="761" width="9.88671875" style="22" customWidth="1"/>
    <col min="762" max="762" width="14.44140625" style="22" customWidth="1"/>
    <col min="763" max="763" width="7.33203125" style="22" customWidth="1"/>
    <col min="764" max="764" width="5.5546875" style="22" customWidth="1"/>
    <col min="765" max="765" width="9" style="22" customWidth="1"/>
    <col min="766" max="767" width="9.88671875" style="22" customWidth="1"/>
    <col min="768" max="768" width="11.109375" style="22" customWidth="1"/>
    <col min="769" max="769" width="2.88671875" style="22" customWidth="1"/>
    <col min="770" max="770" width="3.5546875" style="22" customWidth="1"/>
    <col min="771" max="1015" width="9.109375" style="22"/>
    <col min="1016" max="1016" width="8.6640625" style="22" customWidth="1"/>
    <col min="1017" max="1017" width="9.88671875" style="22" customWidth="1"/>
    <col min="1018" max="1018" width="14.44140625" style="22" customWidth="1"/>
    <col min="1019" max="1019" width="7.33203125" style="22" customWidth="1"/>
    <col min="1020" max="1020" width="5.5546875" style="22" customWidth="1"/>
    <col min="1021" max="1021" width="9" style="22" customWidth="1"/>
    <col min="1022" max="1023" width="9.88671875" style="22" customWidth="1"/>
    <col min="1024" max="1024" width="11.109375" style="22" customWidth="1"/>
    <col min="1025" max="1025" width="2.88671875" style="22" customWidth="1"/>
    <col min="1026" max="1026" width="3.5546875" style="22" customWidth="1"/>
    <col min="1027" max="1271" width="9.109375" style="22"/>
    <col min="1272" max="1272" width="8.6640625" style="22" customWidth="1"/>
    <col min="1273" max="1273" width="9.88671875" style="22" customWidth="1"/>
    <col min="1274" max="1274" width="14.44140625" style="22" customWidth="1"/>
    <col min="1275" max="1275" width="7.33203125" style="22" customWidth="1"/>
    <col min="1276" max="1276" width="5.5546875" style="22" customWidth="1"/>
    <col min="1277" max="1277" width="9" style="22" customWidth="1"/>
    <col min="1278" max="1279" width="9.88671875" style="22" customWidth="1"/>
    <col min="1280" max="1280" width="11.109375" style="22" customWidth="1"/>
    <col min="1281" max="1281" width="2.88671875" style="22" customWidth="1"/>
    <col min="1282" max="1282" width="3.5546875" style="22" customWidth="1"/>
    <col min="1283" max="1527" width="9.109375" style="22"/>
    <col min="1528" max="1528" width="8.6640625" style="22" customWidth="1"/>
    <col min="1529" max="1529" width="9.88671875" style="22" customWidth="1"/>
    <col min="1530" max="1530" width="14.44140625" style="22" customWidth="1"/>
    <col min="1531" max="1531" width="7.33203125" style="22" customWidth="1"/>
    <col min="1532" max="1532" width="5.5546875" style="22" customWidth="1"/>
    <col min="1533" max="1533" width="9" style="22" customWidth="1"/>
    <col min="1534" max="1535" width="9.88671875" style="22" customWidth="1"/>
    <col min="1536" max="1536" width="11.109375" style="22" customWidth="1"/>
    <col min="1537" max="1537" width="2.88671875" style="22" customWidth="1"/>
    <col min="1538" max="1538" width="3.5546875" style="22" customWidth="1"/>
    <col min="1539" max="1783" width="9.109375" style="22"/>
    <col min="1784" max="1784" width="8.6640625" style="22" customWidth="1"/>
    <col min="1785" max="1785" width="9.88671875" style="22" customWidth="1"/>
    <col min="1786" max="1786" width="14.44140625" style="22" customWidth="1"/>
    <col min="1787" max="1787" width="7.33203125" style="22" customWidth="1"/>
    <col min="1788" max="1788" width="5.5546875" style="22" customWidth="1"/>
    <col min="1789" max="1789" width="9" style="22" customWidth="1"/>
    <col min="1790" max="1791" width="9.88671875" style="22" customWidth="1"/>
    <col min="1792" max="1792" width="11.109375" style="22" customWidth="1"/>
    <col min="1793" max="1793" width="2.88671875" style="22" customWidth="1"/>
    <col min="1794" max="1794" width="3.5546875" style="22" customWidth="1"/>
    <col min="1795" max="2039" width="9.109375" style="22"/>
    <col min="2040" max="2040" width="8.6640625" style="22" customWidth="1"/>
    <col min="2041" max="2041" width="9.88671875" style="22" customWidth="1"/>
    <col min="2042" max="2042" width="14.44140625" style="22" customWidth="1"/>
    <col min="2043" max="2043" width="7.33203125" style="22" customWidth="1"/>
    <col min="2044" max="2044" width="5.5546875" style="22" customWidth="1"/>
    <col min="2045" max="2045" width="9" style="22" customWidth="1"/>
    <col min="2046" max="2047" width="9.88671875" style="22" customWidth="1"/>
    <col min="2048" max="2048" width="11.109375" style="22" customWidth="1"/>
    <col min="2049" max="2049" width="2.88671875" style="22" customWidth="1"/>
    <col min="2050" max="2050" width="3.5546875" style="22" customWidth="1"/>
    <col min="2051" max="2295" width="9.109375" style="22"/>
    <col min="2296" max="2296" width="8.6640625" style="22" customWidth="1"/>
    <col min="2297" max="2297" width="9.88671875" style="22" customWidth="1"/>
    <col min="2298" max="2298" width="14.44140625" style="22" customWidth="1"/>
    <col min="2299" max="2299" width="7.33203125" style="22" customWidth="1"/>
    <col min="2300" max="2300" width="5.5546875" style="22" customWidth="1"/>
    <col min="2301" max="2301" width="9" style="22" customWidth="1"/>
    <col min="2302" max="2303" width="9.88671875" style="22" customWidth="1"/>
    <col min="2304" max="2304" width="11.109375" style="22" customWidth="1"/>
    <col min="2305" max="2305" width="2.88671875" style="22" customWidth="1"/>
    <col min="2306" max="2306" width="3.5546875" style="22" customWidth="1"/>
    <col min="2307" max="2551" width="9.109375" style="22"/>
    <col min="2552" max="2552" width="8.6640625" style="22" customWidth="1"/>
    <col min="2553" max="2553" width="9.88671875" style="22" customWidth="1"/>
    <col min="2554" max="2554" width="14.44140625" style="22" customWidth="1"/>
    <col min="2555" max="2555" width="7.33203125" style="22" customWidth="1"/>
    <col min="2556" max="2556" width="5.5546875" style="22" customWidth="1"/>
    <col min="2557" max="2557" width="9" style="22" customWidth="1"/>
    <col min="2558" max="2559" width="9.88671875" style="22" customWidth="1"/>
    <col min="2560" max="2560" width="11.109375" style="22" customWidth="1"/>
    <col min="2561" max="2561" width="2.88671875" style="22" customWidth="1"/>
    <col min="2562" max="2562" width="3.5546875" style="22" customWidth="1"/>
    <col min="2563" max="2807" width="9.109375" style="22"/>
    <col min="2808" max="2808" width="8.6640625" style="22" customWidth="1"/>
    <col min="2809" max="2809" width="9.88671875" style="22" customWidth="1"/>
    <col min="2810" max="2810" width="14.44140625" style="22" customWidth="1"/>
    <col min="2811" max="2811" width="7.33203125" style="22" customWidth="1"/>
    <col min="2812" max="2812" width="5.5546875" style="22" customWidth="1"/>
    <col min="2813" max="2813" width="9" style="22" customWidth="1"/>
    <col min="2814" max="2815" width="9.88671875" style="22" customWidth="1"/>
    <col min="2816" max="2816" width="11.109375" style="22" customWidth="1"/>
    <col min="2817" max="2817" width="2.88671875" style="22" customWidth="1"/>
    <col min="2818" max="2818" width="3.5546875" style="22" customWidth="1"/>
    <col min="2819" max="3063" width="9.109375" style="22"/>
    <col min="3064" max="3064" width="8.6640625" style="22" customWidth="1"/>
    <col min="3065" max="3065" width="9.88671875" style="22" customWidth="1"/>
    <col min="3066" max="3066" width="14.44140625" style="22" customWidth="1"/>
    <col min="3067" max="3067" width="7.33203125" style="22" customWidth="1"/>
    <col min="3068" max="3068" width="5.5546875" style="22" customWidth="1"/>
    <col min="3069" max="3069" width="9" style="22" customWidth="1"/>
    <col min="3070" max="3071" width="9.88671875" style="22" customWidth="1"/>
    <col min="3072" max="3072" width="11.109375" style="22" customWidth="1"/>
    <col min="3073" max="3073" width="2.88671875" style="22" customWidth="1"/>
    <col min="3074" max="3074" width="3.5546875" style="22" customWidth="1"/>
    <col min="3075" max="3319" width="9.109375" style="22"/>
    <col min="3320" max="3320" width="8.6640625" style="22" customWidth="1"/>
    <col min="3321" max="3321" width="9.88671875" style="22" customWidth="1"/>
    <col min="3322" max="3322" width="14.44140625" style="22" customWidth="1"/>
    <col min="3323" max="3323" width="7.33203125" style="22" customWidth="1"/>
    <col min="3324" max="3324" width="5.5546875" style="22" customWidth="1"/>
    <col min="3325" max="3325" width="9" style="22" customWidth="1"/>
    <col min="3326" max="3327" width="9.88671875" style="22" customWidth="1"/>
    <col min="3328" max="3328" width="11.109375" style="22" customWidth="1"/>
    <col min="3329" max="3329" width="2.88671875" style="22" customWidth="1"/>
    <col min="3330" max="3330" width="3.5546875" style="22" customWidth="1"/>
    <col min="3331" max="3575" width="9.109375" style="22"/>
    <col min="3576" max="3576" width="8.6640625" style="22" customWidth="1"/>
    <col min="3577" max="3577" width="9.88671875" style="22" customWidth="1"/>
    <col min="3578" max="3578" width="14.44140625" style="22" customWidth="1"/>
    <col min="3579" max="3579" width="7.33203125" style="22" customWidth="1"/>
    <col min="3580" max="3580" width="5.5546875" style="22" customWidth="1"/>
    <col min="3581" max="3581" width="9" style="22" customWidth="1"/>
    <col min="3582" max="3583" width="9.88671875" style="22" customWidth="1"/>
    <col min="3584" max="3584" width="11.109375" style="22" customWidth="1"/>
    <col min="3585" max="3585" width="2.88671875" style="22" customWidth="1"/>
    <col min="3586" max="3586" width="3.5546875" style="22" customWidth="1"/>
    <col min="3587" max="3831" width="9.109375" style="22"/>
    <col min="3832" max="3832" width="8.6640625" style="22" customWidth="1"/>
    <col min="3833" max="3833" width="9.88671875" style="22" customWidth="1"/>
    <col min="3834" max="3834" width="14.44140625" style="22" customWidth="1"/>
    <col min="3835" max="3835" width="7.33203125" style="22" customWidth="1"/>
    <col min="3836" max="3836" width="5.5546875" style="22" customWidth="1"/>
    <col min="3837" max="3837" width="9" style="22" customWidth="1"/>
    <col min="3838" max="3839" width="9.88671875" style="22" customWidth="1"/>
    <col min="3840" max="3840" width="11.109375" style="22" customWidth="1"/>
    <col min="3841" max="3841" width="2.88671875" style="22" customWidth="1"/>
    <col min="3842" max="3842" width="3.5546875" style="22" customWidth="1"/>
    <col min="3843" max="4087" width="9.109375" style="22"/>
    <col min="4088" max="4088" width="8.6640625" style="22" customWidth="1"/>
    <col min="4089" max="4089" width="9.88671875" style="22" customWidth="1"/>
    <col min="4090" max="4090" width="14.44140625" style="22" customWidth="1"/>
    <col min="4091" max="4091" width="7.33203125" style="22" customWidth="1"/>
    <col min="4092" max="4092" width="5.5546875" style="22" customWidth="1"/>
    <col min="4093" max="4093" width="9" style="22" customWidth="1"/>
    <col min="4094" max="4095" width="9.88671875" style="22" customWidth="1"/>
    <col min="4096" max="4096" width="11.109375" style="22" customWidth="1"/>
    <col min="4097" max="4097" width="2.88671875" style="22" customWidth="1"/>
    <col min="4098" max="4098" width="3.5546875" style="22" customWidth="1"/>
    <col min="4099" max="4343" width="9.109375" style="22"/>
    <col min="4344" max="4344" width="8.6640625" style="22" customWidth="1"/>
    <col min="4345" max="4345" width="9.88671875" style="22" customWidth="1"/>
    <col min="4346" max="4346" width="14.44140625" style="22" customWidth="1"/>
    <col min="4347" max="4347" width="7.33203125" style="22" customWidth="1"/>
    <col min="4348" max="4348" width="5.5546875" style="22" customWidth="1"/>
    <col min="4349" max="4349" width="9" style="22" customWidth="1"/>
    <col min="4350" max="4351" width="9.88671875" style="22" customWidth="1"/>
    <col min="4352" max="4352" width="11.109375" style="22" customWidth="1"/>
    <col min="4353" max="4353" width="2.88671875" style="22" customWidth="1"/>
    <col min="4354" max="4354" width="3.5546875" style="22" customWidth="1"/>
    <col min="4355" max="4599" width="9.109375" style="22"/>
    <col min="4600" max="4600" width="8.6640625" style="22" customWidth="1"/>
    <col min="4601" max="4601" width="9.88671875" style="22" customWidth="1"/>
    <col min="4602" max="4602" width="14.44140625" style="22" customWidth="1"/>
    <col min="4603" max="4603" width="7.33203125" style="22" customWidth="1"/>
    <col min="4604" max="4604" width="5.5546875" style="22" customWidth="1"/>
    <col min="4605" max="4605" width="9" style="22" customWidth="1"/>
    <col min="4606" max="4607" width="9.88671875" style="22" customWidth="1"/>
    <col min="4608" max="4608" width="11.109375" style="22" customWidth="1"/>
    <col min="4609" max="4609" width="2.88671875" style="22" customWidth="1"/>
    <col min="4610" max="4610" width="3.5546875" style="22" customWidth="1"/>
    <col min="4611" max="4855" width="9.109375" style="22"/>
    <col min="4856" max="4856" width="8.6640625" style="22" customWidth="1"/>
    <col min="4857" max="4857" width="9.88671875" style="22" customWidth="1"/>
    <col min="4858" max="4858" width="14.44140625" style="22" customWidth="1"/>
    <col min="4859" max="4859" width="7.33203125" style="22" customWidth="1"/>
    <col min="4860" max="4860" width="5.5546875" style="22" customWidth="1"/>
    <col min="4861" max="4861" width="9" style="22" customWidth="1"/>
    <col min="4862" max="4863" width="9.88671875" style="22" customWidth="1"/>
    <col min="4864" max="4864" width="11.109375" style="22" customWidth="1"/>
    <col min="4865" max="4865" width="2.88671875" style="22" customWidth="1"/>
    <col min="4866" max="4866" width="3.5546875" style="22" customWidth="1"/>
    <col min="4867" max="5111" width="9.109375" style="22"/>
    <col min="5112" max="5112" width="8.6640625" style="22" customWidth="1"/>
    <col min="5113" max="5113" width="9.88671875" style="22" customWidth="1"/>
    <col min="5114" max="5114" width="14.44140625" style="22" customWidth="1"/>
    <col min="5115" max="5115" width="7.33203125" style="22" customWidth="1"/>
    <col min="5116" max="5116" width="5.5546875" style="22" customWidth="1"/>
    <col min="5117" max="5117" width="9" style="22" customWidth="1"/>
    <col min="5118" max="5119" width="9.88671875" style="22" customWidth="1"/>
    <col min="5120" max="5120" width="11.109375" style="22" customWidth="1"/>
    <col min="5121" max="5121" width="2.88671875" style="22" customWidth="1"/>
    <col min="5122" max="5122" width="3.5546875" style="22" customWidth="1"/>
    <col min="5123" max="5367" width="9.109375" style="22"/>
    <col min="5368" max="5368" width="8.6640625" style="22" customWidth="1"/>
    <col min="5369" max="5369" width="9.88671875" style="22" customWidth="1"/>
    <col min="5370" max="5370" width="14.44140625" style="22" customWidth="1"/>
    <col min="5371" max="5371" width="7.33203125" style="22" customWidth="1"/>
    <col min="5372" max="5372" width="5.5546875" style="22" customWidth="1"/>
    <col min="5373" max="5373" width="9" style="22" customWidth="1"/>
    <col min="5374" max="5375" width="9.88671875" style="22" customWidth="1"/>
    <col min="5376" max="5376" width="11.109375" style="22" customWidth="1"/>
    <col min="5377" max="5377" width="2.88671875" style="22" customWidth="1"/>
    <col min="5378" max="5378" width="3.5546875" style="22" customWidth="1"/>
    <col min="5379" max="5623" width="9.109375" style="22"/>
    <col min="5624" max="5624" width="8.6640625" style="22" customWidth="1"/>
    <col min="5625" max="5625" width="9.88671875" style="22" customWidth="1"/>
    <col min="5626" max="5626" width="14.44140625" style="22" customWidth="1"/>
    <col min="5627" max="5627" width="7.33203125" style="22" customWidth="1"/>
    <col min="5628" max="5628" width="5.5546875" style="22" customWidth="1"/>
    <col min="5629" max="5629" width="9" style="22" customWidth="1"/>
    <col min="5630" max="5631" width="9.88671875" style="22" customWidth="1"/>
    <col min="5632" max="5632" width="11.109375" style="22" customWidth="1"/>
    <col min="5633" max="5633" width="2.88671875" style="22" customWidth="1"/>
    <col min="5634" max="5634" width="3.5546875" style="22" customWidth="1"/>
    <col min="5635" max="5879" width="9.109375" style="22"/>
    <col min="5880" max="5880" width="8.6640625" style="22" customWidth="1"/>
    <col min="5881" max="5881" width="9.88671875" style="22" customWidth="1"/>
    <col min="5882" max="5882" width="14.44140625" style="22" customWidth="1"/>
    <col min="5883" max="5883" width="7.33203125" style="22" customWidth="1"/>
    <col min="5884" max="5884" width="5.5546875" style="22" customWidth="1"/>
    <col min="5885" max="5885" width="9" style="22" customWidth="1"/>
    <col min="5886" max="5887" width="9.88671875" style="22" customWidth="1"/>
    <col min="5888" max="5888" width="11.109375" style="22" customWidth="1"/>
    <col min="5889" max="5889" width="2.88671875" style="22" customWidth="1"/>
    <col min="5890" max="5890" width="3.5546875" style="22" customWidth="1"/>
    <col min="5891" max="6135" width="9.109375" style="22"/>
    <col min="6136" max="6136" width="8.6640625" style="22" customWidth="1"/>
    <col min="6137" max="6137" width="9.88671875" style="22" customWidth="1"/>
    <col min="6138" max="6138" width="14.44140625" style="22" customWidth="1"/>
    <col min="6139" max="6139" width="7.33203125" style="22" customWidth="1"/>
    <col min="6140" max="6140" width="5.5546875" style="22" customWidth="1"/>
    <col min="6141" max="6141" width="9" style="22" customWidth="1"/>
    <col min="6142" max="6143" width="9.88671875" style="22" customWidth="1"/>
    <col min="6144" max="6144" width="11.109375" style="22" customWidth="1"/>
    <col min="6145" max="6145" width="2.88671875" style="22" customWidth="1"/>
    <col min="6146" max="6146" width="3.5546875" style="22" customWidth="1"/>
    <col min="6147" max="6391" width="9.109375" style="22"/>
    <col min="6392" max="6392" width="8.6640625" style="22" customWidth="1"/>
    <col min="6393" max="6393" width="9.88671875" style="22" customWidth="1"/>
    <col min="6394" max="6394" width="14.44140625" style="22" customWidth="1"/>
    <col min="6395" max="6395" width="7.33203125" style="22" customWidth="1"/>
    <col min="6396" max="6396" width="5.5546875" style="22" customWidth="1"/>
    <col min="6397" max="6397" width="9" style="22" customWidth="1"/>
    <col min="6398" max="6399" width="9.88671875" style="22" customWidth="1"/>
    <col min="6400" max="6400" width="11.109375" style="22" customWidth="1"/>
    <col min="6401" max="6401" width="2.88671875" style="22" customWidth="1"/>
    <col min="6402" max="6402" width="3.5546875" style="22" customWidth="1"/>
    <col min="6403" max="6647" width="9.109375" style="22"/>
    <col min="6648" max="6648" width="8.6640625" style="22" customWidth="1"/>
    <col min="6649" max="6649" width="9.88671875" style="22" customWidth="1"/>
    <col min="6650" max="6650" width="14.44140625" style="22" customWidth="1"/>
    <col min="6651" max="6651" width="7.33203125" style="22" customWidth="1"/>
    <col min="6652" max="6652" width="5.5546875" style="22" customWidth="1"/>
    <col min="6653" max="6653" width="9" style="22" customWidth="1"/>
    <col min="6654" max="6655" width="9.88671875" style="22" customWidth="1"/>
    <col min="6656" max="6656" width="11.109375" style="22" customWidth="1"/>
    <col min="6657" max="6657" width="2.88671875" style="22" customWidth="1"/>
    <col min="6658" max="6658" width="3.5546875" style="22" customWidth="1"/>
    <col min="6659" max="6903" width="9.109375" style="22"/>
    <col min="6904" max="6904" width="8.6640625" style="22" customWidth="1"/>
    <col min="6905" max="6905" width="9.88671875" style="22" customWidth="1"/>
    <col min="6906" max="6906" width="14.44140625" style="22" customWidth="1"/>
    <col min="6907" max="6907" width="7.33203125" style="22" customWidth="1"/>
    <col min="6908" max="6908" width="5.5546875" style="22" customWidth="1"/>
    <col min="6909" max="6909" width="9" style="22" customWidth="1"/>
    <col min="6910" max="6911" width="9.88671875" style="22" customWidth="1"/>
    <col min="6912" max="6912" width="11.109375" style="22" customWidth="1"/>
    <col min="6913" max="6913" width="2.88671875" style="22" customWidth="1"/>
    <col min="6914" max="6914" width="3.5546875" style="22" customWidth="1"/>
    <col min="6915" max="7159" width="9.109375" style="22"/>
    <col min="7160" max="7160" width="8.6640625" style="22" customWidth="1"/>
    <col min="7161" max="7161" width="9.88671875" style="22" customWidth="1"/>
    <col min="7162" max="7162" width="14.44140625" style="22" customWidth="1"/>
    <col min="7163" max="7163" width="7.33203125" style="22" customWidth="1"/>
    <col min="7164" max="7164" width="5.5546875" style="22" customWidth="1"/>
    <col min="7165" max="7165" width="9" style="22" customWidth="1"/>
    <col min="7166" max="7167" width="9.88671875" style="22" customWidth="1"/>
    <col min="7168" max="7168" width="11.109375" style="22" customWidth="1"/>
    <col min="7169" max="7169" width="2.88671875" style="22" customWidth="1"/>
    <col min="7170" max="7170" width="3.5546875" style="22" customWidth="1"/>
    <col min="7171" max="7415" width="9.109375" style="22"/>
    <col min="7416" max="7416" width="8.6640625" style="22" customWidth="1"/>
    <col min="7417" max="7417" width="9.88671875" style="22" customWidth="1"/>
    <col min="7418" max="7418" width="14.44140625" style="22" customWidth="1"/>
    <col min="7419" max="7419" width="7.33203125" style="22" customWidth="1"/>
    <col min="7420" max="7420" width="5.5546875" style="22" customWidth="1"/>
    <col min="7421" max="7421" width="9" style="22" customWidth="1"/>
    <col min="7422" max="7423" width="9.88671875" style="22" customWidth="1"/>
    <col min="7424" max="7424" width="11.109375" style="22" customWidth="1"/>
    <col min="7425" max="7425" width="2.88671875" style="22" customWidth="1"/>
    <col min="7426" max="7426" width="3.5546875" style="22" customWidth="1"/>
    <col min="7427" max="7671" width="9.109375" style="22"/>
    <col min="7672" max="7672" width="8.6640625" style="22" customWidth="1"/>
    <col min="7673" max="7673" width="9.88671875" style="22" customWidth="1"/>
    <col min="7674" max="7674" width="14.44140625" style="22" customWidth="1"/>
    <col min="7675" max="7675" width="7.33203125" style="22" customWidth="1"/>
    <col min="7676" max="7676" width="5.5546875" style="22" customWidth="1"/>
    <col min="7677" max="7677" width="9" style="22" customWidth="1"/>
    <col min="7678" max="7679" width="9.88671875" style="22" customWidth="1"/>
    <col min="7680" max="7680" width="11.109375" style="22" customWidth="1"/>
    <col min="7681" max="7681" width="2.88671875" style="22" customWidth="1"/>
    <col min="7682" max="7682" width="3.5546875" style="22" customWidth="1"/>
    <col min="7683" max="7927" width="9.109375" style="22"/>
    <col min="7928" max="7928" width="8.6640625" style="22" customWidth="1"/>
    <col min="7929" max="7929" width="9.88671875" style="22" customWidth="1"/>
    <col min="7930" max="7930" width="14.44140625" style="22" customWidth="1"/>
    <col min="7931" max="7931" width="7.33203125" style="22" customWidth="1"/>
    <col min="7932" max="7932" width="5.5546875" style="22" customWidth="1"/>
    <col min="7933" max="7933" width="9" style="22" customWidth="1"/>
    <col min="7934" max="7935" width="9.88671875" style="22" customWidth="1"/>
    <col min="7936" max="7936" width="11.109375" style="22" customWidth="1"/>
    <col min="7937" max="7937" width="2.88671875" style="22" customWidth="1"/>
    <col min="7938" max="7938" width="3.5546875" style="22" customWidth="1"/>
    <col min="7939" max="8183" width="9.109375" style="22"/>
    <col min="8184" max="8184" width="8.6640625" style="22" customWidth="1"/>
    <col min="8185" max="8185" width="9.88671875" style="22" customWidth="1"/>
    <col min="8186" max="8186" width="14.44140625" style="22" customWidth="1"/>
    <col min="8187" max="8187" width="7.33203125" style="22" customWidth="1"/>
    <col min="8188" max="8188" width="5.5546875" style="22" customWidth="1"/>
    <col min="8189" max="8189" width="9" style="22" customWidth="1"/>
    <col min="8190" max="8191" width="9.88671875" style="22" customWidth="1"/>
    <col min="8192" max="8192" width="11.109375" style="22" customWidth="1"/>
    <col min="8193" max="8193" width="2.88671875" style="22" customWidth="1"/>
    <col min="8194" max="8194" width="3.5546875" style="22" customWidth="1"/>
    <col min="8195" max="8439" width="9.109375" style="22"/>
    <col min="8440" max="8440" width="8.6640625" style="22" customWidth="1"/>
    <col min="8441" max="8441" width="9.88671875" style="22" customWidth="1"/>
    <col min="8442" max="8442" width="14.44140625" style="22" customWidth="1"/>
    <col min="8443" max="8443" width="7.33203125" style="22" customWidth="1"/>
    <col min="8444" max="8444" width="5.5546875" style="22" customWidth="1"/>
    <col min="8445" max="8445" width="9" style="22" customWidth="1"/>
    <col min="8446" max="8447" width="9.88671875" style="22" customWidth="1"/>
    <col min="8448" max="8448" width="11.109375" style="22" customWidth="1"/>
    <col min="8449" max="8449" width="2.88671875" style="22" customWidth="1"/>
    <col min="8450" max="8450" width="3.5546875" style="22" customWidth="1"/>
    <col min="8451" max="8695" width="9.109375" style="22"/>
    <col min="8696" max="8696" width="8.6640625" style="22" customWidth="1"/>
    <col min="8697" max="8697" width="9.88671875" style="22" customWidth="1"/>
    <col min="8698" max="8698" width="14.44140625" style="22" customWidth="1"/>
    <col min="8699" max="8699" width="7.33203125" style="22" customWidth="1"/>
    <col min="8700" max="8700" width="5.5546875" style="22" customWidth="1"/>
    <col min="8701" max="8701" width="9" style="22" customWidth="1"/>
    <col min="8702" max="8703" width="9.88671875" style="22" customWidth="1"/>
    <col min="8704" max="8704" width="11.109375" style="22" customWidth="1"/>
    <col min="8705" max="8705" width="2.88671875" style="22" customWidth="1"/>
    <col min="8706" max="8706" width="3.5546875" style="22" customWidth="1"/>
    <col min="8707" max="8951" width="9.109375" style="22"/>
    <col min="8952" max="8952" width="8.6640625" style="22" customWidth="1"/>
    <col min="8953" max="8953" width="9.88671875" style="22" customWidth="1"/>
    <col min="8954" max="8954" width="14.44140625" style="22" customWidth="1"/>
    <col min="8955" max="8955" width="7.33203125" style="22" customWidth="1"/>
    <col min="8956" max="8956" width="5.5546875" style="22" customWidth="1"/>
    <col min="8957" max="8957" width="9" style="22" customWidth="1"/>
    <col min="8958" max="8959" width="9.88671875" style="22" customWidth="1"/>
    <col min="8960" max="8960" width="11.109375" style="22" customWidth="1"/>
    <col min="8961" max="8961" width="2.88671875" style="22" customWidth="1"/>
    <col min="8962" max="8962" width="3.5546875" style="22" customWidth="1"/>
    <col min="8963" max="9207" width="9.109375" style="22"/>
    <col min="9208" max="9208" width="8.6640625" style="22" customWidth="1"/>
    <col min="9209" max="9209" width="9.88671875" style="22" customWidth="1"/>
    <col min="9210" max="9210" width="14.44140625" style="22" customWidth="1"/>
    <col min="9211" max="9211" width="7.33203125" style="22" customWidth="1"/>
    <col min="9212" max="9212" width="5.5546875" style="22" customWidth="1"/>
    <col min="9213" max="9213" width="9" style="22" customWidth="1"/>
    <col min="9214" max="9215" width="9.88671875" style="22" customWidth="1"/>
    <col min="9216" max="9216" width="11.109375" style="22" customWidth="1"/>
    <col min="9217" max="9217" width="2.88671875" style="22" customWidth="1"/>
    <col min="9218" max="9218" width="3.5546875" style="22" customWidth="1"/>
    <col min="9219" max="9463" width="9.109375" style="22"/>
    <col min="9464" max="9464" width="8.6640625" style="22" customWidth="1"/>
    <col min="9465" max="9465" width="9.88671875" style="22" customWidth="1"/>
    <col min="9466" max="9466" width="14.44140625" style="22" customWidth="1"/>
    <col min="9467" max="9467" width="7.33203125" style="22" customWidth="1"/>
    <col min="9468" max="9468" width="5.5546875" style="22" customWidth="1"/>
    <col min="9469" max="9469" width="9" style="22" customWidth="1"/>
    <col min="9470" max="9471" width="9.88671875" style="22" customWidth="1"/>
    <col min="9472" max="9472" width="11.109375" style="22" customWidth="1"/>
    <col min="9473" max="9473" width="2.88671875" style="22" customWidth="1"/>
    <col min="9474" max="9474" width="3.5546875" style="22" customWidth="1"/>
    <col min="9475" max="9719" width="9.109375" style="22"/>
    <col min="9720" max="9720" width="8.6640625" style="22" customWidth="1"/>
    <col min="9721" max="9721" width="9.88671875" style="22" customWidth="1"/>
    <col min="9722" max="9722" width="14.44140625" style="22" customWidth="1"/>
    <col min="9723" max="9723" width="7.33203125" style="22" customWidth="1"/>
    <col min="9724" max="9724" width="5.5546875" style="22" customWidth="1"/>
    <col min="9725" max="9725" width="9" style="22" customWidth="1"/>
    <col min="9726" max="9727" width="9.88671875" style="22" customWidth="1"/>
    <col min="9728" max="9728" width="11.109375" style="22" customWidth="1"/>
    <col min="9729" max="9729" width="2.88671875" style="22" customWidth="1"/>
    <col min="9730" max="9730" width="3.5546875" style="22" customWidth="1"/>
    <col min="9731" max="9975" width="9.109375" style="22"/>
    <col min="9976" max="9976" width="8.6640625" style="22" customWidth="1"/>
    <col min="9977" max="9977" width="9.88671875" style="22" customWidth="1"/>
    <col min="9978" max="9978" width="14.44140625" style="22" customWidth="1"/>
    <col min="9979" max="9979" width="7.33203125" style="22" customWidth="1"/>
    <col min="9980" max="9980" width="5.5546875" style="22" customWidth="1"/>
    <col min="9981" max="9981" width="9" style="22" customWidth="1"/>
    <col min="9982" max="9983" width="9.88671875" style="22" customWidth="1"/>
    <col min="9984" max="9984" width="11.109375" style="22" customWidth="1"/>
    <col min="9985" max="9985" width="2.88671875" style="22" customWidth="1"/>
    <col min="9986" max="9986" width="3.5546875" style="22" customWidth="1"/>
    <col min="9987" max="10231" width="9.109375" style="22"/>
    <col min="10232" max="10232" width="8.6640625" style="22" customWidth="1"/>
    <col min="10233" max="10233" width="9.88671875" style="22" customWidth="1"/>
    <col min="10234" max="10234" width="14.44140625" style="22" customWidth="1"/>
    <col min="10235" max="10235" width="7.33203125" style="22" customWidth="1"/>
    <col min="10236" max="10236" width="5.5546875" style="22" customWidth="1"/>
    <col min="10237" max="10237" width="9" style="22" customWidth="1"/>
    <col min="10238" max="10239" width="9.88671875" style="22" customWidth="1"/>
    <col min="10240" max="10240" width="11.109375" style="22" customWidth="1"/>
    <col min="10241" max="10241" width="2.88671875" style="22" customWidth="1"/>
    <col min="10242" max="10242" width="3.5546875" style="22" customWidth="1"/>
    <col min="10243" max="10487" width="9.109375" style="22"/>
    <col min="10488" max="10488" width="8.6640625" style="22" customWidth="1"/>
    <col min="10489" max="10489" width="9.88671875" style="22" customWidth="1"/>
    <col min="10490" max="10490" width="14.44140625" style="22" customWidth="1"/>
    <col min="10491" max="10491" width="7.33203125" style="22" customWidth="1"/>
    <col min="10492" max="10492" width="5.5546875" style="22" customWidth="1"/>
    <col min="10493" max="10493" width="9" style="22" customWidth="1"/>
    <col min="10494" max="10495" width="9.88671875" style="22" customWidth="1"/>
    <col min="10496" max="10496" width="11.109375" style="22" customWidth="1"/>
    <col min="10497" max="10497" width="2.88671875" style="22" customWidth="1"/>
    <col min="10498" max="10498" width="3.5546875" style="22" customWidth="1"/>
    <col min="10499" max="10743" width="9.109375" style="22"/>
    <col min="10744" max="10744" width="8.6640625" style="22" customWidth="1"/>
    <col min="10745" max="10745" width="9.88671875" style="22" customWidth="1"/>
    <col min="10746" max="10746" width="14.44140625" style="22" customWidth="1"/>
    <col min="10747" max="10747" width="7.33203125" style="22" customWidth="1"/>
    <col min="10748" max="10748" width="5.5546875" style="22" customWidth="1"/>
    <col min="10749" max="10749" width="9" style="22" customWidth="1"/>
    <col min="10750" max="10751" width="9.88671875" style="22" customWidth="1"/>
    <col min="10752" max="10752" width="11.109375" style="22" customWidth="1"/>
    <col min="10753" max="10753" width="2.88671875" style="22" customWidth="1"/>
    <col min="10754" max="10754" width="3.5546875" style="22" customWidth="1"/>
    <col min="10755" max="10999" width="9.109375" style="22"/>
    <col min="11000" max="11000" width="8.6640625" style="22" customWidth="1"/>
    <col min="11001" max="11001" width="9.88671875" style="22" customWidth="1"/>
    <col min="11002" max="11002" width="14.44140625" style="22" customWidth="1"/>
    <col min="11003" max="11003" width="7.33203125" style="22" customWidth="1"/>
    <col min="11004" max="11004" width="5.5546875" style="22" customWidth="1"/>
    <col min="11005" max="11005" width="9" style="22" customWidth="1"/>
    <col min="11006" max="11007" width="9.88671875" style="22" customWidth="1"/>
    <col min="11008" max="11008" width="11.109375" style="22" customWidth="1"/>
    <col min="11009" max="11009" width="2.88671875" style="22" customWidth="1"/>
    <col min="11010" max="11010" width="3.5546875" style="22" customWidth="1"/>
    <col min="11011" max="11255" width="9.109375" style="22"/>
    <col min="11256" max="11256" width="8.6640625" style="22" customWidth="1"/>
    <col min="11257" max="11257" width="9.88671875" style="22" customWidth="1"/>
    <col min="11258" max="11258" width="14.44140625" style="22" customWidth="1"/>
    <col min="11259" max="11259" width="7.33203125" style="22" customWidth="1"/>
    <col min="11260" max="11260" width="5.5546875" style="22" customWidth="1"/>
    <col min="11261" max="11261" width="9" style="22" customWidth="1"/>
    <col min="11262" max="11263" width="9.88671875" style="22" customWidth="1"/>
    <col min="11264" max="11264" width="11.109375" style="22" customWidth="1"/>
    <col min="11265" max="11265" width="2.88671875" style="22" customWidth="1"/>
    <col min="11266" max="11266" width="3.5546875" style="22" customWidth="1"/>
    <col min="11267" max="11511" width="9.109375" style="22"/>
    <col min="11512" max="11512" width="8.6640625" style="22" customWidth="1"/>
    <col min="11513" max="11513" width="9.88671875" style="22" customWidth="1"/>
    <col min="11514" max="11514" width="14.44140625" style="22" customWidth="1"/>
    <col min="11515" max="11515" width="7.33203125" style="22" customWidth="1"/>
    <col min="11516" max="11516" width="5.5546875" style="22" customWidth="1"/>
    <col min="11517" max="11517" width="9" style="22" customWidth="1"/>
    <col min="11518" max="11519" width="9.88671875" style="22" customWidth="1"/>
    <col min="11520" max="11520" width="11.109375" style="22" customWidth="1"/>
    <col min="11521" max="11521" width="2.88671875" style="22" customWidth="1"/>
    <col min="11522" max="11522" width="3.5546875" style="22" customWidth="1"/>
    <col min="11523" max="11767" width="9.109375" style="22"/>
    <col min="11768" max="11768" width="8.6640625" style="22" customWidth="1"/>
    <col min="11769" max="11769" width="9.88671875" style="22" customWidth="1"/>
    <col min="11770" max="11770" width="14.44140625" style="22" customWidth="1"/>
    <col min="11771" max="11771" width="7.33203125" style="22" customWidth="1"/>
    <col min="11772" max="11772" width="5.5546875" style="22" customWidth="1"/>
    <col min="11773" max="11773" width="9" style="22" customWidth="1"/>
    <col min="11774" max="11775" width="9.88671875" style="22" customWidth="1"/>
    <col min="11776" max="11776" width="11.109375" style="22" customWidth="1"/>
    <col min="11777" max="11777" width="2.88671875" style="22" customWidth="1"/>
    <col min="11778" max="11778" width="3.5546875" style="22" customWidth="1"/>
    <col min="11779" max="12023" width="9.109375" style="22"/>
    <col min="12024" max="12024" width="8.6640625" style="22" customWidth="1"/>
    <col min="12025" max="12025" width="9.88671875" style="22" customWidth="1"/>
    <col min="12026" max="12026" width="14.44140625" style="22" customWidth="1"/>
    <col min="12027" max="12027" width="7.33203125" style="22" customWidth="1"/>
    <col min="12028" max="12028" width="5.5546875" style="22" customWidth="1"/>
    <col min="12029" max="12029" width="9" style="22" customWidth="1"/>
    <col min="12030" max="12031" width="9.88671875" style="22" customWidth="1"/>
    <col min="12032" max="12032" width="11.109375" style="22" customWidth="1"/>
    <col min="12033" max="12033" width="2.88671875" style="22" customWidth="1"/>
    <col min="12034" max="12034" width="3.5546875" style="22" customWidth="1"/>
    <col min="12035" max="12279" width="9.109375" style="22"/>
    <col min="12280" max="12280" width="8.6640625" style="22" customWidth="1"/>
    <col min="12281" max="12281" width="9.88671875" style="22" customWidth="1"/>
    <col min="12282" max="12282" width="14.44140625" style="22" customWidth="1"/>
    <col min="12283" max="12283" width="7.33203125" style="22" customWidth="1"/>
    <col min="12284" max="12284" width="5.5546875" style="22" customWidth="1"/>
    <col min="12285" max="12285" width="9" style="22" customWidth="1"/>
    <col min="12286" max="12287" width="9.88671875" style="22" customWidth="1"/>
    <col min="12288" max="12288" width="11.109375" style="22" customWidth="1"/>
    <col min="12289" max="12289" width="2.88671875" style="22" customWidth="1"/>
    <col min="12290" max="12290" width="3.5546875" style="22" customWidth="1"/>
    <col min="12291" max="12535" width="9.109375" style="22"/>
    <col min="12536" max="12536" width="8.6640625" style="22" customWidth="1"/>
    <col min="12537" max="12537" width="9.88671875" style="22" customWidth="1"/>
    <col min="12538" max="12538" width="14.44140625" style="22" customWidth="1"/>
    <col min="12539" max="12539" width="7.33203125" style="22" customWidth="1"/>
    <col min="12540" max="12540" width="5.5546875" style="22" customWidth="1"/>
    <col min="12541" max="12541" width="9" style="22" customWidth="1"/>
    <col min="12542" max="12543" width="9.88671875" style="22" customWidth="1"/>
    <col min="12544" max="12544" width="11.109375" style="22" customWidth="1"/>
    <col min="12545" max="12545" width="2.88671875" style="22" customWidth="1"/>
    <col min="12546" max="12546" width="3.5546875" style="22" customWidth="1"/>
    <col min="12547" max="12791" width="9.109375" style="22"/>
    <col min="12792" max="12792" width="8.6640625" style="22" customWidth="1"/>
    <col min="12793" max="12793" width="9.88671875" style="22" customWidth="1"/>
    <col min="12794" max="12794" width="14.44140625" style="22" customWidth="1"/>
    <col min="12795" max="12795" width="7.33203125" style="22" customWidth="1"/>
    <col min="12796" max="12796" width="5.5546875" style="22" customWidth="1"/>
    <col min="12797" max="12797" width="9" style="22" customWidth="1"/>
    <col min="12798" max="12799" width="9.88671875" style="22" customWidth="1"/>
    <col min="12800" max="12800" width="11.109375" style="22" customWidth="1"/>
    <col min="12801" max="12801" width="2.88671875" style="22" customWidth="1"/>
    <col min="12802" max="12802" width="3.5546875" style="22" customWidth="1"/>
    <col min="12803" max="13047" width="9.109375" style="22"/>
    <col min="13048" max="13048" width="8.6640625" style="22" customWidth="1"/>
    <col min="13049" max="13049" width="9.88671875" style="22" customWidth="1"/>
    <col min="13050" max="13050" width="14.44140625" style="22" customWidth="1"/>
    <col min="13051" max="13051" width="7.33203125" style="22" customWidth="1"/>
    <col min="13052" max="13052" width="5.5546875" style="22" customWidth="1"/>
    <col min="13053" max="13053" width="9" style="22" customWidth="1"/>
    <col min="13054" max="13055" width="9.88671875" style="22" customWidth="1"/>
    <col min="13056" max="13056" width="11.109375" style="22" customWidth="1"/>
    <col min="13057" max="13057" width="2.88671875" style="22" customWidth="1"/>
    <col min="13058" max="13058" width="3.5546875" style="22" customWidth="1"/>
    <col min="13059" max="13303" width="9.109375" style="22"/>
    <col min="13304" max="13304" width="8.6640625" style="22" customWidth="1"/>
    <col min="13305" max="13305" width="9.88671875" style="22" customWidth="1"/>
    <col min="13306" max="13306" width="14.44140625" style="22" customWidth="1"/>
    <col min="13307" max="13307" width="7.33203125" style="22" customWidth="1"/>
    <col min="13308" max="13308" width="5.5546875" style="22" customWidth="1"/>
    <col min="13309" max="13309" width="9" style="22" customWidth="1"/>
    <col min="13310" max="13311" width="9.88671875" style="22" customWidth="1"/>
    <col min="13312" max="13312" width="11.109375" style="22" customWidth="1"/>
    <col min="13313" max="13313" width="2.88671875" style="22" customWidth="1"/>
    <col min="13314" max="13314" width="3.5546875" style="22" customWidth="1"/>
    <col min="13315" max="13559" width="9.109375" style="22"/>
    <col min="13560" max="13560" width="8.6640625" style="22" customWidth="1"/>
    <col min="13561" max="13561" width="9.88671875" style="22" customWidth="1"/>
    <col min="13562" max="13562" width="14.44140625" style="22" customWidth="1"/>
    <col min="13563" max="13563" width="7.33203125" style="22" customWidth="1"/>
    <col min="13564" max="13564" width="5.5546875" style="22" customWidth="1"/>
    <col min="13565" max="13565" width="9" style="22" customWidth="1"/>
    <col min="13566" max="13567" width="9.88671875" style="22" customWidth="1"/>
    <col min="13568" max="13568" width="11.109375" style="22" customWidth="1"/>
    <col min="13569" max="13569" width="2.88671875" style="22" customWidth="1"/>
    <col min="13570" max="13570" width="3.5546875" style="22" customWidth="1"/>
    <col min="13571" max="13815" width="9.109375" style="22"/>
    <col min="13816" max="13816" width="8.6640625" style="22" customWidth="1"/>
    <col min="13817" max="13817" width="9.88671875" style="22" customWidth="1"/>
    <col min="13818" max="13818" width="14.44140625" style="22" customWidth="1"/>
    <col min="13819" max="13819" width="7.33203125" style="22" customWidth="1"/>
    <col min="13820" max="13820" width="5.5546875" style="22" customWidth="1"/>
    <col min="13821" max="13821" width="9" style="22" customWidth="1"/>
    <col min="13822" max="13823" width="9.88671875" style="22" customWidth="1"/>
    <col min="13824" max="13824" width="11.109375" style="22" customWidth="1"/>
    <col min="13825" max="13825" width="2.88671875" style="22" customWidth="1"/>
    <col min="13826" max="13826" width="3.5546875" style="22" customWidth="1"/>
    <col min="13827" max="14071" width="9.109375" style="22"/>
    <col min="14072" max="14072" width="8.6640625" style="22" customWidth="1"/>
    <col min="14073" max="14073" width="9.88671875" style="22" customWidth="1"/>
    <col min="14074" max="14074" width="14.44140625" style="22" customWidth="1"/>
    <col min="14075" max="14075" width="7.33203125" style="22" customWidth="1"/>
    <col min="14076" max="14076" width="5.5546875" style="22" customWidth="1"/>
    <col min="14077" max="14077" width="9" style="22" customWidth="1"/>
    <col min="14078" max="14079" width="9.88671875" style="22" customWidth="1"/>
    <col min="14080" max="14080" width="11.109375" style="22" customWidth="1"/>
    <col min="14081" max="14081" width="2.88671875" style="22" customWidth="1"/>
    <col min="14082" max="14082" width="3.5546875" style="22" customWidth="1"/>
    <col min="14083" max="14327" width="9.109375" style="22"/>
    <col min="14328" max="14328" width="8.6640625" style="22" customWidth="1"/>
    <col min="14329" max="14329" width="9.88671875" style="22" customWidth="1"/>
    <col min="14330" max="14330" width="14.44140625" style="22" customWidth="1"/>
    <col min="14331" max="14331" width="7.33203125" style="22" customWidth="1"/>
    <col min="14332" max="14332" width="5.5546875" style="22" customWidth="1"/>
    <col min="14333" max="14333" width="9" style="22" customWidth="1"/>
    <col min="14334" max="14335" width="9.88671875" style="22" customWidth="1"/>
    <col min="14336" max="14336" width="11.109375" style="22" customWidth="1"/>
    <col min="14337" max="14337" width="2.88671875" style="22" customWidth="1"/>
    <col min="14338" max="14338" width="3.5546875" style="22" customWidth="1"/>
    <col min="14339" max="14583" width="9.109375" style="22"/>
    <col min="14584" max="14584" width="8.6640625" style="22" customWidth="1"/>
    <col min="14585" max="14585" width="9.88671875" style="22" customWidth="1"/>
    <col min="14586" max="14586" width="14.44140625" style="22" customWidth="1"/>
    <col min="14587" max="14587" width="7.33203125" style="22" customWidth="1"/>
    <col min="14588" max="14588" width="5.5546875" style="22" customWidth="1"/>
    <col min="14589" max="14589" width="9" style="22" customWidth="1"/>
    <col min="14590" max="14591" width="9.88671875" style="22" customWidth="1"/>
    <col min="14592" max="14592" width="11.109375" style="22" customWidth="1"/>
    <col min="14593" max="14593" width="2.88671875" style="22" customWidth="1"/>
    <col min="14594" max="14594" width="3.5546875" style="22" customWidth="1"/>
    <col min="14595" max="14839" width="9.109375" style="22"/>
    <col min="14840" max="14840" width="8.6640625" style="22" customWidth="1"/>
    <col min="14841" max="14841" width="9.88671875" style="22" customWidth="1"/>
    <col min="14842" max="14842" width="14.44140625" style="22" customWidth="1"/>
    <col min="14843" max="14843" width="7.33203125" style="22" customWidth="1"/>
    <col min="14844" max="14844" width="5.5546875" style="22" customWidth="1"/>
    <col min="14845" max="14845" width="9" style="22" customWidth="1"/>
    <col min="14846" max="14847" width="9.88671875" style="22" customWidth="1"/>
    <col min="14848" max="14848" width="11.109375" style="22" customWidth="1"/>
    <col min="14849" max="14849" width="2.88671875" style="22" customWidth="1"/>
    <col min="14850" max="14850" width="3.5546875" style="22" customWidth="1"/>
    <col min="14851" max="15095" width="9.109375" style="22"/>
    <col min="15096" max="15096" width="8.6640625" style="22" customWidth="1"/>
    <col min="15097" max="15097" width="9.88671875" style="22" customWidth="1"/>
    <col min="15098" max="15098" width="14.44140625" style="22" customWidth="1"/>
    <col min="15099" max="15099" width="7.33203125" style="22" customWidth="1"/>
    <col min="15100" max="15100" width="5.5546875" style="22" customWidth="1"/>
    <col min="15101" max="15101" width="9" style="22" customWidth="1"/>
    <col min="15102" max="15103" width="9.88671875" style="22" customWidth="1"/>
    <col min="15104" max="15104" width="11.109375" style="22" customWidth="1"/>
    <col min="15105" max="15105" width="2.88671875" style="22" customWidth="1"/>
    <col min="15106" max="15106" width="3.5546875" style="22" customWidth="1"/>
    <col min="15107" max="15351" width="9.109375" style="22"/>
    <col min="15352" max="15352" width="8.6640625" style="22" customWidth="1"/>
    <col min="15353" max="15353" width="9.88671875" style="22" customWidth="1"/>
    <col min="15354" max="15354" width="14.44140625" style="22" customWidth="1"/>
    <col min="15355" max="15355" width="7.33203125" style="22" customWidth="1"/>
    <col min="15356" max="15356" width="5.5546875" style="22" customWidth="1"/>
    <col min="15357" max="15357" width="9" style="22" customWidth="1"/>
    <col min="15358" max="15359" width="9.88671875" style="22" customWidth="1"/>
    <col min="15360" max="15360" width="11.109375" style="22" customWidth="1"/>
    <col min="15361" max="15361" width="2.88671875" style="22" customWidth="1"/>
    <col min="15362" max="15362" width="3.5546875" style="22" customWidth="1"/>
    <col min="15363" max="15607" width="9.109375" style="22"/>
    <col min="15608" max="15608" width="8.6640625" style="22" customWidth="1"/>
    <col min="15609" max="15609" width="9.88671875" style="22" customWidth="1"/>
    <col min="15610" max="15610" width="14.44140625" style="22" customWidth="1"/>
    <col min="15611" max="15611" width="7.33203125" style="22" customWidth="1"/>
    <col min="15612" max="15612" width="5.5546875" style="22" customWidth="1"/>
    <col min="15613" max="15613" width="9" style="22" customWidth="1"/>
    <col min="15614" max="15615" width="9.88671875" style="22" customWidth="1"/>
    <col min="15616" max="15616" width="11.109375" style="22" customWidth="1"/>
    <col min="15617" max="15617" width="2.88671875" style="22" customWidth="1"/>
    <col min="15618" max="15618" width="3.5546875" style="22" customWidth="1"/>
    <col min="15619" max="15863" width="9.109375" style="22"/>
    <col min="15864" max="15864" width="8.6640625" style="22" customWidth="1"/>
    <col min="15865" max="15865" width="9.88671875" style="22" customWidth="1"/>
    <col min="15866" max="15866" width="14.44140625" style="22" customWidth="1"/>
    <col min="15867" max="15867" width="7.33203125" style="22" customWidth="1"/>
    <col min="15868" max="15868" width="5.5546875" style="22" customWidth="1"/>
    <col min="15869" max="15869" width="9" style="22" customWidth="1"/>
    <col min="15870" max="15871" width="9.88671875" style="22" customWidth="1"/>
    <col min="15872" max="15872" width="11.109375" style="22" customWidth="1"/>
    <col min="15873" max="15873" width="2.88671875" style="22" customWidth="1"/>
    <col min="15874" max="15874" width="3.5546875" style="22" customWidth="1"/>
    <col min="15875" max="16119" width="9.109375" style="22"/>
    <col min="16120" max="16120" width="8.6640625" style="22" customWidth="1"/>
    <col min="16121" max="16121" width="9.88671875" style="22" customWidth="1"/>
    <col min="16122" max="16122" width="14.44140625" style="22" customWidth="1"/>
    <col min="16123" max="16123" width="7.33203125" style="22" customWidth="1"/>
    <col min="16124" max="16124" width="5.5546875" style="22" customWidth="1"/>
    <col min="16125" max="16125" width="9" style="22" customWidth="1"/>
    <col min="16126" max="16127" width="9.88671875" style="22" customWidth="1"/>
    <col min="16128" max="16128" width="11.109375" style="22" customWidth="1"/>
    <col min="16129" max="16129" width="2.88671875" style="22" customWidth="1"/>
    <col min="16130" max="16130" width="3.5546875" style="22" customWidth="1"/>
    <col min="16131" max="16384" width="9.109375" style="22"/>
  </cols>
  <sheetData>
    <row r="1" spans="1:26" ht="46.5" customHeight="1" x14ac:dyDescent="0.3">
      <c r="A1" s="184" t="s">
        <v>166</v>
      </c>
      <c r="B1" s="184"/>
      <c r="C1" s="184"/>
      <c r="D1" s="184"/>
      <c r="E1" s="184"/>
      <c r="F1" s="184"/>
      <c r="G1" s="184"/>
      <c r="H1" s="184"/>
    </row>
    <row r="2" spans="1:26" ht="16.5" customHeight="1" x14ac:dyDescent="0.3">
      <c r="A2" s="185" t="s">
        <v>0</v>
      </c>
      <c r="B2" s="185"/>
      <c r="C2" s="185"/>
      <c r="D2" s="185"/>
      <c r="E2" s="185"/>
      <c r="F2" s="185"/>
      <c r="G2" s="185"/>
      <c r="H2" s="185"/>
    </row>
    <row r="3" spans="1:26" x14ac:dyDescent="0.3">
      <c r="A3" s="154" t="s">
        <v>1</v>
      </c>
      <c r="B3" s="154"/>
      <c r="C3" s="154"/>
      <c r="D3" s="154"/>
      <c r="E3" s="154" t="str">
        <f ca="1">TEXT(TODAY(),"DD/MM/YYYY")</f>
        <v>13/09/2025</v>
      </c>
      <c r="F3" s="154"/>
      <c r="G3" s="154"/>
      <c r="H3" s="154"/>
    </row>
    <row r="4" spans="1:26" ht="15" customHeight="1" x14ac:dyDescent="0.3">
      <c r="A4" s="154" t="s">
        <v>2</v>
      </c>
      <c r="B4" s="154"/>
      <c r="C4" s="154"/>
      <c r="D4" s="154"/>
      <c r="E4" s="133" t="s">
        <v>233</v>
      </c>
      <c r="F4" s="133"/>
      <c r="G4" s="133"/>
      <c r="H4" s="133"/>
    </row>
    <row r="5" spans="1:26" x14ac:dyDescent="0.3">
      <c r="A5" s="154" t="s">
        <v>3</v>
      </c>
      <c r="B5" s="154"/>
      <c r="C5" s="154"/>
      <c r="D5" s="154"/>
      <c r="E5" s="186">
        <v>45909</v>
      </c>
      <c r="F5" s="154"/>
      <c r="G5" s="154"/>
      <c r="H5" s="154"/>
    </row>
    <row r="6" spans="1:26" ht="16.5" customHeight="1" x14ac:dyDescent="0.3">
      <c r="A6" s="154" t="s">
        <v>4</v>
      </c>
      <c r="B6" s="154"/>
      <c r="C6" s="154"/>
      <c r="D6" s="154"/>
      <c r="E6" s="154" t="s">
        <v>292</v>
      </c>
      <c r="F6" s="154"/>
      <c r="G6" s="154"/>
      <c r="H6" s="154"/>
    </row>
    <row r="7" spans="1:26" ht="15" customHeight="1" x14ac:dyDescent="0.3">
      <c r="A7" s="154" t="s">
        <v>5</v>
      </c>
      <c r="B7" s="154"/>
      <c r="C7" s="154"/>
      <c r="D7" s="154"/>
      <c r="E7" s="154" t="str">
        <f>E6</f>
        <v>Qualcon Landmarks LLP</v>
      </c>
      <c r="F7" s="154"/>
      <c r="G7" s="154"/>
      <c r="H7" s="154"/>
    </row>
    <row r="8" spans="1:26" x14ac:dyDescent="0.3">
      <c r="A8" s="154" t="s">
        <v>6</v>
      </c>
      <c r="B8" s="154"/>
      <c r="C8" s="154"/>
      <c r="D8" s="154"/>
      <c r="E8" s="97" t="s">
        <v>234</v>
      </c>
      <c r="F8" s="96"/>
      <c r="G8" s="96"/>
      <c r="H8" s="96"/>
    </row>
    <row r="9" spans="1:26" x14ac:dyDescent="0.3">
      <c r="A9" s="154" t="s">
        <v>169</v>
      </c>
      <c r="B9" s="154"/>
      <c r="C9" s="154"/>
      <c r="D9" s="154"/>
      <c r="E9" s="154" t="s">
        <v>283</v>
      </c>
      <c r="F9" s="154"/>
      <c r="G9" s="154"/>
      <c r="H9" s="154"/>
    </row>
    <row r="10" spans="1:26" x14ac:dyDescent="0.3">
      <c r="A10" s="154" t="s">
        <v>170</v>
      </c>
      <c r="B10" s="154"/>
      <c r="C10" s="154"/>
      <c r="D10" s="154"/>
      <c r="E10" s="154" t="s">
        <v>29</v>
      </c>
      <c r="F10" s="154"/>
      <c r="G10" s="154"/>
      <c r="H10" s="154"/>
      <c r="I10" s="154" t="s">
        <v>290</v>
      </c>
      <c r="J10" s="154"/>
      <c r="K10" s="154"/>
      <c r="L10" s="154"/>
    </row>
    <row r="11" spans="1:26" x14ac:dyDescent="0.3">
      <c r="A11" s="154" t="s">
        <v>7</v>
      </c>
      <c r="B11" s="154"/>
      <c r="C11" s="154"/>
      <c r="D11" s="154"/>
      <c r="E11" s="154" t="s">
        <v>121</v>
      </c>
      <c r="F11" s="154"/>
      <c r="G11" s="154"/>
      <c r="H11" s="154"/>
    </row>
    <row r="12" spans="1:26" x14ac:dyDescent="0.3">
      <c r="A12" s="154" t="s">
        <v>172</v>
      </c>
      <c r="B12" s="154"/>
      <c r="C12" s="154"/>
      <c r="D12" s="154"/>
      <c r="E12" s="133" t="s">
        <v>287</v>
      </c>
      <c r="F12" s="133"/>
      <c r="G12" s="133"/>
      <c r="H12" s="133"/>
      <c r="I12" s="60" t="s">
        <v>280</v>
      </c>
      <c r="J12" s="60"/>
      <c r="K12" s="60"/>
      <c r="L12" s="60"/>
      <c r="M12" s="60"/>
      <c r="N12" s="60"/>
      <c r="O12" s="60"/>
      <c r="S12" s="57" t="s">
        <v>180</v>
      </c>
      <c r="T12" s="57" t="s">
        <v>190</v>
      </c>
      <c r="U12" s="57" t="s">
        <v>173</v>
      </c>
      <c r="V12" s="57" t="s">
        <v>195</v>
      </c>
      <c r="W12" s="57" t="s">
        <v>213</v>
      </c>
      <c r="X12"/>
      <c r="Y12" t="s">
        <v>195</v>
      </c>
      <c r="Z12" t="e">
        <f ca="1">OFFSET($S$12,1,MATCH($G19,$S$12:$W$12,0)-1,15,1)</f>
        <v>#VALUE!</v>
      </c>
    </row>
    <row r="13" spans="1:26" x14ac:dyDescent="0.3">
      <c r="A13" s="78" t="s">
        <v>8</v>
      </c>
      <c r="B13" s="78"/>
      <c r="C13" s="78"/>
      <c r="D13" s="78"/>
      <c r="E13" s="182" t="s">
        <v>288</v>
      </c>
      <c r="F13" s="182"/>
      <c r="G13" s="182"/>
      <c r="H13" s="182"/>
      <c r="I13" s="60" t="s">
        <v>279</v>
      </c>
      <c r="J13" s="60"/>
      <c r="K13" s="60"/>
      <c r="L13" s="60"/>
      <c r="S13" s="57" t="s">
        <v>181</v>
      </c>
      <c r="T13" s="57" t="s">
        <v>188</v>
      </c>
      <c r="U13" s="57" t="s">
        <v>210</v>
      </c>
      <c r="V13" s="57" t="s">
        <v>196</v>
      </c>
      <c r="W13" s="57" t="s">
        <v>214</v>
      </c>
      <c r="X13"/>
      <c r="Y13"/>
      <c r="Z13"/>
    </row>
    <row r="14" spans="1:26" x14ac:dyDescent="0.3">
      <c r="A14" s="78" t="s">
        <v>9</v>
      </c>
      <c r="B14" s="78"/>
      <c r="C14" s="78"/>
      <c r="D14" s="78"/>
      <c r="E14" s="182" t="s">
        <v>235</v>
      </c>
      <c r="F14" s="133"/>
      <c r="G14" s="133"/>
      <c r="H14" s="133"/>
      <c r="I14" s="208" t="e">
        <f ca="1">OFFSET($D$4,1,MATCH($J12,$D$4:$H$4,0)-1,15,1)</f>
        <v>#N/A</v>
      </c>
      <c r="J14" s="209"/>
      <c r="K14" s="209"/>
      <c r="L14" s="209"/>
      <c r="M14" s="209"/>
      <c r="N14" s="209"/>
      <c r="O14" s="209"/>
      <c r="P14" s="209"/>
      <c r="S14" s="57" t="s">
        <v>182</v>
      </c>
      <c r="T14" s="57" t="s">
        <v>189</v>
      </c>
      <c r="U14" s="57" t="s">
        <v>211</v>
      </c>
      <c r="V14" s="57" t="s">
        <v>197</v>
      </c>
      <c r="W14" s="57" t="s">
        <v>227</v>
      </c>
      <c r="X14"/>
      <c r="Y14"/>
      <c r="Z14"/>
    </row>
    <row r="15" spans="1:26" ht="33.75" customHeight="1" x14ac:dyDescent="0.3">
      <c r="A15" s="182" t="s">
        <v>10</v>
      </c>
      <c r="B15" s="182"/>
      <c r="C15" s="182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Riddhi Siddhi Chs, Plot No.72/A, near Shree Sai Prasad Building, Swami Nityanand Rd, HOC Colony, Panvel, Panvel West, Panvel, Raigad - 410206.</v>
      </c>
      <c r="D15" s="182"/>
      <c r="E15" s="182"/>
      <c r="F15" s="182"/>
      <c r="G15" s="182"/>
      <c r="H15" s="182"/>
      <c r="S15" s="57" t="s">
        <v>183</v>
      </c>
      <c r="T15" s="57" t="s">
        <v>191</v>
      </c>
      <c r="U15" s="57" t="s">
        <v>212</v>
      </c>
      <c r="V15" s="57" t="s">
        <v>198</v>
      </c>
      <c r="W15" s="57" t="s">
        <v>215</v>
      </c>
      <c r="X15"/>
      <c r="Y15"/>
      <c r="Z15"/>
    </row>
    <row r="16" spans="1:26" x14ac:dyDescent="0.3">
      <c r="A16" s="182" t="s">
        <v>236</v>
      </c>
      <c r="B16" s="182"/>
      <c r="C16" s="182" t="s">
        <v>237</v>
      </c>
      <c r="D16" s="182"/>
      <c r="E16" s="182"/>
      <c r="F16" s="182"/>
      <c r="G16" s="182"/>
      <c r="H16" s="182"/>
      <c r="S16" s="57" t="s">
        <v>184</v>
      </c>
      <c r="T16" s="57" t="s">
        <v>192</v>
      </c>
      <c r="U16" s="57"/>
      <c r="V16" s="57" t="s">
        <v>199</v>
      </c>
      <c r="W16" s="57" t="s">
        <v>216</v>
      </c>
      <c r="X16"/>
      <c r="Y16"/>
      <c r="Z16"/>
    </row>
    <row r="17" spans="1:26" ht="15.75" customHeight="1" x14ac:dyDescent="0.3">
      <c r="A17" s="182" t="s">
        <v>164</v>
      </c>
      <c r="B17" s="182"/>
      <c r="C17" s="182" t="s">
        <v>238</v>
      </c>
      <c r="D17" s="182"/>
      <c r="E17" s="182"/>
      <c r="F17" s="182"/>
      <c r="G17" s="182"/>
      <c r="H17" s="182"/>
      <c r="S17" s="57" t="s">
        <v>185</v>
      </c>
      <c r="T17" s="57" t="s">
        <v>190</v>
      </c>
      <c r="U17" s="57"/>
      <c r="V17" s="57" t="s">
        <v>200</v>
      </c>
      <c r="W17" s="57" t="s">
        <v>217</v>
      </c>
      <c r="X17"/>
      <c r="Y17"/>
      <c r="Z17"/>
    </row>
    <row r="18" spans="1:26" ht="15.75" customHeight="1" x14ac:dyDescent="0.3">
      <c r="A18" s="182" t="s">
        <v>11</v>
      </c>
      <c r="B18" s="182"/>
      <c r="C18" s="133" t="s">
        <v>239</v>
      </c>
      <c r="D18" s="133"/>
      <c r="E18" s="182" t="s">
        <v>73</v>
      </c>
      <c r="F18" s="182"/>
      <c r="G18" s="182" t="s">
        <v>197</v>
      </c>
      <c r="H18" s="182"/>
      <c r="S18" s="57" t="s">
        <v>186</v>
      </c>
      <c r="T18" s="57" t="s">
        <v>193</v>
      </c>
      <c r="U18" s="57"/>
      <c r="V18" s="57" t="s">
        <v>201</v>
      </c>
      <c r="W18" s="57" t="s">
        <v>218</v>
      </c>
      <c r="X18"/>
      <c r="Y18"/>
      <c r="Z18"/>
    </row>
    <row r="19" spans="1:26" x14ac:dyDescent="0.3">
      <c r="A19" s="133" t="s">
        <v>13</v>
      </c>
      <c r="B19" s="133"/>
      <c r="C19" s="182" t="s">
        <v>240</v>
      </c>
      <c r="D19" s="182"/>
      <c r="E19" s="182" t="s">
        <v>12</v>
      </c>
      <c r="F19" s="182"/>
      <c r="G19" s="183" t="s">
        <v>195</v>
      </c>
      <c r="H19" s="183"/>
      <c r="S19" s="57" t="s">
        <v>187</v>
      </c>
      <c r="T19" s="57" t="s">
        <v>194</v>
      </c>
      <c r="U19" s="57"/>
      <c r="V19" s="57" t="s">
        <v>202</v>
      </c>
      <c r="W19" s="57" t="s">
        <v>219</v>
      </c>
      <c r="X19"/>
      <c r="Y19"/>
      <c r="Z19"/>
    </row>
    <row r="20" spans="1:26" x14ac:dyDescent="0.3">
      <c r="A20" s="133" t="s">
        <v>74</v>
      </c>
      <c r="B20" s="133"/>
      <c r="C20" s="182" t="s">
        <v>197</v>
      </c>
      <c r="D20" s="182"/>
      <c r="E20" s="182" t="s">
        <v>14</v>
      </c>
      <c r="F20" s="182"/>
      <c r="G20" s="182">
        <v>410206</v>
      </c>
      <c r="H20" s="182"/>
      <c r="S20" s="57"/>
      <c r="T20" s="57"/>
      <c r="U20" s="57"/>
      <c r="V20" s="57" t="s">
        <v>203</v>
      </c>
      <c r="W20" s="57" t="s">
        <v>220</v>
      </c>
      <c r="X20"/>
      <c r="Y20"/>
      <c r="Z20"/>
    </row>
    <row r="21" spans="1:26" ht="32.25" customHeight="1" x14ac:dyDescent="0.3">
      <c r="A21" s="133" t="s">
        <v>122</v>
      </c>
      <c r="B21" s="133"/>
      <c r="C21" s="182" t="s">
        <v>241</v>
      </c>
      <c r="D21" s="182"/>
      <c r="E21" s="182" t="s">
        <v>15</v>
      </c>
      <c r="F21" s="182"/>
      <c r="G21" s="182" t="s">
        <v>242</v>
      </c>
      <c r="H21" s="182"/>
      <c r="S21" s="57"/>
      <c r="T21" s="57"/>
      <c r="U21" s="57"/>
      <c r="V21" s="57" t="s">
        <v>204</v>
      </c>
      <c r="W21" s="57" t="s">
        <v>221</v>
      </c>
      <c r="X21"/>
      <c r="Y21"/>
      <c r="Z21"/>
    </row>
    <row r="22" spans="1:26" ht="15" customHeight="1" x14ac:dyDescent="0.3">
      <c r="A22" s="132" t="s">
        <v>76</v>
      </c>
      <c r="B22" s="132"/>
      <c r="C22" s="132"/>
      <c r="D22" s="132"/>
      <c r="E22" s="154" t="s">
        <v>16</v>
      </c>
      <c r="F22" s="154"/>
      <c r="G22" s="154"/>
      <c r="H22" s="154"/>
      <c r="S22" s="57"/>
      <c r="T22" s="57"/>
      <c r="U22" s="57"/>
      <c r="V22" s="57" t="s">
        <v>205</v>
      </c>
      <c r="W22" s="57" t="s">
        <v>222</v>
      </c>
      <c r="X22"/>
      <c r="Y22"/>
      <c r="Z22"/>
    </row>
    <row r="23" spans="1:26" ht="18.75" customHeight="1" x14ac:dyDescent="0.3">
      <c r="A23" s="132"/>
      <c r="B23" s="132"/>
      <c r="C23" s="132"/>
      <c r="D23" s="132"/>
      <c r="E23" s="154"/>
      <c r="F23" s="154"/>
      <c r="G23" s="154"/>
      <c r="H23" s="154"/>
      <c r="S23" s="57"/>
      <c r="T23" s="57"/>
      <c r="U23" s="57"/>
      <c r="V23" s="57" t="s">
        <v>206</v>
      </c>
      <c r="W23" s="57" t="s">
        <v>223</v>
      </c>
      <c r="X23"/>
      <c r="Y23"/>
      <c r="Z23"/>
    </row>
    <row r="24" spans="1:26" ht="15" customHeight="1" x14ac:dyDescent="0.3">
      <c r="A24" s="132" t="s">
        <v>17</v>
      </c>
      <c r="B24" s="132"/>
      <c r="C24" s="132"/>
      <c r="D24" s="132"/>
      <c r="E24" s="114" t="s">
        <v>18</v>
      </c>
      <c r="F24" s="114"/>
      <c r="G24" s="114"/>
      <c r="H24" s="114"/>
      <c r="S24" s="57"/>
      <c r="T24" s="57"/>
      <c r="U24" s="57"/>
      <c r="V24" s="57" t="s">
        <v>207</v>
      </c>
      <c r="W24" s="57" t="s">
        <v>224</v>
      </c>
      <c r="X24"/>
      <c r="Y24"/>
      <c r="Z24"/>
    </row>
    <row r="25" spans="1:26" ht="15" customHeight="1" x14ac:dyDescent="0.3">
      <c r="A25" s="78" t="s">
        <v>19</v>
      </c>
      <c r="B25" s="78"/>
      <c r="C25" s="78"/>
      <c r="D25" s="78"/>
      <c r="E25" s="114" t="str">
        <f>IF(AND(G19="Mumbai"),"Upper Class","Middle Class")</f>
        <v>Middle Class</v>
      </c>
      <c r="F25" s="114"/>
      <c r="G25" s="114"/>
      <c r="H25" s="114"/>
      <c r="S25" s="57"/>
      <c r="T25" s="57"/>
      <c r="U25" s="57"/>
      <c r="V25" s="57" t="s">
        <v>208</v>
      </c>
      <c r="W25" s="57" t="s">
        <v>225</v>
      </c>
      <c r="X25"/>
      <c r="Y25"/>
      <c r="Z25"/>
    </row>
    <row r="26" spans="1:26" x14ac:dyDescent="0.3">
      <c r="A26" s="78" t="s">
        <v>20</v>
      </c>
      <c r="B26" s="78"/>
      <c r="C26" s="78"/>
      <c r="D26" s="78"/>
      <c r="E26" s="114" t="s">
        <v>21</v>
      </c>
      <c r="F26" s="114"/>
      <c r="G26" s="114"/>
      <c r="H26" s="114"/>
      <c r="S26" s="57"/>
      <c r="T26" s="57"/>
      <c r="U26" s="57"/>
      <c r="V26" s="57" t="s">
        <v>209</v>
      </c>
      <c r="W26" s="57" t="s">
        <v>226</v>
      </c>
      <c r="X26"/>
      <c r="Y26"/>
      <c r="Z26"/>
    </row>
    <row r="27" spans="1:26" ht="15.75" customHeight="1" x14ac:dyDescent="0.3">
      <c r="A27" s="78" t="s">
        <v>22</v>
      </c>
      <c r="B27" s="78"/>
      <c r="C27" s="78"/>
      <c r="D27" s="78"/>
      <c r="E27" s="114" t="str">
        <f>IF(AND(G19="Mumbai"),"Developed","Developing")</f>
        <v>Developing</v>
      </c>
      <c r="F27" s="114"/>
      <c r="G27" s="114"/>
      <c r="H27" s="114"/>
    </row>
    <row r="28" spans="1:26" x14ac:dyDescent="0.3">
      <c r="A28" s="78" t="s">
        <v>23</v>
      </c>
      <c r="B28" s="78"/>
      <c r="C28" s="78"/>
      <c r="D28" s="78"/>
      <c r="E28" s="114" t="s">
        <v>24</v>
      </c>
      <c r="F28" s="114"/>
      <c r="G28" s="114"/>
      <c r="H28" s="114"/>
    </row>
    <row r="29" spans="1:26" ht="15.75" customHeight="1" x14ac:dyDescent="0.3">
      <c r="A29" s="78" t="s">
        <v>81</v>
      </c>
      <c r="B29" s="78"/>
      <c r="C29" s="78"/>
      <c r="D29" s="78"/>
      <c r="E29" s="114" t="s">
        <v>82</v>
      </c>
      <c r="F29" s="114"/>
      <c r="G29" s="114"/>
      <c r="H29" s="114"/>
    </row>
    <row r="30" spans="1:26" ht="15" customHeight="1" x14ac:dyDescent="0.3">
      <c r="A30" s="78" t="s">
        <v>32</v>
      </c>
      <c r="B30" s="78"/>
      <c r="C30" s="78"/>
      <c r="D30" s="78"/>
      <c r="E30" s="114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14"/>
      <c r="G30" s="114"/>
      <c r="H30" s="114"/>
    </row>
    <row r="31" spans="1:26" ht="15.75" customHeight="1" x14ac:dyDescent="0.3">
      <c r="A31" s="78" t="s">
        <v>93</v>
      </c>
      <c r="B31" s="78"/>
      <c r="C31" s="78"/>
      <c r="D31" s="78"/>
      <c r="E31" s="114" t="s">
        <v>33</v>
      </c>
      <c r="F31" s="114"/>
      <c r="G31" s="114"/>
      <c r="H31" s="114"/>
    </row>
    <row r="32" spans="1:26" s="23" customFormat="1" x14ac:dyDescent="0.3">
      <c r="A32" s="181" t="s">
        <v>94</v>
      </c>
      <c r="B32" s="181"/>
      <c r="C32" s="177" t="s">
        <v>174</v>
      </c>
      <c r="D32" s="178"/>
      <c r="E32" s="179"/>
      <c r="F32" s="177" t="s">
        <v>30</v>
      </c>
      <c r="G32" s="178"/>
      <c r="H32" s="179"/>
    </row>
    <row r="33" spans="1:8" s="23" customFormat="1" ht="33.75" customHeight="1" x14ac:dyDescent="0.3">
      <c r="A33" s="180" t="s">
        <v>25</v>
      </c>
      <c r="B33" s="180" t="s">
        <v>29</v>
      </c>
      <c r="C33" s="161" t="s">
        <v>247</v>
      </c>
      <c r="D33" s="162"/>
      <c r="E33" s="163"/>
      <c r="F33" s="174" t="s">
        <v>243</v>
      </c>
      <c r="G33" s="175"/>
      <c r="H33" s="176"/>
    </row>
    <row r="34" spans="1:8" x14ac:dyDescent="0.3">
      <c r="A34" s="164" t="s">
        <v>26</v>
      </c>
      <c r="B34" s="164" t="s">
        <v>29</v>
      </c>
      <c r="C34" s="165" t="s">
        <v>248</v>
      </c>
      <c r="D34" s="166"/>
      <c r="E34" s="167"/>
      <c r="F34" s="165" t="s">
        <v>244</v>
      </c>
      <c r="G34" s="166"/>
      <c r="H34" s="167"/>
    </row>
    <row r="35" spans="1:8" s="23" customFormat="1" x14ac:dyDescent="0.3">
      <c r="A35" s="164" t="s">
        <v>28</v>
      </c>
      <c r="B35" s="164" t="s">
        <v>29</v>
      </c>
      <c r="C35" s="165" t="s">
        <v>249</v>
      </c>
      <c r="D35" s="166"/>
      <c r="E35" s="167"/>
      <c r="F35" s="165" t="s">
        <v>245</v>
      </c>
      <c r="G35" s="166"/>
      <c r="H35" s="167"/>
    </row>
    <row r="36" spans="1:8" x14ac:dyDescent="0.3">
      <c r="A36" s="164" t="s">
        <v>27</v>
      </c>
      <c r="B36" s="164" t="s">
        <v>29</v>
      </c>
      <c r="C36" s="165" t="s">
        <v>249</v>
      </c>
      <c r="D36" s="166"/>
      <c r="E36" s="167"/>
      <c r="F36" s="165" t="s">
        <v>246</v>
      </c>
      <c r="G36" s="166"/>
      <c r="H36" s="167"/>
    </row>
    <row r="37" spans="1:8" x14ac:dyDescent="0.3">
      <c r="A37" s="78" t="s">
        <v>31</v>
      </c>
      <c r="B37" s="78"/>
      <c r="C37" s="78"/>
      <c r="D37" s="78"/>
      <c r="E37" s="78"/>
      <c r="F37" s="78"/>
      <c r="G37" s="78"/>
      <c r="H37" s="78"/>
    </row>
    <row r="38" spans="1:8" ht="15.75" customHeight="1" x14ac:dyDescent="0.3">
      <c r="A38" s="78" t="s">
        <v>167</v>
      </c>
      <c r="B38" s="78"/>
      <c r="C38" s="131" t="s">
        <v>251</v>
      </c>
      <c r="D38" s="131"/>
      <c r="E38" s="131"/>
      <c r="F38" s="131"/>
      <c r="G38" s="131"/>
      <c r="H38" s="131"/>
    </row>
    <row r="39" spans="1:8" x14ac:dyDescent="0.3">
      <c r="A39" s="78" t="s">
        <v>163</v>
      </c>
      <c r="B39" s="78"/>
      <c r="C39" s="113" t="s">
        <v>250</v>
      </c>
      <c r="D39" s="114"/>
      <c r="E39" s="114"/>
      <c r="F39" s="114"/>
      <c r="G39" s="114"/>
      <c r="H39" s="114"/>
    </row>
    <row r="40" spans="1:8" x14ac:dyDescent="0.3">
      <c r="A40" s="131" t="s">
        <v>34</v>
      </c>
      <c r="B40" s="131"/>
      <c r="C40" s="131"/>
      <c r="D40" s="131"/>
      <c r="E40" s="131"/>
      <c r="F40" s="131"/>
      <c r="G40" s="131"/>
      <c r="H40" s="131"/>
    </row>
    <row r="41" spans="1:8" x14ac:dyDescent="0.3">
      <c r="A41" s="78" t="s">
        <v>35</v>
      </c>
      <c r="B41" s="78"/>
      <c r="C41" s="78"/>
      <c r="D41" s="78"/>
      <c r="E41" s="130">
        <v>2163.4160000000002</v>
      </c>
      <c r="F41" s="130"/>
      <c r="G41" s="130"/>
      <c r="H41" s="130"/>
    </row>
    <row r="42" spans="1:8" x14ac:dyDescent="0.3">
      <c r="A42" s="78" t="s">
        <v>36</v>
      </c>
      <c r="B42" s="78"/>
      <c r="C42" s="78"/>
      <c r="D42" s="78"/>
      <c r="E42" s="172">
        <f>2379.758/E41</f>
        <v>1.1000001848927805</v>
      </c>
      <c r="F42" s="172"/>
      <c r="G42" s="172"/>
      <c r="H42" s="172"/>
    </row>
    <row r="43" spans="1:8" x14ac:dyDescent="0.3">
      <c r="A43" s="78" t="s">
        <v>37</v>
      </c>
      <c r="B43" s="78"/>
      <c r="C43" s="78"/>
      <c r="D43" s="78"/>
      <c r="E43" s="172">
        <f>E45/E41-E42</f>
        <v>2.1831173477500396</v>
      </c>
      <c r="F43" s="172"/>
      <c r="G43" s="172"/>
      <c r="H43" s="172"/>
    </row>
    <row r="44" spans="1:8" x14ac:dyDescent="0.3">
      <c r="A44" s="78" t="s">
        <v>38</v>
      </c>
      <c r="B44" s="78"/>
      <c r="C44" s="78"/>
      <c r="D44" s="78"/>
      <c r="E44" s="172">
        <f>E42+E43</f>
        <v>3.2831175326428204</v>
      </c>
      <c r="F44" s="172"/>
      <c r="G44" s="172"/>
      <c r="H44" s="172"/>
    </row>
    <row r="45" spans="1:8" x14ac:dyDescent="0.3">
      <c r="A45" s="133" t="s">
        <v>92</v>
      </c>
      <c r="B45" s="133"/>
      <c r="C45" s="133"/>
      <c r="D45" s="133"/>
      <c r="E45" s="173">
        <v>7102.7489999999998</v>
      </c>
      <c r="F45" s="173"/>
      <c r="G45" s="173"/>
      <c r="H45" s="173"/>
    </row>
    <row r="46" spans="1:8" x14ac:dyDescent="0.3">
      <c r="A46" s="133" t="s">
        <v>39</v>
      </c>
      <c r="B46" s="133"/>
      <c r="C46" s="133"/>
      <c r="D46" s="133"/>
      <c r="E46" s="133" t="s">
        <v>121</v>
      </c>
      <c r="F46" s="133"/>
      <c r="G46" s="133"/>
      <c r="H46" s="133"/>
    </row>
    <row r="47" spans="1:8" x14ac:dyDescent="0.3">
      <c r="A47" s="145" t="s">
        <v>40</v>
      </c>
      <c r="B47" s="145"/>
      <c r="C47" s="145"/>
      <c r="D47" s="145"/>
      <c r="E47" s="145"/>
      <c r="F47" s="145"/>
      <c r="G47" s="145"/>
      <c r="H47" s="145"/>
    </row>
    <row r="48" spans="1:8" ht="33.75" customHeight="1" x14ac:dyDescent="0.3">
      <c r="A48" s="118" t="s">
        <v>151</v>
      </c>
      <c r="B48" s="119"/>
      <c r="C48" s="120" t="s">
        <v>252</v>
      </c>
      <c r="D48" s="121"/>
      <c r="E48" s="121"/>
      <c r="F48" s="121"/>
      <c r="G48" s="121"/>
      <c r="H48" s="122"/>
    </row>
    <row r="49" spans="1:14" ht="15.75" customHeight="1" x14ac:dyDescent="0.3">
      <c r="A49" s="118" t="s">
        <v>41</v>
      </c>
      <c r="B49" s="119"/>
      <c r="C49" s="118" t="s">
        <v>253</v>
      </c>
      <c r="D49" s="187"/>
      <c r="E49" s="119"/>
      <c r="F49" s="59" t="s">
        <v>42</v>
      </c>
      <c r="G49" s="146">
        <v>44741</v>
      </c>
      <c r="H49" s="147"/>
    </row>
    <row r="50" spans="1:14" x14ac:dyDescent="0.3">
      <c r="A50" s="118" t="s">
        <v>43</v>
      </c>
      <c r="B50" s="119"/>
      <c r="C50" s="118" t="str">
        <f>C49</f>
        <v>PMP/NRV/16463/J.K.1886/2022</v>
      </c>
      <c r="D50" s="187"/>
      <c r="E50" s="119"/>
      <c r="F50" s="59" t="s">
        <v>42</v>
      </c>
      <c r="G50" s="146">
        <f>G49</f>
        <v>44741</v>
      </c>
      <c r="H50" s="147"/>
    </row>
    <row r="51" spans="1:14" s="24" customFormat="1" ht="33.75" customHeight="1" x14ac:dyDescent="0.3">
      <c r="A51" s="157" t="s">
        <v>155</v>
      </c>
      <c r="B51" s="158"/>
      <c r="C51" s="148" t="s">
        <v>254</v>
      </c>
      <c r="D51" s="149"/>
      <c r="E51" s="150"/>
      <c r="F51" s="19" t="s">
        <v>42</v>
      </c>
      <c r="G51" s="151">
        <f>G50</f>
        <v>44741</v>
      </c>
      <c r="H51" s="152"/>
    </row>
    <row r="52" spans="1:14" s="24" customFormat="1" ht="20.25" customHeight="1" x14ac:dyDescent="0.3">
      <c r="A52" s="159"/>
      <c r="B52" s="160"/>
      <c r="C52" s="148" t="s">
        <v>255</v>
      </c>
      <c r="D52" s="149"/>
      <c r="E52" s="149"/>
      <c r="F52" s="149"/>
      <c r="G52" s="149"/>
      <c r="H52" s="150"/>
    </row>
    <row r="53" spans="1:14" x14ac:dyDescent="0.3">
      <c r="A53" s="210" t="s">
        <v>44</v>
      </c>
      <c r="B53" s="211"/>
      <c r="C53" s="210" t="s">
        <v>105</v>
      </c>
      <c r="D53" s="212"/>
      <c r="E53" s="211"/>
      <c r="F53" s="47" t="s">
        <v>42</v>
      </c>
      <c r="G53" s="155" t="s">
        <v>29</v>
      </c>
      <c r="H53" s="156"/>
    </row>
    <row r="54" spans="1:14" x14ac:dyDescent="0.3">
      <c r="A54" s="153" t="s">
        <v>46</v>
      </c>
      <c r="B54" s="153"/>
      <c r="C54" s="153"/>
      <c r="D54" s="153"/>
      <c r="E54" s="153"/>
      <c r="F54" s="153"/>
      <c r="G54" s="153"/>
      <c r="H54" s="153"/>
    </row>
    <row r="55" spans="1:14" x14ac:dyDescent="0.3">
      <c r="A55" s="132" t="s">
        <v>91</v>
      </c>
      <c r="B55" s="132"/>
      <c r="C55" s="132"/>
      <c r="D55" s="78">
        <f>E45</f>
        <v>7102.7489999999998</v>
      </c>
      <c r="E55" s="78"/>
      <c r="F55" s="78"/>
      <c r="G55" s="78"/>
      <c r="H55" s="78"/>
    </row>
    <row r="56" spans="1:14" x14ac:dyDescent="0.3">
      <c r="A56" s="114" t="s">
        <v>47</v>
      </c>
      <c r="B56" s="154"/>
      <c r="C56" s="154"/>
      <c r="D56" s="154" t="s">
        <v>278</v>
      </c>
      <c r="E56" s="154"/>
      <c r="F56" s="154"/>
      <c r="G56" s="154"/>
      <c r="H56" s="154"/>
      <c r="I56" s="25"/>
    </row>
    <row r="57" spans="1:14" x14ac:dyDescent="0.3">
      <c r="A57" s="110" t="s">
        <v>48</v>
      </c>
      <c r="B57" s="111"/>
      <c r="C57" s="112"/>
      <c r="D57" s="108" t="s">
        <v>255</v>
      </c>
      <c r="E57" s="109"/>
      <c r="F57" s="109"/>
      <c r="G57" s="109"/>
      <c r="H57" s="109"/>
    </row>
    <row r="58" spans="1:14" ht="15.75" customHeight="1" x14ac:dyDescent="0.3">
      <c r="A58" s="110" t="s">
        <v>89</v>
      </c>
      <c r="B58" s="111"/>
      <c r="C58" s="111"/>
      <c r="D58" s="154" t="s">
        <v>255</v>
      </c>
      <c r="E58" s="154"/>
      <c r="F58" s="154"/>
      <c r="G58" s="154"/>
      <c r="H58" s="154"/>
    </row>
    <row r="59" spans="1:14" ht="15.75" customHeight="1" x14ac:dyDescent="0.3">
      <c r="A59" s="78" t="s">
        <v>45</v>
      </c>
      <c r="B59" s="78"/>
      <c r="C59" s="78"/>
      <c r="D59" s="132" t="s">
        <v>256</v>
      </c>
      <c r="E59" s="132"/>
      <c r="F59" s="132"/>
      <c r="G59" s="132"/>
      <c r="H59" s="132"/>
      <c r="J59" s="26"/>
      <c r="K59" s="25"/>
      <c r="N59" s="25"/>
    </row>
    <row r="60" spans="1:14" ht="15.75" customHeight="1" x14ac:dyDescent="0.3">
      <c r="A60" s="78" t="s">
        <v>87</v>
      </c>
      <c r="B60" s="78"/>
      <c r="C60" s="78"/>
      <c r="D60" s="92" t="str">
        <f>(IF(G53="NA","60 Years After Completion",IF(G53&lt;&gt;"NA",""&amp;60-ROUNDDOWN((E3-G53)/360,0)&amp;" Years"," ")))</f>
        <v>60 Years After Completion</v>
      </c>
      <c r="E60" s="92"/>
      <c r="F60" s="92"/>
      <c r="G60" s="92"/>
      <c r="H60" s="92"/>
      <c r="N60" s="25"/>
    </row>
    <row r="61" spans="1:14" ht="15.75" customHeight="1" x14ac:dyDescent="0.3">
      <c r="A61" s="78" t="s">
        <v>88</v>
      </c>
      <c r="B61" s="78"/>
      <c r="C61" s="78"/>
      <c r="D61" s="132" t="s">
        <v>24</v>
      </c>
      <c r="E61" s="132"/>
      <c r="F61" s="132"/>
      <c r="G61" s="132"/>
      <c r="H61" s="132"/>
      <c r="J61" s="27"/>
      <c r="K61" s="27"/>
    </row>
    <row r="62" spans="1:14" ht="34.5" customHeight="1" x14ac:dyDescent="0.3">
      <c r="A62" s="133" t="s">
        <v>282</v>
      </c>
      <c r="B62" s="133"/>
      <c r="C62" s="133"/>
      <c r="D62" s="114" t="s">
        <v>281</v>
      </c>
      <c r="E62" s="132"/>
      <c r="F62" s="132"/>
      <c r="G62" s="132"/>
      <c r="H62" s="132"/>
    </row>
    <row r="63" spans="1:14" x14ac:dyDescent="0.3">
      <c r="A63" s="132" t="s">
        <v>148</v>
      </c>
      <c r="B63" s="132"/>
      <c r="C63" s="132"/>
      <c r="D63" s="132" t="s">
        <v>29</v>
      </c>
      <c r="E63" s="132"/>
      <c r="F63" s="132"/>
      <c r="G63" s="132"/>
      <c r="H63" s="132"/>
      <c r="I63" s="28"/>
      <c r="J63" s="28"/>
      <c r="K63" s="28"/>
      <c r="L63" s="28"/>
      <c r="M63" s="28"/>
      <c r="N63" s="28"/>
    </row>
    <row r="64" spans="1:14" ht="15.75" customHeight="1" x14ac:dyDescent="0.3">
      <c r="A64" s="213" t="s">
        <v>86</v>
      </c>
      <c r="B64" s="213"/>
      <c r="C64" s="213"/>
      <c r="D64" s="108" t="str">
        <f ca="1">(IF(G70&gt;95%,"Nothing",IF(G70&gt;0%,"Cement, Aggregate, Steel, etc",IF(G70=0%,"Work not yet Started"))))</f>
        <v>Cement, Aggregate, Steel, etc</v>
      </c>
      <c r="E64" s="108"/>
      <c r="F64" s="108"/>
      <c r="G64" s="108"/>
      <c r="H64" s="108"/>
      <c r="J64" s="27"/>
    </row>
    <row r="65" spans="1:10" ht="33.75" customHeight="1" thickBot="1" x14ac:dyDescent="0.35">
      <c r="A65" s="168" t="s">
        <v>118</v>
      </c>
      <c r="B65" s="168"/>
      <c r="C65" s="168"/>
      <c r="D65" s="108" t="str">
        <f ca="1">(IF(D64="Nothing","Yes",IF(D64="Cement, Aggregate, Steel, etc","Under Construction",IF(D64="Work not yet Started","Work not yet Started"))))</f>
        <v>Under Construction</v>
      </c>
      <c r="E65" s="108"/>
      <c r="F65" s="108" t="str">
        <f ca="1">(IF(D64="Nothing","Yes",IF(D64="Cement, Aggregate, Steel, etc","Under Construction",IF(D64="Work not yet Started","Work not yet Started"))))</f>
        <v>Under Construction</v>
      </c>
      <c r="G65" s="108"/>
      <c r="H65" s="108"/>
    </row>
    <row r="66" spans="1:10" ht="15.75" customHeight="1" x14ac:dyDescent="0.3">
      <c r="A66" s="134" t="s">
        <v>140</v>
      </c>
      <c r="B66" s="135"/>
      <c r="C66" s="136" t="str">
        <f>D58</f>
        <v>Gr + 1st to 11th Floor</v>
      </c>
      <c r="D66" s="137"/>
      <c r="E66" s="137"/>
      <c r="F66" s="137"/>
      <c r="G66" s="137"/>
      <c r="H66" s="138"/>
      <c r="I66" s="51" t="str">
        <f ca="1">IF(D79=100%,"All work Completed. Possession granted to the Building.",IF(D78=100%,"All work Completed, Waiting for OC",I67&amp;""&amp;I68&amp;""&amp;J67&amp;""&amp;J66&amp;" "&amp;J68))</f>
        <v>Excavation, Plinth, RCC Slab, Brickwork Completed, Internal Plaster upto 10 Floor, External Plaster upto 10 Floor, Flooring upto 7 Floor Completed</v>
      </c>
      <c r="J66" s="52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Internal Plaster upto 10 Floor, External Plaster upto 10 Floor, Flooring upto 7 Floor</v>
      </c>
    </row>
    <row r="67" spans="1:10" x14ac:dyDescent="0.3">
      <c r="A67" s="17" t="s">
        <v>142</v>
      </c>
      <c r="B67" s="49">
        <f>IF(AND(ISNUMBER(SEARCH("1B",C66))),1,IF(AND(ISNUMBER(SEARCH("2B",C66))),2,IF(AND(ISNUMBER(SEARCH("3B",C66))),3,IF(AND(ISNUMBER(SEARCH("4B",C66))),4,IF(ISNUMBER(SEARCH("5B",C66)),5,0)))))</f>
        <v>0</v>
      </c>
      <c r="C67" s="49" t="s">
        <v>72</v>
      </c>
      <c r="D67" s="49">
        <v>1</v>
      </c>
      <c r="E67" s="49" t="s">
        <v>71</v>
      </c>
      <c r="F67" s="61">
        <v>0</v>
      </c>
      <c r="G67" s="50" t="s">
        <v>80</v>
      </c>
      <c r="H67" s="18">
        <f ca="1">--TRIM(RIGHT(SUBSTITUTE(LEFT(C66,_xlfn.AGGREGATE(16,6,FIND({0,1,2,3,4,5,6,7,8,9},C66,ROW(INDIRECT("1:"&amp;LEN(C66)))),1))," ",REPT(" ",LEN(C66))),LEN(C66)))</f>
        <v>11</v>
      </c>
      <c r="I67" s="53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</v>
      </c>
      <c r="J67" s="54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3" customHeight="1" x14ac:dyDescent="0.3">
      <c r="A68" s="95" t="s">
        <v>90</v>
      </c>
      <c r="B68" s="96"/>
      <c r="C68" s="97" t="str">
        <f ca="1">I66</f>
        <v>Excavation, Plinth, RCC Slab, Brickwork Completed, Internal Plaster upto 10 Floor, External Plaster upto 10 Floor, Flooring upto 7 Floor Completed</v>
      </c>
      <c r="D68" s="97"/>
      <c r="E68" s="97"/>
      <c r="F68" s="97"/>
      <c r="G68" s="97"/>
      <c r="H68" s="98"/>
      <c r="I68" s="53" t="str">
        <f ca="1">IF(I67&lt;&gt;""," Completed","")</f>
        <v xml:space="preserve"> Completed</v>
      </c>
      <c r="J68" s="54" t="str">
        <f ca="1">IF(J66&lt;&gt;"","Completed","")</f>
        <v>Completed</v>
      </c>
    </row>
    <row r="69" spans="1:10" ht="15.75" customHeight="1" x14ac:dyDescent="0.3">
      <c r="A69" s="99" t="s">
        <v>49</v>
      </c>
      <c r="B69" s="93"/>
      <c r="C69" s="45" t="s">
        <v>139</v>
      </c>
      <c r="D69" s="45" t="s">
        <v>83</v>
      </c>
      <c r="E69" s="93" t="s">
        <v>85</v>
      </c>
      <c r="F69" s="93"/>
      <c r="G69" s="93" t="s">
        <v>84</v>
      </c>
      <c r="H69" s="94"/>
      <c r="I69" s="14" t="s">
        <v>141</v>
      </c>
      <c r="J69" s="29">
        <f ca="1">H67*25%</f>
        <v>2.75</v>
      </c>
    </row>
    <row r="70" spans="1:10" x14ac:dyDescent="0.3">
      <c r="A70" s="99" t="s">
        <v>128</v>
      </c>
      <c r="B70" s="93"/>
      <c r="C70" s="45">
        <f ca="1">J71</f>
        <v>11</v>
      </c>
      <c r="D70" s="20">
        <f ca="1">((100/H67)*C70)/100</f>
        <v>1.0000000000000002</v>
      </c>
      <c r="E70" s="123">
        <f ca="1">(((C71/H67*10)+(40/(D67+F67+H67)*C72)+(7.5/(H67)*C73)+(7.5/(H67)*C74)+(10/H67*C75)+(10/H67*C76)+(5/H67*C77)+(5/H67*C78)+(5/H67*C79))/100)</f>
        <v>0.79772727272727262</v>
      </c>
      <c r="F70" s="169"/>
      <c r="G70" s="123">
        <f ca="1">((((C70/H67)*20)+((C71/H67)*25)+(30/(H67+F67+D67)*C72)+(5/H67*C73)+(5/H67*C74)+(5/H67*C75)+(5/H67*C76)+(0/H67*C77)+(0/H67*C78)+(5/H67*C79))/100)</f>
        <v>0.92272727272727284</v>
      </c>
      <c r="H70" s="124"/>
      <c r="I70" s="14" t="s">
        <v>100</v>
      </c>
      <c r="J70" s="30">
        <f ca="1">H67*50%</f>
        <v>5.5</v>
      </c>
    </row>
    <row r="71" spans="1:10" x14ac:dyDescent="0.3">
      <c r="A71" s="99" t="s">
        <v>50</v>
      </c>
      <c r="B71" s="93"/>
      <c r="C71" s="45">
        <f ca="1">J79</f>
        <v>11</v>
      </c>
      <c r="D71" s="20">
        <f ca="1">((100/H67)*C71)/100</f>
        <v>1.0000000000000002</v>
      </c>
      <c r="E71" s="125"/>
      <c r="F71" s="170"/>
      <c r="G71" s="125"/>
      <c r="H71" s="126"/>
      <c r="I71" s="14" t="s">
        <v>101</v>
      </c>
      <c r="J71" s="30">
        <f ca="1">H67</f>
        <v>11</v>
      </c>
    </row>
    <row r="72" spans="1:10" ht="15.75" customHeight="1" x14ac:dyDescent="0.3">
      <c r="A72" s="99" t="s">
        <v>129</v>
      </c>
      <c r="B72" s="93"/>
      <c r="C72" s="45">
        <v>12</v>
      </c>
      <c r="D72" s="20">
        <f ca="1">((100/(D67+F67+H67))*C72)/100</f>
        <v>1</v>
      </c>
      <c r="E72" s="125"/>
      <c r="F72" s="170"/>
      <c r="G72" s="125"/>
      <c r="H72" s="126"/>
      <c r="I72" s="14" t="s">
        <v>102</v>
      </c>
      <c r="J72" s="31">
        <f ca="1">(IF(B67&gt;1,(H67/(B67+2)),H67/4))</f>
        <v>2.75</v>
      </c>
    </row>
    <row r="73" spans="1:10" ht="15.75" customHeight="1" x14ac:dyDescent="0.3">
      <c r="A73" s="99" t="s">
        <v>136</v>
      </c>
      <c r="B73" s="93" t="s">
        <v>130</v>
      </c>
      <c r="C73" s="45">
        <v>11</v>
      </c>
      <c r="D73" s="20">
        <f ca="1">((100/H67)*C73)/100</f>
        <v>1.0000000000000002</v>
      </c>
      <c r="E73" s="125"/>
      <c r="F73" s="170"/>
      <c r="G73" s="125"/>
      <c r="H73" s="126"/>
      <c r="I73" s="14" t="s">
        <v>103</v>
      </c>
      <c r="J73" s="31">
        <f ca="1">(IF(B67&gt;1,(H67/(B67+2)+J72),H67/4+J72))</f>
        <v>5.5</v>
      </c>
    </row>
    <row r="74" spans="1:10" ht="15.75" customHeight="1" x14ac:dyDescent="0.3">
      <c r="A74" s="99" t="s">
        <v>137</v>
      </c>
      <c r="B74" s="93" t="s">
        <v>130</v>
      </c>
      <c r="C74" s="45">
        <v>10</v>
      </c>
      <c r="D74" s="20">
        <f ca="1">((100/H67)*C74)/100</f>
        <v>0.90909090909090917</v>
      </c>
      <c r="E74" s="125"/>
      <c r="F74" s="170"/>
      <c r="G74" s="125"/>
      <c r="H74" s="126"/>
      <c r="I74" s="14" t="s">
        <v>146</v>
      </c>
      <c r="J74" s="31">
        <f>(IF(B67&gt;1,(H67/(B67+2)+J73),0))</f>
        <v>0</v>
      </c>
    </row>
    <row r="75" spans="1:10" ht="15" customHeight="1" x14ac:dyDescent="0.3">
      <c r="A75" s="99" t="s">
        <v>135</v>
      </c>
      <c r="B75" s="93" t="s">
        <v>132</v>
      </c>
      <c r="C75" s="45">
        <v>10</v>
      </c>
      <c r="D75" s="20">
        <f ca="1">((100/(H67))*C75)/100</f>
        <v>0.90909090909090917</v>
      </c>
      <c r="E75" s="125"/>
      <c r="F75" s="170"/>
      <c r="G75" s="125"/>
      <c r="H75" s="126"/>
      <c r="I75" s="14" t="s">
        <v>143</v>
      </c>
      <c r="J75" s="31">
        <f>(IF(B67&gt;2,(H67/(B67+2)+J74),0))</f>
        <v>0</v>
      </c>
    </row>
    <row r="76" spans="1:10" ht="15.75" customHeight="1" x14ac:dyDescent="0.3">
      <c r="A76" s="99" t="s">
        <v>131</v>
      </c>
      <c r="B76" s="93" t="s">
        <v>131</v>
      </c>
      <c r="C76" s="45">
        <v>7</v>
      </c>
      <c r="D76" s="20">
        <f ca="1">((100/H67)*C76)/100</f>
        <v>0.63636363636363635</v>
      </c>
      <c r="E76" s="125"/>
      <c r="F76" s="170"/>
      <c r="G76" s="125"/>
      <c r="H76" s="126"/>
      <c r="I76" s="14" t="s">
        <v>144</v>
      </c>
      <c r="J76" s="32">
        <f>(IF(B67&gt;3,(H67/(B67+2)+J75),0))</f>
        <v>0</v>
      </c>
    </row>
    <row r="77" spans="1:10" ht="15.75" customHeight="1" x14ac:dyDescent="0.3">
      <c r="A77" s="99" t="s">
        <v>138</v>
      </c>
      <c r="B77" s="93"/>
      <c r="C77" s="45">
        <v>0</v>
      </c>
      <c r="D77" s="20">
        <f ca="1">((100/H67)*C77)/100</f>
        <v>0</v>
      </c>
      <c r="E77" s="125"/>
      <c r="F77" s="170"/>
      <c r="G77" s="125"/>
      <c r="H77" s="126"/>
      <c r="I77" s="14" t="s">
        <v>145</v>
      </c>
      <c r="J77" s="31">
        <f>(IF(B67&gt;4,(H67/(B67+2)+J76),0))</f>
        <v>0</v>
      </c>
    </row>
    <row r="78" spans="1:10" ht="15.75" customHeight="1" x14ac:dyDescent="0.3">
      <c r="A78" s="99" t="s">
        <v>133</v>
      </c>
      <c r="B78" s="93" t="s">
        <v>133</v>
      </c>
      <c r="C78" s="45">
        <v>0</v>
      </c>
      <c r="D78" s="20">
        <f ca="1">((100/(H67))*C78)/100</f>
        <v>0</v>
      </c>
      <c r="E78" s="125"/>
      <c r="F78" s="170"/>
      <c r="G78" s="125"/>
      <c r="H78" s="126"/>
      <c r="I78" s="14" t="s">
        <v>147</v>
      </c>
      <c r="J78" s="31">
        <f ca="1">(IF(B67=1,(H67/(B67+3)+J73),IF(B67=0,(H67/4+J73),IF(B67&gt;1,0))))</f>
        <v>8.25</v>
      </c>
    </row>
    <row r="79" spans="1:10" ht="16.2" thickBot="1" x14ac:dyDescent="0.35">
      <c r="A79" s="106" t="s">
        <v>134</v>
      </c>
      <c r="B79" s="107"/>
      <c r="C79" s="46">
        <v>0</v>
      </c>
      <c r="D79" s="21">
        <f ca="1">((100/(H67))*C79)/100</f>
        <v>0</v>
      </c>
      <c r="E79" s="127"/>
      <c r="F79" s="171"/>
      <c r="G79" s="127"/>
      <c r="H79" s="128"/>
      <c r="I79" s="16" t="s">
        <v>104</v>
      </c>
      <c r="J79" s="33">
        <f ca="1">(IF(B67&gt;1.5,(H67/(B67+2)+J73+MAX(0,J74-J73)+MAX(0,J75-J74)+MAX(0,J76-J75)+MAX(0,J77-J76)+MAX(0,J78-J77)),IF(B67=1,(H67/(B67+3)+J78),IF(B67=0,H67/4+J78))))</f>
        <v>11</v>
      </c>
    </row>
    <row r="80" spans="1:10" ht="15.75" hidden="1" customHeight="1" x14ac:dyDescent="0.3">
      <c r="A80" s="134" t="s">
        <v>140</v>
      </c>
      <c r="B80" s="135"/>
      <c r="C80" s="136" t="e">
        <f>#REF!</f>
        <v>#REF!</v>
      </c>
      <c r="D80" s="137"/>
      <c r="E80" s="137"/>
      <c r="F80" s="137"/>
      <c r="G80" s="137"/>
      <c r="H80" s="138"/>
      <c r="I80" s="51" t="e">
        <f ca="1">IF(D93=100%,"All work Completed. Possession granted to the Building.",IF(D92=100%,"All work Completed, Waiting for OC",I81&amp;""&amp;I82&amp;""&amp;J81&amp;""&amp;J80&amp;" "&amp;J82))</f>
        <v>#REF!</v>
      </c>
      <c r="J80" s="52" t="e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#REF!</v>
      </c>
    </row>
    <row r="81" spans="1:10" hidden="1" x14ac:dyDescent="0.3">
      <c r="A81" s="17" t="s">
        <v>142</v>
      </c>
      <c r="B81" s="49">
        <f>IF(AND(ISNUMBER(SEARCH("1B",C80))),1,IF(AND(ISNUMBER(SEARCH("2B",C80))),2,IF(AND(ISNUMBER(SEARCH("3B",C80))),3,IF(AND(ISNUMBER(SEARCH("4B",C80))),4,IF(ISNUMBER(SEARCH("5B",C80)),5,0)))))</f>
        <v>0</v>
      </c>
      <c r="C81" s="49" t="s">
        <v>72</v>
      </c>
      <c r="D81" s="49">
        <v>1</v>
      </c>
      <c r="E81" s="49" t="s">
        <v>71</v>
      </c>
      <c r="F81" s="15">
        <v>0</v>
      </c>
      <c r="G81" s="50" t="s">
        <v>80</v>
      </c>
      <c r="H81" s="18" t="e">
        <f ca="1">--TRIM(RIGHT(SUBSTITUTE(LEFT(C80,_xlfn.AGGREGATE(16,6,FIND({0,1,2,3,4,5,6,7,8,9},C80,ROW(INDIRECT("1:"&amp;LEN(C80)))),1))," ",REPT(" ",LEN(C80))),LEN(C80)))</f>
        <v>#REF!</v>
      </c>
      <c r="I81" s="53" t="e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#REF!</v>
      </c>
      <c r="J81" s="54" t="e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>#REF!</v>
      </c>
    </row>
    <row r="82" spans="1:10" ht="33.75" hidden="1" customHeight="1" x14ac:dyDescent="0.3">
      <c r="A82" s="95" t="s">
        <v>90</v>
      </c>
      <c r="B82" s="96"/>
      <c r="C82" s="97" t="e">
        <f ca="1">(IF($G$53="NA",I80,"All work Completed. OC Received."))</f>
        <v>#REF!</v>
      </c>
      <c r="D82" s="97"/>
      <c r="E82" s="97"/>
      <c r="F82" s="97"/>
      <c r="G82" s="97"/>
      <c r="H82" s="98"/>
      <c r="I82" s="53" t="e">
        <f ca="1">IF(I81&lt;&gt;""," Completed","")</f>
        <v>#REF!</v>
      </c>
      <c r="J82" s="54" t="e">
        <f ca="1">IF(J80&lt;&gt;"","Completed","")</f>
        <v>#REF!</v>
      </c>
    </row>
    <row r="83" spans="1:10" ht="15.75" hidden="1" customHeight="1" x14ac:dyDescent="0.3">
      <c r="A83" s="99" t="s">
        <v>49</v>
      </c>
      <c r="B83" s="93"/>
      <c r="C83" s="45" t="s">
        <v>139</v>
      </c>
      <c r="D83" s="45" t="s">
        <v>83</v>
      </c>
      <c r="E83" s="93" t="s">
        <v>85</v>
      </c>
      <c r="F83" s="93"/>
      <c r="G83" s="93" t="s">
        <v>84</v>
      </c>
      <c r="H83" s="94"/>
      <c r="I83" s="14" t="s">
        <v>141</v>
      </c>
      <c r="J83" s="29" t="e">
        <f ca="1">H81*25%</f>
        <v>#REF!</v>
      </c>
    </row>
    <row r="84" spans="1:10" hidden="1" x14ac:dyDescent="0.3">
      <c r="A84" s="99" t="s">
        <v>128</v>
      </c>
      <c r="B84" s="93"/>
      <c r="C84" s="45" t="e">
        <f ca="1">J85</f>
        <v>#REF!</v>
      </c>
      <c r="D84" s="20" t="e">
        <f ca="1">((100/H81)*C84)/100</f>
        <v>#REF!</v>
      </c>
      <c r="E84" s="123" t="e">
        <f ca="1">(((C85/H81*10)+(40/(D81+F81+H81)*C86)+(7.5/(H81)*C87)+(7.5/(H81)*C88)+(10/H81*C89)+(10/H81*C90)+(5/H81*C91)+(5/H81*C92)+(5/H81*C93))/100)</f>
        <v>#REF!</v>
      </c>
      <c r="F84" s="169"/>
      <c r="G84" s="123" t="e">
        <f ca="1">((((C84/H81)*20)+((C85/H81)*25)+(30/(H81+F81+D81)*C86)+(5/H81*C87)+(5/H81*C88)+(5/H81*C89)+(5/H81*C90)+(0/H81*C91)+(0/H81*C92)+(5/H81*C93))/100)</f>
        <v>#REF!</v>
      </c>
      <c r="H84" s="124"/>
      <c r="I84" s="14" t="s">
        <v>100</v>
      </c>
      <c r="J84" s="30" t="e">
        <f ca="1">H81*50%</f>
        <v>#REF!</v>
      </c>
    </row>
    <row r="85" spans="1:10" hidden="1" x14ac:dyDescent="0.3">
      <c r="A85" s="99" t="s">
        <v>50</v>
      </c>
      <c r="B85" s="93"/>
      <c r="C85" s="55">
        <v>20</v>
      </c>
      <c r="D85" s="20" t="e">
        <f ca="1">((100/H81)*C85)/100</f>
        <v>#REF!</v>
      </c>
      <c r="E85" s="125"/>
      <c r="F85" s="170"/>
      <c r="G85" s="125"/>
      <c r="H85" s="126"/>
      <c r="I85" s="14" t="s">
        <v>101</v>
      </c>
      <c r="J85" s="30" t="e">
        <f ca="1">H81</f>
        <v>#REF!</v>
      </c>
    </row>
    <row r="86" spans="1:10" ht="15.75" hidden="1" customHeight="1" x14ac:dyDescent="0.3">
      <c r="A86" s="99" t="s">
        <v>129</v>
      </c>
      <c r="B86" s="93"/>
      <c r="C86" s="45">
        <v>0</v>
      </c>
      <c r="D86" s="20" t="e">
        <f ca="1">((100/(D81+F81+H81))*C86)/100</f>
        <v>#REF!</v>
      </c>
      <c r="E86" s="125"/>
      <c r="F86" s="170"/>
      <c r="G86" s="125"/>
      <c r="H86" s="126"/>
      <c r="I86" s="14" t="s">
        <v>102</v>
      </c>
      <c r="J86" s="31" t="e">
        <f ca="1">(IF(B81&gt;1,(H81/(B81+2)),H81/4))</f>
        <v>#REF!</v>
      </c>
    </row>
    <row r="87" spans="1:10" ht="15.75" hidden="1" customHeight="1" x14ac:dyDescent="0.3">
      <c r="A87" s="99" t="s">
        <v>136</v>
      </c>
      <c r="B87" s="93" t="s">
        <v>130</v>
      </c>
      <c r="C87" s="45">
        <v>0</v>
      </c>
      <c r="D87" s="20" t="e">
        <f ca="1">((100/H81)*C87)/100</f>
        <v>#REF!</v>
      </c>
      <c r="E87" s="125"/>
      <c r="F87" s="170"/>
      <c r="G87" s="125"/>
      <c r="H87" s="126"/>
      <c r="I87" s="14" t="s">
        <v>103</v>
      </c>
      <c r="J87" s="31" t="e">
        <f ca="1">(IF(B81&gt;1,(H81/(B81+2)+J86),H81/4+J86))</f>
        <v>#REF!</v>
      </c>
    </row>
    <row r="88" spans="1:10" ht="15.75" hidden="1" customHeight="1" x14ac:dyDescent="0.3">
      <c r="A88" s="99" t="s">
        <v>137</v>
      </c>
      <c r="B88" s="93" t="s">
        <v>130</v>
      </c>
      <c r="C88" s="45">
        <v>0</v>
      </c>
      <c r="D88" s="20" t="e">
        <f ca="1">((100/H81)*C88)/100</f>
        <v>#REF!</v>
      </c>
      <c r="E88" s="125"/>
      <c r="F88" s="170"/>
      <c r="G88" s="125"/>
      <c r="H88" s="126"/>
      <c r="I88" s="14" t="s">
        <v>146</v>
      </c>
      <c r="J88" s="31">
        <f>(IF(B81&gt;1,(H81/(B81+2)+J87),0))</f>
        <v>0</v>
      </c>
    </row>
    <row r="89" spans="1:10" ht="15" hidden="1" customHeight="1" x14ac:dyDescent="0.3">
      <c r="A89" s="99" t="s">
        <v>135</v>
      </c>
      <c r="B89" s="93" t="s">
        <v>132</v>
      </c>
      <c r="C89" s="45">
        <v>0</v>
      </c>
      <c r="D89" s="20" t="e">
        <f ca="1">((100/(H81))*C89)/100</f>
        <v>#REF!</v>
      </c>
      <c r="E89" s="125"/>
      <c r="F89" s="170"/>
      <c r="G89" s="125"/>
      <c r="H89" s="126"/>
      <c r="I89" s="14" t="s">
        <v>143</v>
      </c>
      <c r="J89" s="31">
        <f>(IF(B81&gt;2,(H81/(B81+2)+J88),0))</f>
        <v>0</v>
      </c>
    </row>
    <row r="90" spans="1:10" ht="15.75" hidden="1" customHeight="1" x14ac:dyDescent="0.3">
      <c r="A90" s="99" t="s">
        <v>131</v>
      </c>
      <c r="B90" s="93" t="s">
        <v>131</v>
      </c>
      <c r="C90" s="45">
        <v>0</v>
      </c>
      <c r="D90" s="20" t="e">
        <f ca="1">((100/H81)*C90)/100</f>
        <v>#REF!</v>
      </c>
      <c r="E90" s="125"/>
      <c r="F90" s="170"/>
      <c r="G90" s="125"/>
      <c r="H90" s="126"/>
      <c r="I90" s="14" t="s">
        <v>144</v>
      </c>
      <c r="J90" s="32">
        <f>(IF(B81&gt;3,(H81/(B81+2)+J89),0))</f>
        <v>0</v>
      </c>
    </row>
    <row r="91" spans="1:10" ht="15.75" hidden="1" customHeight="1" x14ac:dyDescent="0.3">
      <c r="A91" s="99" t="s">
        <v>138</v>
      </c>
      <c r="B91" s="93"/>
      <c r="C91" s="45">
        <v>0</v>
      </c>
      <c r="D91" s="20" t="e">
        <f ca="1">((100/H81)*C91)/100</f>
        <v>#REF!</v>
      </c>
      <c r="E91" s="125"/>
      <c r="F91" s="170"/>
      <c r="G91" s="125"/>
      <c r="H91" s="126"/>
      <c r="I91" s="14" t="s">
        <v>145</v>
      </c>
      <c r="J91" s="31">
        <f>(IF(B81&gt;4,(H81/(B81+2)+J90),0))</f>
        <v>0</v>
      </c>
    </row>
    <row r="92" spans="1:10" ht="15.75" hidden="1" customHeight="1" x14ac:dyDescent="0.3">
      <c r="A92" s="99" t="s">
        <v>133</v>
      </c>
      <c r="B92" s="93" t="s">
        <v>133</v>
      </c>
      <c r="C92" s="45">
        <v>0</v>
      </c>
      <c r="D92" s="20" t="e">
        <f ca="1">((100/(H81))*C92)/100</f>
        <v>#REF!</v>
      </c>
      <c r="E92" s="125"/>
      <c r="F92" s="170"/>
      <c r="G92" s="125"/>
      <c r="H92" s="126"/>
      <c r="I92" s="14" t="s">
        <v>147</v>
      </c>
      <c r="J92" s="31" t="e">
        <f ca="1">(IF(B81=1,(H81/(B81+3)+J87),IF(B81=0,(H81/4+J87),IF(B81&gt;1,0))))</f>
        <v>#REF!</v>
      </c>
    </row>
    <row r="93" spans="1:10" ht="16.2" hidden="1" thickBot="1" x14ac:dyDescent="0.35">
      <c r="A93" s="106" t="s">
        <v>134</v>
      </c>
      <c r="B93" s="107"/>
      <c r="C93" s="46">
        <v>0</v>
      </c>
      <c r="D93" s="21" t="e">
        <f ca="1">((100/(H81))*C93)/100</f>
        <v>#REF!</v>
      </c>
      <c r="E93" s="127"/>
      <c r="F93" s="171"/>
      <c r="G93" s="127"/>
      <c r="H93" s="128"/>
      <c r="I93" s="16" t="s">
        <v>104</v>
      </c>
      <c r="J93" s="33" t="e">
        <f ca="1">(IF(B81&gt;1.5,(H81/(B81+2)+J87+MAX(0,J88-J87)+MAX(0,J89-J88)+MAX(0,J90-J89)+MAX(0,J91-J90)+MAX(0,J92-J91)),IF(B81=1,(H81/(B81+3)+J92),IF(B81=0,H81/4+J92))))</f>
        <v>#REF!</v>
      </c>
    </row>
    <row r="94" spans="1:10" ht="15.75" hidden="1" customHeight="1" x14ac:dyDescent="0.3">
      <c r="A94" s="134" t="s">
        <v>140</v>
      </c>
      <c r="B94" s="135"/>
      <c r="C94" s="136" t="e">
        <f>#REF!</f>
        <v>#REF!</v>
      </c>
      <c r="D94" s="137"/>
      <c r="E94" s="137"/>
      <c r="F94" s="137"/>
      <c r="G94" s="137"/>
      <c r="H94" s="138"/>
      <c r="I94" s="51" t="e">
        <f ca="1">IF(D107=100%,"All work Completed. Possession granted to the Building.",IF(D106=100%,"All work Completed, Waiting for OC",I95&amp;""&amp;I96&amp;""&amp;J95&amp;""&amp;J94&amp;" "&amp;J96))</f>
        <v>#REF!</v>
      </c>
      <c r="J94" s="52" t="e">
        <f ca="1">(IF(C100=(D95+F95+H95),"",IF(C100&gt;0,", RCC upto "&amp;C100&amp;" Slab","")))&amp;(IF(C101=H95,"",IF(C101&gt;0,", Brickwork upto "&amp;C101&amp;" Floor","")))&amp;(IF(C102=H95,"",IF(C102&gt;0,", Internal Plaster upto "&amp;C102&amp;" Floor","")))&amp;(IF(C103=H95,"",IF(C103&gt;0,", External Plaster upto "&amp;C103&amp;" Floor","")))&amp;(IF(C104=H95,"",IF(C104&gt;0,", Flooring upto "&amp;C104&amp;" Floor","")))&amp;(IF(C105=H95,"",IF(C105&gt;0,", Painting upto "&amp;C105&amp;" Floor","")))&amp;(IF(C106=H95,"",IF(C106&gt;0,", Finishing upto "&amp;C106&amp;" Floor","")))&amp;(IF(C107=H95,"",IF(C107&gt;0,", Possession upto "&amp;C107&amp;" Floor","")))</f>
        <v>#REF!</v>
      </c>
    </row>
    <row r="95" spans="1:10" hidden="1" x14ac:dyDescent="0.3">
      <c r="A95" s="17" t="s">
        <v>142</v>
      </c>
      <c r="B95" s="49">
        <f>IF(AND(ISNUMBER(SEARCH("1B",C94))),1,IF(AND(ISNUMBER(SEARCH("2B",C94))),2,IF(AND(ISNUMBER(SEARCH("3B",C94))),3,IF(AND(ISNUMBER(SEARCH("4B",C94))),4,IF(ISNUMBER(SEARCH("5B",C94)),5,0)))))</f>
        <v>0</v>
      </c>
      <c r="C95" s="49" t="s">
        <v>72</v>
      </c>
      <c r="D95" s="49">
        <v>1</v>
      </c>
      <c r="E95" s="49" t="s">
        <v>71</v>
      </c>
      <c r="F95" s="15">
        <v>0</v>
      </c>
      <c r="G95" s="50" t="s">
        <v>80</v>
      </c>
      <c r="H95" s="18" t="e">
        <f ca="1">--TRIM(RIGHT(SUBSTITUTE(LEFT(C94,_xlfn.AGGREGATE(16,6,FIND({0,1,2,3,4,5,6,7,8,9},C94,ROW(INDIRECT("1:"&amp;LEN(C94)))),1))," ",REPT(" ",LEN(C94))),LEN(C94)))</f>
        <v>#REF!</v>
      </c>
      <c r="I95" s="53" t="e">
        <f ca="1">IF(D98=100%,"Excavation","")&amp;IF(D99=100%,", Plinth","")&amp;IF(D100=100%,", RCC Slab","")&amp;IF(D101=100%,", Brickwork","")&amp;IF(D102=100%,", Internal Plaster","")&amp;IF(D103=100%,", External Plaster","")&amp;IF(D104=100%,", Flooring","")&amp;IF(D105=100%,", Painting","")&amp;IF(D106=100%,", Building common Amenities","")</f>
        <v>#REF!</v>
      </c>
      <c r="J95" s="54" t="e">
        <f ca="1">(IF(C98=0,"Work not yet Started.",IF(D98=25%,"Piling work in process",IF(D98=50%,"Excavation work in process",IF(D98=100%,"","0")))))&amp;(IF(C99=0%,"",IF(C99=J100,", Footing work is process",IF(C99=J101,", Footing work Completed",IF(C99=J102,", 1st Basement Completed",IF(C99=J103,", 1st &amp; 2nd Basement Completed",IF(C99=J104,", 1st to 3rd Basement Completed",IF(C99=J105,", 1st to 4th Basement Completed",IF(C99=J106,", Plinth work is process",IF(C99=J107,"","0"))))))))))</f>
        <v>#REF!</v>
      </c>
    </row>
    <row r="96" spans="1:10" ht="33" hidden="1" customHeight="1" x14ac:dyDescent="0.3">
      <c r="A96" s="95" t="s">
        <v>90</v>
      </c>
      <c r="B96" s="96"/>
      <c r="C96" s="97" t="e">
        <f ca="1">(IF($G$53="NA",I94,"All work Completed. OC Received."))</f>
        <v>#REF!</v>
      </c>
      <c r="D96" s="97"/>
      <c r="E96" s="97"/>
      <c r="F96" s="97"/>
      <c r="G96" s="97"/>
      <c r="H96" s="98"/>
      <c r="I96" s="53" t="e">
        <f ca="1">IF(I95&lt;&gt;""," Completed","")</f>
        <v>#REF!</v>
      </c>
      <c r="J96" s="54" t="e">
        <f ca="1">IF(J94&lt;&gt;"","Completed","")</f>
        <v>#REF!</v>
      </c>
    </row>
    <row r="97" spans="1:10" ht="15.75" hidden="1" customHeight="1" x14ac:dyDescent="0.3">
      <c r="A97" s="99" t="s">
        <v>49</v>
      </c>
      <c r="B97" s="93"/>
      <c r="C97" s="45" t="s">
        <v>139</v>
      </c>
      <c r="D97" s="45" t="s">
        <v>83</v>
      </c>
      <c r="E97" s="93" t="s">
        <v>85</v>
      </c>
      <c r="F97" s="93"/>
      <c r="G97" s="93" t="s">
        <v>84</v>
      </c>
      <c r="H97" s="94"/>
      <c r="I97" s="14" t="s">
        <v>141</v>
      </c>
      <c r="J97" s="29" t="e">
        <f ca="1">H95*25%</f>
        <v>#REF!</v>
      </c>
    </row>
    <row r="98" spans="1:10" hidden="1" x14ac:dyDescent="0.3">
      <c r="A98" s="99" t="s">
        <v>128</v>
      </c>
      <c r="B98" s="93"/>
      <c r="C98" s="45" t="e">
        <f ca="1">J99</f>
        <v>#REF!</v>
      </c>
      <c r="D98" s="20" t="e">
        <f ca="1">((100/H95)*C98)/100</f>
        <v>#REF!</v>
      </c>
      <c r="E98" s="123" t="e">
        <f ca="1">(((C99/H95*10)+(40/(D95+F95+H95)*C100)+(7.5/(H95)*C101)+(7.5/(H95)*C102)+(10/H95*C103)+(10/H95*C104)+(5/H95*C105)+(5/H95*C106)+(5/H95*C107))/100)</f>
        <v>#REF!</v>
      </c>
      <c r="F98" s="169"/>
      <c r="G98" s="123" t="e">
        <f ca="1">((((C98/H95)*20)+((C99/H95)*25)+(30/(H95+F95+D95)*C100)+(5/H95*C101)+(5/H95*C102)+(5/H95*C103)+(5/H95*C104)+(0/H95*C105)+(0/H95*C106)+(5/H95*C107))/100)</f>
        <v>#REF!</v>
      </c>
      <c r="H98" s="124"/>
      <c r="I98" s="14" t="s">
        <v>100</v>
      </c>
      <c r="J98" s="30" t="e">
        <f ca="1">H95*50%</f>
        <v>#REF!</v>
      </c>
    </row>
    <row r="99" spans="1:10" hidden="1" x14ac:dyDescent="0.3">
      <c r="A99" s="99" t="s">
        <v>50</v>
      </c>
      <c r="B99" s="93"/>
      <c r="C99" s="45" t="e">
        <f ca="1">J107</f>
        <v>#REF!</v>
      </c>
      <c r="D99" s="20" t="e">
        <f ca="1">((100/H95)*C99)/100</f>
        <v>#REF!</v>
      </c>
      <c r="E99" s="125"/>
      <c r="F99" s="170"/>
      <c r="G99" s="125"/>
      <c r="H99" s="126"/>
      <c r="I99" s="14" t="s">
        <v>101</v>
      </c>
      <c r="J99" s="30" t="e">
        <f ca="1">H95</f>
        <v>#REF!</v>
      </c>
    </row>
    <row r="100" spans="1:10" ht="15.75" hidden="1" customHeight="1" x14ac:dyDescent="0.3">
      <c r="A100" s="99" t="s">
        <v>129</v>
      </c>
      <c r="B100" s="93"/>
      <c r="C100" s="45" t="e">
        <f ca="1">D95+H95</f>
        <v>#REF!</v>
      </c>
      <c r="D100" s="20" t="e">
        <f ca="1">((100/(D95+F95+H95))*C100)/100</f>
        <v>#REF!</v>
      </c>
      <c r="E100" s="125"/>
      <c r="F100" s="170"/>
      <c r="G100" s="125"/>
      <c r="H100" s="126"/>
      <c r="I100" s="14" t="s">
        <v>102</v>
      </c>
      <c r="J100" s="31" t="e">
        <f ca="1">(IF(B95&gt;1,(H95/(B95+2)),H95/4))</f>
        <v>#REF!</v>
      </c>
    </row>
    <row r="101" spans="1:10" ht="15.75" hidden="1" customHeight="1" x14ac:dyDescent="0.3">
      <c r="A101" s="99" t="s">
        <v>136</v>
      </c>
      <c r="B101" s="93" t="s">
        <v>130</v>
      </c>
      <c r="C101" s="45">
        <v>0</v>
      </c>
      <c r="D101" s="20" t="e">
        <f ca="1">((100/H95)*C101)/100</f>
        <v>#REF!</v>
      </c>
      <c r="E101" s="125"/>
      <c r="F101" s="170"/>
      <c r="G101" s="125"/>
      <c r="H101" s="126"/>
      <c r="I101" s="14" t="s">
        <v>103</v>
      </c>
      <c r="J101" s="31" t="e">
        <f ca="1">(IF(B95&gt;1,(H95/(B95+2)+J100),H95/4+J100))</f>
        <v>#REF!</v>
      </c>
    </row>
    <row r="102" spans="1:10" ht="15.75" hidden="1" customHeight="1" x14ac:dyDescent="0.3">
      <c r="A102" s="99" t="s">
        <v>137</v>
      </c>
      <c r="B102" s="93" t="s">
        <v>130</v>
      </c>
      <c r="C102" s="45">
        <v>0</v>
      </c>
      <c r="D102" s="20" t="e">
        <f ca="1">((100/H95)*C102)/100</f>
        <v>#REF!</v>
      </c>
      <c r="E102" s="125"/>
      <c r="F102" s="170"/>
      <c r="G102" s="125"/>
      <c r="H102" s="126"/>
      <c r="I102" s="14" t="s">
        <v>146</v>
      </c>
      <c r="J102" s="31">
        <f>(IF(B95&gt;1,(H95/(B95+2)+J101),0))</f>
        <v>0</v>
      </c>
    </row>
    <row r="103" spans="1:10" ht="15" hidden="1" customHeight="1" x14ac:dyDescent="0.3">
      <c r="A103" s="99" t="s">
        <v>135</v>
      </c>
      <c r="B103" s="93" t="s">
        <v>132</v>
      </c>
      <c r="C103" s="45">
        <v>0</v>
      </c>
      <c r="D103" s="20" t="e">
        <f ca="1">((100/(H95))*C103)/100</f>
        <v>#REF!</v>
      </c>
      <c r="E103" s="125"/>
      <c r="F103" s="170"/>
      <c r="G103" s="125"/>
      <c r="H103" s="126"/>
      <c r="I103" s="14" t="s">
        <v>143</v>
      </c>
      <c r="J103" s="31">
        <f>(IF(B95&gt;2,(H95/(B95+2)+J102),0))</f>
        <v>0</v>
      </c>
    </row>
    <row r="104" spans="1:10" ht="15.75" hidden="1" customHeight="1" x14ac:dyDescent="0.3">
      <c r="A104" s="99" t="s">
        <v>131</v>
      </c>
      <c r="B104" s="93" t="s">
        <v>131</v>
      </c>
      <c r="C104" s="45">
        <v>0</v>
      </c>
      <c r="D104" s="20" t="e">
        <f ca="1">((100/H95)*C104)/100</f>
        <v>#REF!</v>
      </c>
      <c r="E104" s="125"/>
      <c r="F104" s="170"/>
      <c r="G104" s="125"/>
      <c r="H104" s="126"/>
      <c r="I104" s="14" t="s">
        <v>144</v>
      </c>
      <c r="J104" s="32">
        <f>(IF(B95&gt;3,(H95/(B95+2)+J103),0))</f>
        <v>0</v>
      </c>
    </row>
    <row r="105" spans="1:10" ht="15.75" hidden="1" customHeight="1" x14ac:dyDescent="0.3">
      <c r="A105" s="99" t="s">
        <v>138</v>
      </c>
      <c r="B105" s="93"/>
      <c r="C105" s="45">
        <v>0</v>
      </c>
      <c r="D105" s="20" t="e">
        <f ca="1">((100/H95)*C105)/100</f>
        <v>#REF!</v>
      </c>
      <c r="E105" s="125"/>
      <c r="F105" s="170"/>
      <c r="G105" s="125"/>
      <c r="H105" s="126"/>
      <c r="I105" s="14" t="s">
        <v>145</v>
      </c>
      <c r="J105" s="31">
        <f>(IF(B95&gt;4,(H95/(B95+2)+J104),0))</f>
        <v>0</v>
      </c>
    </row>
    <row r="106" spans="1:10" ht="15.75" hidden="1" customHeight="1" x14ac:dyDescent="0.3">
      <c r="A106" s="99" t="s">
        <v>133</v>
      </c>
      <c r="B106" s="93" t="s">
        <v>133</v>
      </c>
      <c r="C106" s="45">
        <v>0</v>
      </c>
      <c r="D106" s="20" t="e">
        <f ca="1">((100/(H95))*C106)/100</f>
        <v>#REF!</v>
      </c>
      <c r="E106" s="125"/>
      <c r="F106" s="170"/>
      <c r="G106" s="125"/>
      <c r="H106" s="126"/>
      <c r="I106" s="14" t="s">
        <v>147</v>
      </c>
      <c r="J106" s="31" t="e">
        <f ca="1">(IF(B95=1,(H95/(B95+3)+J101),IF(B95=0,(H95/4+J101),IF(B95&gt;1,0))))</f>
        <v>#REF!</v>
      </c>
    </row>
    <row r="107" spans="1:10" ht="16.2" hidden="1" thickBot="1" x14ac:dyDescent="0.35">
      <c r="A107" s="106" t="s">
        <v>134</v>
      </c>
      <c r="B107" s="107"/>
      <c r="C107" s="46">
        <v>0</v>
      </c>
      <c r="D107" s="21" t="e">
        <f ca="1">((100/(H95))*C107)/100</f>
        <v>#REF!</v>
      </c>
      <c r="E107" s="127"/>
      <c r="F107" s="171"/>
      <c r="G107" s="127"/>
      <c r="H107" s="128"/>
      <c r="I107" s="16" t="s">
        <v>104</v>
      </c>
      <c r="J107" s="33" t="e">
        <f ca="1">(IF(B95&gt;1.5,(H95/(B95+2)+J101+MAX(0,J102-J101)+MAX(0,J103-J102)+MAX(0,J104-J103)+MAX(0,J105-J104)+MAX(0,J106-J105)),IF(B95=1,(H95/(B95+3)+J106),IF(B95=0,H95/4+J106))))</f>
        <v>#REF!</v>
      </c>
    </row>
    <row r="108" spans="1:10" x14ac:dyDescent="0.3">
      <c r="A108" s="105" t="s">
        <v>157</v>
      </c>
      <c r="B108" s="105"/>
      <c r="C108" s="105"/>
      <c r="D108" s="105"/>
      <c r="E108" s="105"/>
      <c r="F108" s="202" t="s">
        <v>161</v>
      </c>
      <c r="G108" s="202"/>
      <c r="H108" s="202"/>
    </row>
    <row r="109" spans="1:10" x14ac:dyDescent="0.3">
      <c r="A109" s="78" t="s">
        <v>159</v>
      </c>
      <c r="B109" s="78"/>
      <c r="C109" s="78"/>
      <c r="D109" s="78"/>
      <c r="E109" s="78"/>
      <c r="F109" s="86">
        <v>8500</v>
      </c>
      <c r="G109" s="86"/>
      <c r="H109" s="86"/>
      <c r="I109" s="60" t="s">
        <v>284</v>
      </c>
    </row>
    <row r="110" spans="1:10" x14ac:dyDescent="0.3">
      <c r="A110" s="78" t="s">
        <v>158</v>
      </c>
      <c r="B110" s="78"/>
      <c r="C110" s="78"/>
      <c r="D110" s="78"/>
      <c r="E110" s="78"/>
      <c r="F110" s="86">
        <v>15000</v>
      </c>
      <c r="G110" s="86"/>
      <c r="H110" s="86"/>
      <c r="I110" s="22" t="s">
        <v>285</v>
      </c>
    </row>
    <row r="111" spans="1:10" hidden="1" x14ac:dyDescent="0.3">
      <c r="A111" s="78" t="s">
        <v>160</v>
      </c>
      <c r="B111" s="78"/>
      <c r="C111" s="78"/>
      <c r="D111" s="78"/>
      <c r="E111" s="78"/>
      <c r="F111" s="86"/>
      <c r="G111" s="86"/>
      <c r="H111" s="86"/>
    </row>
    <row r="112" spans="1:10" s="34" customFormat="1" hidden="1" x14ac:dyDescent="0.25">
      <c r="A112" s="78" t="s">
        <v>176</v>
      </c>
      <c r="B112" s="78"/>
      <c r="C112" s="78"/>
      <c r="D112" s="78"/>
      <c r="E112" s="78"/>
      <c r="F112" s="86"/>
      <c r="G112" s="86"/>
      <c r="H112" s="86"/>
    </row>
    <row r="113" spans="1:8" s="34" customFormat="1" hidden="1" x14ac:dyDescent="0.25">
      <c r="A113" s="78" t="s">
        <v>95</v>
      </c>
      <c r="B113" s="78"/>
      <c r="C113" s="78"/>
      <c r="D113" s="78"/>
      <c r="E113" s="78"/>
      <c r="F113" s="86"/>
      <c r="G113" s="86"/>
      <c r="H113" s="86"/>
    </row>
    <row r="114" spans="1:8" s="34" customFormat="1" hidden="1" x14ac:dyDescent="0.25">
      <c r="A114" s="78" t="s">
        <v>96</v>
      </c>
      <c r="B114" s="78"/>
      <c r="C114" s="78"/>
      <c r="D114" s="78"/>
      <c r="E114" s="78"/>
      <c r="F114" s="86"/>
      <c r="G114" s="86"/>
      <c r="H114" s="86"/>
    </row>
    <row r="115" spans="1:8" s="34" customFormat="1" hidden="1" x14ac:dyDescent="0.25">
      <c r="A115" s="78" t="s">
        <v>162</v>
      </c>
      <c r="B115" s="78"/>
      <c r="C115" s="78"/>
      <c r="D115" s="78"/>
      <c r="E115" s="78"/>
      <c r="F115" s="86"/>
      <c r="G115" s="86"/>
      <c r="H115" s="86"/>
    </row>
    <row r="116" spans="1:8" s="34" customFormat="1" hidden="1" x14ac:dyDescent="0.25">
      <c r="A116" s="78" t="s">
        <v>97</v>
      </c>
      <c r="B116" s="78"/>
      <c r="C116" s="78"/>
      <c r="D116" s="78"/>
      <c r="E116" s="78"/>
      <c r="F116" s="86"/>
      <c r="G116" s="86"/>
      <c r="H116" s="86"/>
    </row>
    <row r="117" spans="1:8" s="34" customFormat="1" x14ac:dyDescent="0.25">
      <c r="A117" s="78" t="s">
        <v>286</v>
      </c>
      <c r="B117" s="78"/>
      <c r="C117" s="78"/>
      <c r="D117" s="78"/>
      <c r="E117" s="78"/>
      <c r="F117" s="86">
        <v>275000</v>
      </c>
      <c r="G117" s="86"/>
      <c r="H117" s="86"/>
    </row>
    <row r="118" spans="1:8" s="34" customFormat="1" x14ac:dyDescent="0.25">
      <c r="A118" s="78" t="s">
        <v>98</v>
      </c>
      <c r="B118" s="78"/>
      <c r="C118" s="78"/>
      <c r="D118" s="78"/>
      <c r="E118" s="78"/>
      <c r="F118" s="86">
        <v>80000</v>
      </c>
      <c r="G118" s="86"/>
      <c r="H118" s="86"/>
    </row>
    <row r="119" spans="1:8" s="34" customFormat="1" hidden="1" x14ac:dyDescent="0.25">
      <c r="A119" s="78" t="s">
        <v>99</v>
      </c>
      <c r="B119" s="78"/>
      <c r="C119" s="78"/>
      <c r="D119" s="78"/>
      <c r="E119" s="78"/>
      <c r="F119" s="86"/>
      <c r="G119" s="86"/>
      <c r="H119" s="86"/>
    </row>
    <row r="120" spans="1:8" x14ac:dyDescent="0.3">
      <c r="A120" s="78" t="s">
        <v>51</v>
      </c>
      <c r="B120" s="78"/>
      <c r="C120" s="78"/>
      <c r="D120" s="78"/>
      <c r="E120" s="78"/>
      <c r="F120" s="198">
        <v>500000</v>
      </c>
      <c r="G120" s="198"/>
      <c r="H120" s="198"/>
    </row>
    <row r="121" spans="1:8" s="35" customFormat="1" x14ac:dyDescent="0.3">
      <c r="A121" s="131" t="s">
        <v>52</v>
      </c>
      <c r="B121" s="131"/>
      <c r="C121" s="131"/>
      <c r="D121" s="131"/>
      <c r="E121" s="131"/>
      <c r="F121" s="86">
        <f>F109*0.8</f>
        <v>6800</v>
      </c>
      <c r="G121" s="86"/>
      <c r="H121" s="86"/>
    </row>
    <row r="122" spans="1:8" s="36" customFormat="1" ht="15.75" customHeight="1" x14ac:dyDescent="0.3">
      <c r="A122" s="101" t="s">
        <v>75</v>
      </c>
      <c r="B122" s="101"/>
      <c r="C122" s="101"/>
      <c r="D122" s="101"/>
      <c r="E122" s="101"/>
      <c r="F122" s="101"/>
      <c r="G122" s="101"/>
      <c r="H122" s="101"/>
    </row>
    <row r="123" spans="1:8" s="36" customFormat="1" ht="15.75" customHeight="1" x14ac:dyDescent="0.3">
      <c r="A123" s="129" t="s">
        <v>53</v>
      </c>
      <c r="B123" s="129"/>
      <c r="C123" s="88" t="s">
        <v>78</v>
      </c>
      <c r="D123" s="88"/>
      <c r="E123" s="104" t="s">
        <v>54</v>
      </c>
      <c r="F123" s="104"/>
      <c r="G123" s="129" t="s">
        <v>55</v>
      </c>
      <c r="H123" s="129"/>
    </row>
    <row r="124" spans="1:8" s="36" customFormat="1" x14ac:dyDescent="0.3">
      <c r="A124" s="81" t="s">
        <v>257</v>
      </c>
      <c r="B124" s="81"/>
      <c r="C124" s="85">
        <f>COUNT(D138:D143)+COUNT(D145:D153)</f>
        <v>15</v>
      </c>
      <c r="D124" s="82"/>
      <c r="E124" s="87">
        <f>SUM(D138:D143)+SUM(D145:D153)</f>
        <v>5357.1997440000005</v>
      </c>
      <c r="F124" s="83"/>
      <c r="G124" s="87">
        <f>SUM(F138:F143)+SUM(F145:F153)</f>
        <v>9653.9474303999996</v>
      </c>
      <c r="H124" s="83"/>
    </row>
    <row r="125" spans="1:8" s="36" customFormat="1" hidden="1" x14ac:dyDescent="0.3">
      <c r="A125" s="81"/>
      <c r="B125" s="81"/>
      <c r="C125" s="82"/>
      <c r="D125" s="82"/>
      <c r="E125" s="83"/>
      <c r="F125" s="83"/>
      <c r="G125" s="84"/>
      <c r="H125" s="84"/>
    </row>
    <row r="126" spans="1:8" s="36" customFormat="1" x14ac:dyDescent="0.3">
      <c r="A126" s="101" t="s">
        <v>150</v>
      </c>
      <c r="B126" s="101"/>
      <c r="C126" s="102">
        <f>SUM(C124:C125)</f>
        <v>15</v>
      </c>
      <c r="D126" s="88"/>
      <c r="E126" s="103">
        <f>SUM(E124:E125)</f>
        <v>5357.1997440000005</v>
      </c>
      <c r="F126" s="104"/>
      <c r="G126" s="129">
        <f>SUM(G124:G125)</f>
        <v>9653.9474303999996</v>
      </c>
      <c r="H126" s="129"/>
    </row>
    <row r="127" spans="1:8" s="36" customFormat="1" x14ac:dyDescent="0.3">
      <c r="A127" s="101" t="s">
        <v>70</v>
      </c>
      <c r="B127" s="101"/>
      <c r="C127" s="101"/>
      <c r="D127" s="101"/>
      <c r="E127" s="101"/>
      <c r="F127" s="101"/>
      <c r="G127" s="101"/>
      <c r="H127" s="101"/>
    </row>
    <row r="128" spans="1:8" s="36" customFormat="1" ht="15.75" customHeight="1" x14ac:dyDescent="0.3">
      <c r="A128" s="129" t="s">
        <v>53</v>
      </c>
      <c r="B128" s="129"/>
      <c r="C128" s="88" t="s">
        <v>78</v>
      </c>
      <c r="D128" s="88"/>
      <c r="E128" s="104" t="s">
        <v>54</v>
      </c>
      <c r="F128" s="104"/>
      <c r="G128" s="129" t="s">
        <v>55</v>
      </c>
      <c r="H128" s="129"/>
    </row>
    <row r="129" spans="1:14" s="36" customFormat="1" x14ac:dyDescent="0.3">
      <c r="A129" s="81" t="s">
        <v>277</v>
      </c>
      <c r="B129" s="81"/>
      <c r="C129" s="85">
        <f>COUNT(D159:D168)+COUNT(D170:D179)+COUNT(D181:D190)+COUNT(D192:D201)+COUNT(D203:D205,D207:D212)+COUNT(D214:D222)+COUNT(D224:D232)+COUNT(D234:D242)+COUNT(D244:D251)</f>
        <v>84</v>
      </c>
      <c r="D129" s="82"/>
      <c r="E129" s="87">
        <f>SUM(D159:D168)+SUM(D170:D179)+SUM(D181:D190)+SUM(D192:D201)+SUM(D203:D205,D207:D212)+SUM(D214:D222)+SUM(D224:D232)+SUM(D234:D242)+SUM(D244:D251)</f>
        <v>54008.765576999991</v>
      </c>
      <c r="F129" s="83"/>
      <c r="G129" s="87">
        <f>SUM(F159:F168)+SUM(F170:F179)+SUM(F181:F190)+SUM(F192:F201)+SUM(F203:F205,F207:F212)+SUM(F214:F222)+SUM(F224:F232)+SUM(F234:F242)+SUM(F244:F251)</f>
        <v>81118.527925500021</v>
      </c>
      <c r="H129" s="83"/>
    </row>
    <row r="130" spans="1:14" s="36" customFormat="1" hidden="1" x14ac:dyDescent="0.3">
      <c r="A130" s="81"/>
      <c r="B130" s="81"/>
      <c r="C130" s="82"/>
      <c r="D130" s="82"/>
      <c r="E130" s="83"/>
      <c r="F130" s="83"/>
      <c r="G130" s="84"/>
      <c r="H130" s="84"/>
    </row>
    <row r="131" spans="1:14" s="36" customFormat="1" ht="16.2" thickBot="1" x14ac:dyDescent="0.35">
      <c r="A131" s="89" t="s">
        <v>150</v>
      </c>
      <c r="B131" s="89"/>
      <c r="C131" s="188">
        <f>SUM(C129:C130)</f>
        <v>84</v>
      </c>
      <c r="D131" s="189"/>
      <c r="E131" s="90">
        <f>SUM(E129:E130)</f>
        <v>54008.765576999991</v>
      </c>
      <c r="F131" s="91"/>
      <c r="G131" s="100">
        <f>SUM(G129:G130)</f>
        <v>81118.527925500021</v>
      </c>
      <c r="H131" s="100"/>
    </row>
    <row r="132" spans="1:14" s="36" customFormat="1" ht="16.2" thickBot="1" x14ac:dyDescent="0.35">
      <c r="A132" s="190" t="s">
        <v>168</v>
      </c>
      <c r="B132" s="191"/>
      <c r="C132" s="192">
        <f>C126+C131</f>
        <v>99</v>
      </c>
      <c r="D132" s="192"/>
      <c r="E132" s="193">
        <f>E126+E131</f>
        <v>59365.965320999989</v>
      </c>
      <c r="F132" s="193"/>
      <c r="G132" s="194">
        <f>G126+G131</f>
        <v>90772.475355900024</v>
      </c>
      <c r="H132" s="195"/>
    </row>
    <row r="133" spans="1:14" s="35" customFormat="1" x14ac:dyDescent="0.3">
      <c r="A133" s="202" t="s">
        <v>56</v>
      </c>
      <c r="B133" s="202"/>
      <c r="C133" s="202"/>
      <c r="D133" s="202"/>
      <c r="E133" s="202"/>
      <c r="F133" s="202"/>
      <c r="G133" s="202"/>
      <c r="H133" s="202"/>
    </row>
    <row r="134" spans="1:14" x14ac:dyDescent="0.3">
      <c r="A134" s="185" t="s">
        <v>175</v>
      </c>
      <c r="B134" s="185"/>
      <c r="C134" s="185"/>
      <c r="D134" s="185"/>
      <c r="E134" s="185"/>
      <c r="F134" s="185"/>
      <c r="G134" s="185"/>
      <c r="H134" s="185"/>
    </row>
    <row r="135" spans="1:14" ht="47.25" customHeight="1" x14ac:dyDescent="0.3">
      <c r="A135" s="79" t="s">
        <v>119</v>
      </c>
      <c r="B135" s="79" t="s">
        <v>177</v>
      </c>
      <c r="C135" s="79" t="s">
        <v>57</v>
      </c>
      <c r="D135" s="79" t="s">
        <v>58</v>
      </c>
      <c r="E135" s="139" t="s">
        <v>156</v>
      </c>
      <c r="F135" s="44" t="s">
        <v>149</v>
      </c>
      <c r="G135" s="141" t="s">
        <v>60</v>
      </c>
      <c r="H135" s="142"/>
    </row>
    <row r="136" spans="1:14" s="38" customFormat="1" x14ac:dyDescent="0.3">
      <c r="A136" s="80"/>
      <c r="B136" s="80"/>
      <c r="C136" s="80"/>
      <c r="D136" s="80"/>
      <c r="E136" s="140"/>
      <c r="F136" s="13">
        <v>0.6</v>
      </c>
      <c r="G136" s="143"/>
      <c r="H136" s="144"/>
    </row>
    <row r="137" spans="1:14" s="38" customFormat="1" ht="33.75" customHeight="1" x14ac:dyDescent="0.3">
      <c r="A137" s="71" t="s">
        <v>258</v>
      </c>
      <c r="B137" s="72"/>
      <c r="C137" s="72"/>
      <c r="D137" s="72"/>
      <c r="E137" s="72"/>
      <c r="F137" s="72"/>
      <c r="G137" s="72"/>
      <c r="H137" s="73"/>
      <c r="J137" s="37"/>
    </row>
    <row r="138" spans="1:14" s="38" customFormat="1" ht="15.75" customHeight="1" x14ac:dyDescent="0.3">
      <c r="A138" s="65">
        <v>1</v>
      </c>
      <c r="B138" s="66"/>
      <c r="C138" s="43" t="s">
        <v>257</v>
      </c>
      <c r="D138" s="43">
        <f>(30.94)*10.764</f>
        <v>333.03816</v>
      </c>
      <c r="E138" s="43">
        <f>(3.4*3)*10.764</f>
        <v>109.79279999999999</v>
      </c>
      <c r="F138" s="43">
        <f>(D138+E138)*(($F$136)+1)</f>
        <v>708.52953600000001</v>
      </c>
      <c r="G138" s="67" t="str">
        <f>A137</f>
        <v>Ground Floor Commercial, Entrance Lobby, Society Office, Meter Room, Fire Control Room, Driver Room &amp; Parking</v>
      </c>
      <c r="H138" s="68"/>
      <c r="I138" s="37">
        <f>3.4*7.8+2.4*1.3</f>
        <v>29.64</v>
      </c>
      <c r="J138" s="58">
        <v>10.763999999999999</v>
      </c>
      <c r="L138" s="74"/>
      <c r="M138" s="74"/>
      <c r="N138" s="37"/>
    </row>
    <row r="139" spans="1:14" s="38" customFormat="1" ht="15.75" customHeight="1" x14ac:dyDescent="0.3">
      <c r="A139" s="65">
        <f t="shared" ref="A139:A143" si="0">A138+1</f>
        <v>2</v>
      </c>
      <c r="B139" s="66"/>
      <c r="C139" s="43" t="s">
        <v>257</v>
      </c>
      <c r="D139" s="43">
        <f>(31.941)*10.764</f>
        <v>343.81292399999995</v>
      </c>
      <c r="E139" s="43">
        <f>(3.51*3)*10.764</f>
        <v>113.34491999999999</v>
      </c>
      <c r="F139" s="43">
        <f t="shared" ref="F139:F141" si="1">(D139+E139)*(($F$136)+1)</f>
        <v>731.45255039999995</v>
      </c>
      <c r="G139" s="69"/>
      <c r="H139" s="70"/>
      <c r="I139" s="37">
        <f>3.51*7.8+2.51*1.3</f>
        <v>30.640999999999998</v>
      </c>
      <c r="L139" s="74"/>
      <c r="M139" s="74"/>
      <c r="N139" s="37"/>
    </row>
    <row r="140" spans="1:14" s="38" customFormat="1" ht="15.75" customHeight="1" x14ac:dyDescent="0.3">
      <c r="A140" s="65">
        <f t="shared" si="0"/>
        <v>3</v>
      </c>
      <c r="B140" s="66"/>
      <c r="C140" s="43" t="s">
        <v>257</v>
      </c>
      <c r="D140" s="43">
        <f>(31.941)*10.764</f>
        <v>343.81292399999995</v>
      </c>
      <c r="E140" s="43">
        <f>(3.51*3)*10.764</f>
        <v>113.34491999999999</v>
      </c>
      <c r="F140" s="43">
        <f t="shared" si="1"/>
        <v>731.45255039999995</v>
      </c>
      <c r="G140" s="69"/>
      <c r="H140" s="70"/>
      <c r="I140" s="37"/>
      <c r="L140" s="74"/>
      <c r="M140" s="74"/>
      <c r="N140" s="37"/>
    </row>
    <row r="141" spans="1:14" s="38" customFormat="1" ht="15.75" customHeight="1" x14ac:dyDescent="0.3">
      <c r="A141" s="65">
        <f t="shared" si="0"/>
        <v>4</v>
      </c>
      <c r="B141" s="66"/>
      <c r="C141" s="43" t="s">
        <v>257</v>
      </c>
      <c r="D141" s="43">
        <f>(31.577)*10.764</f>
        <v>339.89482800000002</v>
      </c>
      <c r="E141" s="43">
        <f>(3.47*3)*10.764</f>
        <v>112.05323999999999</v>
      </c>
      <c r="F141" s="43">
        <f t="shared" si="1"/>
        <v>723.11690880000015</v>
      </c>
      <c r="G141" s="69"/>
      <c r="H141" s="70"/>
      <c r="I141" s="37"/>
      <c r="L141" s="74"/>
      <c r="M141" s="74"/>
      <c r="N141" s="37"/>
    </row>
    <row r="142" spans="1:14" s="38" customFormat="1" ht="15.75" customHeight="1" x14ac:dyDescent="0.3">
      <c r="A142" s="65">
        <f t="shared" si="0"/>
        <v>5</v>
      </c>
      <c r="B142" s="66"/>
      <c r="C142" s="43" t="s">
        <v>257</v>
      </c>
      <c r="D142" s="43">
        <f>(31.941)*10.764</f>
        <v>343.81292399999995</v>
      </c>
      <c r="E142" s="43">
        <f>(3.51*3)*10.764</f>
        <v>113.34491999999999</v>
      </c>
      <c r="F142" s="43">
        <f t="shared" ref="F142:F143" si="2">(D142+E142)*(($F$136)+1)</f>
        <v>731.45255039999995</v>
      </c>
      <c r="G142" s="69"/>
      <c r="H142" s="70"/>
      <c r="I142" s="37"/>
      <c r="L142" s="74"/>
      <c r="M142" s="74"/>
      <c r="N142" s="37"/>
    </row>
    <row r="143" spans="1:14" s="38" customFormat="1" ht="15.75" customHeight="1" x14ac:dyDescent="0.3">
      <c r="A143" s="65">
        <f t="shared" si="0"/>
        <v>6</v>
      </c>
      <c r="B143" s="66"/>
      <c r="C143" s="43" t="s">
        <v>257</v>
      </c>
      <c r="D143" s="43">
        <f>(32.305)*10.764</f>
        <v>347.73102</v>
      </c>
      <c r="E143" s="43">
        <f>(3.55*3)*10.764</f>
        <v>114.63659999999997</v>
      </c>
      <c r="F143" s="43">
        <f t="shared" si="2"/>
        <v>739.78819199999998</v>
      </c>
      <c r="G143" s="75"/>
      <c r="H143" s="76"/>
      <c r="I143" s="37"/>
      <c r="L143" s="74"/>
      <c r="M143" s="74"/>
      <c r="N143" s="37"/>
    </row>
    <row r="144" spans="1:14" s="38" customFormat="1" x14ac:dyDescent="0.3">
      <c r="A144" s="71" t="s">
        <v>259</v>
      </c>
      <c r="B144" s="72"/>
      <c r="C144" s="72"/>
      <c r="D144" s="72"/>
      <c r="E144" s="72"/>
      <c r="F144" s="72"/>
      <c r="G144" s="72"/>
      <c r="H144" s="73"/>
      <c r="J144" s="37"/>
    </row>
    <row r="145" spans="1:14" s="38" customFormat="1" ht="15.75" customHeight="1" x14ac:dyDescent="0.3">
      <c r="A145" s="65">
        <v>1</v>
      </c>
      <c r="B145" s="66"/>
      <c r="C145" s="43" t="s">
        <v>257</v>
      </c>
      <c r="D145" s="43">
        <f>(46.071)*10.764</f>
        <v>495.90824399999997</v>
      </c>
      <c r="E145" s="43">
        <v>0</v>
      </c>
      <c r="F145" s="43">
        <f>(D145+E145)*(($F$136)+1)</f>
        <v>793.45319040000004</v>
      </c>
      <c r="G145" s="67" t="str">
        <f>A144</f>
        <v>1st Floor For Commercial &amp; Parking</v>
      </c>
      <c r="H145" s="68"/>
      <c r="I145" s="37"/>
      <c r="J145" s="58">
        <v>10.763999999999999</v>
      </c>
      <c r="L145" s="74"/>
      <c r="M145" s="74"/>
      <c r="N145" s="37"/>
    </row>
    <row r="146" spans="1:14" s="38" customFormat="1" ht="15.75" customHeight="1" x14ac:dyDescent="0.3">
      <c r="A146" s="65">
        <f t="shared" ref="A146:A153" si="3">A145+1</f>
        <v>2</v>
      </c>
      <c r="B146" s="66"/>
      <c r="C146" s="43" t="s">
        <v>257</v>
      </c>
      <c r="D146" s="43">
        <f>(56.753)*10.764</f>
        <v>610.88929199999995</v>
      </c>
      <c r="E146" s="43">
        <v>0</v>
      </c>
      <c r="F146" s="43">
        <f t="shared" ref="F146:F150" si="4">(D146+E146)*(($F$136)+1)</f>
        <v>977.42286719999993</v>
      </c>
      <c r="G146" s="69"/>
      <c r="H146" s="70"/>
      <c r="I146" s="37"/>
      <c r="L146" s="74"/>
      <c r="M146" s="74"/>
      <c r="N146" s="37"/>
    </row>
    <row r="147" spans="1:14" s="38" customFormat="1" ht="15.75" customHeight="1" x14ac:dyDescent="0.3">
      <c r="A147" s="65">
        <f t="shared" si="3"/>
        <v>3</v>
      </c>
      <c r="B147" s="66"/>
      <c r="C147" s="43" t="s">
        <v>257</v>
      </c>
      <c r="D147" s="43">
        <f>(50.392)*10.764</f>
        <v>542.419488</v>
      </c>
      <c r="E147" s="43">
        <v>0</v>
      </c>
      <c r="F147" s="43">
        <f t="shared" si="4"/>
        <v>867.87118080000005</v>
      </c>
      <c r="G147" s="69"/>
      <c r="H147" s="70"/>
      <c r="I147" s="37"/>
      <c r="L147" s="74"/>
      <c r="M147" s="74"/>
      <c r="N147" s="37"/>
    </row>
    <row r="148" spans="1:14" s="38" customFormat="1" ht="15.75" customHeight="1" x14ac:dyDescent="0.3">
      <c r="A148" s="65">
        <f t="shared" si="3"/>
        <v>4</v>
      </c>
      <c r="B148" s="66"/>
      <c r="C148" s="43" t="s">
        <v>257</v>
      </c>
      <c r="D148" s="43">
        <f>(26.065)*10.764</f>
        <v>280.56365999999997</v>
      </c>
      <c r="E148" s="43">
        <v>0</v>
      </c>
      <c r="F148" s="43">
        <f t="shared" si="4"/>
        <v>448.90185599999995</v>
      </c>
      <c r="G148" s="69"/>
      <c r="H148" s="70"/>
      <c r="I148" s="37"/>
      <c r="L148" s="74"/>
      <c r="M148" s="74"/>
      <c r="N148" s="37"/>
    </row>
    <row r="149" spans="1:14" s="38" customFormat="1" ht="15.75" customHeight="1" x14ac:dyDescent="0.3">
      <c r="A149" s="65">
        <f t="shared" si="3"/>
        <v>5</v>
      </c>
      <c r="B149" s="66"/>
      <c r="C149" s="43" t="s">
        <v>257</v>
      </c>
      <c r="D149" s="43">
        <f>(25.773)*10.764</f>
        <v>277.42057199999999</v>
      </c>
      <c r="E149" s="43">
        <v>0</v>
      </c>
      <c r="F149" s="43">
        <f t="shared" si="4"/>
        <v>443.87291520000002</v>
      </c>
      <c r="G149" s="69"/>
      <c r="H149" s="70"/>
      <c r="I149" s="37"/>
      <c r="L149" s="74"/>
      <c r="M149" s="74"/>
      <c r="N149" s="37"/>
    </row>
    <row r="150" spans="1:14" s="38" customFormat="1" ht="15.75" customHeight="1" x14ac:dyDescent="0.3">
      <c r="A150" s="65">
        <f t="shared" si="3"/>
        <v>6</v>
      </c>
      <c r="B150" s="66"/>
      <c r="C150" s="43" t="s">
        <v>257</v>
      </c>
      <c r="D150" s="43">
        <f>(25.481)*10.764</f>
        <v>274.27748400000002</v>
      </c>
      <c r="E150" s="43">
        <v>0</v>
      </c>
      <c r="F150" s="43">
        <f t="shared" si="4"/>
        <v>438.84397440000004</v>
      </c>
      <c r="G150" s="69"/>
      <c r="H150" s="70"/>
      <c r="I150" s="37"/>
      <c r="L150" s="74"/>
      <c r="M150" s="74"/>
      <c r="N150" s="37"/>
    </row>
    <row r="151" spans="1:14" s="38" customFormat="1" ht="15.75" customHeight="1" x14ac:dyDescent="0.3">
      <c r="A151" s="65">
        <f t="shared" si="3"/>
        <v>7</v>
      </c>
      <c r="B151" s="66"/>
      <c r="C151" s="43" t="s">
        <v>257</v>
      </c>
      <c r="D151" s="43">
        <f>(25.773)*10.764</f>
        <v>277.42057199999999</v>
      </c>
      <c r="E151" s="43">
        <v>0</v>
      </c>
      <c r="F151" s="43">
        <f t="shared" ref="F151:F153" si="5">(D151+E151)*(($F$136)+1)</f>
        <v>443.87291520000002</v>
      </c>
      <c r="G151" s="69"/>
      <c r="H151" s="70"/>
      <c r="I151" s="37"/>
      <c r="L151" s="74"/>
      <c r="M151" s="74"/>
      <c r="N151" s="37"/>
    </row>
    <row r="152" spans="1:14" s="38" customFormat="1" ht="15.75" customHeight="1" x14ac:dyDescent="0.3">
      <c r="A152" s="65">
        <f t="shared" si="3"/>
        <v>8</v>
      </c>
      <c r="B152" s="66"/>
      <c r="C152" s="43" t="s">
        <v>257</v>
      </c>
      <c r="D152" s="43">
        <f>(25.773)*10.764</f>
        <v>277.42057199999999</v>
      </c>
      <c r="E152" s="43">
        <v>0</v>
      </c>
      <c r="F152" s="43">
        <f t="shared" si="5"/>
        <v>443.87291520000002</v>
      </c>
      <c r="G152" s="69"/>
      <c r="H152" s="70"/>
      <c r="I152" s="37"/>
      <c r="L152" s="74"/>
      <c r="M152" s="74"/>
      <c r="N152" s="37"/>
    </row>
    <row r="153" spans="1:14" s="38" customFormat="1" ht="15.75" customHeight="1" x14ac:dyDescent="0.3">
      <c r="A153" s="65">
        <f t="shared" si="3"/>
        <v>9</v>
      </c>
      <c r="B153" s="66"/>
      <c r="C153" s="43" t="s">
        <v>257</v>
      </c>
      <c r="D153" s="43">
        <f>(24.97)*10.764</f>
        <v>268.77707999999996</v>
      </c>
      <c r="E153" s="43">
        <v>0</v>
      </c>
      <c r="F153" s="43">
        <f t="shared" si="5"/>
        <v>430.04332799999997</v>
      </c>
      <c r="G153" s="75"/>
      <c r="H153" s="76"/>
      <c r="I153" s="37"/>
      <c r="L153" s="74"/>
      <c r="M153" s="74"/>
      <c r="N153" s="37"/>
    </row>
    <row r="154" spans="1:14" s="38" customFormat="1" x14ac:dyDescent="0.3">
      <c r="A154" s="65"/>
      <c r="B154" s="77"/>
      <c r="C154" s="77"/>
      <c r="D154" s="77"/>
      <c r="E154" s="77"/>
      <c r="F154" s="77"/>
      <c r="G154" s="77"/>
      <c r="H154" s="66"/>
      <c r="I154" s="37"/>
      <c r="N154" s="37"/>
    </row>
    <row r="155" spans="1:14" ht="47.25" customHeight="1" x14ac:dyDescent="0.3">
      <c r="A155" s="141" t="s">
        <v>120</v>
      </c>
      <c r="B155" s="79" t="s">
        <v>178</v>
      </c>
      <c r="C155" s="79" t="s">
        <v>57</v>
      </c>
      <c r="D155" s="79" t="s">
        <v>58</v>
      </c>
      <c r="E155" s="139" t="s">
        <v>59</v>
      </c>
      <c r="F155" s="44" t="s">
        <v>149</v>
      </c>
      <c r="G155" s="141" t="s">
        <v>60</v>
      </c>
      <c r="H155" s="142"/>
      <c r="I155" s="37"/>
    </row>
    <row r="156" spans="1:14" s="38" customFormat="1" x14ac:dyDescent="0.3">
      <c r="A156" s="143"/>
      <c r="B156" s="80"/>
      <c r="C156" s="80"/>
      <c r="D156" s="80"/>
      <c r="E156" s="140"/>
      <c r="F156" s="13">
        <v>0.5</v>
      </c>
      <c r="G156" s="143"/>
      <c r="H156" s="144"/>
      <c r="I156" s="37"/>
    </row>
    <row r="157" spans="1:14" s="38" customFormat="1" x14ac:dyDescent="0.3">
      <c r="A157" s="71" t="s">
        <v>260</v>
      </c>
      <c r="B157" s="72"/>
      <c r="C157" s="72"/>
      <c r="D157" s="72"/>
      <c r="E157" s="72"/>
      <c r="F157" s="72"/>
      <c r="G157" s="72"/>
      <c r="H157" s="73"/>
      <c r="J157" s="37"/>
    </row>
    <row r="158" spans="1:14" s="38" customFormat="1" x14ac:dyDescent="0.3">
      <c r="A158" s="71" t="s">
        <v>261</v>
      </c>
      <c r="B158" s="72"/>
      <c r="C158" s="72"/>
      <c r="D158" s="72"/>
      <c r="E158" s="72"/>
      <c r="F158" s="72"/>
      <c r="G158" s="72"/>
      <c r="H158" s="73"/>
      <c r="J158" s="37"/>
    </row>
    <row r="159" spans="1:14" s="38" customFormat="1" ht="15.75" customHeight="1" x14ac:dyDescent="0.3">
      <c r="A159" s="65">
        <v>101</v>
      </c>
      <c r="B159" s="66"/>
      <c r="C159" s="43" t="s">
        <v>262</v>
      </c>
      <c r="D159" s="43">
        <f>(42.14+3.15*1+(2.25+3.06))*10.764</f>
        <v>544.65840000000003</v>
      </c>
      <c r="E159" s="43">
        <v>0</v>
      </c>
      <c r="F159" s="43">
        <f>D159*(($F$156)+1)+(IF(E159&lt;101,E159,IF(E159&lt;201,E159/2,IF(E159&lt;=301,E159/3,E159/4))))</f>
        <v>816.98760000000004</v>
      </c>
      <c r="G159" s="67" t="str">
        <f>A158</f>
        <v>3rd Floor For Residential</v>
      </c>
      <c r="H159" s="68"/>
      <c r="I159" s="37">
        <f>3.2*4.9+2.1*2.8+2.81*3.8+1.2*2.1+2.1*1.2+1.2*1.5+0.9*0.9</f>
        <v>39.888000000000005</v>
      </c>
      <c r="J159" s="38">
        <f>3.15*1</f>
        <v>3.15</v>
      </c>
      <c r="L159" s="63">
        <f>8500*F159</f>
        <v>6944394.6000000006</v>
      </c>
      <c r="M159" s="63"/>
      <c r="N159" s="37"/>
    </row>
    <row r="160" spans="1:14" s="38" customFormat="1" ht="15.75" customHeight="1" x14ac:dyDescent="0.3">
      <c r="A160" s="65">
        <v>102</v>
      </c>
      <c r="B160" s="66"/>
      <c r="C160" s="43" t="s">
        <v>263</v>
      </c>
      <c r="D160" s="43">
        <f>(77.702+3.46*1)*10.764</f>
        <v>873.62776799999983</v>
      </c>
      <c r="E160" s="43">
        <v>0</v>
      </c>
      <c r="F160" s="43">
        <f>D160*(($F$156)+1)+(IF(E160&lt;101,E160,IF(E160&lt;201,E160/2,IF(E160&lt;=301,E160/3,E160/4))))</f>
        <v>1310.4416519999997</v>
      </c>
      <c r="G160" s="69"/>
      <c r="H160" s="70"/>
      <c r="I160" s="37"/>
      <c r="L160" s="63">
        <f t="shared" ref="L160:L168" si="6">8500*F160</f>
        <v>11138754.041999998</v>
      </c>
      <c r="M160" s="63"/>
      <c r="N160" s="37"/>
    </row>
    <row r="161" spans="1:14" s="38" customFormat="1" ht="15.75" customHeight="1" x14ac:dyDescent="0.3">
      <c r="A161" s="65">
        <v>103</v>
      </c>
      <c r="B161" s="66"/>
      <c r="C161" s="43" t="s">
        <v>262</v>
      </c>
      <c r="D161" s="43">
        <f>(37.348+3.275*1.35+(2.85+2.25))*10.764</f>
        <v>504.500607</v>
      </c>
      <c r="E161" s="43">
        <v>0</v>
      </c>
      <c r="F161" s="43">
        <f>D161*(($F$156)+1)+(IF(E161&lt;101,E161,IF(E161&lt;201,E161/2,IF(E161&lt;=301,E161/3,E161/4))))</f>
        <v>756.75091050000003</v>
      </c>
      <c r="G161" s="69"/>
      <c r="H161" s="70"/>
      <c r="I161" s="37"/>
      <c r="L161" s="63">
        <f t="shared" si="6"/>
        <v>6432382.7392500006</v>
      </c>
      <c r="M161" s="63"/>
      <c r="N161" s="37"/>
    </row>
    <row r="162" spans="1:14" s="38" customFormat="1" ht="15.75" customHeight="1" x14ac:dyDescent="0.3">
      <c r="A162" s="65">
        <v>104</v>
      </c>
      <c r="B162" s="66"/>
      <c r="C162" s="43" t="s">
        <v>262</v>
      </c>
      <c r="D162" s="43">
        <f>(37.413+3.275*1.35+(2.35+2.9))*10.764</f>
        <v>506.81486699999994</v>
      </c>
      <c r="E162" s="43">
        <v>0</v>
      </c>
      <c r="F162" s="43">
        <f>D162*(($F$156)+1)+(IF(E162&lt;101,E162,IF(E162&lt;201,E162/2,IF(E162&lt;=301,E162/3,E162/4))))</f>
        <v>760.22230049999985</v>
      </c>
      <c r="G162" s="69"/>
      <c r="H162" s="70"/>
      <c r="I162" s="37"/>
      <c r="L162" s="63">
        <f t="shared" si="6"/>
        <v>6461889.5542499991</v>
      </c>
      <c r="M162" s="63"/>
      <c r="N162" s="37"/>
    </row>
    <row r="163" spans="1:14" s="38" customFormat="1" ht="15.75" customHeight="1" x14ac:dyDescent="0.3">
      <c r="A163" s="65">
        <v>105</v>
      </c>
      <c r="B163" s="66"/>
      <c r="C163" s="43" t="s">
        <v>264</v>
      </c>
      <c r="D163" s="43">
        <f>(50.455+2.05*1.2+(2.15*1.29+2.8*1.29))*10.764</f>
        <v>638.31058199999995</v>
      </c>
      <c r="E163" s="43">
        <v>0</v>
      </c>
      <c r="F163" s="43">
        <f t="shared" ref="F163:F164" si="7">D163*(($F$156)+1)+(IF(E163&lt;101,E163,IF(E163&lt;201,E163/2,IF(E163&lt;=301,E163/3,E163/4))))</f>
        <v>957.46587299999987</v>
      </c>
      <c r="G163" s="69"/>
      <c r="H163" s="70"/>
      <c r="I163" s="37"/>
      <c r="L163" s="63">
        <f t="shared" si="6"/>
        <v>8138459.9204999991</v>
      </c>
      <c r="N163" s="37"/>
    </row>
    <row r="164" spans="1:14" s="38" customFormat="1" ht="15.75" customHeight="1" x14ac:dyDescent="0.3">
      <c r="A164" s="65">
        <v>106</v>
      </c>
      <c r="B164" s="66"/>
      <c r="C164" s="43" t="s">
        <v>264</v>
      </c>
      <c r="D164" s="43">
        <f>(63.582+2.275*1.5)*10.764</f>
        <v>721.12879799999996</v>
      </c>
      <c r="E164" s="43">
        <v>0</v>
      </c>
      <c r="F164" s="43">
        <f t="shared" si="7"/>
        <v>1081.6931970000001</v>
      </c>
      <c r="G164" s="69"/>
      <c r="H164" s="70"/>
      <c r="I164" s="37"/>
      <c r="L164" s="63">
        <f t="shared" si="6"/>
        <v>9194392.1744999997</v>
      </c>
      <c r="N164" s="37"/>
    </row>
    <row r="165" spans="1:14" s="38" customFormat="1" ht="15.75" customHeight="1" x14ac:dyDescent="0.3">
      <c r="A165" s="65">
        <v>107</v>
      </c>
      <c r="B165" s="66"/>
      <c r="C165" s="43" t="s">
        <v>264</v>
      </c>
      <c r="D165" s="43">
        <f>(63.582+2.275*1.5)*10.764</f>
        <v>721.12879799999996</v>
      </c>
      <c r="E165" s="43">
        <v>0</v>
      </c>
      <c r="F165" s="43">
        <f>D165*(($F$156)+1)+(IF(E165&lt;101,E165,IF(E165&lt;201,E165/2,IF(E165&lt;=301,E165/3,E165/4))))</f>
        <v>1081.6931970000001</v>
      </c>
      <c r="G165" s="69"/>
      <c r="H165" s="70"/>
      <c r="I165" s="37"/>
      <c r="L165" s="63">
        <f t="shared" si="6"/>
        <v>9194392.1744999997</v>
      </c>
      <c r="N165" s="37"/>
    </row>
    <row r="166" spans="1:14" s="38" customFormat="1" ht="15.75" customHeight="1" x14ac:dyDescent="0.3">
      <c r="A166" s="65">
        <v>108</v>
      </c>
      <c r="B166" s="66"/>
      <c r="C166" s="43" t="s">
        <v>264</v>
      </c>
      <c r="D166" s="43">
        <f>(47.875+2.05*1.2)*10.764</f>
        <v>541.80593999999996</v>
      </c>
      <c r="E166" s="43">
        <v>0</v>
      </c>
      <c r="F166" s="43">
        <f>D166*(($F$156)+1)+(IF(E166&lt;101,E166,IF(E166&lt;201,E166/2,IF(E166&lt;=301,E166/3,E166/4))))</f>
        <v>812.70890999999995</v>
      </c>
      <c r="G166" s="69"/>
      <c r="H166" s="70"/>
      <c r="I166" s="37"/>
      <c r="K166" s="38">
        <f>7700000/F166</f>
        <v>9474.4869968264538</v>
      </c>
      <c r="L166" s="63">
        <f t="shared" si="6"/>
        <v>6908025.7349999994</v>
      </c>
      <c r="N166" s="37"/>
    </row>
    <row r="167" spans="1:14" s="38" customFormat="1" ht="15.75" customHeight="1" x14ac:dyDescent="0.3">
      <c r="A167" s="65">
        <v>109</v>
      </c>
      <c r="B167" s="66"/>
      <c r="C167" s="43" t="s">
        <v>262</v>
      </c>
      <c r="D167" s="43">
        <f>(39.193)*10.764</f>
        <v>421.87345199999993</v>
      </c>
      <c r="E167" s="43">
        <v>0</v>
      </c>
      <c r="F167" s="43">
        <f>D167*(($F$156)+1)+(IF(E167&lt;101,E167,IF(E167&lt;201,E167/2,IF(E167&lt;=301,E167/3,E167/4))))</f>
        <v>632.81017799999995</v>
      </c>
      <c r="G167" s="69"/>
      <c r="H167" s="70"/>
      <c r="I167" s="37"/>
      <c r="K167" s="38">
        <f>6450000/F167</f>
        <v>10192.62999274958</v>
      </c>
      <c r="L167" s="63">
        <f t="shared" si="6"/>
        <v>5378886.5129999993</v>
      </c>
      <c r="N167" s="37"/>
    </row>
    <row r="168" spans="1:14" s="38" customFormat="1" ht="15.75" customHeight="1" x14ac:dyDescent="0.3">
      <c r="A168" s="65">
        <v>110</v>
      </c>
      <c r="B168" s="66"/>
      <c r="C168" s="43" t="s">
        <v>264</v>
      </c>
      <c r="D168" s="43">
        <f>(57.41+2.85*1+2*1.35+(2.25+3))*10.764</f>
        <v>734.21244000000002</v>
      </c>
      <c r="E168" s="43">
        <v>0</v>
      </c>
      <c r="F168" s="43">
        <f>D168*(($F$156)+1)+(IF(E168&lt;101,E168,IF(E168&lt;201,E168/2,IF(E168&lt;=301,E168/3,E168/4))))</f>
        <v>1101.3186599999999</v>
      </c>
      <c r="G168" s="75"/>
      <c r="H168" s="76"/>
      <c r="I168" s="37">
        <f>4.2*3.45+1.15*2.25+3.15*2+3.15*2.85+4.75*2.75+1.2*2.1+2.1*1.2+0.9*3.3+0.5*1.2</f>
        <v>54.027500000000011</v>
      </c>
      <c r="J168" s="38">
        <f>2.85*1+2*1.35</f>
        <v>5.5500000000000007</v>
      </c>
      <c r="L168" s="63">
        <f t="shared" si="6"/>
        <v>9361208.6099999994</v>
      </c>
      <c r="N168" s="37"/>
    </row>
    <row r="169" spans="1:14" s="38" customFormat="1" x14ac:dyDescent="0.3">
      <c r="A169" s="71" t="s">
        <v>265</v>
      </c>
      <c r="B169" s="72"/>
      <c r="C169" s="72"/>
      <c r="D169" s="72"/>
      <c r="E169" s="72"/>
      <c r="F169" s="72"/>
      <c r="G169" s="72"/>
      <c r="H169" s="73"/>
      <c r="J169" s="37"/>
    </row>
    <row r="170" spans="1:14" s="38" customFormat="1" x14ac:dyDescent="0.3">
      <c r="A170" s="65">
        <v>201</v>
      </c>
      <c r="B170" s="66"/>
      <c r="C170" s="43" t="s">
        <v>262</v>
      </c>
      <c r="D170" s="43">
        <f>(42.14+3.15*1+(2.25+3.06))*10.764</f>
        <v>544.65840000000003</v>
      </c>
      <c r="E170" s="43">
        <v>0</v>
      </c>
      <c r="F170" s="43">
        <f>D170*(($F$156)+1)+(IF(E170&lt;101,E170,IF(E170&lt;201,E170/2,IF(E170&lt;=301,E170/3,E170/4))))</f>
        <v>816.98760000000004</v>
      </c>
      <c r="G170" s="67" t="str">
        <f>A169</f>
        <v>4th Floor</v>
      </c>
      <c r="H170" s="68"/>
      <c r="I170" s="37">
        <f>3.2*4.9+2.1*2.8+2.81*3.8+1.2*2.1+2.1*1.2+1.2*1.5+0.9*0.9</f>
        <v>39.888000000000005</v>
      </c>
      <c r="J170" s="38">
        <f>3.15*1</f>
        <v>3.15</v>
      </c>
      <c r="L170" s="74"/>
      <c r="M170" s="74"/>
      <c r="N170" s="37"/>
    </row>
    <row r="171" spans="1:14" s="38" customFormat="1" x14ac:dyDescent="0.3">
      <c r="A171" s="65">
        <v>202</v>
      </c>
      <c r="B171" s="66"/>
      <c r="C171" s="43" t="s">
        <v>263</v>
      </c>
      <c r="D171" s="43">
        <f>(78.204+3.46*1)*10.764</f>
        <v>879.03129599999977</v>
      </c>
      <c r="E171" s="43">
        <v>0</v>
      </c>
      <c r="F171" s="43">
        <f>D171*(($F$156)+1)+(IF(E171&lt;101,E171,IF(E171&lt;201,E171/2,IF(E171&lt;=301,E171/3,E171/4))))</f>
        <v>1318.5469439999997</v>
      </c>
      <c r="G171" s="69" t="str">
        <f t="shared" ref="G171:G173" si="8">G170</f>
        <v>4th Floor</v>
      </c>
      <c r="H171" s="70"/>
      <c r="I171" s="37"/>
      <c r="L171" s="74"/>
      <c r="M171" s="74"/>
      <c r="N171" s="37"/>
    </row>
    <row r="172" spans="1:14" s="38" customFormat="1" x14ac:dyDescent="0.3">
      <c r="A172" s="65">
        <v>203</v>
      </c>
      <c r="B172" s="66"/>
      <c r="C172" s="43" t="s">
        <v>262</v>
      </c>
      <c r="D172" s="43">
        <f>(37.348+3.275*1.35+(2.85+2.25))*10.764</f>
        <v>504.500607</v>
      </c>
      <c r="E172" s="43">
        <v>0</v>
      </c>
      <c r="F172" s="43">
        <f>D172*(($F$156)+1)+(IF(E172&lt;101,E172,IF(E172&lt;201,E172/2,IF(E172&lt;=301,E172/3,E172/4))))</f>
        <v>756.75091050000003</v>
      </c>
      <c r="G172" s="69" t="str">
        <f t="shared" si="8"/>
        <v>4th Floor</v>
      </c>
      <c r="H172" s="70"/>
      <c r="I172" s="37"/>
      <c r="L172" s="74"/>
      <c r="M172" s="74"/>
      <c r="N172" s="37"/>
    </row>
    <row r="173" spans="1:14" s="38" customFormat="1" x14ac:dyDescent="0.3">
      <c r="A173" s="65">
        <v>204</v>
      </c>
      <c r="B173" s="66"/>
      <c r="C173" s="43" t="s">
        <v>262</v>
      </c>
      <c r="D173" s="43">
        <f>(37.413+3.275*1.35+(2.35+2.9))*10.764</f>
        <v>506.81486699999994</v>
      </c>
      <c r="E173" s="43">
        <v>0</v>
      </c>
      <c r="F173" s="43">
        <f>D173*(($F$156)+1)+(IF(E173&lt;101,E173,IF(E173&lt;201,E173/2,IF(E173&lt;=301,E173/3,E173/4))))</f>
        <v>760.22230049999985</v>
      </c>
      <c r="G173" s="69" t="str">
        <f t="shared" si="8"/>
        <v>4th Floor</v>
      </c>
      <c r="H173" s="70"/>
      <c r="I173" s="37"/>
      <c r="L173" s="74"/>
      <c r="M173" s="74"/>
      <c r="N173" s="37"/>
    </row>
    <row r="174" spans="1:14" s="38" customFormat="1" x14ac:dyDescent="0.3">
      <c r="A174" s="65">
        <v>205</v>
      </c>
      <c r="B174" s="66"/>
      <c r="C174" s="43" t="s">
        <v>264</v>
      </c>
      <c r="D174" s="43">
        <f>(50.48+2.05*1.2+(2.15*1.29+2.8*1.29))*10.764</f>
        <v>638.57968199999993</v>
      </c>
      <c r="E174" s="43">
        <v>0</v>
      </c>
      <c r="F174" s="43">
        <f t="shared" ref="F174:F175" si="9">D174*(($F$156)+1)+(IF(E174&lt;101,E174,IF(E174&lt;201,E174/2,IF(E174&lt;=301,E174/3,E174/4))))</f>
        <v>957.86952299999984</v>
      </c>
      <c r="G174" s="69" t="str">
        <f t="shared" ref="G174:G179" si="10">G173</f>
        <v>4th Floor</v>
      </c>
      <c r="H174" s="70"/>
      <c r="I174" s="37"/>
      <c r="N174" s="37"/>
    </row>
    <row r="175" spans="1:14" s="38" customFormat="1" x14ac:dyDescent="0.3">
      <c r="A175" s="65">
        <v>206</v>
      </c>
      <c r="B175" s="66"/>
      <c r="C175" s="43" t="s">
        <v>264</v>
      </c>
      <c r="D175" s="43">
        <f>(63.582+2.275*1.5)*10.764</f>
        <v>721.12879799999996</v>
      </c>
      <c r="E175" s="43">
        <v>0</v>
      </c>
      <c r="F175" s="43">
        <f t="shared" si="9"/>
        <v>1081.6931970000001</v>
      </c>
      <c r="G175" s="69" t="str">
        <f t="shared" si="10"/>
        <v>4th Floor</v>
      </c>
      <c r="H175" s="70"/>
      <c r="I175" s="37"/>
      <c r="N175" s="37"/>
    </row>
    <row r="176" spans="1:14" s="38" customFormat="1" x14ac:dyDescent="0.3">
      <c r="A176" s="65">
        <v>207</v>
      </c>
      <c r="B176" s="66"/>
      <c r="C176" s="43" t="s">
        <v>264</v>
      </c>
      <c r="D176" s="43">
        <f>(63.582+2.275*1.5)*10.764</f>
        <v>721.12879799999996</v>
      </c>
      <c r="E176" s="43">
        <v>0</v>
      </c>
      <c r="F176" s="43">
        <f>D176*(($F$156)+1)+(IF(E176&lt;101,E176,IF(E176&lt;201,E176/2,IF(E176&lt;=301,E176/3,E176/4))))</f>
        <v>1081.6931970000001</v>
      </c>
      <c r="G176" s="69" t="str">
        <f t="shared" si="10"/>
        <v>4th Floor</v>
      </c>
      <c r="H176" s="70"/>
      <c r="I176" s="37"/>
      <c r="N176" s="37"/>
    </row>
    <row r="177" spans="1:14" s="38" customFormat="1" x14ac:dyDescent="0.3">
      <c r="A177" s="65">
        <v>208</v>
      </c>
      <c r="B177" s="66"/>
      <c r="C177" s="43" t="s">
        <v>264</v>
      </c>
      <c r="D177" s="43">
        <f>(47.875+2.05*1.2)*10.764</f>
        <v>541.80593999999996</v>
      </c>
      <c r="E177" s="43">
        <v>0</v>
      </c>
      <c r="F177" s="43">
        <f>D177*(($F$156)+1)+(IF(E177&lt;101,E177,IF(E177&lt;201,E177/2,IF(E177&lt;=301,E177/3,E177/4))))</f>
        <v>812.70890999999995</v>
      </c>
      <c r="G177" s="69" t="str">
        <f t="shared" si="10"/>
        <v>4th Floor</v>
      </c>
      <c r="H177" s="70"/>
      <c r="I177" s="37"/>
      <c r="N177" s="37"/>
    </row>
    <row r="178" spans="1:14" s="38" customFormat="1" x14ac:dyDescent="0.3">
      <c r="A178" s="65">
        <v>209</v>
      </c>
      <c r="B178" s="66"/>
      <c r="C178" s="43" t="s">
        <v>262</v>
      </c>
      <c r="D178" s="43">
        <f>(39.868+3.225*1.35)*10.764</f>
        <v>476.00291699999997</v>
      </c>
      <c r="E178" s="43">
        <v>0</v>
      </c>
      <c r="F178" s="43">
        <f>D178*(($F$156)+1)+(IF(E178&lt;101,E178,IF(E178&lt;201,E178/2,IF(E178&lt;=301,E178/3,E178/4))))</f>
        <v>714.00437549999992</v>
      </c>
      <c r="G178" s="69" t="str">
        <f t="shared" si="10"/>
        <v>4th Floor</v>
      </c>
      <c r="H178" s="70"/>
      <c r="I178" s="37"/>
      <c r="N178" s="37"/>
    </row>
    <row r="179" spans="1:14" s="38" customFormat="1" x14ac:dyDescent="0.3">
      <c r="A179" s="65">
        <v>210</v>
      </c>
      <c r="B179" s="66"/>
      <c r="C179" s="43" t="s">
        <v>264</v>
      </c>
      <c r="D179" s="43">
        <f>(57.41+2.85*1+1.925*1.35+(2.25+3))*10.764</f>
        <v>733.12258499999996</v>
      </c>
      <c r="E179" s="43">
        <v>0</v>
      </c>
      <c r="F179" s="43">
        <f>D179*(($F$156)+1)+(IF(E179&lt;101,E179,IF(E179&lt;201,E179/2,IF(E179&lt;=301,E179/3,E179/4))))</f>
        <v>1099.6838774999999</v>
      </c>
      <c r="G179" s="75" t="str">
        <f t="shared" si="10"/>
        <v>4th Floor</v>
      </c>
      <c r="H179" s="76"/>
      <c r="I179" s="37">
        <f>4.2*3.45+1.15*2.25+3.15*2+3.15*2.85+4.75*2.75+1.2*2.1+2.1*1.2+0.9*3.3+0.5*1.2</f>
        <v>54.027500000000011</v>
      </c>
      <c r="J179" s="38">
        <f>2.85*1+2*1.35</f>
        <v>5.5500000000000007</v>
      </c>
      <c r="N179" s="37"/>
    </row>
    <row r="180" spans="1:14" s="38" customFormat="1" x14ac:dyDescent="0.3">
      <c r="A180" s="71" t="s">
        <v>266</v>
      </c>
      <c r="B180" s="72"/>
      <c r="C180" s="72"/>
      <c r="D180" s="72"/>
      <c r="E180" s="72"/>
      <c r="F180" s="72"/>
      <c r="G180" s="72"/>
      <c r="H180" s="73"/>
      <c r="J180" s="37"/>
    </row>
    <row r="181" spans="1:14" s="38" customFormat="1" x14ac:dyDescent="0.3">
      <c r="A181" s="65">
        <v>301</v>
      </c>
      <c r="B181" s="66"/>
      <c r="C181" s="43" t="s">
        <v>262</v>
      </c>
      <c r="D181" s="43">
        <f>(42.14+3.15*1+(2.25+3.06))*10.764</f>
        <v>544.65840000000003</v>
      </c>
      <c r="E181" s="43">
        <v>0</v>
      </c>
      <c r="F181" s="43">
        <f>D181*(($F$156)+1)+(IF(E181&lt;101,E181,IF(E181&lt;201,E181/2,IF(E181&lt;=301,E181/3,E181/4))))</f>
        <v>816.98760000000004</v>
      </c>
      <c r="G181" s="67" t="str">
        <f>A180</f>
        <v>5th Floor</v>
      </c>
      <c r="H181" s="68"/>
      <c r="I181" s="37">
        <f>3.2*4.9+2.1*2.8+2.81*3.8+1.2*2.1+2.1*1.2+1.2*1.5+0.9*0.9</f>
        <v>39.888000000000005</v>
      </c>
      <c r="J181" s="38">
        <f>3.15*1</f>
        <v>3.15</v>
      </c>
      <c r="L181" s="74"/>
      <c r="M181" s="74"/>
      <c r="N181" s="37"/>
    </row>
    <row r="182" spans="1:14" s="38" customFormat="1" x14ac:dyDescent="0.3">
      <c r="A182" s="65">
        <v>302</v>
      </c>
      <c r="B182" s="66"/>
      <c r="C182" s="43" t="s">
        <v>263</v>
      </c>
      <c r="D182" s="43">
        <f>(77.702+3.46*1)*10.764</f>
        <v>873.62776799999983</v>
      </c>
      <c r="E182" s="43">
        <v>0</v>
      </c>
      <c r="F182" s="43">
        <f>D182*(($F$156)+1)+(IF(E182&lt;101,E182,IF(E182&lt;201,E182/2,IF(E182&lt;=301,E182/3,E182/4))))</f>
        <v>1310.4416519999997</v>
      </c>
      <c r="G182" s="69" t="str">
        <f t="shared" ref="G182:G184" si="11">G181</f>
        <v>5th Floor</v>
      </c>
      <c r="H182" s="70"/>
      <c r="I182" s="37"/>
      <c r="L182" s="74"/>
      <c r="M182" s="74"/>
      <c r="N182" s="37"/>
    </row>
    <row r="183" spans="1:14" s="38" customFormat="1" x14ac:dyDescent="0.3">
      <c r="A183" s="65">
        <v>303</v>
      </c>
      <c r="B183" s="66"/>
      <c r="C183" s="43" t="s">
        <v>262</v>
      </c>
      <c r="D183" s="43">
        <f>(37.348+3.275*1.35+(2.85+2.25))*10.764</f>
        <v>504.500607</v>
      </c>
      <c r="E183" s="43">
        <v>0</v>
      </c>
      <c r="F183" s="43">
        <f>D183*(($F$156)+1)+(IF(E183&lt;101,E183,IF(E183&lt;201,E183/2,IF(E183&lt;=301,E183/3,E183/4))))</f>
        <v>756.75091050000003</v>
      </c>
      <c r="G183" s="69" t="str">
        <f t="shared" si="11"/>
        <v>5th Floor</v>
      </c>
      <c r="H183" s="70"/>
      <c r="I183" s="37"/>
      <c r="L183" s="74"/>
      <c r="M183" s="74"/>
      <c r="N183" s="37"/>
    </row>
    <row r="184" spans="1:14" s="38" customFormat="1" x14ac:dyDescent="0.3">
      <c r="A184" s="65">
        <v>304</v>
      </c>
      <c r="B184" s="66"/>
      <c r="C184" s="43" t="s">
        <v>262</v>
      </c>
      <c r="D184" s="43">
        <f>(37.413+3.275*1.35+(2.35+2.9))*10.764</f>
        <v>506.81486699999994</v>
      </c>
      <c r="E184" s="43">
        <v>0</v>
      </c>
      <c r="F184" s="43">
        <f>D184*(($F$156)+1)+(IF(E184&lt;101,E184,IF(E184&lt;201,E184/2,IF(E184&lt;=301,E184/3,E184/4))))</f>
        <v>760.22230049999985</v>
      </c>
      <c r="G184" s="69" t="str">
        <f t="shared" si="11"/>
        <v>5th Floor</v>
      </c>
      <c r="H184" s="70"/>
      <c r="I184" s="37"/>
      <c r="L184" s="74"/>
      <c r="M184" s="74"/>
      <c r="N184" s="37"/>
    </row>
    <row r="185" spans="1:14" s="38" customFormat="1" x14ac:dyDescent="0.3">
      <c r="A185" s="65">
        <v>305</v>
      </c>
      <c r="B185" s="66"/>
      <c r="C185" s="43" t="s">
        <v>264</v>
      </c>
      <c r="D185" s="43">
        <f>(50.455+2.05*1.2+(2.15*1.29+2.8*1.29))*10.764</f>
        <v>638.31058199999995</v>
      </c>
      <c r="E185" s="43">
        <v>0</v>
      </c>
      <c r="F185" s="43">
        <f t="shared" ref="F185:F186" si="12">D185*(($F$156)+1)+(IF(E185&lt;101,E185,IF(E185&lt;201,E185/2,IF(E185&lt;=301,E185/3,E185/4))))</f>
        <v>957.46587299999987</v>
      </c>
      <c r="G185" s="69" t="str">
        <f t="shared" ref="G185:G190" si="13">G184</f>
        <v>5th Floor</v>
      </c>
      <c r="H185" s="70"/>
      <c r="I185" s="37"/>
      <c r="N185" s="37"/>
    </row>
    <row r="186" spans="1:14" s="38" customFormat="1" x14ac:dyDescent="0.3">
      <c r="A186" s="65">
        <v>306</v>
      </c>
      <c r="B186" s="66"/>
      <c r="C186" s="43" t="s">
        <v>264</v>
      </c>
      <c r="D186" s="43">
        <f>(63.582+2.275*1.5)*10.764</f>
        <v>721.12879799999996</v>
      </c>
      <c r="E186" s="43">
        <v>0</v>
      </c>
      <c r="F186" s="43">
        <f t="shared" si="12"/>
        <v>1081.6931970000001</v>
      </c>
      <c r="G186" s="69" t="str">
        <f t="shared" si="13"/>
        <v>5th Floor</v>
      </c>
      <c r="H186" s="70"/>
      <c r="I186" s="37"/>
      <c r="N186" s="37"/>
    </row>
    <row r="187" spans="1:14" s="38" customFormat="1" x14ac:dyDescent="0.3">
      <c r="A187" s="65">
        <v>307</v>
      </c>
      <c r="B187" s="66"/>
      <c r="C187" s="43" t="s">
        <v>264</v>
      </c>
      <c r="D187" s="43">
        <f>(63.582+2.275*1.5)*10.764</f>
        <v>721.12879799999996</v>
      </c>
      <c r="E187" s="43">
        <v>0</v>
      </c>
      <c r="F187" s="43">
        <f>D187*(($F$156)+1)+(IF(E187&lt;101,E187,IF(E187&lt;201,E187/2,IF(E187&lt;=301,E187/3,E187/4))))</f>
        <v>1081.6931970000001</v>
      </c>
      <c r="G187" s="69" t="str">
        <f t="shared" si="13"/>
        <v>5th Floor</v>
      </c>
      <c r="H187" s="70"/>
      <c r="I187" s="37"/>
      <c r="N187" s="37"/>
    </row>
    <row r="188" spans="1:14" s="38" customFormat="1" x14ac:dyDescent="0.3">
      <c r="A188" s="65">
        <v>308</v>
      </c>
      <c r="B188" s="66"/>
      <c r="C188" s="43" t="s">
        <v>264</v>
      </c>
      <c r="D188" s="43">
        <f>(47.875+2.05*1.2)*10.764</f>
        <v>541.80593999999996</v>
      </c>
      <c r="E188" s="43">
        <v>0</v>
      </c>
      <c r="F188" s="43">
        <f>D188*(($F$156)+1)+(IF(E188&lt;101,E188,IF(E188&lt;201,E188/2,IF(E188&lt;=301,E188/3,E188/4))))</f>
        <v>812.70890999999995</v>
      </c>
      <c r="G188" s="69" t="str">
        <f t="shared" si="13"/>
        <v>5th Floor</v>
      </c>
      <c r="H188" s="70"/>
      <c r="I188" s="37"/>
      <c r="N188" s="37"/>
    </row>
    <row r="189" spans="1:14" s="38" customFormat="1" x14ac:dyDescent="0.3">
      <c r="A189" s="65">
        <v>309</v>
      </c>
      <c r="B189" s="66"/>
      <c r="C189" s="43" t="s">
        <v>262</v>
      </c>
      <c r="D189" s="43">
        <f>(39.868+3.225*1.35)*10.764</f>
        <v>476.00291699999997</v>
      </c>
      <c r="E189" s="43">
        <v>0</v>
      </c>
      <c r="F189" s="43">
        <f>D189*(($F$156)+1)+(IF(E189&lt;101,E189,IF(E189&lt;201,E189/2,IF(E189&lt;=301,E189/3,E189/4))))</f>
        <v>714.00437549999992</v>
      </c>
      <c r="G189" s="69" t="str">
        <f t="shared" si="13"/>
        <v>5th Floor</v>
      </c>
      <c r="H189" s="70"/>
      <c r="I189" s="37"/>
      <c r="N189" s="37"/>
    </row>
    <row r="190" spans="1:14" s="38" customFormat="1" x14ac:dyDescent="0.3">
      <c r="A190" s="65">
        <v>310</v>
      </c>
      <c r="B190" s="66"/>
      <c r="C190" s="43" t="s">
        <v>264</v>
      </c>
      <c r="D190" s="43">
        <f>(55.52+2.85*1+1.925*1.35+(2.25+3))*10.764</f>
        <v>712.77862499999992</v>
      </c>
      <c r="E190" s="43">
        <v>0</v>
      </c>
      <c r="F190" s="43">
        <f>D190*(($F$156)+1)+(IF(E190&lt;101,E190,IF(E190&lt;201,E190/2,IF(E190&lt;=301,E190/3,E190/4))))</f>
        <v>1069.1679374999999</v>
      </c>
      <c r="G190" s="75" t="str">
        <f t="shared" si="13"/>
        <v>5th Floor</v>
      </c>
      <c r="H190" s="76"/>
      <c r="I190" s="37">
        <f>4.2*3.45+1.15*2.25+3.15*2+3.15*2.85+4.75*2.75+1.2*2.1+2.1*1.2+0.9*3.3+0.5*1.2</f>
        <v>54.027500000000011</v>
      </c>
      <c r="J190" s="38">
        <f>2.85*1+2*1.35</f>
        <v>5.5500000000000007</v>
      </c>
      <c r="N190" s="37"/>
    </row>
    <row r="191" spans="1:14" s="38" customFormat="1" x14ac:dyDescent="0.3">
      <c r="A191" s="71" t="s">
        <v>267</v>
      </c>
      <c r="B191" s="72"/>
      <c r="C191" s="72"/>
      <c r="D191" s="72"/>
      <c r="E191" s="72"/>
      <c r="F191" s="72"/>
      <c r="G191" s="72"/>
      <c r="H191" s="73"/>
      <c r="J191" s="37"/>
    </row>
    <row r="192" spans="1:14" s="38" customFormat="1" x14ac:dyDescent="0.3">
      <c r="A192" s="65">
        <v>401</v>
      </c>
      <c r="B192" s="66"/>
      <c r="C192" s="43" t="s">
        <v>262</v>
      </c>
      <c r="D192" s="43">
        <f>(42.14+3.15*1+(2.25+3.06))*10.764</f>
        <v>544.65840000000003</v>
      </c>
      <c r="E192" s="43">
        <v>0</v>
      </c>
      <c r="F192" s="43">
        <f>D192*(($F$156)+1)+(IF(E192&lt;101,E192,IF(E192&lt;201,E192/2,IF(E192&lt;=301,E192/3,E192/4))))</f>
        <v>816.98760000000004</v>
      </c>
      <c r="G192" s="67" t="str">
        <f>A191</f>
        <v>6th Floor</v>
      </c>
      <c r="H192" s="68"/>
      <c r="I192" s="37">
        <f>3.2*4.9+2.1*2.8+2.81*3.8+1.2*2.1+2.1*1.2+1.2*1.5+0.9*0.9</f>
        <v>39.888000000000005</v>
      </c>
      <c r="J192" s="38">
        <f>3.15*1</f>
        <v>3.15</v>
      </c>
      <c r="L192" s="74"/>
      <c r="M192" s="74"/>
      <c r="N192" s="37"/>
    </row>
    <row r="193" spans="1:14" s="38" customFormat="1" x14ac:dyDescent="0.3">
      <c r="A193" s="65">
        <v>402</v>
      </c>
      <c r="B193" s="66"/>
      <c r="C193" s="43" t="s">
        <v>263</v>
      </c>
      <c r="D193" s="43">
        <f>(78.204+3.46*1)*10.764</f>
        <v>879.03129599999977</v>
      </c>
      <c r="E193" s="43">
        <v>0</v>
      </c>
      <c r="F193" s="43">
        <f>D193*(($F$156)+1)+(IF(E193&lt;101,E193,IF(E193&lt;201,E193/2,IF(E193&lt;=301,E193/3,E193/4))))</f>
        <v>1318.5469439999997</v>
      </c>
      <c r="G193" s="69" t="str">
        <f t="shared" ref="G193:G195" si="14">G192</f>
        <v>6th Floor</v>
      </c>
      <c r="H193" s="70"/>
      <c r="I193" s="37"/>
      <c r="L193" s="74"/>
      <c r="M193" s="74"/>
      <c r="N193" s="37"/>
    </row>
    <row r="194" spans="1:14" s="38" customFormat="1" x14ac:dyDescent="0.3">
      <c r="A194" s="65">
        <v>403</v>
      </c>
      <c r="B194" s="66"/>
      <c r="C194" s="43" t="s">
        <v>262</v>
      </c>
      <c r="D194" s="43">
        <f>(37.348+3.275*1.35+(2.85+2.25))*10.764</f>
        <v>504.500607</v>
      </c>
      <c r="E194" s="43">
        <v>0</v>
      </c>
      <c r="F194" s="43">
        <f>D194*(($F$156)+1)+(IF(E194&lt;101,E194,IF(E194&lt;201,E194/2,IF(E194&lt;=301,E194/3,E194/4))))</f>
        <v>756.75091050000003</v>
      </c>
      <c r="G194" s="69" t="str">
        <f t="shared" si="14"/>
        <v>6th Floor</v>
      </c>
      <c r="H194" s="70"/>
      <c r="I194" s="37"/>
      <c r="L194" s="74"/>
      <c r="M194" s="74"/>
      <c r="N194" s="37"/>
    </row>
    <row r="195" spans="1:14" s="38" customFormat="1" x14ac:dyDescent="0.3">
      <c r="A195" s="65">
        <v>404</v>
      </c>
      <c r="B195" s="66"/>
      <c r="C195" s="43" t="s">
        <v>262</v>
      </c>
      <c r="D195" s="43">
        <f>(37.413+3.275*1.35+(2.35+2.9))*10.764</f>
        <v>506.81486699999994</v>
      </c>
      <c r="E195" s="43">
        <v>0</v>
      </c>
      <c r="F195" s="43">
        <f>D195*(($F$156)+1)+(IF(E195&lt;101,E195,IF(E195&lt;201,E195/2,IF(E195&lt;=301,E195/3,E195/4))))</f>
        <v>760.22230049999985</v>
      </c>
      <c r="G195" s="69" t="str">
        <f t="shared" si="14"/>
        <v>6th Floor</v>
      </c>
      <c r="H195" s="70"/>
      <c r="I195" s="37"/>
      <c r="L195" s="74"/>
      <c r="M195" s="74"/>
      <c r="N195" s="37"/>
    </row>
    <row r="196" spans="1:14" s="38" customFormat="1" x14ac:dyDescent="0.3">
      <c r="A196" s="65">
        <v>405</v>
      </c>
      <c r="B196" s="66"/>
      <c r="C196" s="43" t="s">
        <v>264</v>
      </c>
      <c r="D196" s="43">
        <f>(50.48+2.05*1.2+(2.15*1.29+2.8*1.29))*10.764</f>
        <v>638.57968199999993</v>
      </c>
      <c r="E196" s="43">
        <v>0</v>
      </c>
      <c r="F196" s="43">
        <f t="shared" ref="F196:F197" si="15">D196*(($F$156)+1)+(IF(E196&lt;101,E196,IF(E196&lt;201,E196/2,IF(E196&lt;=301,E196/3,E196/4))))</f>
        <v>957.86952299999984</v>
      </c>
      <c r="G196" s="69" t="str">
        <f t="shared" ref="G196:G201" si="16">G195</f>
        <v>6th Floor</v>
      </c>
      <c r="H196" s="70"/>
      <c r="I196" s="37"/>
      <c r="N196" s="37"/>
    </row>
    <row r="197" spans="1:14" s="38" customFormat="1" x14ac:dyDescent="0.3">
      <c r="A197" s="65">
        <v>406</v>
      </c>
      <c r="B197" s="66"/>
      <c r="C197" s="43" t="s">
        <v>264</v>
      </c>
      <c r="D197" s="43">
        <f>(63.582+2.275*1.5)*10.764</f>
        <v>721.12879799999996</v>
      </c>
      <c r="E197" s="43">
        <v>0</v>
      </c>
      <c r="F197" s="43">
        <f t="shared" si="15"/>
        <v>1081.6931970000001</v>
      </c>
      <c r="G197" s="69" t="str">
        <f t="shared" si="16"/>
        <v>6th Floor</v>
      </c>
      <c r="H197" s="70"/>
      <c r="I197" s="37"/>
      <c r="N197" s="37"/>
    </row>
    <row r="198" spans="1:14" s="38" customFormat="1" x14ac:dyDescent="0.3">
      <c r="A198" s="65">
        <v>407</v>
      </c>
      <c r="B198" s="66"/>
      <c r="C198" s="43" t="s">
        <v>264</v>
      </c>
      <c r="D198" s="43">
        <f>(63.582+2.275*1.5)*10.764</f>
        <v>721.12879799999996</v>
      </c>
      <c r="E198" s="43">
        <v>0</v>
      </c>
      <c r="F198" s="43">
        <f>D198*(($F$156)+1)+(IF(E198&lt;101,E198,IF(E198&lt;201,E198/2,IF(E198&lt;=301,E198/3,E198/4))))</f>
        <v>1081.6931970000001</v>
      </c>
      <c r="G198" s="69" t="str">
        <f t="shared" si="16"/>
        <v>6th Floor</v>
      </c>
      <c r="H198" s="70"/>
      <c r="I198" s="37"/>
      <c r="N198" s="37"/>
    </row>
    <row r="199" spans="1:14" s="38" customFormat="1" x14ac:dyDescent="0.3">
      <c r="A199" s="65">
        <v>408</v>
      </c>
      <c r="B199" s="66"/>
      <c r="C199" s="43" t="s">
        <v>264</v>
      </c>
      <c r="D199" s="43">
        <f>(47.875+2.05*1.2)*10.764</f>
        <v>541.80593999999996</v>
      </c>
      <c r="E199" s="43">
        <v>0</v>
      </c>
      <c r="F199" s="43">
        <f>D199*(($F$156)+1)+(IF(E199&lt;101,E199,IF(E199&lt;201,E199/2,IF(E199&lt;=301,E199/3,E199/4))))</f>
        <v>812.70890999999995</v>
      </c>
      <c r="G199" s="69" t="str">
        <f t="shared" si="16"/>
        <v>6th Floor</v>
      </c>
      <c r="H199" s="70"/>
      <c r="I199" s="37"/>
      <c r="N199" s="37"/>
    </row>
    <row r="200" spans="1:14" s="38" customFormat="1" x14ac:dyDescent="0.3">
      <c r="A200" s="65">
        <v>409</v>
      </c>
      <c r="B200" s="66"/>
      <c r="C200" s="43" t="s">
        <v>262</v>
      </c>
      <c r="D200" s="43">
        <f>(39.868+3.225*1.35)*10.764</f>
        <v>476.00291699999997</v>
      </c>
      <c r="E200" s="43">
        <v>0</v>
      </c>
      <c r="F200" s="43">
        <f>D200*(($F$156)+1)+(IF(E200&lt;101,E200,IF(E200&lt;201,E200/2,IF(E200&lt;=301,E200/3,E200/4))))</f>
        <v>714.00437549999992</v>
      </c>
      <c r="G200" s="69" t="str">
        <f t="shared" si="16"/>
        <v>6th Floor</v>
      </c>
      <c r="H200" s="70"/>
      <c r="I200" s="37"/>
      <c r="N200" s="37"/>
    </row>
    <row r="201" spans="1:14" s="38" customFormat="1" x14ac:dyDescent="0.3">
      <c r="A201" s="65">
        <v>410</v>
      </c>
      <c r="B201" s="66"/>
      <c r="C201" s="43" t="s">
        <v>264</v>
      </c>
      <c r="D201" s="43">
        <f>(55.52+2.85*1+1.925*1.35+(2.25+3))*10.764</f>
        <v>712.77862499999992</v>
      </c>
      <c r="E201" s="43">
        <v>0</v>
      </c>
      <c r="F201" s="43">
        <f>D201*(($F$156)+1)+(IF(E201&lt;101,E201,IF(E201&lt;201,E201/2,IF(E201&lt;=301,E201/3,E201/4))))</f>
        <v>1069.1679374999999</v>
      </c>
      <c r="G201" s="75" t="str">
        <f t="shared" si="16"/>
        <v>6th Floor</v>
      </c>
      <c r="H201" s="76"/>
      <c r="I201" s="37">
        <f>4.2*3.45+1.15*2.25+3.15*2+3.15*2.85+4.75*2.75+1.2*2.1+2.1*1.2+0.9*3.3+0.5*1.2</f>
        <v>54.027500000000011</v>
      </c>
      <c r="J201" s="38">
        <f>2.85*1+2*1.35</f>
        <v>5.5500000000000007</v>
      </c>
      <c r="N201" s="37"/>
    </row>
    <row r="202" spans="1:14" s="38" customFormat="1" x14ac:dyDescent="0.3">
      <c r="A202" s="71" t="s">
        <v>268</v>
      </c>
      <c r="B202" s="72"/>
      <c r="C202" s="72"/>
      <c r="D202" s="72"/>
      <c r="E202" s="72"/>
      <c r="F202" s="72"/>
      <c r="G202" s="72"/>
      <c r="H202" s="73"/>
      <c r="J202" s="37"/>
    </row>
    <row r="203" spans="1:14" s="38" customFormat="1" ht="15.75" customHeight="1" x14ac:dyDescent="0.3">
      <c r="A203" s="65">
        <v>501</v>
      </c>
      <c r="B203" s="66"/>
      <c r="C203" s="43" t="s">
        <v>262</v>
      </c>
      <c r="D203" s="43">
        <f>(42.14+3.15*1+(2.25+3.06))*10.764</f>
        <v>544.65840000000003</v>
      </c>
      <c r="E203" s="43">
        <v>0</v>
      </c>
      <c r="F203" s="43">
        <f>D203*(($F$156)+1)+(IF(E203&lt;101,E203,IF(E203&lt;201,E203/2,IF(E203&lt;=301,E203/3,E203/4))))</f>
        <v>816.98760000000004</v>
      </c>
      <c r="G203" s="67" t="str">
        <f>A202</f>
        <v>7th Floor (Part Refuge Area)</v>
      </c>
      <c r="H203" s="68"/>
      <c r="I203" s="37">
        <f>3.2*4.9+2.1*2.8+2.81*3.8+1.2*2.1+2.1*1.2+1.2*1.5+0.9*0.9</f>
        <v>39.888000000000005</v>
      </c>
      <c r="J203" s="38">
        <f>3.15*1</f>
        <v>3.15</v>
      </c>
      <c r="L203" s="74"/>
      <c r="M203" s="74"/>
      <c r="N203" s="37"/>
    </row>
    <row r="204" spans="1:14" s="38" customFormat="1" ht="15.75" customHeight="1" x14ac:dyDescent="0.3">
      <c r="A204" s="65">
        <f>A203+1</f>
        <v>502</v>
      </c>
      <c r="B204" s="66"/>
      <c r="C204" s="43" t="s">
        <v>263</v>
      </c>
      <c r="D204" s="43">
        <f>(77.702+3.46*1)*10.764</f>
        <v>873.62776799999983</v>
      </c>
      <c r="E204" s="43">
        <v>0</v>
      </c>
      <c r="F204" s="43">
        <f>D204*(($F$156)+1)+(IF(E204&lt;101,E204,IF(E204&lt;201,E204/2,IF(E204&lt;=301,E204/3,E204/4))))</f>
        <v>1310.4416519999997</v>
      </c>
      <c r="G204" s="69" t="str">
        <f t="shared" ref="G204:G206" si="17">G203</f>
        <v>7th Floor (Part Refuge Area)</v>
      </c>
      <c r="H204" s="70"/>
      <c r="I204" s="37"/>
      <c r="L204" s="74"/>
      <c r="M204" s="74"/>
      <c r="N204" s="37"/>
    </row>
    <row r="205" spans="1:14" s="38" customFormat="1" ht="15.75" customHeight="1" x14ac:dyDescent="0.3">
      <c r="A205" s="65">
        <f t="shared" ref="A205:A211" si="18">A204+1</f>
        <v>503</v>
      </c>
      <c r="B205" s="66"/>
      <c r="C205" s="43" t="s">
        <v>262</v>
      </c>
      <c r="D205" s="43">
        <f>(37.348+3.35*1.35+(2.85+2.25))*10.764</f>
        <v>505.590462</v>
      </c>
      <c r="E205" s="43">
        <v>0</v>
      </c>
      <c r="F205" s="43">
        <f>D205*(($F$156)+1)+(IF(E205&lt;101,E205,IF(E205&lt;201,E205/2,IF(E205&lt;=301,E205/3,E205/4))))</f>
        <v>758.38569299999995</v>
      </c>
      <c r="G205" s="69" t="str">
        <f t="shared" si="17"/>
        <v>7th Floor (Part Refuge Area)</v>
      </c>
      <c r="H205" s="70"/>
      <c r="I205" s="37"/>
      <c r="L205" s="74"/>
      <c r="M205" s="74"/>
      <c r="N205" s="37"/>
    </row>
    <row r="206" spans="1:14" s="38" customFormat="1" ht="15.75" customHeight="1" x14ac:dyDescent="0.3">
      <c r="A206" s="65">
        <f t="shared" si="18"/>
        <v>504</v>
      </c>
      <c r="B206" s="66"/>
      <c r="C206" s="65" t="s">
        <v>269</v>
      </c>
      <c r="D206" s="77"/>
      <c r="E206" s="66"/>
      <c r="F206" s="43" t="s">
        <v>270</v>
      </c>
      <c r="G206" s="69" t="str">
        <f t="shared" si="17"/>
        <v>7th Floor (Part Refuge Area)</v>
      </c>
      <c r="H206" s="70"/>
      <c r="I206" s="37"/>
      <c r="L206" s="74"/>
      <c r="M206" s="74"/>
      <c r="N206" s="37"/>
    </row>
    <row r="207" spans="1:14" s="38" customFormat="1" ht="15.75" customHeight="1" x14ac:dyDescent="0.3">
      <c r="A207" s="65">
        <f t="shared" si="18"/>
        <v>505</v>
      </c>
      <c r="B207" s="66"/>
      <c r="C207" s="43" t="s">
        <v>264</v>
      </c>
      <c r="D207" s="43">
        <f>(50.455+2.05*1.2+(2.15*1.29+2.8*1.29))*10.764</f>
        <v>638.31058199999995</v>
      </c>
      <c r="E207" s="43">
        <v>0</v>
      </c>
      <c r="F207" s="43">
        <f t="shared" ref="F207:F208" si="19">D207*(($F$156)+1)+(IF(E207&lt;101,E207,IF(E207&lt;201,E207/2,IF(E207&lt;=301,E207/3,E207/4))))</f>
        <v>957.46587299999987</v>
      </c>
      <c r="G207" s="69" t="str">
        <f t="shared" ref="G207:G212" si="20">G206</f>
        <v>7th Floor (Part Refuge Area)</v>
      </c>
      <c r="H207" s="70"/>
      <c r="I207" s="37"/>
      <c r="N207" s="37"/>
    </row>
    <row r="208" spans="1:14" s="38" customFormat="1" ht="15.75" customHeight="1" x14ac:dyDescent="0.3">
      <c r="A208" s="65">
        <f t="shared" si="18"/>
        <v>506</v>
      </c>
      <c r="B208" s="66"/>
      <c r="C208" s="43" t="s">
        <v>264</v>
      </c>
      <c r="D208" s="43">
        <f>(63.582+2.275*1.5)*10.764</f>
        <v>721.12879799999996</v>
      </c>
      <c r="E208" s="43">
        <v>0</v>
      </c>
      <c r="F208" s="43">
        <f t="shared" si="19"/>
        <v>1081.6931970000001</v>
      </c>
      <c r="G208" s="69" t="str">
        <f t="shared" si="20"/>
        <v>7th Floor (Part Refuge Area)</v>
      </c>
      <c r="H208" s="70"/>
      <c r="I208" s="37"/>
      <c r="N208" s="37"/>
    </row>
    <row r="209" spans="1:14" s="38" customFormat="1" ht="15.75" customHeight="1" x14ac:dyDescent="0.3">
      <c r="A209" s="65">
        <f t="shared" si="18"/>
        <v>507</v>
      </c>
      <c r="B209" s="66"/>
      <c r="C209" s="43" t="s">
        <v>264</v>
      </c>
      <c r="D209" s="43">
        <f>(63.582+2.275*1.5)*10.764</f>
        <v>721.12879799999996</v>
      </c>
      <c r="E209" s="43">
        <v>0</v>
      </c>
      <c r="F209" s="43">
        <f>D209*(($F$156)+1)+(IF(E209&lt;101,E209,IF(E209&lt;201,E209/2,IF(E209&lt;=301,E209/3,E209/4))))</f>
        <v>1081.6931970000001</v>
      </c>
      <c r="G209" s="69" t="str">
        <f t="shared" si="20"/>
        <v>7th Floor (Part Refuge Area)</v>
      </c>
      <c r="H209" s="70"/>
      <c r="I209" s="37"/>
      <c r="N209" s="37"/>
    </row>
    <row r="210" spans="1:14" s="38" customFormat="1" ht="15.75" customHeight="1" x14ac:dyDescent="0.3">
      <c r="A210" s="65">
        <f t="shared" si="18"/>
        <v>508</v>
      </c>
      <c r="B210" s="66"/>
      <c r="C210" s="43" t="s">
        <v>264</v>
      </c>
      <c r="D210" s="43">
        <f>(47.875+2.05*1.2)*10.764</f>
        <v>541.80593999999996</v>
      </c>
      <c r="E210" s="43">
        <v>0</v>
      </c>
      <c r="F210" s="43">
        <f>D210*(($F$156)+1)+(IF(E210&lt;101,E210,IF(E210&lt;201,E210/2,IF(E210&lt;=301,E210/3,E210/4))))</f>
        <v>812.70890999999995</v>
      </c>
      <c r="G210" s="69" t="str">
        <f t="shared" si="20"/>
        <v>7th Floor (Part Refuge Area)</v>
      </c>
      <c r="H210" s="70"/>
      <c r="I210" s="37"/>
      <c r="N210" s="37"/>
    </row>
    <row r="211" spans="1:14" s="38" customFormat="1" ht="15.75" customHeight="1" x14ac:dyDescent="0.3">
      <c r="A211" s="65">
        <f t="shared" si="18"/>
        <v>509</v>
      </c>
      <c r="B211" s="66"/>
      <c r="C211" s="43" t="s">
        <v>262</v>
      </c>
      <c r="D211" s="43">
        <f>(39.868+3.225*1.35)*10.764</f>
        <v>476.00291699999997</v>
      </c>
      <c r="E211" s="43">
        <v>0</v>
      </c>
      <c r="F211" s="43">
        <f>D211*(($F$156)+1)+(IF(E211&lt;101,E211,IF(E211&lt;201,E211/2,IF(E211&lt;=301,E211/3,E211/4))))</f>
        <v>714.00437549999992</v>
      </c>
      <c r="G211" s="69" t="str">
        <f t="shared" si="20"/>
        <v>7th Floor (Part Refuge Area)</v>
      </c>
      <c r="H211" s="70"/>
      <c r="I211" s="37"/>
      <c r="N211" s="37"/>
    </row>
    <row r="212" spans="1:14" s="38" customFormat="1" ht="15.75" customHeight="1" x14ac:dyDescent="0.3">
      <c r="A212" s="65">
        <v>510</v>
      </c>
      <c r="B212" s="66"/>
      <c r="C212" s="43" t="s">
        <v>264</v>
      </c>
      <c r="D212" s="43">
        <f>(55.52+2.85*1+1.925*1.35+(2.25+3))*10.764</f>
        <v>712.77862499999992</v>
      </c>
      <c r="E212" s="43">
        <v>0</v>
      </c>
      <c r="F212" s="43">
        <f>D212*(($F$156)+1)+(IF(E212&lt;101,E212,IF(E212&lt;201,E212/2,IF(E212&lt;=301,E212/3,E212/4))))</f>
        <v>1069.1679374999999</v>
      </c>
      <c r="G212" s="75" t="str">
        <f t="shared" si="20"/>
        <v>7th Floor (Part Refuge Area)</v>
      </c>
      <c r="H212" s="76"/>
      <c r="I212" s="37">
        <f>4.2*3.45+1.15*2.25+3.15*2+3.15*2.85+4.75*2.75+1.2*2.1+2.1*1.2+0.9*3.3+0.5*1.2</f>
        <v>54.027500000000011</v>
      </c>
      <c r="J212" s="38">
        <f>2.85*1+2*1.35</f>
        <v>5.5500000000000007</v>
      </c>
      <c r="N212" s="37"/>
    </row>
    <row r="213" spans="1:14" s="38" customFormat="1" x14ac:dyDescent="0.3">
      <c r="A213" s="71" t="s">
        <v>271</v>
      </c>
      <c r="B213" s="72"/>
      <c r="C213" s="72"/>
      <c r="D213" s="72"/>
      <c r="E213" s="72"/>
      <c r="F213" s="72"/>
      <c r="G213" s="72"/>
      <c r="H213" s="73"/>
      <c r="J213" s="37"/>
    </row>
    <row r="214" spans="1:14" s="38" customFormat="1" x14ac:dyDescent="0.3">
      <c r="A214" s="65">
        <v>601</v>
      </c>
      <c r="B214" s="66"/>
      <c r="C214" s="43" t="s">
        <v>262</v>
      </c>
      <c r="D214" s="43">
        <f>(42.14+3.15*1+(2.25+3.06))*10.764</f>
        <v>544.65840000000003</v>
      </c>
      <c r="E214" s="43">
        <v>0</v>
      </c>
      <c r="F214" s="43">
        <f>D214*(($F$156)+1)+(IF(E214&lt;101,E214,IF(E214&lt;201,E214/2,IF(E214&lt;=301,E214/3,E214/4))))</f>
        <v>816.98760000000004</v>
      </c>
      <c r="G214" s="67" t="str">
        <f>A213</f>
        <v>8th Floor</v>
      </c>
      <c r="H214" s="68"/>
      <c r="I214" s="37">
        <f>3.2*4.9+2.1*2.8+2.81*3.8+1.2*2.1+2.1*1.2+1.2*1.5+0.9*0.9</f>
        <v>39.888000000000005</v>
      </c>
      <c r="J214" s="38">
        <f>3.15*1</f>
        <v>3.15</v>
      </c>
      <c r="L214" s="74"/>
      <c r="M214" s="74"/>
      <c r="N214" s="37"/>
    </row>
    <row r="215" spans="1:14" s="38" customFormat="1" x14ac:dyDescent="0.3">
      <c r="A215" s="65">
        <f>A214+1</f>
        <v>602</v>
      </c>
      <c r="B215" s="66"/>
      <c r="C215" s="43" t="s">
        <v>263</v>
      </c>
      <c r="D215" s="43">
        <f>(78.204+3.46*1)*10.764</f>
        <v>879.03129599999977</v>
      </c>
      <c r="E215" s="43">
        <v>0</v>
      </c>
      <c r="F215" s="43">
        <f>D215*(($F$156)+1)+(IF(E215&lt;101,E215,IF(E215&lt;201,E215/2,IF(E215&lt;=301,E215/3,E215/4))))</f>
        <v>1318.5469439999997</v>
      </c>
      <c r="G215" s="69" t="str">
        <f t="shared" ref="G215:G216" si="21">G214</f>
        <v>8th Floor</v>
      </c>
      <c r="H215" s="70"/>
      <c r="I215" s="37"/>
      <c r="L215" s="74"/>
      <c r="M215" s="74"/>
      <c r="N215" s="37"/>
    </row>
    <row r="216" spans="1:14" s="38" customFormat="1" x14ac:dyDescent="0.3">
      <c r="A216" s="65">
        <f t="shared" ref="A216:A222" si="22">A215+1</f>
        <v>603</v>
      </c>
      <c r="B216" s="66"/>
      <c r="C216" s="43" t="s">
        <v>263</v>
      </c>
      <c r="D216" s="43">
        <f>(84.31+6.55*1.35)*10.764</f>
        <v>1002.6935099999999</v>
      </c>
      <c r="E216" s="43">
        <v>0</v>
      </c>
      <c r="F216" s="43">
        <f>D216*(($F$156)+1)+(IF(E216&lt;101,E216,IF(E216&lt;201,E216/2,IF(E216&lt;=301,E216/3,E216/4))))</f>
        <v>1504.0402649999999</v>
      </c>
      <c r="G216" s="69" t="str">
        <f t="shared" si="21"/>
        <v>8th Floor</v>
      </c>
      <c r="H216" s="70"/>
      <c r="I216" s="37"/>
      <c r="L216" s="74"/>
      <c r="M216" s="74"/>
      <c r="N216" s="37"/>
    </row>
    <row r="217" spans="1:14" s="38" customFormat="1" x14ac:dyDescent="0.3">
      <c r="A217" s="65">
        <f t="shared" si="22"/>
        <v>604</v>
      </c>
      <c r="B217" s="66"/>
      <c r="C217" s="43" t="s">
        <v>264</v>
      </c>
      <c r="D217" s="43">
        <f>(50.48+2.05*1.2+(2.15*1.29+2.8*1.29))*10.764</f>
        <v>638.57968199999993</v>
      </c>
      <c r="E217" s="43">
        <v>0</v>
      </c>
      <c r="F217" s="43">
        <f t="shared" ref="F217:F218" si="23">D217*(($F$156)+1)+(IF(E217&lt;101,E217,IF(E217&lt;201,E217/2,IF(E217&lt;=301,E217/3,E217/4))))</f>
        <v>957.86952299999984</v>
      </c>
      <c r="G217" s="69" t="str">
        <f t="shared" ref="G217:G222" si="24">G216</f>
        <v>8th Floor</v>
      </c>
      <c r="H217" s="70"/>
      <c r="I217" s="37"/>
      <c r="N217" s="37"/>
    </row>
    <row r="218" spans="1:14" s="38" customFormat="1" x14ac:dyDescent="0.3">
      <c r="A218" s="65">
        <f t="shared" si="22"/>
        <v>605</v>
      </c>
      <c r="B218" s="66"/>
      <c r="C218" s="43" t="s">
        <v>264</v>
      </c>
      <c r="D218" s="43">
        <f>(63.582+2.275*1.5)*10.764</f>
        <v>721.12879799999996</v>
      </c>
      <c r="E218" s="43">
        <v>0</v>
      </c>
      <c r="F218" s="43">
        <f t="shared" si="23"/>
        <v>1081.6931970000001</v>
      </c>
      <c r="G218" s="69" t="str">
        <f t="shared" si="24"/>
        <v>8th Floor</v>
      </c>
      <c r="H218" s="70"/>
      <c r="I218" s="37"/>
      <c r="N218" s="37"/>
    </row>
    <row r="219" spans="1:14" s="38" customFormat="1" x14ac:dyDescent="0.3">
      <c r="A219" s="65">
        <f t="shared" si="22"/>
        <v>606</v>
      </c>
      <c r="B219" s="66"/>
      <c r="C219" s="43" t="s">
        <v>264</v>
      </c>
      <c r="D219" s="43">
        <f>(63.582+2.275*1.5)*10.764</f>
        <v>721.12879799999996</v>
      </c>
      <c r="E219" s="43">
        <v>0</v>
      </c>
      <c r="F219" s="43">
        <f>D219*(($F$156)+1)+(IF(E219&lt;101,E219,IF(E219&lt;201,E219/2,IF(E219&lt;=301,E219/3,E219/4))))</f>
        <v>1081.6931970000001</v>
      </c>
      <c r="G219" s="69" t="str">
        <f t="shared" si="24"/>
        <v>8th Floor</v>
      </c>
      <c r="H219" s="70"/>
      <c r="I219" s="37"/>
      <c r="N219" s="37"/>
    </row>
    <row r="220" spans="1:14" s="38" customFormat="1" x14ac:dyDescent="0.3">
      <c r="A220" s="65">
        <f t="shared" si="22"/>
        <v>607</v>
      </c>
      <c r="B220" s="66"/>
      <c r="C220" s="43" t="s">
        <v>264</v>
      </c>
      <c r="D220" s="43">
        <f>(47.875+2.05*1.2)*10.764</f>
        <v>541.80593999999996</v>
      </c>
      <c r="E220" s="43">
        <v>0</v>
      </c>
      <c r="F220" s="43">
        <f>D220*(($F$156)+1)+(IF(E220&lt;101,E220,IF(E220&lt;201,E220/2,IF(E220&lt;=301,E220/3,E220/4))))</f>
        <v>812.70890999999995</v>
      </c>
      <c r="G220" s="69" t="str">
        <f t="shared" si="24"/>
        <v>8th Floor</v>
      </c>
      <c r="H220" s="70"/>
      <c r="I220" s="37"/>
      <c r="N220" s="37"/>
    </row>
    <row r="221" spans="1:14" s="38" customFormat="1" x14ac:dyDescent="0.3">
      <c r="A221" s="65">
        <f t="shared" si="22"/>
        <v>608</v>
      </c>
      <c r="B221" s="66"/>
      <c r="C221" s="43" t="s">
        <v>262</v>
      </c>
      <c r="D221" s="43">
        <f>(39.868+3.225*1.35)*10.764</f>
        <v>476.00291699999997</v>
      </c>
      <c r="E221" s="43">
        <v>0</v>
      </c>
      <c r="F221" s="43">
        <f>D221*(($F$156)+1)+(IF(E221&lt;101,E221,IF(E221&lt;201,E221/2,IF(E221&lt;=301,E221/3,E221/4))))</f>
        <v>714.00437549999992</v>
      </c>
      <c r="G221" s="69" t="str">
        <f t="shared" si="24"/>
        <v>8th Floor</v>
      </c>
      <c r="H221" s="70"/>
      <c r="I221" s="37"/>
      <c r="N221" s="37"/>
    </row>
    <row r="222" spans="1:14" s="38" customFormat="1" x14ac:dyDescent="0.3">
      <c r="A222" s="65">
        <f t="shared" si="22"/>
        <v>609</v>
      </c>
      <c r="B222" s="66"/>
      <c r="C222" s="43" t="s">
        <v>264</v>
      </c>
      <c r="D222" s="43">
        <f>(55.52+2.85*1+1.925*1.35+(2.25+3))*10.764</f>
        <v>712.77862499999992</v>
      </c>
      <c r="E222" s="43">
        <v>0</v>
      </c>
      <c r="F222" s="43">
        <f>D222*(($F$156)+1)+(IF(E222&lt;101,E222,IF(E222&lt;201,E222/2,IF(E222&lt;=301,E222/3,E222/4))))</f>
        <v>1069.1679374999999</v>
      </c>
      <c r="G222" s="69" t="str">
        <f t="shared" si="24"/>
        <v>8th Floor</v>
      </c>
      <c r="H222" s="70"/>
      <c r="I222" s="37">
        <f>4.2*3.45+1.15*2.25+3.15*2+3.15*2.85+4.75*2.75+1.2*2.1+2.1*1.2+0.9*3.3+0.5*1.2</f>
        <v>54.027500000000011</v>
      </c>
      <c r="J222" s="38">
        <f>2.85*1+2*1.35</f>
        <v>5.5500000000000007</v>
      </c>
      <c r="N222" s="37"/>
    </row>
    <row r="223" spans="1:14" s="38" customFormat="1" x14ac:dyDescent="0.3">
      <c r="A223" s="71" t="s">
        <v>272</v>
      </c>
      <c r="B223" s="72"/>
      <c r="C223" s="72"/>
      <c r="D223" s="72"/>
      <c r="E223" s="72"/>
      <c r="F223" s="72"/>
      <c r="G223" s="72"/>
      <c r="H223" s="73"/>
      <c r="J223" s="37"/>
    </row>
    <row r="224" spans="1:14" s="38" customFormat="1" x14ac:dyDescent="0.3">
      <c r="A224" s="65">
        <v>701</v>
      </c>
      <c r="B224" s="66"/>
      <c r="C224" s="43" t="s">
        <v>262</v>
      </c>
      <c r="D224" s="43">
        <f>(42.14+3.15*1+(2.25+3.06))*10.764</f>
        <v>544.65840000000003</v>
      </c>
      <c r="E224" s="43">
        <v>0</v>
      </c>
      <c r="F224" s="43">
        <f>D224*(($F$156)+1)+(IF(E224&lt;101,E224,IF(E224&lt;201,E224/2,IF(E224&lt;=301,E224/3,E224/4))))</f>
        <v>816.98760000000004</v>
      </c>
      <c r="G224" s="67" t="str">
        <f>A223</f>
        <v>9th Floor</v>
      </c>
      <c r="H224" s="68"/>
      <c r="I224" s="37">
        <f>3.2*4.9+2.1*2.8+2.81*3.8+1.2*2.1+2.1*1.2+1.2*1.5+0.9*0.9</f>
        <v>39.888000000000005</v>
      </c>
      <c r="J224" s="38">
        <f>3.15*1</f>
        <v>3.15</v>
      </c>
      <c r="L224" s="74"/>
      <c r="M224" s="74"/>
      <c r="N224" s="37"/>
    </row>
    <row r="225" spans="1:14" s="38" customFormat="1" x14ac:dyDescent="0.3">
      <c r="A225" s="65">
        <v>702</v>
      </c>
      <c r="B225" s="66"/>
      <c r="C225" s="43" t="s">
        <v>263</v>
      </c>
      <c r="D225" s="43">
        <f>(77.702+3.46*1)*10.764</f>
        <v>873.62776799999983</v>
      </c>
      <c r="E225" s="43">
        <v>0</v>
      </c>
      <c r="F225" s="43">
        <f>D225*(($F$156)+1)+(IF(E225&lt;101,E225,IF(E225&lt;201,E225/2,IF(E225&lt;=301,E225/3,E225/4))))</f>
        <v>1310.4416519999997</v>
      </c>
      <c r="G225" s="69" t="str">
        <f t="shared" ref="G225:G226" si="25">G224</f>
        <v>9th Floor</v>
      </c>
      <c r="H225" s="70"/>
      <c r="I225" s="37"/>
      <c r="L225" s="74"/>
      <c r="M225" s="74"/>
      <c r="N225" s="37"/>
    </row>
    <row r="226" spans="1:14" s="38" customFormat="1" ht="63" customHeight="1" x14ac:dyDescent="0.3">
      <c r="A226" s="65">
        <v>703</v>
      </c>
      <c r="B226" s="66"/>
      <c r="C226" s="43" t="s">
        <v>274</v>
      </c>
      <c r="D226" s="43">
        <f>(129.407)*10.764</f>
        <v>1392.936948</v>
      </c>
      <c r="E226" s="43">
        <f>(4.6*2.75+1.95*1.4)*10.764</f>
        <v>165.55031999999997</v>
      </c>
      <c r="F226" s="43">
        <f>D226*(($F$156)+1)+(IF(E226&lt;101,E226,IF(E226&lt;201,E226/2,IF(E226&lt;=301,E226/3,E226/4))))</f>
        <v>2172.180582</v>
      </c>
      <c r="G226" s="69" t="str">
        <f t="shared" si="25"/>
        <v>9th Floor</v>
      </c>
      <c r="H226" s="70"/>
      <c r="I226" s="37"/>
      <c r="L226" s="74"/>
      <c r="M226" s="74"/>
      <c r="N226" s="37"/>
    </row>
    <row r="227" spans="1:14" s="38" customFormat="1" x14ac:dyDescent="0.3">
      <c r="A227" s="65">
        <v>705</v>
      </c>
      <c r="B227" s="66"/>
      <c r="C227" s="43" t="s">
        <v>264</v>
      </c>
      <c r="D227" s="43">
        <f>(48.247+2.05*1.2+(2.15*1.29+2.8*1.29))*10.764</f>
        <v>614.54367000000002</v>
      </c>
      <c r="E227" s="64">
        <f>(0.75*2.8)*10.764</f>
        <v>22.604399999999995</v>
      </c>
      <c r="F227" s="43">
        <f t="shared" ref="F227:F228" si="26">D227*(($F$156)+1)+(IF(E227&lt;101,E227,IF(E227&lt;201,E227/2,IF(E227&lt;=301,E227/3,E227/4))))</f>
        <v>944.41990499999997</v>
      </c>
      <c r="G227" s="69" t="str">
        <f t="shared" ref="G227:G232" si="27">G226</f>
        <v>9th Floor</v>
      </c>
      <c r="H227" s="70"/>
      <c r="I227" s="62" t="s">
        <v>273</v>
      </c>
      <c r="N227" s="37"/>
    </row>
    <row r="228" spans="1:14" s="38" customFormat="1" x14ac:dyDescent="0.3">
      <c r="A228" s="65">
        <v>706</v>
      </c>
      <c r="B228" s="66"/>
      <c r="C228" s="43" t="s">
        <v>264</v>
      </c>
      <c r="D228" s="43">
        <f>(63.582+2.275*1.5)*10.764</f>
        <v>721.12879799999996</v>
      </c>
      <c r="E228" s="43">
        <v>0</v>
      </c>
      <c r="F228" s="43">
        <f t="shared" si="26"/>
        <v>1081.6931970000001</v>
      </c>
      <c r="G228" s="69" t="str">
        <f t="shared" si="27"/>
        <v>9th Floor</v>
      </c>
      <c r="H228" s="70"/>
      <c r="I228" s="37"/>
      <c r="N228" s="37"/>
    </row>
    <row r="229" spans="1:14" s="38" customFormat="1" x14ac:dyDescent="0.3">
      <c r="A229" s="65">
        <v>707</v>
      </c>
      <c r="B229" s="66"/>
      <c r="C229" s="43" t="s">
        <v>264</v>
      </c>
      <c r="D229" s="43">
        <f>(63.582+2.275*1.5)*10.764</f>
        <v>721.12879799999996</v>
      </c>
      <c r="E229" s="43">
        <v>0</v>
      </c>
      <c r="F229" s="43">
        <f>D229*(($F$156)+1)+(IF(E229&lt;101,E229,IF(E229&lt;201,E229/2,IF(E229&lt;=301,E229/3,E229/4))))</f>
        <v>1081.6931970000001</v>
      </c>
      <c r="G229" s="69" t="str">
        <f t="shared" si="27"/>
        <v>9th Floor</v>
      </c>
      <c r="H229" s="70"/>
      <c r="I229" s="37"/>
      <c r="N229" s="37"/>
    </row>
    <row r="230" spans="1:14" s="38" customFormat="1" x14ac:dyDescent="0.3">
      <c r="A230" s="65">
        <v>708</v>
      </c>
      <c r="B230" s="66"/>
      <c r="C230" s="43" t="s">
        <v>264</v>
      </c>
      <c r="D230" s="43">
        <f>(47.875+2.05*1.2)*10.764</f>
        <v>541.80593999999996</v>
      </c>
      <c r="E230" s="43">
        <v>0</v>
      </c>
      <c r="F230" s="43">
        <f>D230*(($F$156)+1)+(IF(E230&lt;101,E230,IF(E230&lt;201,E230/2,IF(E230&lt;=301,E230/3,E230/4))))</f>
        <v>812.70890999999995</v>
      </c>
      <c r="G230" s="69" t="str">
        <f t="shared" si="27"/>
        <v>9th Floor</v>
      </c>
      <c r="H230" s="70"/>
      <c r="I230" s="37"/>
      <c r="N230" s="37"/>
    </row>
    <row r="231" spans="1:14" s="38" customFormat="1" x14ac:dyDescent="0.3">
      <c r="A231" s="65">
        <v>709</v>
      </c>
      <c r="B231" s="66"/>
      <c r="C231" s="43" t="s">
        <v>262</v>
      </c>
      <c r="D231" s="43">
        <f>(39.868+3.225*1.35)*10.764</f>
        <v>476.00291699999997</v>
      </c>
      <c r="E231" s="43">
        <v>0</v>
      </c>
      <c r="F231" s="43">
        <f>D231*(($F$156)+1)+(IF(E231&lt;101,E231,IF(E231&lt;201,E231/2,IF(E231&lt;=301,E231/3,E231/4))))</f>
        <v>714.00437549999992</v>
      </c>
      <c r="G231" s="69" t="str">
        <f t="shared" si="27"/>
        <v>9th Floor</v>
      </c>
      <c r="H231" s="70"/>
      <c r="I231" s="37"/>
      <c r="N231" s="37"/>
    </row>
    <row r="232" spans="1:14" s="38" customFormat="1" x14ac:dyDescent="0.3">
      <c r="A232" s="65">
        <v>710</v>
      </c>
      <c r="B232" s="66"/>
      <c r="C232" s="43" t="s">
        <v>264</v>
      </c>
      <c r="D232" s="43">
        <f>(55.52+2.85*1+1.925*1.35+(2.25+3))*10.764</f>
        <v>712.77862499999992</v>
      </c>
      <c r="E232" s="43">
        <v>0</v>
      </c>
      <c r="F232" s="43">
        <f>D232*(($F$156)+1)+(IF(E232&lt;101,E232,IF(E232&lt;201,E232/2,IF(E232&lt;=301,E232/3,E232/4))))</f>
        <v>1069.1679374999999</v>
      </c>
      <c r="G232" s="69" t="str">
        <f t="shared" si="27"/>
        <v>9th Floor</v>
      </c>
      <c r="H232" s="70"/>
      <c r="I232" s="37">
        <f>4.2*3.45+1.15*2.25+3.15*2+3.15*2.85+4.75*2.75+1.2*2.1+2.1*1.2+0.9*3.3+0.5*1.2</f>
        <v>54.027500000000011</v>
      </c>
      <c r="J232" s="38">
        <f>2.85*1+2*1.35</f>
        <v>5.5500000000000007</v>
      </c>
      <c r="N232" s="37"/>
    </row>
    <row r="233" spans="1:14" s="38" customFormat="1" x14ac:dyDescent="0.3">
      <c r="A233" s="71" t="s">
        <v>275</v>
      </c>
      <c r="B233" s="72"/>
      <c r="C233" s="72"/>
      <c r="D233" s="72"/>
      <c r="E233" s="72"/>
      <c r="F233" s="72"/>
      <c r="G233" s="72"/>
      <c r="H233" s="73"/>
      <c r="J233" s="37"/>
    </row>
    <row r="234" spans="1:14" s="38" customFormat="1" x14ac:dyDescent="0.3">
      <c r="A234" s="65">
        <v>801</v>
      </c>
      <c r="B234" s="66"/>
      <c r="C234" s="43" t="s">
        <v>262</v>
      </c>
      <c r="D234" s="43">
        <f>(46.399+3.15*1)*10.764</f>
        <v>533.34543599999995</v>
      </c>
      <c r="E234" s="43">
        <v>0</v>
      </c>
      <c r="F234" s="43">
        <f>D234*(($F$156)+1)+(IF(E234&lt;101,E234,IF(E234&lt;201,E234/2,IF(E234&lt;=301,E234/3,E234/4))))</f>
        <v>800.01815399999987</v>
      </c>
      <c r="G234" s="67" t="str">
        <f>A233</f>
        <v>10th Floor</v>
      </c>
      <c r="H234" s="68"/>
      <c r="I234" s="37">
        <f>3.2*4.9+2.1*2.8+2.81*3.8+1.2*2.1+2.1*1.2+1.2*1.5+0.9*0.9</f>
        <v>39.888000000000005</v>
      </c>
      <c r="J234" s="38">
        <f>3.15*1</f>
        <v>3.15</v>
      </c>
      <c r="L234" s="74"/>
      <c r="M234" s="74"/>
      <c r="N234" s="37"/>
    </row>
    <row r="235" spans="1:14" s="38" customFormat="1" x14ac:dyDescent="0.3">
      <c r="A235" s="65">
        <v>802</v>
      </c>
      <c r="B235" s="66"/>
      <c r="C235" s="43" t="s">
        <v>263</v>
      </c>
      <c r="D235" s="43">
        <f>(78.204+3.46*1+2.5*1)*10.764</f>
        <v>905.94129599999985</v>
      </c>
      <c r="E235" s="43">
        <v>0</v>
      </c>
      <c r="F235" s="43">
        <f>D235*(($F$156)+1)+(IF(E235&lt;101,E235,IF(E235&lt;201,E235/2,IF(E235&lt;=301,E235/3,E235/4))))</f>
        <v>1358.9119439999997</v>
      </c>
      <c r="G235" s="69" t="str">
        <f t="shared" ref="G235:G236" si="28">G234</f>
        <v>10th Floor</v>
      </c>
      <c r="H235" s="70"/>
      <c r="I235" s="37"/>
      <c r="L235" s="74"/>
      <c r="M235" s="74"/>
      <c r="N235" s="37"/>
    </row>
    <row r="236" spans="1:14" s="38" customFormat="1" x14ac:dyDescent="0.3">
      <c r="A236" s="65">
        <v>804</v>
      </c>
      <c r="B236" s="66"/>
      <c r="C236" s="43" t="s">
        <v>262</v>
      </c>
      <c r="D236" s="43">
        <f>(41.045+3.275*1.35)*10.764</f>
        <v>489.39871499999998</v>
      </c>
      <c r="E236" s="43">
        <v>0</v>
      </c>
      <c r="F236" s="43">
        <f>D236*(($F$156)+1)+(IF(E236&lt;101,E236,IF(E236&lt;201,E236/2,IF(E236&lt;=301,E236/3,E236/4))))</f>
        <v>734.09807249999994</v>
      </c>
      <c r="G236" s="69" t="str">
        <f t="shared" si="28"/>
        <v>10th Floor</v>
      </c>
      <c r="H236" s="70"/>
      <c r="I236" s="37"/>
      <c r="L236" s="74"/>
      <c r="M236" s="74"/>
      <c r="N236" s="37"/>
    </row>
    <row r="237" spans="1:14" s="38" customFormat="1" x14ac:dyDescent="0.3">
      <c r="A237" s="65">
        <v>805</v>
      </c>
      <c r="B237" s="66"/>
      <c r="C237" s="43" t="s">
        <v>264</v>
      </c>
      <c r="D237" s="43">
        <f>(48.247+2.05*1.2+(2.15*1.29+2.8*1.29))*10.764</f>
        <v>614.54367000000002</v>
      </c>
      <c r="E237" s="43">
        <v>0</v>
      </c>
      <c r="F237" s="43">
        <f t="shared" ref="F237:F238" si="29">D237*(($F$156)+1)+(IF(E237&lt;101,E237,IF(E237&lt;201,E237/2,IF(E237&lt;=301,E237/3,E237/4))))</f>
        <v>921.81550500000003</v>
      </c>
      <c r="G237" s="69" t="str">
        <f t="shared" ref="G237:G242" si="30">G236</f>
        <v>10th Floor</v>
      </c>
      <c r="H237" s="70"/>
      <c r="I237" s="37"/>
      <c r="N237" s="37"/>
    </row>
    <row r="238" spans="1:14" s="38" customFormat="1" x14ac:dyDescent="0.3">
      <c r="A238" s="65">
        <v>806</v>
      </c>
      <c r="B238" s="66"/>
      <c r="C238" s="43" t="s">
        <v>264</v>
      </c>
      <c r="D238" s="43">
        <f>(63.582+2.275*1.5)*10.764</f>
        <v>721.12879799999996</v>
      </c>
      <c r="E238" s="43">
        <v>0</v>
      </c>
      <c r="F238" s="43">
        <f t="shared" si="29"/>
        <v>1081.6931970000001</v>
      </c>
      <c r="G238" s="69" t="str">
        <f t="shared" si="30"/>
        <v>10th Floor</v>
      </c>
      <c r="H238" s="70"/>
      <c r="I238" s="37"/>
      <c r="N238" s="37"/>
    </row>
    <row r="239" spans="1:14" s="38" customFormat="1" x14ac:dyDescent="0.3">
      <c r="A239" s="65">
        <v>807</v>
      </c>
      <c r="B239" s="66"/>
      <c r="C239" s="43" t="s">
        <v>264</v>
      </c>
      <c r="D239" s="43">
        <f>(63.582+2.275*1.5)*10.764</f>
        <v>721.12879799999996</v>
      </c>
      <c r="E239" s="43">
        <v>0</v>
      </c>
      <c r="F239" s="43">
        <f>D239*(($F$156)+1)+(IF(E239&lt;101,E239,IF(E239&lt;201,E239/2,IF(E239&lt;=301,E239/3,E239/4))))</f>
        <v>1081.6931970000001</v>
      </c>
      <c r="G239" s="69" t="str">
        <f t="shared" si="30"/>
        <v>10th Floor</v>
      </c>
      <c r="H239" s="70"/>
      <c r="I239" s="37"/>
      <c r="N239" s="37"/>
    </row>
    <row r="240" spans="1:14" s="38" customFormat="1" x14ac:dyDescent="0.3">
      <c r="A240" s="65">
        <v>808</v>
      </c>
      <c r="B240" s="66"/>
      <c r="C240" s="43" t="s">
        <v>264</v>
      </c>
      <c r="D240" s="43">
        <f>(47.875+2.05*1.2)*10.764</f>
        <v>541.80593999999996</v>
      </c>
      <c r="E240" s="43">
        <v>0</v>
      </c>
      <c r="F240" s="43">
        <f>D240*(($F$156)+1)+(IF(E240&lt;101,E240,IF(E240&lt;201,E240/2,IF(E240&lt;=301,E240/3,E240/4))))</f>
        <v>812.70890999999995</v>
      </c>
      <c r="G240" s="69" t="str">
        <f t="shared" si="30"/>
        <v>10th Floor</v>
      </c>
      <c r="H240" s="70"/>
      <c r="I240" s="37"/>
      <c r="N240" s="37"/>
    </row>
    <row r="241" spans="1:14" s="38" customFormat="1" x14ac:dyDescent="0.3">
      <c r="A241" s="65">
        <v>809</v>
      </c>
      <c r="B241" s="66"/>
      <c r="C241" s="43" t="s">
        <v>262</v>
      </c>
      <c r="D241" s="43">
        <f>(39.868+3.225*1.35)*10.764</f>
        <v>476.00291699999997</v>
      </c>
      <c r="E241" s="43">
        <v>0</v>
      </c>
      <c r="F241" s="43">
        <f>D241*(($F$156)+1)+(IF(E241&lt;101,E241,IF(E241&lt;201,E241/2,IF(E241&lt;=301,E241/3,E241/4))))</f>
        <v>714.00437549999992</v>
      </c>
      <c r="G241" s="69" t="str">
        <f t="shared" si="30"/>
        <v>10th Floor</v>
      </c>
      <c r="H241" s="70"/>
      <c r="I241" s="37"/>
      <c r="N241" s="37"/>
    </row>
    <row r="242" spans="1:14" s="38" customFormat="1" x14ac:dyDescent="0.3">
      <c r="A242" s="65">
        <v>810</v>
      </c>
      <c r="B242" s="66"/>
      <c r="C242" s="43" t="s">
        <v>264</v>
      </c>
      <c r="D242" s="43">
        <f>(54.987+1.925*1.35+(2.25+3)+0.7*2.75)*10.764</f>
        <v>697.08471299999997</v>
      </c>
      <c r="E242" s="43">
        <v>0</v>
      </c>
      <c r="F242" s="43">
        <f>D242*(($F$156)+1)+(IF(E242&lt;101,E242,IF(E242&lt;201,E242/2,IF(E242&lt;=301,E242/3,E242/4))))</f>
        <v>1045.6270694999998</v>
      </c>
      <c r="G242" s="69" t="str">
        <f t="shared" si="30"/>
        <v>10th Floor</v>
      </c>
      <c r="H242" s="70"/>
      <c r="I242" s="37">
        <f>4.2*3.45+1.15*2.25+3.15*2+3.15*2.85+4.75*2.75+1.2*2.1+2.1*1.2+0.9*3.3+0.5*1.2</f>
        <v>54.027500000000011</v>
      </c>
      <c r="J242" s="38">
        <f>2.85*1+2*1.35</f>
        <v>5.5500000000000007</v>
      </c>
      <c r="N242" s="37"/>
    </row>
    <row r="243" spans="1:14" s="38" customFormat="1" x14ac:dyDescent="0.3">
      <c r="A243" s="71" t="s">
        <v>276</v>
      </c>
      <c r="B243" s="72"/>
      <c r="C243" s="72"/>
      <c r="D243" s="72"/>
      <c r="E243" s="72"/>
      <c r="F243" s="72"/>
      <c r="G243" s="72"/>
      <c r="H243" s="73"/>
      <c r="J243" s="37"/>
    </row>
    <row r="244" spans="1:14" s="38" customFormat="1" ht="15.75" customHeight="1" x14ac:dyDescent="0.3">
      <c r="A244" s="65">
        <v>901</v>
      </c>
      <c r="B244" s="66"/>
      <c r="C244" s="43" t="s">
        <v>262</v>
      </c>
      <c r="D244" s="43">
        <f>(37.348+3.275*1.35+(2.25+3))*10.764</f>
        <v>506.11520699999994</v>
      </c>
      <c r="E244" s="43">
        <v>0</v>
      </c>
      <c r="F244" s="43">
        <f>D244*(($F$156)+1)+(IF(E244&lt;101,E244,IF(E244&lt;201,E244/2,IF(E244&lt;=301,E244/3,E244/4))))</f>
        <v>759.17281049999997</v>
      </c>
      <c r="G244" s="67" t="str">
        <f>A243</f>
        <v>11th Floor(Part Terrace Area)</v>
      </c>
      <c r="H244" s="68"/>
      <c r="I244" s="37">
        <f>3.2*4.9+2.1*2.8+2.81*3.8+1.2*2.1+2.1*1.2+1.2*1.5+0.9*0.9</f>
        <v>39.888000000000005</v>
      </c>
      <c r="J244" s="38">
        <f>3.15*1</f>
        <v>3.15</v>
      </c>
      <c r="L244" s="74"/>
      <c r="M244" s="74"/>
      <c r="N244" s="37"/>
    </row>
    <row r="245" spans="1:14" s="38" customFormat="1" ht="15.75" customHeight="1" x14ac:dyDescent="0.3">
      <c r="A245" s="65">
        <v>902</v>
      </c>
      <c r="B245" s="66"/>
      <c r="C245" s="43" t="s">
        <v>262</v>
      </c>
      <c r="D245" s="43">
        <f>(41.623+3.275*1.35)*10.764</f>
        <v>495.62030699999997</v>
      </c>
      <c r="E245" s="43">
        <v>0</v>
      </c>
      <c r="F245" s="43">
        <f>D245*(($F$156)+1)+(IF(E245&lt;101,E245,IF(E245&lt;201,E245/2,IF(E245&lt;=301,E245/3,E245/4))))</f>
        <v>743.43046049999998</v>
      </c>
      <c r="G245" s="69" t="str">
        <f t="shared" ref="G245:G246" si="31">G244</f>
        <v>11th Floor(Part Terrace Area)</v>
      </c>
      <c r="H245" s="70"/>
      <c r="I245" s="37"/>
      <c r="L245" s="74"/>
      <c r="M245" s="74"/>
      <c r="N245" s="37"/>
    </row>
    <row r="246" spans="1:14" s="38" customFormat="1" ht="15.75" customHeight="1" x14ac:dyDescent="0.3">
      <c r="A246" s="65">
        <v>903</v>
      </c>
      <c r="B246" s="66"/>
      <c r="C246" s="43" t="s">
        <v>264</v>
      </c>
      <c r="D246" s="43">
        <f>(48.247+2.05*1.2+(2.15*1.29+2.8*1.29))*10.764</f>
        <v>614.54367000000002</v>
      </c>
      <c r="E246" s="43">
        <v>0</v>
      </c>
      <c r="F246" s="43">
        <f>D246*(($F$156)+1)+(IF(E246&lt;101,E246,IF(E246&lt;201,E246/2,IF(E246&lt;=301,E246/3,E246/4))))</f>
        <v>921.81550500000003</v>
      </c>
      <c r="G246" s="69" t="str">
        <f t="shared" si="31"/>
        <v>11th Floor(Part Terrace Area)</v>
      </c>
      <c r="H246" s="70"/>
      <c r="I246" s="37"/>
      <c r="L246" s="74"/>
      <c r="M246" s="74"/>
      <c r="N246" s="37"/>
    </row>
    <row r="247" spans="1:14" s="38" customFormat="1" ht="15.75" customHeight="1" x14ac:dyDescent="0.3">
      <c r="A247" s="65">
        <v>904</v>
      </c>
      <c r="B247" s="66"/>
      <c r="C247" s="43" t="s">
        <v>264</v>
      </c>
      <c r="D247" s="43">
        <f>(63.582+2.275*1.5)*10.764</f>
        <v>721.12879799999996</v>
      </c>
      <c r="E247" s="43">
        <v>0</v>
      </c>
      <c r="F247" s="43">
        <f t="shared" ref="F247:F248" si="32">D247*(($F$156)+1)+(IF(E247&lt;101,E247,IF(E247&lt;201,E247/2,IF(E247&lt;=301,E247/3,E247/4))))</f>
        <v>1081.6931970000001</v>
      </c>
      <c r="G247" s="69" t="str">
        <f>G246</f>
        <v>11th Floor(Part Terrace Area)</v>
      </c>
      <c r="H247" s="70"/>
      <c r="I247" s="37"/>
      <c r="N247" s="37"/>
    </row>
    <row r="248" spans="1:14" s="38" customFormat="1" ht="15.75" customHeight="1" x14ac:dyDescent="0.3">
      <c r="A248" s="65">
        <v>905</v>
      </c>
      <c r="B248" s="66"/>
      <c r="C248" s="43" t="s">
        <v>264</v>
      </c>
      <c r="D248" s="43">
        <f>(63.582+2.275*1.5)*10.764</f>
        <v>721.12879799999996</v>
      </c>
      <c r="E248" s="43">
        <v>0</v>
      </c>
      <c r="F248" s="43">
        <f t="shared" si="32"/>
        <v>1081.6931970000001</v>
      </c>
      <c r="G248" s="69" t="str">
        <f>G247</f>
        <v>11th Floor(Part Terrace Area)</v>
      </c>
      <c r="H248" s="70"/>
      <c r="I248" s="37"/>
      <c r="N248" s="37"/>
    </row>
    <row r="249" spans="1:14" s="38" customFormat="1" ht="15.75" customHeight="1" x14ac:dyDescent="0.3">
      <c r="A249" s="65">
        <v>906</v>
      </c>
      <c r="B249" s="66"/>
      <c r="C249" s="43" t="s">
        <v>264</v>
      </c>
      <c r="D249" s="43">
        <f>(47.875+2.05*1.2)*10.764</f>
        <v>541.80593999999996</v>
      </c>
      <c r="E249" s="43">
        <v>0</v>
      </c>
      <c r="F249" s="43">
        <f>D249*(($F$156)+1)+(IF(E249&lt;101,E249,IF(E249&lt;201,E249/2,IF(E249&lt;=301,E249/3,E249/4))))</f>
        <v>812.70890999999995</v>
      </c>
      <c r="G249" s="69" t="str">
        <f>G248</f>
        <v>11th Floor(Part Terrace Area)</v>
      </c>
      <c r="H249" s="70"/>
      <c r="I249" s="37"/>
      <c r="N249" s="37"/>
    </row>
    <row r="250" spans="1:14" s="38" customFormat="1" ht="15.75" customHeight="1" x14ac:dyDescent="0.3">
      <c r="A250" s="65">
        <v>907</v>
      </c>
      <c r="B250" s="66"/>
      <c r="C250" s="43" t="s">
        <v>262</v>
      </c>
      <c r="D250" s="43">
        <f>(39.868+3.225*1.35)*10.764</f>
        <v>476.00291699999997</v>
      </c>
      <c r="E250" s="43">
        <v>0</v>
      </c>
      <c r="F250" s="43">
        <f>D250*(($F$156)+1)+(IF(E250&lt;101,E250,IF(E250&lt;201,E250/2,IF(E250&lt;=301,E250/3,E250/4))))</f>
        <v>714.00437549999992</v>
      </c>
      <c r="G250" s="69" t="str">
        <f>G249</f>
        <v>11th Floor(Part Terrace Area)</v>
      </c>
      <c r="H250" s="70"/>
      <c r="I250" s="37"/>
      <c r="J250" s="38">
        <f>6800000/F250</f>
        <v>9523.7511608218447</v>
      </c>
      <c r="K250" s="38">
        <f>6000000/F250</f>
        <v>8403.3098477839794</v>
      </c>
      <c r="N250" s="37"/>
    </row>
    <row r="251" spans="1:14" s="38" customFormat="1" ht="15.75" customHeight="1" x14ac:dyDescent="0.3">
      <c r="A251" s="65">
        <v>908</v>
      </c>
      <c r="B251" s="66"/>
      <c r="C251" s="43" t="s">
        <v>264</v>
      </c>
      <c r="D251" s="43">
        <f>(54.987+1.925*1.35+(2.25+3)+0.75*2.75)*10.764</f>
        <v>698.56476299999997</v>
      </c>
      <c r="E251" s="43">
        <v>0</v>
      </c>
      <c r="F251" s="43">
        <f>D251*(($F$156)+1)+(IF(E251&lt;101,E251,IF(E251&lt;201,E251/2,IF(E251&lt;=301,E251/3,E251/4))))</f>
        <v>1047.8471445</v>
      </c>
      <c r="G251" s="69" t="str">
        <f>G250</f>
        <v>11th Floor(Part Terrace Area)</v>
      </c>
      <c r="H251" s="70"/>
      <c r="I251" s="37"/>
      <c r="N251" s="37"/>
    </row>
    <row r="252" spans="1:14" s="36" customFormat="1" x14ac:dyDescent="0.3">
      <c r="A252" s="207" t="s">
        <v>68</v>
      </c>
      <c r="B252" s="207"/>
      <c r="C252" s="207"/>
      <c r="D252" s="207"/>
      <c r="E252" s="207"/>
      <c r="F252" s="207"/>
      <c r="G252" s="207"/>
      <c r="H252" s="207"/>
    </row>
    <row r="253" spans="1:14" s="36" customFormat="1" x14ac:dyDescent="0.3">
      <c r="A253" s="48" t="s">
        <v>153</v>
      </c>
      <c r="B253" s="199" t="s">
        <v>293</v>
      </c>
      <c r="C253" s="200"/>
      <c r="D253" s="200"/>
      <c r="E253" s="200"/>
      <c r="F253" s="200"/>
      <c r="G253" s="200"/>
      <c r="H253" s="201"/>
    </row>
    <row r="254" spans="1:14" s="36" customFormat="1" x14ac:dyDescent="0.3">
      <c r="A254" s="48" t="s">
        <v>153</v>
      </c>
      <c r="B254" s="199" t="str">
        <f>(IF(F155="Saleable area Loading :","We have considered Saleable area of Flats as per our Calculation.","We considered Saleable area of Flat as per Builder area Sheet."))</f>
        <v>We have considered Saleable area of Flats as per our Calculation.</v>
      </c>
      <c r="C254" s="200"/>
      <c r="D254" s="200"/>
      <c r="E254" s="200"/>
      <c r="F254" s="200"/>
      <c r="G254" s="200"/>
      <c r="H254" s="201"/>
    </row>
    <row r="255" spans="1:14" s="36" customFormat="1" x14ac:dyDescent="0.3">
      <c r="A255" s="48" t="s">
        <v>153</v>
      </c>
      <c r="B255" s="199" t="str">
        <f>(IF(F135="Saleable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55" s="200"/>
      <c r="D255" s="200"/>
      <c r="E255" s="200"/>
      <c r="F255" s="200"/>
      <c r="G255" s="200"/>
      <c r="H255" s="201"/>
    </row>
    <row r="256" spans="1:14" s="36" customFormat="1" x14ac:dyDescent="0.3">
      <c r="A256" s="48" t="s">
        <v>153</v>
      </c>
      <c r="B256" s="115" t="s">
        <v>123</v>
      </c>
      <c r="C256" s="116"/>
      <c r="D256" s="116"/>
      <c r="E256" s="116"/>
      <c r="F256" s="116"/>
      <c r="G256" s="116"/>
      <c r="H256" s="117"/>
    </row>
    <row r="257" spans="1:8" s="36" customFormat="1" x14ac:dyDescent="0.3">
      <c r="A257" s="48" t="s">
        <v>153</v>
      </c>
      <c r="B257" s="115" t="s">
        <v>289</v>
      </c>
      <c r="C257" s="116"/>
      <c r="D257" s="116"/>
      <c r="E257" s="116"/>
      <c r="F257" s="116"/>
      <c r="G257" s="116"/>
      <c r="H257" s="117"/>
    </row>
    <row r="258" spans="1:8" s="36" customFormat="1" x14ac:dyDescent="0.3">
      <c r="A258" s="48" t="s">
        <v>153</v>
      </c>
      <c r="B258" s="115" t="s">
        <v>152</v>
      </c>
      <c r="C258" s="116"/>
      <c r="D258" s="116"/>
      <c r="E258" s="116"/>
      <c r="F258" s="116"/>
      <c r="G258" s="116"/>
      <c r="H258" s="117"/>
    </row>
    <row r="259" spans="1:8" s="36" customFormat="1" x14ac:dyDescent="0.3">
      <c r="A259" s="48" t="s">
        <v>153</v>
      </c>
      <c r="B259" s="115" t="s">
        <v>124</v>
      </c>
      <c r="C259" s="116"/>
      <c r="D259" s="116"/>
      <c r="E259" s="116"/>
      <c r="F259" s="116"/>
      <c r="G259" s="116"/>
      <c r="H259" s="117"/>
    </row>
    <row r="260" spans="1:8" s="36" customFormat="1" ht="34.5" customHeight="1" x14ac:dyDescent="0.3">
      <c r="A260" s="48" t="s">
        <v>153</v>
      </c>
      <c r="B260" s="115" t="s">
        <v>154</v>
      </c>
      <c r="C260" s="116"/>
      <c r="D260" s="116"/>
      <c r="E260" s="116"/>
      <c r="F260" s="116"/>
      <c r="G260" s="116"/>
      <c r="H260" s="117"/>
    </row>
    <row r="261" spans="1:8" s="36" customFormat="1" x14ac:dyDescent="0.3">
      <c r="A261" s="48" t="s">
        <v>153</v>
      </c>
      <c r="B261" s="115" t="s">
        <v>125</v>
      </c>
      <c r="C261" s="116"/>
      <c r="D261" s="116"/>
      <c r="E261" s="116"/>
      <c r="F261" s="116"/>
      <c r="G261" s="116"/>
      <c r="H261" s="117"/>
    </row>
    <row r="262" spans="1:8" s="36" customFormat="1" ht="32.25" hidden="1" customHeight="1" x14ac:dyDescent="0.3">
      <c r="A262" s="48" t="s">
        <v>153</v>
      </c>
      <c r="B262" s="204" t="s">
        <v>179</v>
      </c>
      <c r="C262" s="205"/>
      <c r="D262" s="205"/>
      <c r="E262" s="205"/>
      <c r="F262" s="205"/>
      <c r="G262" s="205"/>
      <c r="H262" s="206"/>
    </row>
    <row r="263" spans="1:8" s="36" customFormat="1" x14ac:dyDescent="0.3">
      <c r="A263" s="48" t="s">
        <v>153</v>
      </c>
      <c r="B263" s="115" t="s">
        <v>291</v>
      </c>
      <c r="C263" s="116"/>
      <c r="D263" s="116"/>
      <c r="E263" s="116"/>
      <c r="F263" s="116"/>
      <c r="G263" s="116"/>
      <c r="H263" s="117"/>
    </row>
    <row r="264" spans="1:8" x14ac:dyDescent="0.3">
      <c r="A264" s="153" t="s">
        <v>61</v>
      </c>
      <c r="B264" s="153"/>
      <c r="C264" s="153"/>
      <c r="D264" s="153"/>
      <c r="E264" s="153"/>
      <c r="F264" s="153"/>
      <c r="G264" s="153"/>
      <c r="H264" s="153"/>
    </row>
    <row r="265" spans="1:8" x14ac:dyDescent="0.3">
      <c r="A265" s="78" t="s">
        <v>62</v>
      </c>
      <c r="B265" s="78"/>
      <c r="C265" s="78"/>
      <c r="D265" s="78"/>
      <c r="E265" s="78"/>
      <c r="F265" s="78"/>
      <c r="G265" s="78"/>
      <c r="H265" s="78"/>
    </row>
    <row r="266" spans="1:8" ht="15.75" customHeight="1" x14ac:dyDescent="0.3">
      <c r="A266" s="203" t="s">
        <v>63</v>
      </c>
      <c r="B266" s="203"/>
      <c r="C266" s="203"/>
      <c r="D266" s="203"/>
      <c r="E266" s="203"/>
      <c r="F266" s="203"/>
      <c r="G266" s="203"/>
      <c r="H266" s="203"/>
    </row>
    <row r="267" spans="1:8" x14ac:dyDescent="0.3">
      <c r="A267" s="78" t="s">
        <v>64</v>
      </c>
      <c r="B267" s="78"/>
      <c r="C267" s="78"/>
      <c r="D267" s="78"/>
      <c r="E267" s="78"/>
      <c r="F267" s="78"/>
      <c r="G267" s="78"/>
      <c r="H267" s="78"/>
    </row>
    <row r="268" spans="1:8" x14ac:dyDescent="0.3">
      <c r="A268" s="78" t="s">
        <v>65</v>
      </c>
      <c r="B268" s="78"/>
      <c r="C268" s="78"/>
      <c r="D268" s="78"/>
      <c r="E268" s="78"/>
      <c r="F268" s="78"/>
      <c r="G268" s="78"/>
      <c r="H268" s="78"/>
    </row>
    <row r="269" spans="1:8" x14ac:dyDescent="0.3">
      <c r="A269" s="78" t="s">
        <v>126</v>
      </c>
      <c r="B269" s="78"/>
      <c r="C269" s="78"/>
      <c r="D269" s="78"/>
      <c r="E269" s="78"/>
      <c r="F269" s="78"/>
      <c r="G269" s="78"/>
      <c r="H269" s="78"/>
    </row>
    <row r="270" spans="1:8" ht="33.9" customHeight="1" x14ac:dyDescent="0.3">
      <c r="A270" s="132" t="s">
        <v>127</v>
      </c>
      <c r="B270" s="132"/>
      <c r="C270" s="132"/>
      <c r="D270" s="132"/>
      <c r="E270" s="132"/>
      <c r="F270" s="132"/>
      <c r="G270" s="132"/>
      <c r="H270" s="132"/>
    </row>
    <row r="271" spans="1:8" x14ac:dyDescent="0.3">
      <c r="A271" s="197" t="s">
        <v>77</v>
      </c>
      <c r="B271" s="197"/>
      <c r="C271" s="197" t="s">
        <v>295</v>
      </c>
      <c r="D271" s="197"/>
      <c r="E271" s="197" t="s">
        <v>106</v>
      </c>
      <c r="F271" s="197"/>
      <c r="G271" s="197" t="s">
        <v>294</v>
      </c>
      <c r="H271" s="197"/>
    </row>
    <row r="272" spans="1:8" x14ac:dyDescent="0.3">
      <c r="A272" s="196" t="s">
        <v>79</v>
      </c>
      <c r="B272" s="196"/>
      <c r="C272" s="196"/>
      <c r="D272" s="196"/>
      <c r="E272" s="196"/>
      <c r="F272" s="196"/>
      <c r="G272" s="196"/>
      <c r="H272" s="196"/>
    </row>
    <row r="273" spans="1:8" x14ac:dyDescent="0.3">
      <c r="A273" s="196"/>
      <c r="B273" s="196"/>
      <c r="C273" s="196"/>
      <c r="D273" s="196"/>
      <c r="E273" s="196"/>
      <c r="F273" s="196"/>
      <c r="G273" s="196"/>
      <c r="H273" s="196"/>
    </row>
    <row r="274" spans="1:8" x14ac:dyDescent="0.3">
      <c r="A274" s="196"/>
      <c r="B274" s="196"/>
      <c r="C274" s="196"/>
      <c r="D274" s="196"/>
      <c r="E274" s="196"/>
      <c r="F274" s="196"/>
      <c r="G274" s="196"/>
      <c r="H274" s="196"/>
    </row>
    <row r="275" spans="1:8" x14ac:dyDescent="0.3">
      <c r="A275" s="196"/>
      <c r="B275" s="196"/>
      <c r="C275" s="196"/>
      <c r="D275" s="196"/>
      <c r="E275" s="196"/>
      <c r="F275" s="196"/>
      <c r="G275" s="196"/>
      <c r="H275" s="196"/>
    </row>
    <row r="276" spans="1:8" x14ac:dyDescent="0.3">
      <c r="A276" s="39" t="s">
        <v>66</v>
      </c>
      <c r="B276" s="40"/>
      <c r="C276" s="40"/>
      <c r="D276" s="39" t="str">
        <f>E8</f>
        <v>Riddhi Siddhi Chs</v>
      </c>
      <c r="F276" s="40"/>
      <c r="G276" s="40"/>
      <c r="H276" s="40"/>
    </row>
    <row r="277" spans="1:8" x14ac:dyDescent="0.3">
      <c r="A277" s="40"/>
      <c r="B277" s="40"/>
      <c r="C277" s="40"/>
      <c r="D277" s="40"/>
      <c r="E277" s="40"/>
      <c r="F277" s="40"/>
      <c r="G277" s="40"/>
      <c r="H277" s="40"/>
    </row>
    <row r="278" spans="1:8" x14ac:dyDescent="0.3">
      <c r="A278" s="40"/>
      <c r="B278" s="40"/>
      <c r="C278" s="40"/>
      <c r="D278" s="40"/>
      <c r="E278" s="40"/>
      <c r="F278" s="40"/>
      <c r="G278" s="40"/>
      <c r="H278" s="40"/>
    </row>
    <row r="279" spans="1:8" ht="15" customHeight="1" x14ac:dyDescent="0.3"/>
    <row r="318" spans="1:1" x14ac:dyDescent="0.3">
      <c r="A318" s="42" t="s">
        <v>165</v>
      </c>
    </row>
    <row r="360" spans="1:1" x14ac:dyDescent="0.3">
      <c r="A360" s="42" t="s">
        <v>67</v>
      </c>
    </row>
  </sheetData>
  <mergeCells count="469">
    <mergeCell ref="I10:L10"/>
    <mergeCell ref="B263:H263"/>
    <mergeCell ref="I14:P14"/>
    <mergeCell ref="F119:H119"/>
    <mergeCell ref="F117:H117"/>
    <mergeCell ref="A134:H134"/>
    <mergeCell ref="G123:H123"/>
    <mergeCell ref="A118:E118"/>
    <mergeCell ref="A139:B139"/>
    <mergeCell ref="A53:B53"/>
    <mergeCell ref="C53:E53"/>
    <mergeCell ref="D55:H55"/>
    <mergeCell ref="F118:H118"/>
    <mergeCell ref="E123:F123"/>
    <mergeCell ref="A123:B123"/>
    <mergeCell ref="A125:B125"/>
    <mergeCell ref="C128:D128"/>
    <mergeCell ref="D63:H63"/>
    <mergeCell ref="A64:C64"/>
    <mergeCell ref="E42:H42"/>
    <mergeCell ref="A42:D42"/>
    <mergeCell ref="A80:B80"/>
    <mergeCell ref="C80:H80"/>
    <mergeCell ref="A75:B75"/>
    <mergeCell ref="C49:E49"/>
    <mergeCell ref="E83:F83"/>
    <mergeCell ref="G83:H83"/>
    <mergeCell ref="A114:E114"/>
    <mergeCell ref="F114:H114"/>
    <mergeCell ref="A115:E115"/>
    <mergeCell ref="A117:E117"/>
    <mergeCell ref="F111:H111"/>
    <mergeCell ref="A116:E116"/>
    <mergeCell ref="A101:B101"/>
    <mergeCell ref="A102:B102"/>
    <mergeCell ref="A90:B90"/>
    <mergeCell ref="A104:B104"/>
    <mergeCell ref="F109:H109"/>
    <mergeCell ref="A91:B91"/>
    <mergeCell ref="A92:B92"/>
    <mergeCell ref="E97:F97"/>
    <mergeCell ref="E98:F107"/>
    <mergeCell ref="A88:B88"/>
    <mergeCell ref="A89:B89"/>
    <mergeCell ref="F108:H108"/>
    <mergeCell ref="F113:H113"/>
    <mergeCell ref="A93:B93"/>
    <mergeCell ref="A98:B98"/>
    <mergeCell ref="A266:H266"/>
    <mergeCell ref="A163:B163"/>
    <mergeCell ref="D155:D156"/>
    <mergeCell ref="E155:E156"/>
    <mergeCell ref="G155:H156"/>
    <mergeCell ref="A158:H158"/>
    <mergeCell ref="B262:H262"/>
    <mergeCell ref="A159:B159"/>
    <mergeCell ref="B256:H256"/>
    <mergeCell ref="B257:H257"/>
    <mergeCell ref="A252:H252"/>
    <mergeCell ref="A166:B166"/>
    <mergeCell ref="A265:H265"/>
    <mergeCell ref="B261:H261"/>
    <mergeCell ref="C155:C156"/>
    <mergeCell ref="A169:H169"/>
    <mergeCell ref="A170:B170"/>
    <mergeCell ref="A177:B177"/>
    <mergeCell ref="A155:A156"/>
    <mergeCell ref="A180:H180"/>
    <mergeCell ref="A181:B181"/>
    <mergeCell ref="G170:H179"/>
    <mergeCell ref="A272:H275"/>
    <mergeCell ref="A271:B271"/>
    <mergeCell ref="E271:F271"/>
    <mergeCell ref="C271:D271"/>
    <mergeCell ref="G271:H271"/>
    <mergeCell ref="A122:H122"/>
    <mergeCell ref="A120:E120"/>
    <mergeCell ref="F120:H120"/>
    <mergeCell ref="A121:E121"/>
    <mergeCell ref="F121:H121"/>
    <mergeCell ref="A129:B129"/>
    <mergeCell ref="A124:B124"/>
    <mergeCell ref="A267:H267"/>
    <mergeCell ref="A127:H127"/>
    <mergeCell ref="A270:H270"/>
    <mergeCell ref="A268:H268"/>
    <mergeCell ref="A264:H264"/>
    <mergeCell ref="B259:H259"/>
    <mergeCell ref="B255:H255"/>
    <mergeCell ref="A133:H133"/>
    <mergeCell ref="B253:H253"/>
    <mergeCell ref="B254:H254"/>
    <mergeCell ref="A269:H269"/>
    <mergeCell ref="A160:B160"/>
    <mergeCell ref="A69:B69"/>
    <mergeCell ref="A72:B72"/>
    <mergeCell ref="A68:B68"/>
    <mergeCell ref="A66:B66"/>
    <mergeCell ref="C66:H66"/>
    <mergeCell ref="A74:B74"/>
    <mergeCell ref="G98:H107"/>
    <mergeCell ref="A83:B83"/>
    <mergeCell ref="A82:B82"/>
    <mergeCell ref="C82:H82"/>
    <mergeCell ref="C68:H68"/>
    <mergeCell ref="A71:B71"/>
    <mergeCell ref="A79:B79"/>
    <mergeCell ref="E84:F93"/>
    <mergeCell ref="E132:F132"/>
    <mergeCell ref="G132:H132"/>
    <mergeCell ref="G128:H128"/>
    <mergeCell ref="C135:C136"/>
    <mergeCell ref="B155:B156"/>
    <mergeCell ref="A173:B173"/>
    <mergeCell ref="A157:H157"/>
    <mergeCell ref="A168:B168"/>
    <mergeCell ref="A161:B161"/>
    <mergeCell ref="G159:H168"/>
    <mergeCell ref="A167:B167"/>
    <mergeCell ref="A164:B164"/>
    <mergeCell ref="A165:B165"/>
    <mergeCell ref="A162:B162"/>
    <mergeCell ref="A151:B151"/>
    <mergeCell ref="A154:H154"/>
    <mergeCell ref="A144:H144"/>
    <mergeCell ref="A145:B145"/>
    <mergeCell ref="A128:B128"/>
    <mergeCell ref="A78:B7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58:C58"/>
    <mergeCell ref="D58:H58"/>
    <mergeCell ref="C50:E50"/>
    <mergeCell ref="A10:D10"/>
    <mergeCell ref="A76:B76"/>
    <mergeCell ref="A49:B49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F33:H33"/>
    <mergeCell ref="F34:H34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A37:H37"/>
    <mergeCell ref="A36:B36"/>
    <mergeCell ref="C36:E36"/>
    <mergeCell ref="A73:B73"/>
    <mergeCell ref="E69:F69"/>
    <mergeCell ref="A62:C62"/>
    <mergeCell ref="D62:H62"/>
    <mergeCell ref="A65:C65"/>
    <mergeCell ref="D65:H65"/>
    <mergeCell ref="A63:C63"/>
    <mergeCell ref="D64:H64"/>
    <mergeCell ref="A70:B70"/>
    <mergeCell ref="G69:H69"/>
    <mergeCell ref="E70:F79"/>
    <mergeCell ref="G70:H79"/>
    <mergeCell ref="E43:H43"/>
    <mergeCell ref="E44:H44"/>
    <mergeCell ref="E45:H45"/>
    <mergeCell ref="E46:H46"/>
    <mergeCell ref="A44:D44"/>
    <mergeCell ref="A61:C61"/>
    <mergeCell ref="D61:H61"/>
    <mergeCell ref="A50:B50"/>
    <mergeCell ref="A54:H54"/>
    <mergeCell ref="A55:C55"/>
    <mergeCell ref="A56:C56"/>
    <mergeCell ref="D56:H56"/>
    <mergeCell ref="G53:H53"/>
    <mergeCell ref="C51:E51"/>
    <mergeCell ref="G50:H50"/>
    <mergeCell ref="A51:B52"/>
    <mergeCell ref="A38:B38"/>
    <mergeCell ref="C38:H38"/>
    <mergeCell ref="A45:D45"/>
    <mergeCell ref="L141:M141"/>
    <mergeCell ref="L140:M140"/>
    <mergeCell ref="L139:M139"/>
    <mergeCell ref="L138:M138"/>
    <mergeCell ref="A77:B77"/>
    <mergeCell ref="C129:D129"/>
    <mergeCell ref="E129:F129"/>
    <mergeCell ref="G129:H129"/>
    <mergeCell ref="F115:H115"/>
    <mergeCell ref="A109:E109"/>
    <mergeCell ref="A94:B94"/>
    <mergeCell ref="C94:H94"/>
    <mergeCell ref="A137:H137"/>
    <mergeCell ref="E135:E136"/>
    <mergeCell ref="G135:H136"/>
    <mergeCell ref="A84:B84"/>
    <mergeCell ref="A46:D46"/>
    <mergeCell ref="A47:H47"/>
    <mergeCell ref="G49:H49"/>
    <mergeCell ref="C52:H52"/>
    <mergeCell ref="G51:H51"/>
    <mergeCell ref="A39:B39"/>
    <mergeCell ref="C39:H39"/>
    <mergeCell ref="B260:H260"/>
    <mergeCell ref="A48:B48"/>
    <mergeCell ref="C48:H48"/>
    <mergeCell ref="B258:H258"/>
    <mergeCell ref="A99:B99"/>
    <mergeCell ref="A100:B100"/>
    <mergeCell ref="G84:H93"/>
    <mergeCell ref="A85:B85"/>
    <mergeCell ref="A86:B86"/>
    <mergeCell ref="A87:B87"/>
    <mergeCell ref="F110:H110"/>
    <mergeCell ref="A110:E110"/>
    <mergeCell ref="D135:D136"/>
    <mergeCell ref="A112:E112"/>
    <mergeCell ref="A103:B103"/>
    <mergeCell ref="A105:B105"/>
    <mergeCell ref="G126:H126"/>
    <mergeCell ref="A41:D41"/>
    <mergeCell ref="E41:H41"/>
    <mergeCell ref="A40:H40"/>
    <mergeCell ref="A59:C59"/>
    <mergeCell ref="A60:C60"/>
    <mergeCell ref="D60:H60"/>
    <mergeCell ref="A43:D43"/>
    <mergeCell ref="G97:H97"/>
    <mergeCell ref="A96:B96"/>
    <mergeCell ref="C96:H96"/>
    <mergeCell ref="A97:B97"/>
    <mergeCell ref="A119:E119"/>
    <mergeCell ref="G131:H131"/>
    <mergeCell ref="C125:D125"/>
    <mergeCell ref="E125:F125"/>
    <mergeCell ref="G125:H125"/>
    <mergeCell ref="A126:B126"/>
    <mergeCell ref="E124:F124"/>
    <mergeCell ref="C126:D126"/>
    <mergeCell ref="E126:F126"/>
    <mergeCell ref="E128:F128"/>
    <mergeCell ref="A106:B106"/>
    <mergeCell ref="A111:E111"/>
    <mergeCell ref="A108:E108"/>
    <mergeCell ref="F112:H112"/>
    <mergeCell ref="A107:B107"/>
    <mergeCell ref="D57:H57"/>
    <mergeCell ref="A57:C57"/>
    <mergeCell ref="D59:H59"/>
    <mergeCell ref="L142:M142"/>
    <mergeCell ref="A143:B143"/>
    <mergeCell ref="L143:M143"/>
    <mergeCell ref="A113:E113"/>
    <mergeCell ref="B135:B136"/>
    <mergeCell ref="A135:A136"/>
    <mergeCell ref="A130:B130"/>
    <mergeCell ref="C130:D130"/>
    <mergeCell ref="E130:F130"/>
    <mergeCell ref="G130:H130"/>
    <mergeCell ref="C124:D124"/>
    <mergeCell ref="A141:B141"/>
    <mergeCell ref="A140:B140"/>
    <mergeCell ref="A142:B142"/>
    <mergeCell ref="F116:H116"/>
    <mergeCell ref="A138:B138"/>
    <mergeCell ref="G124:H124"/>
    <mergeCell ref="C123:D123"/>
    <mergeCell ref="A131:B131"/>
    <mergeCell ref="E131:F131"/>
    <mergeCell ref="G138:H143"/>
    <mergeCell ref="C131:D131"/>
    <mergeCell ref="A132:B132"/>
    <mergeCell ref="C132:D132"/>
    <mergeCell ref="L151:M151"/>
    <mergeCell ref="A152:B152"/>
    <mergeCell ref="L152:M152"/>
    <mergeCell ref="A153:B153"/>
    <mergeCell ref="L153:M153"/>
    <mergeCell ref="G145:H153"/>
    <mergeCell ref="A148:B148"/>
    <mergeCell ref="L148:M148"/>
    <mergeCell ref="A149:B149"/>
    <mergeCell ref="L149:M149"/>
    <mergeCell ref="A150:B150"/>
    <mergeCell ref="L150:M150"/>
    <mergeCell ref="L145:M145"/>
    <mergeCell ref="A146:B146"/>
    <mergeCell ref="L146:M146"/>
    <mergeCell ref="A147:B147"/>
    <mergeCell ref="L147:M147"/>
    <mergeCell ref="L173:M173"/>
    <mergeCell ref="A174:B174"/>
    <mergeCell ref="A175:B175"/>
    <mergeCell ref="A176:B176"/>
    <mergeCell ref="A190:B190"/>
    <mergeCell ref="L170:M170"/>
    <mergeCell ref="A171:B171"/>
    <mergeCell ref="L171:M171"/>
    <mergeCell ref="A172:B172"/>
    <mergeCell ref="L172:M172"/>
    <mergeCell ref="A178:B178"/>
    <mergeCell ref="A179:B179"/>
    <mergeCell ref="G181:H190"/>
    <mergeCell ref="A185:B185"/>
    <mergeCell ref="A186:B186"/>
    <mergeCell ref="A187:B187"/>
    <mergeCell ref="A188:B188"/>
    <mergeCell ref="A189:B189"/>
    <mergeCell ref="L181:M181"/>
    <mergeCell ref="A182:B182"/>
    <mergeCell ref="L182:M182"/>
    <mergeCell ref="A183:B183"/>
    <mergeCell ref="L183:M183"/>
    <mergeCell ref="A184:B184"/>
    <mergeCell ref="L184:M184"/>
    <mergeCell ref="A198:B198"/>
    <mergeCell ref="A199:B199"/>
    <mergeCell ref="A200:B200"/>
    <mergeCell ref="A201:B201"/>
    <mergeCell ref="A202:H202"/>
    <mergeCell ref="G192:H201"/>
    <mergeCell ref="A194:B194"/>
    <mergeCell ref="L194:M194"/>
    <mergeCell ref="A195:B195"/>
    <mergeCell ref="L195:M195"/>
    <mergeCell ref="A196:B196"/>
    <mergeCell ref="A197:B197"/>
    <mergeCell ref="A192:B192"/>
    <mergeCell ref="L192:M192"/>
    <mergeCell ref="A193:B193"/>
    <mergeCell ref="L193:M193"/>
    <mergeCell ref="A191:H191"/>
    <mergeCell ref="A210:B210"/>
    <mergeCell ref="A211:B211"/>
    <mergeCell ref="A212:B212"/>
    <mergeCell ref="G203:H212"/>
    <mergeCell ref="C206:E206"/>
    <mergeCell ref="A213:H213"/>
    <mergeCell ref="A214:B214"/>
    <mergeCell ref="A206:B206"/>
    <mergeCell ref="L206:M206"/>
    <mergeCell ref="A207:B207"/>
    <mergeCell ref="A208:B208"/>
    <mergeCell ref="A209:B209"/>
    <mergeCell ref="L214:M214"/>
    <mergeCell ref="A203:B203"/>
    <mergeCell ref="L203:M203"/>
    <mergeCell ref="A204:B204"/>
    <mergeCell ref="L204:M204"/>
    <mergeCell ref="A205:B205"/>
    <mergeCell ref="L205:M205"/>
    <mergeCell ref="A222:B222"/>
    <mergeCell ref="A223:H223"/>
    <mergeCell ref="A224:B224"/>
    <mergeCell ref="L224:M224"/>
    <mergeCell ref="A225:B225"/>
    <mergeCell ref="L225:M225"/>
    <mergeCell ref="G214:H222"/>
    <mergeCell ref="A217:B217"/>
    <mergeCell ref="A218:B218"/>
    <mergeCell ref="A219:B219"/>
    <mergeCell ref="A220:B220"/>
    <mergeCell ref="A221:B221"/>
    <mergeCell ref="A215:B215"/>
    <mergeCell ref="L215:M215"/>
    <mergeCell ref="A216:B216"/>
    <mergeCell ref="L216:M216"/>
    <mergeCell ref="A230:B230"/>
    <mergeCell ref="A231:B231"/>
    <mergeCell ref="A232:B232"/>
    <mergeCell ref="A233:H233"/>
    <mergeCell ref="A234:B234"/>
    <mergeCell ref="G224:H232"/>
    <mergeCell ref="A226:B226"/>
    <mergeCell ref="L226:M226"/>
    <mergeCell ref="A227:B227"/>
    <mergeCell ref="A228:B228"/>
    <mergeCell ref="A229:B229"/>
    <mergeCell ref="A238:B238"/>
    <mergeCell ref="A239:B239"/>
    <mergeCell ref="A240:B240"/>
    <mergeCell ref="A241:B241"/>
    <mergeCell ref="A242:B242"/>
    <mergeCell ref="G234:H242"/>
    <mergeCell ref="L234:M234"/>
    <mergeCell ref="A235:B235"/>
    <mergeCell ref="L235:M235"/>
    <mergeCell ref="A236:B236"/>
    <mergeCell ref="L236:M236"/>
    <mergeCell ref="A237:B237"/>
    <mergeCell ref="A247:B247"/>
    <mergeCell ref="A248:B248"/>
    <mergeCell ref="A249:B249"/>
    <mergeCell ref="A250:B250"/>
    <mergeCell ref="A251:B251"/>
    <mergeCell ref="G244:H251"/>
    <mergeCell ref="A243:H243"/>
    <mergeCell ref="A244:B244"/>
    <mergeCell ref="L244:M244"/>
    <mergeCell ref="A245:B245"/>
    <mergeCell ref="L245:M245"/>
    <mergeCell ref="A246:B246"/>
    <mergeCell ref="L246:M246"/>
  </mergeCells>
  <dataValidations count="12">
    <dataValidation type="list" allowBlank="1" showInputMessage="1" showErrorMessage="1" sqref="C20:D20" xr:uid="{00000000-0002-0000-0000-000000000000}">
      <formula1>OFFSET($S$12,1,MATCH($G19,$S$12:$W$12,0)-1,15,1)</formula1>
    </dataValidation>
    <dataValidation type="list" allowBlank="1" showInputMessage="1" showErrorMessage="1" sqref="F136 F156" xr:uid="{00000000-0002-0000-0000-000001000000}">
      <formula1>"45%,50%,55%,60%"</formula1>
    </dataValidation>
    <dataValidation type="list" allowBlank="1" showInputMessage="1" showErrorMessage="1" sqref="F155 F135" xr:uid="{00000000-0002-0000-0000-000002000000}">
      <formula1>"Saleable area Loading :,Builder Saleable area"</formula1>
    </dataValidation>
    <dataValidation type="list" allowBlank="1" showInputMessage="1" showErrorMessage="1" sqref="B155:B156" xr:uid="{00000000-0002-0000-0000-000003000000}">
      <formula1>"Flat No. (Sale Plan),Sale / Rehab,Sale / Mhada"</formula1>
    </dataValidation>
    <dataValidation type="list" allowBlank="1" showInputMessage="1" showErrorMessage="1" sqref="E135:E136" xr:uid="{00000000-0002-0000-0000-000004000000}">
      <formula1>"Attached Loft area,Attached Terrace area,Attached Mezzanine area"</formula1>
    </dataValidation>
    <dataValidation type="list" allowBlank="1" showInputMessage="1" showErrorMessage="1" sqref="F108:H108" xr:uid="{00000000-0002-0000-0000-000005000000}">
      <formula1>"On Saleable Area,On Builtup Area,On Carpet Area,On Plot Area"</formula1>
    </dataValidation>
    <dataValidation type="list" allowBlank="1" showInputMessage="1" showErrorMessage="1" sqref="F120:H120" xr:uid="{00000000-0002-0000-0000-000006000000}">
      <formula1>"100000,150000,200000,250000,300000,350000,400000,500000,600000,700000,800000,900000,1000000,1200000,1400000,1500000"</formula1>
    </dataValidation>
    <dataValidation type="list" allowBlank="1" showInputMessage="1" showErrorMessage="1" sqref="B135:B136" xr:uid="{00000000-0002-0000-0000-000007000000}">
      <formula1>"Shop No. (Sale Plan),Sale / Rehab,Sale / Mhada"</formula1>
    </dataValidation>
    <dataValidation type="list" allowBlank="1" showInputMessage="1" showErrorMessage="1" sqref="E4:H4" xr:uid="{00000000-0002-0000-0000-000008000000}">
      <formula1>"Axis Goregaon,Axis Thane,Axis Badlapur,Axis Sanpada, PNB Thane"</formula1>
    </dataValidation>
    <dataValidation type="list" allowBlank="1" showInputMessage="1" showErrorMessage="1" sqref="A16:B16" xr:uid="{00000000-0002-0000-0000-000009000000}">
      <formula1>"CTS No,Survey No,Plot No,Gut No,FP No,"</formula1>
    </dataValidation>
    <dataValidation type="list" allowBlank="1" showInputMessage="1" showErrorMessage="1" sqref="G19:H19" xr:uid="{00000000-0002-0000-0000-00000A000000}">
      <formula1>$S$12:$W$12</formula1>
    </dataValidation>
    <dataValidation type="list" allowBlank="1" showInputMessage="1" showErrorMessage="1" sqref="Y12" xr:uid="{00000000-0002-0000-0000-00000B000000}">
      <formula1>$D$4:$H$4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275" max="16383" man="1"/>
    <brk id="317" max="16383" man="1"/>
    <brk id="35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14" t="s">
        <v>107</v>
      </c>
      <c r="C3" s="214"/>
      <c r="D3" s="214"/>
      <c r="E3" s="214"/>
      <c r="F3" s="214"/>
      <c r="G3" s="214"/>
      <c r="H3" s="214"/>
    </row>
    <row r="4" spans="1:9" x14ac:dyDescent="0.3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56"/>
      <c r="C4" s="56" t="s">
        <v>12</v>
      </c>
      <c r="D4" s="57" t="s">
        <v>180</v>
      </c>
      <c r="E4" s="57" t="s">
        <v>190</v>
      </c>
      <c r="F4" s="57" t="s">
        <v>173</v>
      </c>
      <c r="G4" s="57" t="s">
        <v>195</v>
      </c>
      <c r="H4" s="57" t="s">
        <v>213</v>
      </c>
      <c r="J4" t="s">
        <v>195</v>
      </c>
      <c r="K4" t="s">
        <v>211</v>
      </c>
    </row>
    <row r="5" spans="2:11" x14ac:dyDescent="0.3">
      <c r="B5" s="56"/>
      <c r="C5" s="56"/>
      <c r="D5" s="57" t="s">
        <v>181</v>
      </c>
      <c r="E5" s="57" t="s">
        <v>188</v>
      </c>
      <c r="F5" s="57" t="s">
        <v>210</v>
      </c>
      <c r="G5" s="57" t="s">
        <v>196</v>
      </c>
      <c r="H5" s="57" t="s">
        <v>214</v>
      </c>
    </row>
    <row r="6" spans="2:11" x14ac:dyDescent="0.3">
      <c r="B6" s="56"/>
      <c r="C6" s="56"/>
      <c r="D6" s="57" t="s">
        <v>182</v>
      </c>
      <c r="E6" s="57" t="s">
        <v>189</v>
      </c>
      <c r="F6" s="57" t="s">
        <v>211</v>
      </c>
      <c r="G6" s="57" t="s">
        <v>197</v>
      </c>
      <c r="H6" s="57" t="s">
        <v>227</v>
      </c>
    </row>
    <row r="7" spans="2:11" x14ac:dyDescent="0.3">
      <c r="B7" s="56"/>
      <c r="C7" s="56"/>
      <c r="D7" s="57" t="s">
        <v>183</v>
      </c>
      <c r="E7" s="57" t="s">
        <v>191</v>
      </c>
      <c r="F7" s="57" t="s">
        <v>212</v>
      </c>
      <c r="G7" s="57" t="s">
        <v>198</v>
      </c>
      <c r="H7" s="57" t="s">
        <v>215</v>
      </c>
    </row>
    <row r="8" spans="2:11" x14ac:dyDescent="0.3">
      <c r="B8" s="56"/>
      <c r="C8" s="56"/>
      <c r="D8" s="57" t="s">
        <v>184</v>
      </c>
      <c r="E8" s="57" t="s">
        <v>192</v>
      </c>
      <c r="F8" s="57"/>
      <c r="G8" s="57" t="s">
        <v>199</v>
      </c>
      <c r="H8" s="57" t="s">
        <v>216</v>
      </c>
    </row>
    <row r="9" spans="2:11" x14ac:dyDescent="0.3">
      <c r="B9" s="56"/>
      <c r="C9" s="56"/>
      <c r="D9" s="57" t="s">
        <v>185</v>
      </c>
      <c r="E9" s="57" t="s">
        <v>190</v>
      </c>
      <c r="F9" s="57"/>
      <c r="G9" s="57" t="s">
        <v>200</v>
      </c>
      <c r="H9" s="57" t="s">
        <v>217</v>
      </c>
    </row>
    <row r="10" spans="2:11" x14ac:dyDescent="0.3">
      <c r="B10" s="56"/>
      <c r="C10" s="56"/>
      <c r="D10" s="57" t="s">
        <v>186</v>
      </c>
      <c r="E10" s="57" t="s">
        <v>193</v>
      </c>
      <c r="F10" s="57"/>
      <c r="G10" s="57" t="s">
        <v>201</v>
      </c>
      <c r="H10" s="57" t="s">
        <v>218</v>
      </c>
    </row>
    <row r="11" spans="2:11" x14ac:dyDescent="0.3">
      <c r="B11" s="56"/>
      <c r="C11" s="56"/>
      <c r="D11" s="57" t="s">
        <v>187</v>
      </c>
      <c r="E11" s="57" t="s">
        <v>194</v>
      </c>
      <c r="F11" s="57"/>
      <c r="G11" s="57" t="s">
        <v>202</v>
      </c>
      <c r="H11" s="57" t="s">
        <v>219</v>
      </c>
    </row>
    <row r="12" spans="2:11" x14ac:dyDescent="0.3">
      <c r="B12" s="56"/>
      <c r="C12" s="56"/>
      <c r="D12" s="57"/>
      <c r="E12" s="57"/>
      <c r="F12" s="57"/>
      <c r="G12" s="57" t="s">
        <v>203</v>
      </c>
      <c r="H12" s="57" t="s">
        <v>220</v>
      </c>
    </row>
    <row r="13" spans="2:11" x14ac:dyDescent="0.3">
      <c r="B13" s="56"/>
      <c r="C13" s="56"/>
      <c r="D13" s="57"/>
      <c r="E13" s="57"/>
      <c r="F13" s="57"/>
      <c r="G13" s="57" t="s">
        <v>204</v>
      </c>
      <c r="H13" s="57" t="s">
        <v>221</v>
      </c>
    </row>
    <row r="14" spans="2:11" x14ac:dyDescent="0.3">
      <c r="B14" s="56"/>
      <c r="C14" s="56"/>
      <c r="D14" s="57"/>
      <c r="E14" s="57"/>
      <c r="F14" s="57"/>
      <c r="G14" s="57" t="s">
        <v>205</v>
      </c>
      <c r="H14" s="57" t="s">
        <v>222</v>
      </c>
    </row>
    <row r="15" spans="2:11" x14ac:dyDescent="0.3">
      <c r="B15" s="56"/>
      <c r="C15" s="56"/>
      <c r="D15" s="57"/>
      <c r="E15" s="57"/>
      <c r="F15" s="57"/>
      <c r="G15" s="57" t="s">
        <v>206</v>
      </c>
      <c r="H15" s="57" t="s">
        <v>223</v>
      </c>
    </row>
    <row r="16" spans="2:11" x14ac:dyDescent="0.3">
      <c r="B16" s="56"/>
      <c r="C16" s="56"/>
      <c r="D16" s="57"/>
      <c r="E16" s="57"/>
      <c r="F16" s="57"/>
      <c r="G16" s="57" t="s">
        <v>207</v>
      </c>
      <c r="H16" s="57" t="s">
        <v>224</v>
      </c>
    </row>
    <row r="17" spans="2:8" x14ac:dyDescent="0.3">
      <c r="B17" s="56"/>
      <c r="C17" s="56"/>
      <c r="D17" s="57"/>
      <c r="E17" s="57"/>
      <c r="F17" s="57"/>
      <c r="G17" s="57" t="s">
        <v>208</v>
      </c>
      <c r="H17" s="57" t="s">
        <v>225</v>
      </c>
    </row>
    <row r="18" spans="2:8" x14ac:dyDescent="0.3">
      <c r="B18" s="56"/>
      <c r="C18" s="56"/>
      <c r="D18" s="57"/>
      <c r="E18" s="57"/>
      <c r="F18" s="57"/>
      <c r="G18" s="57" t="s">
        <v>209</v>
      </c>
      <c r="H18" s="57" t="s">
        <v>226</v>
      </c>
    </row>
    <row r="24" spans="2:8" x14ac:dyDescent="0.3">
      <c r="C24" t="s">
        <v>171</v>
      </c>
    </row>
    <row r="25" spans="2:8" x14ac:dyDescent="0.3">
      <c r="C25" t="s">
        <v>228</v>
      </c>
    </row>
    <row r="26" spans="2:8" x14ac:dyDescent="0.3">
      <c r="C26" t="s">
        <v>229</v>
      </c>
    </row>
    <row r="27" spans="2:8" x14ac:dyDescent="0.3">
      <c r="C27" t="s">
        <v>230</v>
      </c>
    </row>
    <row r="28" spans="2:8" x14ac:dyDescent="0.3">
      <c r="C28" t="s">
        <v>231</v>
      </c>
    </row>
    <row r="29" spans="2:8" x14ac:dyDescent="0.3">
      <c r="C29" t="s">
        <v>232</v>
      </c>
    </row>
    <row r="30" spans="2:8" x14ac:dyDescent="0.3">
      <c r="C30" t="s">
        <v>171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2025-09-13T14:50:43Z</cp:lastPrinted>
  <dcterms:created xsi:type="dcterms:W3CDTF">2019-07-16T09:29:46Z</dcterms:created>
  <dcterms:modified xsi:type="dcterms:W3CDTF">2025-09-13T14:50:46Z</dcterms:modified>
</cp:coreProperties>
</file>